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ROJECT\Delloite\Tax\02. Source\DelloiteTR\DelloiteTR\templates\"/>
    </mc:Choice>
  </mc:AlternateContent>
  <bookViews>
    <workbookView xWindow="-120" yWindow="-120" windowWidth="20730" windowHeight="11310" tabRatio="732"/>
  </bookViews>
  <sheets>
    <sheet name="GENERAL INFO" sheetId="14" r:id="rId1"/>
    <sheet name="OVERSEAS INCOME" sheetId="16" r:id="rId2"/>
    <sheet name="A&amp;L" sheetId="25" r:id="rId3"/>
    <sheet name="DRAFT A&amp;L" sheetId="37" r:id="rId4"/>
    <sheet name="FE-1770" sheetId="22" r:id="rId5"/>
    <sheet name="FE-1770-I-hal 1" sheetId="26" r:id="rId6"/>
    <sheet name="FE-1770-II" sheetId="28" r:id="rId7"/>
    <sheet name="FE-1770-I-hal 2" sheetId="27" r:id="rId8"/>
    <sheet name="FE-1770-III" sheetId="29" r:id="rId9"/>
    <sheet name="FE-1770-IV" sheetId="30" r:id="rId10"/>
    <sheet name="Attachment" sheetId="33" r:id="rId11"/>
    <sheet name="SUMMARY NOTEKEEPING" sheetId="36" r:id="rId12"/>
    <sheet name="1770" sheetId="7" r:id="rId13"/>
    <sheet name="1770-I-hal 1" sheetId="8" r:id="rId14"/>
    <sheet name="1770-I-hal 2" sheetId="3" r:id="rId15"/>
    <sheet name="1770-II" sheetId="4" r:id="rId16"/>
    <sheet name="1770-III" sheetId="5" r:id="rId17"/>
    <sheet name="1770-IV" sheetId="6" r:id="rId18"/>
    <sheet name="LAMPIRAN." sheetId="34" r:id="rId19"/>
    <sheet name="RINGKASAN CATATAN" sheetId="35" r:id="rId20"/>
    <sheet name="Daftar Pembayaran PP 46-2013" sheetId="13" r:id="rId21"/>
    <sheet name="Daftar Pembayaran OPPT" sheetId="11" r:id="rId22"/>
    <sheet name="CalculationSheet" sheetId="32" r:id="rId23"/>
    <sheet name="exch.rate" sheetId="17" r:id="rId24"/>
    <sheet name="MASTER" sheetId="38" r:id="rId25"/>
  </sheets>
  <externalReferences>
    <externalReference r:id="rId26"/>
  </externalReferences>
  <definedNames>
    <definedName name="_art21">'GENERAL INFO'!$V$155</definedName>
    <definedName name="_art24" localSheetId="23">'[1]OVERSEAS INCOME'!$AC$504</definedName>
    <definedName name="_art24">'OVERSEAS INCOME'!$AC$671</definedName>
    <definedName name="_Occ1">'[1]GENERAL INFO'!$G$23</definedName>
    <definedName name="_Occ10">'[1]GENERAL INFO'!$P$23</definedName>
    <definedName name="_Occ11">'[1]GENERAL INFO'!$Q$23</definedName>
    <definedName name="_Occ12">'[1]GENERAL INFO'!$R$23</definedName>
    <definedName name="_Occ13">'[1]GENERAL INFO'!$S$23</definedName>
    <definedName name="_Occ14">'[1]GENERAL INFO'!$T$23</definedName>
    <definedName name="_Occ15">'[1]GENERAL INFO'!$U$23</definedName>
    <definedName name="_Occ16">'[1]GENERAL INFO'!$V$23</definedName>
    <definedName name="_Occ17">'[1]GENERAL INFO'!$W$23</definedName>
    <definedName name="_Occ18">'[1]GENERAL INFO'!$X$23</definedName>
    <definedName name="_Occ19">'[1]GENERAL INFO'!$Y$23</definedName>
    <definedName name="_Occ2">'[1]GENERAL INFO'!$H$23</definedName>
    <definedName name="_Occ20">'[1]GENERAL INFO'!$Z$23</definedName>
    <definedName name="_Occ3">'[1]GENERAL INFO'!$I$23</definedName>
    <definedName name="_Occ4">'[1]GENERAL INFO'!$J$23</definedName>
    <definedName name="_Occ5">'[1]GENERAL INFO'!$K$23</definedName>
    <definedName name="_Occ6">'[1]GENERAL INFO'!$L$23</definedName>
    <definedName name="_Occ7">'[1]GENERAL INFO'!$M$23</definedName>
    <definedName name="_Occ8">'[1]GENERAL INFO'!$N$23</definedName>
    <definedName name="_Occ9">'[1]GENERAL INFO'!$O$23</definedName>
    <definedName name="AccPayable">'A&amp;L'!$M$40</definedName>
    <definedName name="anndomesticnetincome">CalculationSheet!$N$26</definedName>
    <definedName name="annempbonus" localSheetId="5">#REF!</definedName>
    <definedName name="annempbonus" localSheetId="7">#REF!</definedName>
    <definedName name="annempbonus" localSheetId="6">#REF!</definedName>
    <definedName name="annempbonus" localSheetId="8">#REF!</definedName>
    <definedName name="annempbonus" localSheetId="9">#REF!</definedName>
    <definedName name="annempbonus">CalculationSheet!$J$24</definedName>
    <definedName name="annempincome">CalculationSheet!$J$23</definedName>
    <definedName name="annoverseasincome">CalculationSheet!$N$27</definedName>
    <definedName name="BankAccount">'A&amp;L'!$M$9</definedName>
    <definedName name="Cash">'A&amp;L'!$M$8</definedName>
    <definedName name="CreditCard">'A&amp;L'!$M$45</definedName>
    <definedName name="dateofdeparture">'GENERAL INFO'!$F$39</definedName>
    <definedName name="dependant">'GENERAL INFO'!$F$87</definedName>
    <definedName name="DEPENDENT">'[1]GENERAL INFO'!$F$74</definedName>
    <definedName name="Deposit">'A&amp;L'!$M$11</definedName>
    <definedName name="emp_taxID1">'GENERAL INFO'!$G$132</definedName>
    <definedName name="emp_taxID2">'GENERAL INFO'!$L$132</definedName>
    <definedName name="emp_taxID3">'GENERAL INFO'!$Q$132</definedName>
    <definedName name="empbonus">'GENERAL INFO'!$V$145</definedName>
    <definedName name="employer1">'GENERAL INFO'!$G$131</definedName>
    <definedName name="employer2">'GENERAL INFO'!$L$131</definedName>
    <definedName name="employer3">'GENERAL INFO'!$Q$131</definedName>
    <definedName name="Giro">'A&amp;L'!$M$10</definedName>
    <definedName name="irregulardomesticincome">'GENERAL INFO'!$V$173</definedName>
    <definedName name="irregularincome" localSheetId="1">'OVERSEAS INCOME'!$T$637</definedName>
    <definedName name="irregularincome">'OVERSEAS INCOME'!$V$637</definedName>
    <definedName name="irregulartaxcredit" localSheetId="23">'[1]OVERSEAS INCOME'!$W$474</definedName>
    <definedName name="irregulartaxcredit">'OVERSEAS INCOME'!$W$641</definedName>
    <definedName name="LiabilitiesAffiliated">'A&amp;L'!$M$46</definedName>
    <definedName name="MARITAL" localSheetId="23">'[1]GENERAL INFO'!$F$73</definedName>
    <definedName name="MARITAL" localSheetId="1">'[1]GENERAL INFO'!$F$73</definedName>
    <definedName name="marital">'GENERAL INFO'!$F$86</definedName>
    <definedName name="name01" localSheetId="23">'[1]GENERAL INFO'!$G$21</definedName>
    <definedName name="name01" localSheetId="1">'[1]GENERAL INFO'!$G$21</definedName>
    <definedName name="name01">'GENERAL INFO'!$G$21</definedName>
    <definedName name="name02">'GENERAL INFO'!$G$213</definedName>
    <definedName name="name16" localSheetId="4">'[1]GENERAL INFO'!#REF!</definedName>
    <definedName name="name16" localSheetId="5">'[1]GENERAL INFO'!#REF!</definedName>
    <definedName name="name16" localSheetId="7">'[1]GENERAL INFO'!#REF!</definedName>
    <definedName name="name16" localSheetId="6">'[1]GENERAL INFO'!#REF!</definedName>
    <definedName name="name16" localSheetId="8">'[1]GENERAL INFO'!#REF!</definedName>
    <definedName name="name16" localSheetId="9">'[1]GENERAL INFO'!#REF!</definedName>
    <definedName name="name16">'[1]GENERAL INFO'!#REF!</definedName>
    <definedName name="name17" localSheetId="4">'[1]GENERAL INFO'!#REF!</definedName>
    <definedName name="name17" localSheetId="5">'[1]GENERAL INFO'!#REF!</definedName>
    <definedName name="name17" localSheetId="7">'[1]GENERAL INFO'!#REF!</definedName>
    <definedName name="name17" localSheetId="6">'[1]GENERAL INFO'!#REF!</definedName>
    <definedName name="name17" localSheetId="8">'[1]GENERAL INFO'!#REF!</definedName>
    <definedName name="name17" localSheetId="9">'[1]GENERAL INFO'!#REF!</definedName>
    <definedName name="name17">'[1]GENERAL INFO'!#REF!</definedName>
    <definedName name="name18" localSheetId="4">'[1]GENERAL INFO'!#REF!</definedName>
    <definedName name="name18" localSheetId="5">'[1]GENERAL INFO'!#REF!</definedName>
    <definedName name="name18" localSheetId="7">'[1]GENERAL INFO'!#REF!</definedName>
    <definedName name="name18" localSheetId="6">'[1]GENERAL INFO'!#REF!</definedName>
    <definedName name="name18" localSheetId="8">'[1]GENERAL INFO'!#REF!</definedName>
    <definedName name="name18" localSheetId="9">'[1]GENERAL INFO'!#REF!</definedName>
    <definedName name="name18">'[1]GENERAL INFO'!#REF!</definedName>
    <definedName name="name19" localSheetId="4">'[1]GENERAL INFO'!#REF!</definedName>
    <definedName name="name19" localSheetId="5">'[1]GENERAL INFO'!#REF!</definedName>
    <definedName name="name19" localSheetId="7">'[1]GENERAL INFO'!#REF!</definedName>
    <definedName name="name19" localSheetId="6">'[1]GENERAL INFO'!#REF!</definedName>
    <definedName name="name19" localSheetId="8">'[1]GENERAL INFO'!#REF!</definedName>
    <definedName name="name19" localSheetId="9">'[1]GENERAL INFO'!#REF!</definedName>
    <definedName name="name19">'[1]GENERAL INFO'!#REF!</definedName>
    <definedName name="name20" localSheetId="4">'[1]GENERAL INFO'!#REF!</definedName>
    <definedName name="name20" localSheetId="5">'[1]GENERAL INFO'!#REF!</definedName>
    <definedName name="name20" localSheetId="7">'[1]GENERAL INFO'!#REF!</definedName>
    <definedName name="name20" localSheetId="6">'[1]GENERAL INFO'!#REF!</definedName>
    <definedName name="name20" localSheetId="8">'[1]GENERAL INFO'!#REF!</definedName>
    <definedName name="name20" localSheetId="9">'[1]GENERAL INFO'!#REF!</definedName>
    <definedName name="name20">'[1]GENERAL INFO'!#REF!</definedName>
    <definedName name="name21" localSheetId="4">'[1]GENERAL INFO'!#REF!</definedName>
    <definedName name="name21" localSheetId="5">'[1]GENERAL INFO'!#REF!</definedName>
    <definedName name="name21" localSheetId="7">'[1]GENERAL INFO'!#REF!</definedName>
    <definedName name="name21" localSheetId="6">'[1]GENERAL INFO'!#REF!</definedName>
    <definedName name="name21" localSheetId="8">'[1]GENERAL INFO'!#REF!</definedName>
    <definedName name="name21" localSheetId="9">'[1]GENERAL INFO'!#REF!</definedName>
    <definedName name="name21">'[1]GENERAL INFO'!#REF!</definedName>
    <definedName name="name22" localSheetId="4">'[1]GENERAL INFO'!#REF!</definedName>
    <definedName name="name22" localSheetId="5">'[1]GENERAL INFO'!#REF!</definedName>
    <definedName name="name22" localSheetId="7">'[1]GENERAL INFO'!#REF!</definedName>
    <definedName name="name22" localSheetId="6">'[1]GENERAL INFO'!#REF!</definedName>
    <definedName name="name22" localSheetId="8">'[1]GENERAL INFO'!#REF!</definedName>
    <definedName name="name22" localSheetId="9">'[1]GENERAL INFO'!#REF!</definedName>
    <definedName name="name22">'[1]GENERAL INFO'!#REF!</definedName>
    <definedName name="name23" localSheetId="4">'[1]GENERAL INFO'!#REF!</definedName>
    <definedName name="name23" localSheetId="5">'[1]GENERAL INFO'!#REF!</definedName>
    <definedName name="name23" localSheetId="7">'[1]GENERAL INFO'!#REF!</definedName>
    <definedName name="name23" localSheetId="6">'[1]GENERAL INFO'!#REF!</definedName>
    <definedName name="name23" localSheetId="8">'[1]GENERAL INFO'!#REF!</definedName>
    <definedName name="name23" localSheetId="9">'[1]GENERAL INFO'!#REF!</definedName>
    <definedName name="name23">'[1]GENERAL INFO'!#REF!</definedName>
    <definedName name="name24" localSheetId="4">'[1]GENERAL INFO'!#REF!</definedName>
    <definedName name="name24" localSheetId="5">'[1]GENERAL INFO'!#REF!</definedName>
    <definedName name="name24" localSheetId="7">'[1]GENERAL INFO'!#REF!</definedName>
    <definedName name="name24" localSheetId="6">'[1]GENERAL INFO'!#REF!</definedName>
    <definedName name="name24" localSheetId="8">'[1]GENERAL INFO'!#REF!</definedName>
    <definedName name="name24" localSheetId="9">'[1]GENERAL INFO'!#REF!</definedName>
    <definedName name="name24">'[1]GENERAL INFO'!#REF!</definedName>
    <definedName name="name25" localSheetId="4">'[1]GENERAL INFO'!#REF!</definedName>
    <definedName name="name25" localSheetId="5">'[1]GENERAL INFO'!#REF!</definedName>
    <definedName name="name25" localSheetId="7">'[1]GENERAL INFO'!#REF!</definedName>
    <definedName name="name25" localSheetId="6">'[1]GENERAL INFO'!#REF!</definedName>
    <definedName name="name25" localSheetId="8">'[1]GENERAL INFO'!#REF!</definedName>
    <definedName name="name25" localSheetId="9">'[1]GENERAL INFO'!#REF!</definedName>
    <definedName name="name25">'[1]GENERAL INFO'!#REF!</definedName>
    <definedName name="name26" localSheetId="4">'[1]GENERAL INFO'!#REF!</definedName>
    <definedName name="name26" localSheetId="5">'[1]GENERAL INFO'!#REF!</definedName>
    <definedName name="name26" localSheetId="7">'[1]GENERAL INFO'!#REF!</definedName>
    <definedName name="name26" localSheetId="6">'[1]GENERAL INFO'!#REF!</definedName>
    <definedName name="name26" localSheetId="8">'[1]GENERAL INFO'!#REF!</definedName>
    <definedName name="name26" localSheetId="9">'[1]GENERAL INFO'!#REF!</definedName>
    <definedName name="name26">'[1]GENERAL INFO'!#REF!</definedName>
    <definedName name="name27" localSheetId="4">'[1]GENERAL INFO'!#REF!</definedName>
    <definedName name="name27" localSheetId="5">'[1]GENERAL INFO'!#REF!</definedName>
    <definedName name="name27" localSheetId="7">'[1]GENERAL INFO'!#REF!</definedName>
    <definedName name="name27" localSheetId="6">'[1]GENERAL INFO'!#REF!</definedName>
    <definedName name="name27" localSheetId="8">'[1]GENERAL INFO'!#REF!</definedName>
    <definedName name="name27" localSheetId="9">'[1]GENERAL INFO'!#REF!</definedName>
    <definedName name="name27">'[1]GENERAL INFO'!#REF!</definedName>
    <definedName name="name28" localSheetId="4">'[1]GENERAL INFO'!#REF!</definedName>
    <definedName name="name28" localSheetId="5">'[1]GENERAL INFO'!#REF!</definedName>
    <definedName name="name28" localSheetId="7">'[1]GENERAL INFO'!#REF!</definedName>
    <definedName name="name28" localSheetId="6">'[1]GENERAL INFO'!#REF!</definedName>
    <definedName name="name28" localSheetId="8">'[1]GENERAL INFO'!#REF!</definedName>
    <definedName name="name28" localSheetId="9">'[1]GENERAL INFO'!#REF!</definedName>
    <definedName name="name28">'[1]GENERAL INFO'!#REF!</definedName>
    <definedName name="name29" localSheetId="4">'[1]GENERAL INFO'!#REF!</definedName>
    <definedName name="name29" localSheetId="5">'[1]GENERAL INFO'!#REF!</definedName>
    <definedName name="name29" localSheetId="7">'[1]GENERAL INFO'!#REF!</definedName>
    <definedName name="name29" localSheetId="6">'[1]GENERAL INFO'!#REF!</definedName>
    <definedName name="name29" localSheetId="8">'[1]GENERAL INFO'!#REF!</definedName>
    <definedName name="name29" localSheetId="9">'[1]GENERAL INFO'!#REF!</definedName>
    <definedName name="name29">'[1]GENERAL INFO'!#REF!</definedName>
    <definedName name="name30" localSheetId="4">'[1]GENERAL INFO'!#REF!</definedName>
    <definedName name="name30" localSheetId="5">'[1]GENERAL INFO'!#REF!</definedName>
    <definedName name="name30" localSheetId="7">'[1]GENERAL INFO'!#REF!</definedName>
    <definedName name="name30" localSheetId="6">'[1]GENERAL INFO'!#REF!</definedName>
    <definedName name="name30" localSheetId="8">'[1]GENERAL INFO'!#REF!</definedName>
    <definedName name="name30" localSheetId="9">'[1]GENERAL INFO'!#REF!</definedName>
    <definedName name="name30">'[1]GENERAL INFO'!#REF!</definedName>
    <definedName name="name31" localSheetId="4">'[1]GENERAL INFO'!#REF!</definedName>
    <definedName name="name31" localSheetId="5">'[1]GENERAL INFO'!#REF!</definedName>
    <definedName name="name31" localSheetId="7">'[1]GENERAL INFO'!#REF!</definedName>
    <definedName name="name31" localSheetId="6">'[1]GENERAL INFO'!#REF!</definedName>
    <definedName name="name31" localSheetId="8">'[1]GENERAL INFO'!#REF!</definedName>
    <definedName name="name31" localSheetId="9">'[1]GENERAL INFO'!#REF!</definedName>
    <definedName name="name31">'[1]GENERAL INFO'!#REF!</definedName>
    <definedName name="name32" localSheetId="4">'[1]GENERAL INFO'!#REF!</definedName>
    <definedName name="name32" localSheetId="5">'[1]GENERAL INFO'!#REF!</definedName>
    <definedName name="name32" localSheetId="7">'[1]GENERAL INFO'!#REF!</definedName>
    <definedName name="name32" localSheetId="6">'[1]GENERAL INFO'!#REF!</definedName>
    <definedName name="name32" localSheetId="8">'[1]GENERAL INFO'!#REF!</definedName>
    <definedName name="name32" localSheetId="9">'[1]GENERAL INFO'!#REF!</definedName>
    <definedName name="name32">'[1]GENERAL INFO'!#REF!</definedName>
    <definedName name="netdomesticincome">'GENERAL INFO'!$V$171</definedName>
    <definedName name="netempincome">'GENERAL INFO'!$V$153</definedName>
    <definedName name="npwp01">'GENERAL INFO'!$G$19</definedName>
    <definedName name="OtherCash">'A&amp;L'!$M$12</definedName>
    <definedName name="OtherLiab">'A&amp;L'!$M$47</definedName>
    <definedName name="personalreliefs">'GENERAL INFO'!$F$88</definedName>
    <definedName name="PPh25exSTP">'[1]GENERAL INFO'!$O$108</definedName>
    <definedName name="_xlnm.Print_Area" localSheetId="12">'1770'!$A$1:$AP$131</definedName>
    <definedName name="_xlnm.Print_Area" localSheetId="13">'1770-I-hal 1'!$A$1:$AN$100</definedName>
    <definedName name="_xlnm.Print_Area" localSheetId="14">'1770-I-hal 2'!$A$1:$AL$71</definedName>
    <definedName name="_xlnm.Print_Area" localSheetId="15">'1770-II'!$A$1:$AM$51</definedName>
    <definedName name="_xlnm.Print_Area" localSheetId="16">'1770-III'!$A$1:$AN$63</definedName>
    <definedName name="_xlnm.Print_Area" localSheetId="17">'1770-IV'!$A$1:$AW$64</definedName>
    <definedName name="_xlnm.Print_Area" localSheetId="2">'A&amp;L'!$A$1:$I$151</definedName>
    <definedName name="_xlnm.Print_Area" localSheetId="10">Attachment!$A$1:$AC$292</definedName>
    <definedName name="_xlnm.Print_Area" localSheetId="21">'Daftar Pembayaran OPPT'!$A$1:$E$48</definedName>
    <definedName name="_xlnm.Print_Area" localSheetId="20">'Daftar Pembayaran PP 46-2013'!$A$1:$E$48</definedName>
    <definedName name="_xlnm.Print_Area" localSheetId="3">'DRAFT A&amp;L'!$A$1:$G$267</definedName>
    <definedName name="_xlnm.Print_Area" localSheetId="4">'FE-1770'!$A$1:$AP$130</definedName>
    <definedName name="_xlnm.Print_Area" localSheetId="5">'FE-1770-I-hal 1'!$A$1:$AO$100</definedName>
    <definedName name="_xlnm.Print_Area" localSheetId="7">'FE-1770-I-hal 2'!$A$1:$AN$71</definedName>
    <definedName name="_xlnm.Print_Area" localSheetId="6">'FE-1770-II'!$A$1:$AO$51</definedName>
    <definedName name="_xlnm.Print_Area" localSheetId="8">'FE-1770-III'!$A$1:$AP$63</definedName>
    <definedName name="_xlnm.Print_Area" localSheetId="9">'FE-1770-IV'!$A$1:$AW$64</definedName>
    <definedName name="_xlnm.Print_Area" localSheetId="0">'GENERAL INFO'!$A$1:$Z$252</definedName>
    <definedName name="_xlnm.Print_Area" localSheetId="18">LAMPIRAN.!$A$1:$AC$112</definedName>
    <definedName name="_xlnm.Print_Area" localSheetId="1">'OVERSEAS INCOME'!$A$1:$AI$673</definedName>
    <definedName name="_xlnm.Print_Area" localSheetId="19">'RINGKASAN CATATAN'!$A$1:$AM$37</definedName>
    <definedName name="_xlnm.Print_Area" localSheetId="11">'SUMMARY NOTEKEEPING'!$A$1:$AM$37</definedName>
    <definedName name="_xlnm.Print_Titles" localSheetId="1">'OVERSEAS INCOME'!$1:$1</definedName>
    <definedName name="proxy01">'GENERAL INFO'!$D$81</definedName>
    <definedName name="proxy16" localSheetId="4">'[1]GENERAL INFO'!#REF!</definedName>
    <definedName name="proxy16" localSheetId="5">'[1]GENERAL INFO'!#REF!</definedName>
    <definedName name="proxy16" localSheetId="7">'[1]GENERAL INFO'!#REF!</definedName>
    <definedName name="proxy16" localSheetId="6">'[1]GENERAL INFO'!#REF!</definedName>
    <definedName name="proxy16" localSheetId="8">'[1]GENERAL INFO'!#REF!</definedName>
    <definedName name="proxy16" localSheetId="9">'[1]GENERAL INFO'!#REF!</definedName>
    <definedName name="proxy16">'[1]GENERAL INFO'!#REF!</definedName>
    <definedName name="proxy17" localSheetId="4">'[1]GENERAL INFO'!#REF!</definedName>
    <definedName name="proxy17" localSheetId="5">'[1]GENERAL INFO'!#REF!</definedName>
    <definedName name="proxy17" localSheetId="7">'[1]GENERAL INFO'!#REF!</definedName>
    <definedName name="proxy17" localSheetId="6">'[1]GENERAL INFO'!#REF!</definedName>
    <definedName name="proxy17" localSheetId="8">'[1]GENERAL INFO'!#REF!</definedName>
    <definedName name="proxy17" localSheetId="9">'[1]GENERAL INFO'!#REF!</definedName>
    <definedName name="proxy17">'[1]GENERAL INFO'!#REF!</definedName>
    <definedName name="proxy18" localSheetId="4">'[1]GENERAL INFO'!#REF!</definedName>
    <definedName name="proxy18" localSheetId="5">'[1]GENERAL INFO'!#REF!</definedName>
    <definedName name="proxy18" localSheetId="7">'[1]GENERAL INFO'!#REF!</definedName>
    <definedName name="proxy18" localSheetId="6">'[1]GENERAL INFO'!#REF!</definedName>
    <definedName name="proxy18" localSheetId="8">'[1]GENERAL INFO'!#REF!</definedName>
    <definedName name="proxy18" localSheetId="9">'[1]GENERAL INFO'!#REF!</definedName>
    <definedName name="proxy18">'[1]GENERAL INFO'!#REF!</definedName>
    <definedName name="proxy19" localSheetId="4">'[1]GENERAL INFO'!#REF!</definedName>
    <definedName name="proxy19" localSheetId="5">'[1]GENERAL INFO'!#REF!</definedName>
    <definedName name="proxy19" localSheetId="7">'[1]GENERAL INFO'!#REF!</definedName>
    <definedName name="proxy19" localSheetId="6">'[1]GENERAL INFO'!#REF!</definedName>
    <definedName name="proxy19" localSheetId="8">'[1]GENERAL INFO'!#REF!</definedName>
    <definedName name="proxy19" localSheetId="9">'[1]GENERAL INFO'!#REF!</definedName>
    <definedName name="proxy19">'[1]GENERAL INFO'!#REF!</definedName>
    <definedName name="proxy20" localSheetId="4">'[1]GENERAL INFO'!#REF!</definedName>
    <definedName name="proxy20" localSheetId="5">'[1]GENERAL INFO'!#REF!</definedName>
    <definedName name="proxy20" localSheetId="7">'[1]GENERAL INFO'!#REF!</definedName>
    <definedName name="proxy20" localSheetId="6">'[1]GENERAL INFO'!#REF!</definedName>
    <definedName name="proxy20" localSheetId="8">'[1]GENERAL INFO'!#REF!</definedName>
    <definedName name="proxy20" localSheetId="9">'[1]GENERAL INFO'!#REF!</definedName>
    <definedName name="proxy20">'[1]GENERAL INFO'!#REF!</definedName>
    <definedName name="proxyid01">'GENERAL INFO'!$D$82</definedName>
    <definedName name="tax_due">[1]CalculationSheet!$R$44</definedName>
    <definedName name="taxdue">[1]CalculationSheet!$R$44</definedName>
    <definedName name="taxyear" localSheetId="23">'[1]GENERAL INFO'!$AD$37</definedName>
    <definedName name="taxyear" localSheetId="1">'[1]GENERAL INFO'!$AD$37</definedName>
    <definedName name="taxyear">'GENERAL INFO'!$AD$37</definedName>
    <definedName name="taxyearend">'GENERAL INFO'!$AD$38</definedName>
    <definedName name="TotalAccPayable">'[1]A&amp;L'!$M$40</definedName>
    <definedName name="TotalBankAccout">'[1]A&amp;L'!$M$9</definedName>
    <definedName name="TotalCash" localSheetId="2">'A&amp;L'!$M$8</definedName>
    <definedName name="TotalCreditCard">'[1]A&amp;L'!$M$41</definedName>
    <definedName name="TotalDeposit">'[1]A&amp;L'!$M$11</definedName>
    <definedName name="TotalGiro">'[1]A&amp;L'!$M$10</definedName>
    <definedName name="TotalLiabilitiesAffiliated">'[1]A&amp;L'!$M$42</definedName>
    <definedName name="TotalOtherCash">'[1]A&amp;L'!$M$12</definedName>
    <definedName name="TotalOtherLiab" localSheetId="2">'A&amp;L'!$M$47</definedName>
    <definedName name="totaloverseasincome" localSheetId="23">'[1]OVERSEAS INCOME'!$Y$504</definedName>
    <definedName name="totaloverseasincome">'OVERSEAS INCOME'!$Y$671</definedName>
    <definedName name="workperiod">'GENERAL INFO'!$V$130</definedName>
    <definedName name="year01" localSheetId="23">'[1]GENERAL INFO'!$F$37</definedName>
    <definedName name="year01" localSheetId="1">'[1]GENERAL INFO'!$F$37</definedName>
    <definedName name="year01">'GENERAL INFO'!$F$37</definedName>
    <definedName name="year02" localSheetId="23">'[1]GENERAL INFO'!$G$37</definedName>
    <definedName name="year02" localSheetId="1">'[1]GENERAL INFO'!$G$37</definedName>
    <definedName name="year02">'GENERAL INFO'!$G$37</definedName>
    <definedName name="year03" localSheetId="23">'[1]GENERAL INFO'!$H$37</definedName>
    <definedName name="year03" localSheetId="1">'[1]GENERAL INFO'!$H$37</definedName>
    <definedName name="year03">'GENERAL INFO'!$H$37</definedName>
    <definedName name="year04" localSheetId="23">'[1]GENERAL INFO'!$I$37</definedName>
    <definedName name="year04" localSheetId="1">'[1]GENERAL INFO'!$I$37</definedName>
    <definedName name="year04">'GENERAL INFO'!$I$37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49" i="25" l="1"/>
  <c r="B149" i="25"/>
  <c r="I148" i="25"/>
  <c r="B148" i="25"/>
  <c r="I147" i="25"/>
  <c r="B147" i="25"/>
  <c r="I146" i="25"/>
  <c r="B146" i="25"/>
  <c r="I145" i="25"/>
  <c r="B145" i="25"/>
  <c r="I128" i="25"/>
  <c r="B128" i="25"/>
  <c r="I127" i="25"/>
  <c r="B127" i="25"/>
  <c r="I126" i="25"/>
  <c r="B126" i="25"/>
  <c r="I125" i="25"/>
  <c r="B125" i="25"/>
  <c r="I124" i="25"/>
  <c r="B124" i="25"/>
  <c r="I107" i="25"/>
  <c r="B107" i="25"/>
  <c r="I106" i="25"/>
  <c r="B106" i="25"/>
  <c r="I105" i="25"/>
  <c r="B105" i="25"/>
  <c r="I104" i="25"/>
  <c r="B104" i="25"/>
  <c r="I103" i="25"/>
  <c r="B103" i="25"/>
  <c r="I86" i="25"/>
  <c r="B86" i="25"/>
  <c r="I85" i="25"/>
  <c r="B85" i="25"/>
  <c r="I84" i="25"/>
  <c r="B84" i="25"/>
  <c r="I83" i="25"/>
  <c r="B83" i="25"/>
  <c r="I82" i="25"/>
  <c r="B82" i="25"/>
  <c r="I65" i="25"/>
  <c r="B65" i="25"/>
  <c r="I64" i="25"/>
  <c r="B64" i="25"/>
  <c r="I63" i="25"/>
  <c r="B63" i="25"/>
  <c r="I62" i="25"/>
  <c r="B62" i="25"/>
  <c r="I61" i="25"/>
  <c r="B61" i="25"/>
  <c r="B135" i="25"/>
  <c r="B136" i="25"/>
  <c r="B137" i="25"/>
  <c r="B138" i="25"/>
  <c r="B139" i="25"/>
  <c r="B140" i="25"/>
  <c r="B141" i="25"/>
  <c r="B142" i="25"/>
  <c r="B143" i="25"/>
  <c r="B144" i="25"/>
  <c r="I44" i="25"/>
  <c r="B44" i="25"/>
  <c r="I43" i="25"/>
  <c r="B43" i="25"/>
  <c r="B41" i="25"/>
  <c r="I41" i="25"/>
  <c r="B42" i="25"/>
  <c r="I42" i="25"/>
  <c r="AB634" i="16"/>
  <c r="AB633" i="16"/>
  <c r="AB632" i="16"/>
  <c r="AB631" i="16"/>
  <c r="AB630" i="16"/>
  <c r="AB629" i="16"/>
  <c r="AB628" i="16"/>
  <c r="X595" i="16"/>
  <c r="X594" i="16"/>
  <c r="X593" i="16"/>
  <c r="X592" i="16"/>
  <c r="X591" i="16"/>
  <c r="X590" i="16"/>
  <c r="X579" i="16"/>
  <c r="X578" i="16"/>
  <c r="X577" i="16"/>
  <c r="X576" i="16"/>
  <c r="X575" i="16"/>
  <c r="X574" i="16"/>
  <c r="AF557" i="16"/>
  <c r="R557" i="16"/>
  <c r="AB557" i="16"/>
  <c r="AF556" i="16"/>
  <c r="R556" i="16"/>
  <c r="AB556" i="16"/>
  <c r="AF555" i="16"/>
  <c r="R555" i="16"/>
  <c r="AB555" i="16" s="1"/>
  <c r="AF554" i="16"/>
  <c r="R554" i="16"/>
  <c r="AB554" i="16" s="1"/>
  <c r="AF553" i="16"/>
  <c r="R553" i="16"/>
  <c r="AB553" i="16" s="1"/>
  <c r="AF552" i="16"/>
  <c r="R552" i="16"/>
  <c r="AB552" i="16" s="1"/>
  <c r="AF551" i="16"/>
  <c r="R551" i="16"/>
  <c r="AB551" i="16" s="1"/>
  <c r="AF550" i="16"/>
  <c r="R550" i="16"/>
  <c r="AB550" i="16" s="1"/>
  <c r="AF549" i="16"/>
  <c r="R549" i="16"/>
  <c r="AB549" i="16" s="1"/>
  <c r="U532" i="16"/>
  <c r="AA532" i="16" s="1"/>
  <c r="AE532" i="16" s="1"/>
  <c r="Q532" i="16"/>
  <c r="A519" i="16"/>
  <c r="A520" i="16" s="1"/>
  <c r="A521" i="16"/>
  <c r="A522" i="16" s="1"/>
  <c r="A523" i="16" s="1"/>
  <c r="A524" i="16" s="1"/>
  <c r="A525" i="16" s="1"/>
  <c r="A526" i="16" s="1"/>
  <c r="A527" i="16" s="1"/>
  <c r="A528" i="16" s="1"/>
  <c r="A529" i="16" s="1"/>
  <c r="A530" i="16" s="1"/>
  <c r="A531" i="16" s="1"/>
  <c r="A532" i="16" s="1"/>
  <c r="U507" i="16"/>
  <c r="AA507" i="16"/>
  <c r="AE507" i="16" s="1"/>
  <c r="Q507" i="16"/>
  <c r="U506" i="16"/>
  <c r="AA506" i="16" s="1"/>
  <c r="AE506" i="16" s="1"/>
  <c r="Q506" i="16"/>
  <c r="U505" i="16"/>
  <c r="AA505" i="16"/>
  <c r="AE505" i="16" s="1"/>
  <c r="Q505" i="16"/>
  <c r="U504" i="16"/>
  <c r="AA504" i="16"/>
  <c r="AE504" i="16" s="1"/>
  <c r="Q504" i="16"/>
  <c r="U503" i="16"/>
  <c r="AA503" i="16"/>
  <c r="AE503" i="16" s="1"/>
  <c r="Q503" i="16"/>
  <c r="U502" i="16"/>
  <c r="AA502" i="16"/>
  <c r="AE502" i="16" s="1"/>
  <c r="Q502" i="16"/>
  <c r="U501" i="16"/>
  <c r="AA501" i="16"/>
  <c r="AE501" i="16" s="1"/>
  <c r="Q501" i="16"/>
  <c r="U500" i="16"/>
  <c r="AA500" i="16"/>
  <c r="AE500" i="16" s="1"/>
  <c r="Q500" i="16"/>
  <c r="U499" i="16"/>
  <c r="AA499" i="16"/>
  <c r="AE499" i="16" s="1"/>
  <c r="Q499" i="16"/>
  <c r="U482" i="16"/>
  <c r="AA482" i="16"/>
  <c r="AE482" i="16" s="1"/>
  <c r="Q482" i="16"/>
  <c r="U481" i="16"/>
  <c r="AA481" i="16" s="1"/>
  <c r="AE481" i="16" s="1"/>
  <c r="Q481" i="16"/>
  <c r="U480" i="16"/>
  <c r="AA480" i="16" s="1"/>
  <c r="AE480" i="16"/>
  <c r="Q480" i="16"/>
  <c r="U479" i="16"/>
  <c r="AA479" i="16" s="1"/>
  <c r="AE479" i="16" s="1"/>
  <c r="Q479" i="16"/>
  <c r="U478" i="16"/>
  <c r="AA478" i="16" s="1"/>
  <c r="AE478" i="16"/>
  <c r="Q478" i="16"/>
  <c r="U477" i="16"/>
  <c r="AA477" i="16" s="1"/>
  <c r="AE477" i="16" s="1"/>
  <c r="Q477" i="16"/>
  <c r="U476" i="16"/>
  <c r="AA476" i="16" s="1"/>
  <c r="AE476" i="16" s="1"/>
  <c r="Q476" i="16"/>
  <c r="U475" i="16"/>
  <c r="AA475" i="16" s="1"/>
  <c r="AE475" i="16"/>
  <c r="Q475" i="16"/>
  <c r="U474" i="16"/>
  <c r="AA474" i="16" s="1"/>
  <c r="AE474" i="16" s="1"/>
  <c r="Q474" i="16"/>
  <c r="X444" i="16"/>
  <c r="X443" i="16"/>
  <c r="X442" i="16"/>
  <c r="X441" i="16"/>
  <c r="X440" i="16"/>
  <c r="X439" i="16"/>
  <c r="X428" i="16"/>
  <c r="X427" i="16"/>
  <c r="X426" i="16"/>
  <c r="X425" i="16"/>
  <c r="X424" i="16"/>
  <c r="X423" i="16"/>
  <c r="AF406" i="16"/>
  <c r="R406" i="16"/>
  <c r="AB406" i="16" s="1"/>
  <c r="AF405" i="16"/>
  <c r="R405" i="16"/>
  <c r="AB405" i="16" s="1"/>
  <c r="AF404" i="16"/>
  <c r="R404" i="16"/>
  <c r="AB404" i="16" s="1"/>
  <c r="AF403" i="16"/>
  <c r="R403" i="16"/>
  <c r="AB403" i="16"/>
  <c r="AF402" i="16"/>
  <c r="R402" i="16"/>
  <c r="AB402" i="16" s="1"/>
  <c r="AF401" i="16"/>
  <c r="R401" i="16"/>
  <c r="AB401" i="16"/>
  <c r="AF400" i="16"/>
  <c r="R400" i="16"/>
  <c r="AB400" i="16" s="1"/>
  <c r="AF399" i="16"/>
  <c r="R399" i="16"/>
  <c r="AB399" i="16"/>
  <c r="AF398" i="16"/>
  <c r="R398" i="16"/>
  <c r="AB398" i="16" s="1"/>
  <c r="U381" i="16"/>
  <c r="AA381" i="16" s="1"/>
  <c r="AE381" i="16"/>
  <c r="Q381" i="16"/>
  <c r="A368" i="16"/>
  <c r="A369" i="16" s="1"/>
  <c r="A370" i="16" s="1"/>
  <c r="A371" i="16" s="1"/>
  <c r="A372" i="16" s="1"/>
  <c r="A373" i="16" s="1"/>
  <c r="A374" i="16"/>
  <c r="A375" i="16" s="1"/>
  <c r="A376" i="16" s="1"/>
  <c r="A377" i="16" s="1"/>
  <c r="A378" i="16" s="1"/>
  <c r="A379" i="16" s="1"/>
  <c r="A380" i="16" s="1"/>
  <c r="A381" i="16" s="1"/>
  <c r="U356" i="16"/>
  <c r="AA356" i="16" s="1"/>
  <c r="AE356" i="16" s="1"/>
  <c r="Q356" i="16"/>
  <c r="A343" i="16"/>
  <c r="A344" i="16" s="1"/>
  <c r="A345" i="16" s="1"/>
  <c r="A346" i="16" s="1"/>
  <c r="A347" i="16" s="1"/>
  <c r="A348" i="16" s="1"/>
  <c r="A349" i="16" s="1"/>
  <c r="A350" i="16" s="1"/>
  <c r="A351" i="16" s="1"/>
  <c r="A352" i="16" s="1"/>
  <c r="A353" i="16" s="1"/>
  <c r="A354" i="16" s="1"/>
  <c r="A355" i="16"/>
  <c r="A356" i="16" s="1"/>
  <c r="U355" i="16"/>
  <c r="AA355" i="16" s="1"/>
  <c r="AE355" i="16" s="1"/>
  <c r="Q355" i="16"/>
  <c r="U354" i="16"/>
  <c r="AA354" i="16"/>
  <c r="AE354" i="16"/>
  <c r="Q354" i="16"/>
  <c r="U353" i="16"/>
  <c r="AA353" i="16" s="1"/>
  <c r="AE353" i="16" s="1"/>
  <c r="Q353" i="16"/>
  <c r="U352" i="16"/>
  <c r="AA352" i="16"/>
  <c r="AE352" i="16"/>
  <c r="Q352" i="16"/>
  <c r="U351" i="16"/>
  <c r="AA351" i="16" s="1"/>
  <c r="AE351" i="16" s="1"/>
  <c r="Q351" i="16"/>
  <c r="U350" i="16"/>
  <c r="AA350" i="16"/>
  <c r="AE350" i="16"/>
  <c r="Q350" i="16"/>
  <c r="U349" i="16"/>
  <c r="AA349" i="16" s="1"/>
  <c r="AE349" i="16" s="1"/>
  <c r="Q349" i="16"/>
  <c r="U348" i="16"/>
  <c r="AA348" i="16"/>
  <c r="AE348" i="16"/>
  <c r="Q348" i="16"/>
  <c r="U331" i="16"/>
  <c r="AA331" i="16" s="1"/>
  <c r="AE331" i="16" s="1"/>
  <c r="Q331" i="16"/>
  <c r="A318" i="16"/>
  <c r="A319" i="16"/>
  <c r="A320" i="16"/>
  <c r="A321" i="16" s="1"/>
  <c r="A322" i="16" s="1"/>
  <c r="A323" i="16" s="1"/>
  <c r="A324" i="16" s="1"/>
  <c r="A325" i="16" s="1"/>
  <c r="A326" i="16" s="1"/>
  <c r="A327" i="16" s="1"/>
  <c r="A328" i="16" s="1"/>
  <c r="A329" i="16" s="1"/>
  <c r="A330" i="16" s="1"/>
  <c r="A331" i="16" s="1"/>
  <c r="U330" i="16"/>
  <c r="AA330" i="16"/>
  <c r="AE330" i="16" s="1"/>
  <c r="Q330" i="16"/>
  <c r="U329" i="16"/>
  <c r="AA329" i="16" s="1"/>
  <c r="AE329" i="16"/>
  <c r="Q329" i="16"/>
  <c r="U328" i="16"/>
  <c r="AA328" i="16"/>
  <c r="AE328" i="16" s="1"/>
  <c r="Q328" i="16"/>
  <c r="U327" i="16"/>
  <c r="AA327" i="16" s="1"/>
  <c r="AE327" i="16" s="1"/>
  <c r="Q327" i="16"/>
  <c r="U326" i="16"/>
  <c r="AA326" i="16"/>
  <c r="AE326" i="16" s="1"/>
  <c r="Q326" i="16"/>
  <c r="U325" i="16"/>
  <c r="AA325" i="16" s="1"/>
  <c r="AE325" i="16" s="1"/>
  <c r="Q325" i="16"/>
  <c r="U324" i="16"/>
  <c r="AA324" i="16"/>
  <c r="AE324" i="16" s="1"/>
  <c r="Q324" i="16"/>
  <c r="U323" i="16"/>
  <c r="AA323" i="16" s="1"/>
  <c r="AE323" i="16"/>
  <c r="Q323" i="16"/>
  <c r="X293" i="16"/>
  <c r="X292" i="16"/>
  <c r="X291" i="16"/>
  <c r="X290" i="16"/>
  <c r="X289" i="16"/>
  <c r="X288" i="16"/>
  <c r="X277" i="16"/>
  <c r="X276" i="16"/>
  <c r="X275" i="16"/>
  <c r="X274" i="16"/>
  <c r="X273" i="16"/>
  <c r="X272" i="16"/>
  <c r="AF255" i="16"/>
  <c r="R255" i="16"/>
  <c r="AB255" i="16"/>
  <c r="A242" i="16"/>
  <c r="A243" i="16" s="1"/>
  <c r="A244" i="16" s="1"/>
  <c r="A245" i="16" s="1"/>
  <c r="A246" i="16" s="1"/>
  <c r="A247" i="16" s="1"/>
  <c r="A248" i="16" s="1"/>
  <c r="A249" i="16" s="1"/>
  <c r="A250" i="16" s="1"/>
  <c r="A251" i="16" s="1"/>
  <c r="A252" i="16" s="1"/>
  <c r="A253" i="16" s="1"/>
  <c r="A254" i="16" s="1"/>
  <c r="A255" i="16" s="1"/>
  <c r="AF254" i="16"/>
  <c r="R254" i="16"/>
  <c r="AB254" i="16" s="1"/>
  <c r="AF253" i="16"/>
  <c r="R253" i="16"/>
  <c r="AB253" i="16" s="1"/>
  <c r="AF252" i="16"/>
  <c r="R252" i="16"/>
  <c r="AB252" i="16" s="1"/>
  <c r="AF251" i="16"/>
  <c r="R251" i="16"/>
  <c r="AB251" i="16" s="1"/>
  <c r="AF250" i="16"/>
  <c r="R250" i="16"/>
  <c r="AB250" i="16"/>
  <c r="AF249" i="16"/>
  <c r="R249" i="16"/>
  <c r="AB249" i="16"/>
  <c r="AF248" i="16"/>
  <c r="R248" i="16"/>
  <c r="AB248" i="16" s="1"/>
  <c r="AF247" i="16"/>
  <c r="R247" i="16"/>
  <c r="AB247" i="16"/>
  <c r="U230" i="16"/>
  <c r="AA230" i="16"/>
  <c r="AE230" i="16" s="1"/>
  <c r="Q230" i="16"/>
  <c r="A217" i="16"/>
  <c r="A218" i="16" s="1"/>
  <c r="A219" i="16" s="1"/>
  <c r="A220" i="16" s="1"/>
  <c r="A221" i="16" s="1"/>
  <c r="A222" i="16" s="1"/>
  <c r="A223" i="16" s="1"/>
  <c r="A224" i="16" s="1"/>
  <c r="A225" i="16" s="1"/>
  <c r="A226" i="16" s="1"/>
  <c r="A227" i="16" s="1"/>
  <c r="A228" i="16" s="1"/>
  <c r="A229" i="16" s="1"/>
  <c r="A230" i="16" s="1"/>
  <c r="U205" i="16"/>
  <c r="AA205" i="16" s="1"/>
  <c r="AE205" i="16" s="1"/>
  <c r="Q205" i="16"/>
  <c r="A192" i="16"/>
  <c r="A193" i="16"/>
  <c r="A194" i="16" s="1"/>
  <c r="A195" i="16" s="1"/>
  <c r="A196" i="16" s="1"/>
  <c r="A197" i="16" s="1"/>
  <c r="A198" i="16" s="1"/>
  <c r="A199" i="16" s="1"/>
  <c r="A200" i="16" s="1"/>
  <c r="A201" i="16" s="1"/>
  <c r="A202" i="16" s="1"/>
  <c r="A203" i="16" s="1"/>
  <c r="A204" i="16" s="1"/>
  <c r="A205" i="16" s="1"/>
  <c r="U204" i="16"/>
  <c r="AA204" i="16"/>
  <c r="AE204" i="16" s="1"/>
  <c r="Q204" i="16"/>
  <c r="U203" i="16"/>
  <c r="AA203" i="16"/>
  <c r="AE203" i="16" s="1"/>
  <c r="Q203" i="16"/>
  <c r="U202" i="16"/>
  <c r="AA202" i="16"/>
  <c r="AE202" i="16" s="1"/>
  <c r="Q202" i="16"/>
  <c r="U201" i="16"/>
  <c r="AA201" i="16"/>
  <c r="AE201" i="16" s="1"/>
  <c r="Q201" i="16"/>
  <c r="U200" i="16"/>
  <c r="AA200" i="16"/>
  <c r="AE200" i="16" s="1"/>
  <c r="Q200" i="16"/>
  <c r="U199" i="16"/>
  <c r="AA199" i="16"/>
  <c r="AE199" i="16" s="1"/>
  <c r="Q199" i="16"/>
  <c r="U198" i="16"/>
  <c r="AA198" i="16"/>
  <c r="AE198" i="16" s="1"/>
  <c r="Q198" i="16"/>
  <c r="U197" i="16"/>
  <c r="AA197" i="16"/>
  <c r="AE197" i="16" s="1"/>
  <c r="Q197" i="16"/>
  <c r="U180" i="16"/>
  <c r="AA180" i="16"/>
  <c r="AE180" i="16" s="1"/>
  <c r="Q180" i="16"/>
  <c r="A167" i="16"/>
  <c r="A168" i="16"/>
  <c r="A169" i="16" s="1"/>
  <c r="A170" i="16" s="1"/>
  <c r="A171" i="16" s="1"/>
  <c r="A172" i="16" s="1"/>
  <c r="A173" i="16" s="1"/>
  <c r="A174" i="16" s="1"/>
  <c r="A175" i="16" s="1"/>
  <c r="A176" i="16" s="1"/>
  <c r="A177" i="16" s="1"/>
  <c r="A178" i="16" s="1"/>
  <c r="A179" i="16" s="1"/>
  <c r="A180" i="16" s="1"/>
  <c r="U179" i="16"/>
  <c r="AA179" i="16"/>
  <c r="AE179" i="16" s="1"/>
  <c r="Q179" i="16"/>
  <c r="U178" i="16"/>
  <c r="AA178" i="16" s="1"/>
  <c r="AE178" i="16" s="1"/>
  <c r="Q178" i="16"/>
  <c r="U177" i="16"/>
  <c r="AA177" i="16"/>
  <c r="AE177" i="16" s="1"/>
  <c r="Q177" i="16"/>
  <c r="U176" i="16"/>
  <c r="AA176" i="16" s="1"/>
  <c r="AE176" i="16" s="1"/>
  <c r="Q176" i="16"/>
  <c r="U175" i="16"/>
  <c r="AA175" i="16"/>
  <c r="AE175" i="16" s="1"/>
  <c r="Q175" i="16"/>
  <c r="U174" i="16"/>
  <c r="AA174" i="16" s="1"/>
  <c r="AE174" i="16" s="1"/>
  <c r="Q174" i="16"/>
  <c r="U173" i="16"/>
  <c r="AA173" i="16"/>
  <c r="AE173" i="16" s="1"/>
  <c r="Q173" i="16"/>
  <c r="U172" i="16"/>
  <c r="AA172" i="16" s="1"/>
  <c r="AE172" i="16" s="1"/>
  <c r="Q172" i="16"/>
  <c r="X142" i="16"/>
  <c r="X141" i="16"/>
  <c r="X140" i="16"/>
  <c r="X139" i="16"/>
  <c r="X138" i="16"/>
  <c r="X137" i="16"/>
  <c r="X126" i="16"/>
  <c r="X125" i="16"/>
  <c r="X124" i="16"/>
  <c r="X123" i="16"/>
  <c r="X122" i="16"/>
  <c r="X121" i="16"/>
  <c r="AF104" i="16"/>
  <c r="R104" i="16"/>
  <c r="AB104" i="16" s="1"/>
  <c r="A91" i="16"/>
  <c r="A92" i="16"/>
  <c r="A93" i="16"/>
  <c r="A94" i="16" s="1"/>
  <c r="A95" i="16" s="1"/>
  <c r="A96" i="16" s="1"/>
  <c r="A97" i="16" s="1"/>
  <c r="A98" i="16" s="1"/>
  <c r="A99" i="16" s="1"/>
  <c r="A100" i="16" s="1"/>
  <c r="A101" i="16" s="1"/>
  <c r="A102" i="16" s="1"/>
  <c r="A103" i="16" s="1"/>
  <c r="A104" i="16" s="1"/>
  <c r="AF103" i="16"/>
  <c r="R103" i="16"/>
  <c r="AB103" i="16" s="1"/>
  <c r="AF102" i="16"/>
  <c r="R102" i="16"/>
  <c r="AB102" i="16" s="1"/>
  <c r="AF101" i="16"/>
  <c r="R101" i="16"/>
  <c r="AB101" i="16" s="1"/>
  <c r="AF100" i="16"/>
  <c r="R100" i="16"/>
  <c r="AB100" i="16"/>
  <c r="AF99" i="16"/>
  <c r="R99" i="16"/>
  <c r="AB99" i="16"/>
  <c r="AF98" i="16"/>
  <c r="R98" i="16"/>
  <c r="AB98" i="16" s="1"/>
  <c r="AF97" i="16"/>
  <c r="R97" i="16"/>
  <c r="AB97" i="16"/>
  <c r="AF96" i="16"/>
  <c r="R96" i="16"/>
  <c r="AB96" i="16" s="1"/>
  <c r="U29" i="16"/>
  <c r="AA29" i="16" s="1"/>
  <c r="AE29" i="16" s="1"/>
  <c r="Q29" i="16"/>
  <c r="U28" i="16"/>
  <c r="AA28" i="16" s="1"/>
  <c r="AE28" i="16" s="1"/>
  <c r="Q28" i="16"/>
  <c r="U27" i="16"/>
  <c r="AA27" i="16" s="1"/>
  <c r="AE27" i="16" s="1"/>
  <c r="Q27" i="16"/>
  <c r="U26" i="16"/>
  <c r="AA26" i="16" s="1"/>
  <c r="AE26" i="16"/>
  <c r="Q26" i="16"/>
  <c r="U25" i="16"/>
  <c r="AA25" i="16" s="1"/>
  <c r="AE25" i="16" s="1"/>
  <c r="Q25" i="16"/>
  <c r="U54" i="16"/>
  <c r="AA54" i="16" s="1"/>
  <c r="AE54" i="16"/>
  <c r="Q54" i="16"/>
  <c r="A41" i="16"/>
  <c r="A42" i="16" s="1"/>
  <c r="A43" i="16" s="1"/>
  <c r="A44" i="16" s="1"/>
  <c r="A45" i="16"/>
  <c r="A46" i="16" s="1"/>
  <c r="A47" i="16" s="1"/>
  <c r="A48" i="16" s="1"/>
  <c r="A49" i="16" s="1"/>
  <c r="A50" i="16" s="1"/>
  <c r="A51" i="16" s="1"/>
  <c r="A52" i="16" s="1"/>
  <c r="A53" i="16" s="1"/>
  <c r="A54" i="16" s="1"/>
  <c r="U53" i="16"/>
  <c r="AA53" i="16" s="1"/>
  <c r="AE53" i="16" s="1"/>
  <c r="Q53" i="16"/>
  <c r="U52" i="16"/>
  <c r="AA52" i="16"/>
  <c r="AE52" i="16"/>
  <c r="Q52" i="16"/>
  <c r="U51" i="16"/>
  <c r="AA51" i="16" s="1"/>
  <c r="AE51" i="16" s="1"/>
  <c r="Q51" i="16"/>
  <c r="U50" i="16"/>
  <c r="AA50" i="16"/>
  <c r="AE50" i="16"/>
  <c r="Q50" i="16"/>
  <c r="U79" i="16"/>
  <c r="AA79" i="16" s="1"/>
  <c r="AE79" i="16" s="1"/>
  <c r="Q79" i="16"/>
  <c r="A66" i="16"/>
  <c r="A67" i="16"/>
  <c r="A68" i="16"/>
  <c r="A69" i="16" s="1"/>
  <c r="A70" i="16" s="1"/>
  <c r="A71" i="16" s="1"/>
  <c r="A72" i="16" s="1"/>
  <c r="A73" i="16" s="1"/>
  <c r="A74" i="16" s="1"/>
  <c r="A75" i="16" s="1"/>
  <c r="A76" i="16" s="1"/>
  <c r="A77" i="16" s="1"/>
  <c r="A78" i="16" s="1"/>
  <c r="A79" i="16" s="1"/>
  <c r="U49" i="16"/>
  <c r="AA49" i="16" s="1"/>
  <c r="AE49" i="16" s="1"/>
  <c r="Q49" i="16"/>
  <c r="U48" i="16"/>
  <c r="AA48" i="16" s="1"/>
  <c r="AE48" i="16" s="1"/>
  <c r="Q48" i="16"/>
  <c r="U47" i="16"/>
  <c r="AA47" i="16" s="1"/>
  <c r="AE47" i="16" s="1"/>
  <c r="Q47" i="16"/>
  <c r="U46" i="16"/>
  <c r="AA46" i="16" s="1"/>
  <c r="AE46" i="16"/>
  <c r="Q46" i="16"/>
  <c r="U20" i="16"/>
  <c r="AA20" i="16" s="1"/>
  <c r="AE20" i="16" s="1"/>
  <c r="Q20" i="16"/>
  <c r="U19" i="16"/>
  <c r="AA19" i="16" s="1"/>
  <c r="AE19" i="16" s="1"/>
  <c r="Q19" i="16"/>
  <c r="U18" i="16"/>
  <c r="AA18" i="16" s="1"/>
  <c r="AE18" i="16" s="1"/>
  <c r="Q18" i="16"/>
  <c r="U17" i="16"/>
  <c r="AA17" i="16" s="1"/>
  <c r="AE17" i="16"/>
  <c r="Q17" i="16"/>
  <c r="A544" i="16"/>
  <c r="A545" i="16" s="1"/>
  <c r="A546" i="16" s="1"/>
  <c r="O197" i="14"/>
  <c r="Q40" i="16"/>
  <c r="Q41" i="16"/>
  <c r="Q42" i="16"/>
  <c r="Q43" i="16"/>
  <c r="Q44" i="16"/>
  <c r="Q45" i="16"/>
  <c r="Q55" i="16"/>
  <c r="Q65" i="16"/>
  <c r="Q66" i="16"/>
  <c r="Q67" i="16"/>
  <c r="Q68" i="16"/>
  <c r="Q69" i="16"/>
  <c r="Q70" i="16"/>
  <c r="Q71" i="16"/>
  <c r="Q72" i="16"/>
  <c r="Q73" i="16"/>
  <c r="Q74" i="16"/>
  <c r="Q75" i="16"/>
  <c r="Q76" i="16"/>
  <c r="Q77" i="16"/>
  <c r="Q78" i="16"/>
  <c r="Q80" i="16"/>
  <c r="R90" i="16"/>
  <c r="AB90" i="16" s="1"/>
  <c r="AB108" i="16" s="1"/>
  <c r="M650" i="16" s="1"/>
  <c r="R91" i="16"/>
  <c r="AB91" i="16"/>
  <c r="R92" i="16"/>
  <c r="AB92" i="16" s="1"/>
  <c r="R93" i="16"/>
  <c r="AB93" i="16" s="1"/>
  <c r="R94" i="16"/>
  <c r="AB94" i="16" s="1"/>
  <c r="R95" i="16"/>
  <c r="AB95" i="16"/>
  <c r="R105" i="16"/>
  <c r="AB105" i="16" s="1"/>
  <c r="X117" i="16"/>
  <c r="X118" i="16"/>
  <c r="X119" i="16"/>
  <c r="X120" i="16"/>
  <c r="X129" i="16" s="1"/>
  <c r="X154" i="16" s="1"/>
  <c r="M651" i="16" s="1"/>
  <c r="X127" i="16"/>
  <c r="X133" i="16"/>
  <c r="X134" i="16"/>
  <c r="X135" i="16"/>
  <c r="X136" i="16"/>
  <c r="X143" i="16"/>
  <c r="X145" i="16"/>
  <c r="X152" i="16"/>
  <c r="Q166" i="16"/>
  <c r="Q167" i="16"/>
  <c r="Q168" i="16"/>
  <c r="Q169" i="16"/>
  <c r="Q170" i="16"/>
  <c r="Q171" i="16"/>
  <c r="Q181" i="16"/>
  <c r="Q191" i="16"/>
  <c r="Q192" i="16"/>
  <c r="Q193" i="16"/>
  <c r="Q194" i="16"/>
  <c r="Q195" i="16"/>
  <c r="Q196" i="16"/>
  <c r="Q206" i="16"/>
  <c r="Q216" i="16"/>
  <c r="Q217" i="16"/>
  <c r="Q234" i="16" s="1"/>
  <c r="M655" i="16" s="1"/>
  <c r="AK655" i="16" s="1"/>
  <c r="Q218" i="16"/>
  <c r="Q219" i="16"/>
  <c r="Q220" i="16"/>
  <c r="Q221" i="16"/>
  <c r="Q222" i="16"/>
  <c r="Q223" i="16"/>
  <c r="Q224" i="16"/>
  <c r="Q225" i="16"/>
  <c r="Q226" i="16"/>
  <c r="Q227" i="16"/>
  <c r="Q228" i="16"/>
  <c r="Q229" i="16"/>
  <c r="Q231" i="16"/>
  <c r="R241" i="16"/>
  <c r="AB241" i="16" s="1"/>
  <c r="R242" i="16"/>
  <c r="AB242" i="16"/>
  <c r="R243" i="16"/>
  <c r="AB243" i="16"/>
  <c r="R244" i="16"/>
  <c r="AB244" i="16"/>
  <c r="R245" i="16"/>
  <c r="AB245" i="16" s="1"/>
  <c r="R246" i="16"/>
  <c r="AB246" i="16"/>
  <c r="R256" i="16"/>
  <c r="AB256" i="16"/>
  <c r="X268" i="16"/>
  <c r="X269" i="16"/>
  <c r="X270" i="16"/>
  <c r="X271" i="16"/>
  <c r="X278" i="16"/>
  <c r="X284" i="16"/>
  <c r="X296" i="16" s="1"/>
  <c r="X285" i="16"/>
  <c r="X286" i="16"/>
  <c r="X287" i="16"/>
  <c r="X294" i="16"/>
  <c r="X303" i="16"/>
  <c r="Q317" i="16"/>
  <c r="Q318" i="16"/>
  <c r="Q319" i="16"/>
  <c r="Q320" i="16"/>
  <c r="Q321" i="16"/>
  <c r="Q335" i="16" s="1"/>
  <c r="M659" i="16" s="1"/>
  <c r="AK659" i="16" s="1"/>
  <c r="Q322" i="16"/>
  <c r="Q332" i="16"/>
  <c r="Q342" i="16"/>
  <c r="Q343" i="16"/>
  <c r="Q344" i="16"/>
  <c r="Q345" i="16"/>
  <c r="Q346" i="16"/>
  <c r="Q347" i="16"/>
  <c r="Q357" i="16"/>
  <c r="Q367" i="16"/>
  <c r="Q368" i="16"/>
  <c r="Q369" i="16"/>
  <c r="Q370" i="16"/>
  <c r="Q371" i="16"/>
  <c r="Q372" i="16"/>
  <c r="Q373" i="16"/>
  <c r="Q374" i="16"/>
  <c r="Q375" i="16"/>
  <c r="Q376" i="16"/>
  <c r="Q377" i="16"/>
  <c r="Q378" i="16"/>
  <c r="Q379" i="16"/>
  <c r="Q380" i="16"/>
  <c r="Q382" i="16"/>
  <c r="R392" i="16"/>
  <c r="AB392" i="16" s="1"/>
  <c r="R393" i="16"/>
  <c r="AB393" i="16" s="1"/>
  <c r="R394" i="16"/>
  <c r="AB394" i="16"/>
  <c r="R395" i="16"/>
  <c r="AB395" i="16" s="1"/>
  <c r="R396" i="16"/>
  <c r="AB396" i="16" s="1"/>
  <c r="R397" i="16"/>
  <c r="AB397" i="16" s="1"/>
  <c r="R407" i="16"/>
  <c r="AB407" i="16"/>
  <c r="X419" i="16"/>
  <c r="X420" i="16"/>
  <c r="X421" i="16"/>
  <c r="X422" i="16"/>
  <c r="X429" i="16"/>
  <c r="X431" i="16"/>
  <c r="X456" i="16" s="1"/>
  <c r="M663" i="16" s="1"/>
  <c r="X435" i="16"/>
  <c r="X447" i="16" s="1"/>
  <c r="X436" i="16"/>
  <c r="X437" i="16"/>
  <c r="X438" i="16"/>
  <c r="X445" i="16"/>
  <c r="X454" i="16"/>
  <c r="Q468" i="16"/>
  <c r="Q469" i="16"/>
  <c r="Q470" i="16"/>
  <c r="Q471" i="16"/>
  <c r="Q472" i="16"/>
  <c r="Q473" i="16"/>
  <c r="Q486" i="16" s="1"/>
  <c r="M665" i="16" s="1"/>
  <c r="AK665" i="16" s="1"/>
  <c r="Q483" i="16"/>
  <c r="Q493" i="16"/>
  <c r="Q494" i="16"/>
  <c r="Q495" i="16"/>
  <c r="Q496" i="16"/>
  <c r="Q497" i="16"/>
  <c r="Q498" i="16"/>
  <c r="Q508" i="16"/>
  <c r="Q518" i="16"/>
  <c r="Q519" i="16"/>
  <c r="Q520" i="16"/>
  <c r="Q521" i="16"/>
  <c r="Q522" i="16"/>
  <c r="Q523" i="16"/>
  <c r="Q524" i="16"/>
  <c r="Q525" i="16"/>
  <c r="Q526" i="16"/>
  <c r="Q527" i="16"/>
  <c r="Q528" i="16"/>
  <c r="Q529" i="16"/>
  <c r="Q530" i="16"/>
  <c r="Q531" i="16"/>
  <c r="Q533" i="16"/>
  <c r="R543" i="16"/>
  <c r="AB543" i="16"/>
  <c r="R544" i="16"/>
  <c r="AB544" i="16" s="1"/>
  <c r="R545" i="16"/>
  <c r="AB545" i="16"/>
  <c r="R546" i="16"/>
  <c r="AB546" i="16"/>
  <c r="R547" i="16"/>
  <c r="AB547" i="16"/>
  <c r="R548" i="16"/>
  <c r="AB548" i="16" s="1"/>
  <c r="R558" i="16"/>
  <c r="AB558" i="16"/>
  <c r="X570" i="16"/>
  <c r="X582" i="16" s="1"/>
  <c r="X571" i="16"/>
  <c r="X572" i="16"/>
  <c r="X573" i="16"/>
  <c r="X580" i="16"/>
  <c r="X586" i="16"/>
  <c r="X587" i="16"/>
  <c r="X588" i="16"/>
  <c r="X589" i="16"/>
  <c r="X596" i="16"/>
  <c r="X605" i="16"/>
  <c r="Q15" i="16"/>
  <c r="Q33" i="16" s="1"/>
  <c r="M647" i="16" s="1"/>
  <c r="Q16" i="16"/>
  <c r="Q21" i="16"/>
  <c r="Q22" i="16"/>
  <c r="Q23" i="16"/>
  <c r="Q24" i="16"/>
  <c r="Q30" i="16"/>
  <c r="U15" i="16"/>
  <c r="AA15" i="16" s="1"/>
  <c r="AE15" i="16" s="1"/>
  <c r="U16" i="16"/>
  <c r="AA16" i="16"/>
  <c r="AE16" i="16"/>
  <c r="U21" i="16"/>
  <c r="AA21" i="16"/>
  <c r="AE21" i="16" s="1"/>
  <c r="U22" i="16"/>
  <c r="AA22" i="16" s="1"/>
  <c r="AE22" i="16" s="1"/>
  <c r="U23" i="16"/>
  <c r="AA23" i="16"/>
  <c r="AE23" i="16" s="1"/>
  <c r="U24" i="16"/>
  <c r="AA24" i="16" s="1"/>
  <c r="AE24" i="16" s="1"/>
  <c r="U30" i="16"/>
  <c r="AA30" i="16"/>
  <c r="AE30" i="16"/>
  <c r="U40" i="16"/>
  <c r="AA40" i="16" s="1"/>
  <c r="AE40" i="16" s="1"/>
  <c r="AE58" i="16" s="1"/>
  <c r="U648" i="16" s="1"/>
  <c r="U41" i="16"/>
  <c r="AA41" i="16"/>
  <c r="AE41" i="16"/>
  <c r="U42" i="16"/>
  <c r="AA42" i="16" s="1"/>
  <c r="AE42" i="16" s="1"/>
  <c r="U43" i="16"/>
  <c r="AA43" i="16" s="1"/>
  <c r="AE43" i="16" s="1"/>
  <c r="U44" i="16"/>
  <c r="AA44" i="16"/>
  <c r="AE44" i="16"/>
  <c r="U45" i="16"/>
  <c r="AA45" i="16"/>
  <c r="AE45" i="16"/>
  <c r="U55" i="16"/>
  <c r="AA55" i="16" s="1"/>
  <c r="AE55" i="16" s="1"/>
  <c r="U65" i="16"/>
  <c r="AA65" i="16"/>
  <c r="AE65" i="16" s="1"/>
  <c r="U66" i="16"/>
  <c r="AA66" i="16" s="1"/>
  <c r="AE66" i="16" s="1"/>
  <c r="U67" i="16"/>
  <c r="AA67" i="16"/>
  <c r="AE67" i="16" s="1"/>
  <c r="U68" i="16"/>
  <c r="AA68" i="16"/>
  <c r="AE68" i="16" s="1"/>
  <c r="U69" i="16"/>
  <c r="AA69" i="16"/>
  <c r="AE69" i="16"/>
  <c r="U70" i="16"/>
  <c r="AA70" i="16" s="1"/>
  <c r="AE70" i="16"/>
  <c r="U71" i="16"/>
  <c r="AA71" i="16" s="1"/>
  <c r="AE71" i="16" s="1"/>
  <c r="U72" i="16"/>
  <c r="AA72" i="16"/>
  <c r="AE72" i="16"/>
  <c r="U73" i="16"/>
  <c r="AA73" i="16"/>
  <c r="AE73" i="16" s="1"/>
  <c r="U74" i="16"/>
  <c r="AA74" i="16" s="1"/>
  <c r="AE74" i="16" s="1"/>
  <c r="U75" i="16"/>
  <c r="AA75" i="16"/>
  <c r="AE75" i="16" s="1"/>
  <c r="U76" i="16"/>
  <c r="AA76" i="16"/>
  <c r="AE76" i="16" s="1"/>
  <c r="U77" i="16"/>
  <c r="AA77" i="16"/>
  <c r="AE77" i="16"/>
  <c r="U78" i="16"/>
  <c r="AA78" i="16" s="1"/>
  <c r="AE78" i="16"/>
  <c r="U80" i="16"/>
  <c r="AA80" i="16" s="1"/>
  <c r="AE80" i="16" s="1"/>
  <c r="U166" i="16"/>
  <c r="AA166" i="16"/>
  <c r="AE166" i="16"/>
  <c r="U167" i="16"/>
  <c r="AA167" i="16" s="1"/>
  <c r="AE167" i="16" s="1"/>
  <c r="AE184" i="16" s="1"/>
  <c r="U653" i="16" s="1"/>
  <c r="U168" i="16"/>
  <c r="AA168" i="16" s="1"/>
  <c r="AE168" i="16" s="1"/>
  <c r="U169" i="16"/>
  <c r="AA169" i="16"/>
  <c r="AE169" i="16"/>
  <c r="U170" i="16"/>
  <c r="AA170" i="16"/>
  <c r="AE170" i="16"/>
  <c r="U171" i="16"/>
  <c r="AA171" i="16" s="1"/>
  <c r="AE171" i="16" s="1"/>
  <c r="U181" i="16"/>
  <c r="AA181" i="16"/>
  <c r="AE181" i="16" s="1"/>
  <c r="U191" i="16"/>
  <c r="AA191" i="16" s="1"/>
  <c r="AE191" i="16" s="1"/>
  <c r="U192" i="16"/>
  <c r="AA192" i="16"/>
  <c r="AE192" i="16" s="1"/>
  <c r="U193" i="16"/>
  <c r="AA193" i="16"/>
  <c r="AE193" i="16" s="1"/>
  <c r="U194" i="16"/>
  <c r="AA194" i="16"/>
  <c r="AE194" i="16"/>
  <c r="U195" i="16"/>
  <c r="AA195" i="16" s="1"/>
  <c r="AE195" i="16"/>
  <c r="U196" i="16"/>
  <c r="AA196" i="16" s="1"/>
  <c r="AE196" i="16" s="1"/>
  <c r="U206" i="16"/>
  <c r="AA206" i="16"/>
  <c r="AE206" i="16" s="1"/>
  <c r="U216" i="16"/>
  <c r="AA216" i="16"/>
  <c r="AE216" i="16" s="1"/>
  <c r="U217" i="16"/>
  <c r="AA217" i="16"/>
  <c r="AE217" i="16"/>
  <c r="U218" i="16"/>
  <c r="AA218" i="16" s="1"/>
  <c r="AE218" i="16" s="1"/>
  <c r="U219" i="16"/>
  <c r="AA219" i="16" s="1"/>
  <c r="AE219" i="16" s="1"/>
  <c r="U220" i="16"/>
  <c r="AA220" i="16"/>
  <c r="AE220" i="16" s="1"/>
  <c r="U221" i="16"/>
  <c r="AA221" i="16"/>
  <c r="AE221" i="16" s="1"/>
  <c r="U222" i="16"/>
  <c r="AA222" i="16"/>
  <c r="AE222" i="16"/>
  <c r="U223" i="16"/>
  <c r="AA223" i="16" s="1"/>
  <c r="AE223" i="16" s="1"/>
  <c r="U224" i="16"/>
  <c r="AA224" i="16"/>
  <c r="AE224" i="16" s="1"/>
  <c r="U225" i="16"/>
  <c r="AA225" i="16"/>
  <c r="AE225" i="16"/>
  <c r="U226" i="16"/>
  <c r="AA226" i="16" s="1"/>
  <c r="AE226" i="16"/>
  <c r="U227" i="16"/>
  <c r="AA227" i="16" s="1"/>
  <c r="AE227" i="16" s="1"/>
  <c r="U228" i="16"/>
  <c r="AA228" i="16" s="1"/>
  <c r="AE228" i="16" s="1"/>
  <c r="U229" i="16"/>
  <c r="AA229" i="16"/>
  <c r="AE229" i="16" s="1"/>
  <c r="U231" i="16"/>
  <c r="AA231" i="16"/>
  <c r="AE231" i="16"/>
  <c r="AF392" i="16"/>
  <c r="AF393" i="16"/>
  <c r="AF394" i="16"/>
  <c r="AF395" i="16"/>
  <c r="AF410" i="16" s="1"/>
  <c r="R70" i="33" s="1"/>
  <c r="AF396" i="16"/>
  <c r="AF397" i="16"/>
  <c r="AF407" i="16"/>
  <c r="U317" i="16"/>
  <c r="AA317" i="16" s="1"/>
  <c r="AE317" i="16" s="1"/>
  <c r="U318" i="16"/>
  <c r="AA318" i="16"/>
  <c r="AE318" i="16" s="1"/>
  <c r="U319" i="16"/>
  <c r="AA319" i="16"/>
  <c r="AE319" i="16"/>
  <c r="U320" i="16"/>
  <c r="AA320" i="16"/>
  <c r="AE320" i="16" s="1"/>
  <c r="U321" i="16"/>
  <c r="AA321" i="16" s="1"/>
  <c r="AE321" i="16" s="1"/>
  <c r="U322" i="16"/>
  <c r="AA322" i="16"/>
  <c r="AE322" i="16" s="1"/>
  <c r="U332" i="16"/>
  <c r="AA332" i="16"/>
  <c r="U342" i="16"/>
  <c r="AA342" i="16" s="1"/>
  <c r="AE342" i="16" s="1"/>
  <c r="U343" i="16"/>
  <c r="AA343" i="16" s="1"/>
  <c r="AE343" i="16" s="1"/>
  <c r="U344" i="16"/>
  <c r="AA344" i="16"/>
  <c r="AE344" i="16"/>
  <c r="U345" i="16"/>
  <c r="AA345" i="16"/>
  <c r="AE345" i="16"/>
  <c r="U346" i="16"/>
  <c r="AA346" i="16"/>
  <c r="AE346" i="16" s="1"/>
  <c r="U347" i="16"/>
  <c r="AA347" i="16"/>
  <c r="AE347" i="16" s="1"/>
  <c r="U357" i="16"/>
  <c r="AA357" i="16"/>
  <c r="AE357" i="16"/>
  <c r="U367" i="16"/>
  <c r="AA367" i="16" s="1"/>
  <c r="U368" i="16"/>
  <c r="AA368" i="16"/>
  <c r="AE368" i="16"/>
  <c r="U369" i="16"/>
  <c r="AA369" i="16"/>
  <c r="AE369" i="16"/>
  <c r="U370" i="16"/>
  <c r="AA370" i="16" s="1"/>
  <c r="AE370" i="16" s="1"/>
  <c r="U371" i="16"/>
  <c r="AA371" i="16"/>
  <c r="AE371" i="16" s="1"/>
  <c r="U372" i="16"/>
  <c r="AA372" i="16" s="1"/>
  <c r="AE372" i="16" s="1"/>
  <c r="U373" i="16"/>
  <c r="AA373" i="16" s="1"/>
  <c r="AE373" i="16" s="1"/>
  <c r="U374" i="16"/>
  <c r="AA374" i="16" s="1"/>
  <c r="AE374" i="16"/>
  <c r="U375" i="16"/>
  <c r="AA375" i="16"/>
  <c r="AE375" i="16" s="1"/>
  <c r="U376" i="16"/>
  <c r="AA376" i="16"/>
  <c r="AE376" i="16"/>
  <c r="U377" i="16"/>
  <c r="AA377" i="16"/>
  <c r="AE377" i="16"/>
  <c r="U378" i="16"/>
  <c r="AA378" i="16" s="1"/>
  <c r="AE378" i="16" s="1"/>
  <c r="U379" i="16"/>
  <c r="AA379" i="16"/>
  <c r="AE379" i="16" s="1"/>
  <c r="U380" i="16"/>
  <c r="AA380" i="16"/>
  <c r="AE380" i="16" s="1"/>
  <c r="U382" i="16"/>
  <c r="AA382" i="16" s="1"/>
  <c r="AE382" i="16" s="1"/>
  <c r="U468" i="16"/>
  <c r="AA468" i="16"/>
  <c r="AE468" i="16" s="1"/>
  <c r="U469" i="16"/>
  <c r="U470" i="16"/>
  <c r="AA470" i="16" s="1"/>
  <c r="AE470" i="16" s="1"/>
  <c r="U471" i="16"/>
  <c r="AA471" i="16" s="1"/>
  <c r="AE471" i="16"/>
  <c r="U472" i="16"/>
  <c r="AA472" i="16" s="1"/>
  <c r="AE472" i="16" s="1"/>
  <c r="U473" i="16"/>
  <c r="AA473" i="16" s="1"/>
  <c r="AE473" i="16" s="1"/>
  <c r="U483" i="16"/>
  <c r="AA483" i="16"/>
  <c r="AE483" i="16"/>
  <c r="U493" i="16"/>
  <c r="AA493" i="16" s="1"/>
  <c r="AE493" i="16" s="1"/>
  <c r="U494" i="16"/>
  <c r="AA494" i="16"/>
  <c r="AE494" i="16" s="1"/>
  <c r="AE511" i="16" s="1"/>
  <c r="U666" i="16" s="1"/>
  <c r="U495" i="16"/>
  <c r="AA495" i="16" s="1"/>
  <c r="AE495" i="16" s="1"/>
  <c r="U496" i="16"/>
  <c r="AA496" i="16"/>
  <c r="AE496" i="16" s="1"/>
  <c r="U497" i="16"/>
  <c r="AA497" i="16"/>
  <c r="AE497" i="16"/>
  <c r="U498" i="16"/>
  <c r="AA498" i="16" s="1"/>
  <c r="AE498" i="16" s="1"/>
  <c r="U508" i="16"/>
  <c r="AA508" i="16" s="1"/>
  <c r="AE508" i="16" s="1"/>
  <c r="U518" i="16"/>
  <c r="AA518" i="16" s="1"/>
  <c r="AE518" i="16" s="1"/>
  <c r="U519" i="16"/>
  <c r="AA519" i="16" s="1"/>
  <c r="AE519" i="16"/>
  <c r="U520" i="16"/>
  <c r="U521" i="16"/>
  <c r="AA521" i="16" s="1"/>
  <c r="AE521" i="16" s="1"/>
  <c r="U522" i="16"/>
  <c r="AA522" i="16"/>
  <c r="AE522" i="16" s="1"/>
  <c r="U523" i="16"/>
  <c r="AA523" i="16" s="1"/>
  <c r="AE523" i="16" s="1"/>
  <c r="U524" i="16"/>
  <c r="AA524" i="16"/>
  <c r="AE524" i="16" s="1"/>
  <c r="U525" i="16"/>
  <c r="AA525" i="16" s="1"/>
  <c r="AE525" i="16" s="1"/>
  <c r="U526" i="16"/>
  <c r="AA526" i="16" s="1"/>
  <c r="AE526" i="16" s="1"/>
  <c r="U527" i="16"/>
  <c r="AA527" i="16" s="1"/>
  <c r="AE527" i="16"/>
  <c r="U528" i="16"/>
  <c r="AA528" i="16"/>
  <c r="AE528" i="16" s="1"/>
  <c r="U529" i="16"/>
  <c r="AA529" i="16" s="1"/>
  <c r="AE529" i="16" s="1"/>
  <c r="U530" i="16"/>
  <c r="AA530" i="16"/>
  <c r="AE530" i="16"/>
  <c r="U531" i="16"/>
  <c r="AA531" i="16" s="1"/>
  <c r="AE531" i="16" s="1"/>
  <c r="U533" i="16"/>
  <c r="AA533" i="16"/>
  <c r="AE533" i="16" s="1"/>
  <c r="W89" i="22"/>
  <c r="O117" i="14"/>
  <c r="K117" i="14"/>
  <c r="O116" i="14"/>
  <c r="K116" i="14"/>
  <c r="O115" i="14"/>
  <c r="K115" i="14"/>
  <c r="O114" i="14"/>
  <c r="K114" i="14"/>
  <c r="O113" i="14"/>
  <c r="K113" i="14"/>
  <c r="O112" i="14"/>
  <c r="K112" i="14"/>
  <c r="O111" i="14"/>
  <c r="K111" i="14"/>
  <c r="O110" i="14"/>
  <c r="K110" i="14"/>
  <c r="O109" i="14"/>
  <c r="K109" i="14"/>
  <c r="O108" i="14"/>
  <c r="K108" i="14"/>
  <c r="O107" i="14"/>
  <c r="K107" i="14"/>
  <c r="O106" i="14"/>
  <c r="K106" i="14"/>
  <c r="AB627" i="16"/>
  <c r="AB626" i="16"/>
  <c r="W139" i="33" s="1"/>
  <c r="AB625" i="16"/>
  <c r="AB624" i="16"/>
  <c r="AB623" i="16"/>
  <c r="AB622" i="16"/>
  <c r="AB619" i="16"/>
  <c r="AB620" i="16"/>
  <c r="AB621" i="16"/>
  <c r="T180" i="14"/>
  <c r="T197" i="14"/>
  <c r="G130" i="14"/>
  <c r="V130" i="14" s="1"/>
  <c r="Q130" i="14"/>
  <c r="L130" i="14"/>
  <c r="R58" i="22"/>
  <c r="D42" i="11"/>
  <c r="C7" i="11"/>
  <c r="C6" i="11"/>
  <c r="D42" i="13"/>
  <c r="C7" i="13"/>
  <c r="C6" i="13"/>
  <c r="S18" i="33"/>
  <c r="R291" i="33"/>
  <c r="P291" i="33"/>
  <c r="M291" i="33"/>
  <c r="G291" i="33"/>
  <c r="B291" i="33"/>
  <c r="R290" i="33"/>
  <c r="P290" i="33"/>
  <c r="M290" i="33"/>
  <c r="G290" i="33"/>
  <c r="B290" i="33"/>
  <c r="R289" i="33"/>
  <c r="P289" i="33"/>
  <c r="M289" i="33"/>
  <c r="G289" i="33"/>
  <c r="B289" i="33"/>
  <c r="R288" i="33"/>
  <c r="P288" i="33"/>
  <c r="M288" i="33"/>
  <c r="G288" i="33"/>
  <c r="B288" i="33"/>
  <c r="R287" i="33"/>
  <c r="P287" i="33"/>
  <c r="M287" i="33"/>
  <c r="G287" i="33"/>
  <c r="B287" i="33"/>
  <c r="R286" i="33"/>
  <c r="P286" i="33"/>
  <c r="M286" i="33"/>
  <c r="G286" i="33"/>
  <c r="B286" i="33"/>
  <c r="R285" i="33"/>
  <c r="P285" i="33"/>
  <c r="M285" i="33"/>
  <c r="G285" i="33"/>
  <c r="B285" i="33"/>
  <c r="R284" i="33"/>
  <c r="P284" i="33"/>
  <c r="M284" i="33"/>
  <c r="G284" i="33"/>
  <c r="B284" i="33"/>
  <c r="R283" i="33"/>
  <c r="P283" i="33"/>
  <c r="M283" i="33"/>
  <c r="G283" i="33"/>
  <c r="B283" i="33"/>
  <c r="R282" i="33"/>
  <c r="P282" i="33"/>
  <c r="M282" i="33"/>
  <c r="G282" i="33"/>
  <c r="B282" i="33"/>
  <c r="R275" i="33"/>
  <c r="P275" i="33"/>
  <c r="M275" i="33"/>
  <c r="G275" i="33"/>
  <c r="B275" i="33"/>
  <c r="R274" i="33"/>
  <c r="P274" i="33"/>
  <c r="M274" i="33"/>
  <c r="G274" i="33"/>
  <c r="B274" i="33"/>
  <c r="R273" i="33"/>
  <c r="P273" i="33"/>
  <c r="M273" i="33"/>
  <c r="G273" i="33"/>
  <c r="B273" i="33"/>
  <c r="R272" i="33"/>
  <c r="P272" i="33"/>
  <c r="M272" i="33"/>
  <c r="G272" i="33"/>
  <c r="B272" i="33"/>
  <c r="R271" i="33"/>
  <c r="P271" i="33"/>
  <c r="M271" i="33"/>
  <c r="G271" i="33"/>
  <c r="B271" i="33"/>
  <c r="R270" i="33"/>
  <c r="P270" i="33"/>
  <c r="M270" i="33"/>
  <c r="G270" i="33"/>
  <c r="B270" i="33"/>
  <c r="R269" i="33"/>
  <c r="P269" i="33"/>
  <c r="M269" i="33"/>
  <c r="G269" i="33"/>
  <c r="B269" i="33"/>
  <c r="R268" i="33"/>
  <c r="P268" i="33"/>
  <c r="M268" i="33"/>
  <c r="G268" i="33"/>
  <c r="B268" i="33"/>
  <c r="R267" i="33"/>
  <c r="P267" i="33"/>
  <c r="M267" i="33"/>
  <c r="G267" i="33"/>
  <c r="B267" i="33"/>
  <c r="R266" i="33"/>
  <c r="P266" i="33"/>
  <c r="M266" i="33"/>
  <c r="G266" i="33"/>
  <c r="B266" i="33"/>
  <c r="R257" i="33"/>
  <c r="P257" i="33"/>
  <c r="M257" i="33"/>
  <c r="G257" i="33"/>
  <c r="B257" i="33"/>
  <c r="R256" i="33"/>
  <c r="P256" i="33"/>
  <c r="M256" i="33"/>
  <c r="G256" i="33"/>
  <c r="B256" i="33"/>
  <c r="R255" i="33"/>
  <c r="P255" i="33"/>
  <c r="M255" i="33"/>
  <c r="G255" i="33"/>
  <c r="B255" i="33"/>
  <c r="R254" i="33"/>
  <c r="P254" i="33"/>
  <c r="M254" i="33"/>
  <c r="G254" i="33"/>
  <c r="B254" i="33"/>
  <c r="R253" i="33"/>
  <c r="P253" i="33"/>
  <c r="M253" i="33"/>
  <c r="G253" i="33"/>
  <c r="B253" i="33"/>
  <c r="R252" i="33"/>
  <c r="P252" i="33"/>
  <c r="M252" i="33"/>
  <c r="G252" i="33"/>
  <c r="B252" i="33"/>
  <c r="R251" i="33"/>
  <c r="P251" i="33"/>
  <c r="M251" i="33"/>
  <c r="G251" i="33"/>
  <c r="B251" i="33"/>
  <c r="R250" i="33"/>
  <c r="P250" i="33"/>
  <c r="M250" i="33"/>
  <c r="G250" i="33"/>
  <c r="B250" i="33"/>
  <c r="R249" i="33"/>
  <c r="P249" i="33"/>
  <c r="M249" i="33"/>
  <c r="G249" i="33"/>
  <c r="B249" i="33"/>
  <c r="R248" i="33"/>
  <c r="P248" i="33"/>
  <c r="M248" i="33"/>
  <c r="G248" i="33"/>
  <c r="B248" i="33"/>
  <c r="R241" i="33"/>
  <c r="P241" i="33"/>
  <c r="M241" i="33"/>
  <c r="G241" i="33"/>
  <c r="B241" i="33"/>
  <c r="R240" i="33"/>
  <c r="P240" i="33"/>
  <c r="M240" i="33"/>
  <c r="G240" i="33"/>
  <c r="B240" i="33"/>
  <c r="R239" i="33"/>
  <c r="P239" i="33"/>
  <c r="M239" i="33"/>
  <c r="G239" i="33"/>
  <c r="B239" i="33"/>
  <c r="R238" i="33"/>
  <c r="P238" i="33"/>
  <c r="M238" i="33"/>
  <c r="G238" i="33"/>
  <c r="B238" i="33"/>
  <c r="R237" i="33"/>
  <c r="P237" i="33"/>
  <c r="M237" i="33"/>
  <c r="G237" i="33"/>
  <c r="B237" i="33"/>
  <c r="R236" i="33"/>
  <c r="P236" i="33"/>
  <c r="M236" i="33"/>
  <c r="G236" i="33"/>
  <c r="B236" i="33"/>
  <c r="R235" i="33"/>
  <c r="P235" i="33"/>
  <c r="M235" i="33"/>
  <c r="G235" i="33"/>
  <c r="B235" i="33"/>
  <c r="R234" i="33"/>
  <c r="P234" i="33"/>
  <c r="M234" i="33"/>
  <c r="G234" i="33"/>
  <c r="B234" i="33"/>
  <c r="R233" i="33"/>
  <c r="P233" i="33"/>
  <c r="M233" i="33"/>
  <c r="G233" i="33"/>
  <c r="B233" i="33"/>
  <c r="R232" i="33"/>
  <c r="P232" i="33"/>
  <c r="M232" i="33"/>
  <c r="G232" i="33"/>
  <c r="B232" i="33"/>
  <c r="R223" i="33"/>
  <c r="P223" i="33"/>
  <c r="M223" i="33"/>
  <c r="G223" i="33"/>
  <c r="B223" i="33"/>
  <c r="R222" i="33"/>
  <c r="P222" i="33"/>
  <c r="M222" i="33"/>
  <c r="G222" i="33"/>
  <c r="B222" i="33"/>
  <c r="R221" i="33"/>
  <c r="P221" i="33"/>
  <c r="M221" i="33"/>
  <c r="G221" i="33"/>
  <c r="B221" i="33"/>
  <c r="R220" i="33"/>
  <c r="P220" i="33"/>
  <c r="M220" i="33"/>
  <c r="G220" i="33"/>
  <c r="B220" i="33"/>
  <c r="R219" i="33"/>
  <c r="P219" i="33"/>
  <c r="M219" i="33"/>
  <c r="G219" i="33"/>
  <c r="B219" i="33"/>
  <c r="R218" i="33"/>
  <c r="P218" i="33"/>
  <c r="M218" i="33"/>
  <c r="G218" i="33"/>
  <c r="B218" i="33"/>
  <c r="R217" i="33"/>
  <c r="P217" i="33"/>
  <c r="M217" i="33"/>
  <c r="G217" i="33"/>
  <c r="B217" i="33"/>
  <c r="R216" i="33"/>
  <c r="P216" i="33"/>
  <c r="M216" i="33"/>
  <c r="G216" i="33"/>
  <c r="B216" i="33"/>
  <c r="R215" i="33"/>
  <c r="P215" i="33"/>
  <c r="M215" i="33"/>
  <c r="G215" i="33"/>
  <c r="B215" i="33"/>
  <c r="R214" i="33"/>
  <c r="P214" i="33"/>
  <c r="M214" i="33"/>
  <c r="G214" i="33"/>
  <c r="B214" i="33"/>
  <c r="R207" i="33"/>
  <c r="P207" i="33"/>
  <c r="G207" i="33"/>
  <c r="B207" i="33"/>
  <c r="R206" i="33"/>
  <c r="P206" i="33"/>
  <c r="G206" i="33"/>
  <c r="B206" i="33"/>
  <c r="R205" i="33"/>
  <c r="P205" i="33"/>
  <c r="G205" i="33"/>
  <c r="B205" i="33"/>
  <c r="R204" i="33"/>
  <c r="P204" i="33"/>
  <c r="G204" i="33"/>
  <c r="B204" i="33"/>
  <c r="R203" i="33"/>
  <c r="P203" i="33"/>
  <c r="G203" i="33"/>
  <c r="B203" i="33"/>
  <c r="R202" i="33"/>
  <c r="P202" i="33"/>
  <c r="G202" i="33"/>
  <c r="B202" i="33"/>
  <c r="R201" i="33"/>
  <c r="P201" i="33"/>
  <c r="G201" i="33"/>
  <c r="B201" i="33"/>
  <c r="R200" i="33"/>
  <c r="P200" i="33"/>
  <c r="G200" i="33"/>
  <c r="B200" i="33"/>
  <c r="R199" i="33"/>
  <c r="P199" i="33"/>
  <c r="G199" i="33"/>
  <c r="B199" i="33"/>
  <c r="R198" i="33"/>
  <c r="P198" i="33"/>
  <c r="G198" i="33"/>
  <c r="B198" i="33"/>
  <c r="R197" i="33"/>
  <c r="P197" i="33"/>
  <c r="G197" i="33"/>
  <c r="B197" i="33"/>
  <c r="R190" i="33"/>
  <c r="P190" i="33"/>
  <c r="G190" i="33"/>
  <c r="B190" i="33"/>
  <c r="R189" i="33"/>
  <c r="P189" i="33"/>
  <c r="G189" i="33"/>
  <c r="B189" i="33"/>
  <c r="R188" i="33"/>
  <c r="P188" i="33"/>
  <c r="G188" i="33"/>
  <c r="B188" i="33"/>
  <c r="R187" i="33"/>
  <c r="P187" i="33"/>
  <c r="G187" i="33"/>
  <c r="B187" i="33"/>
  <c r="R186" i="33"/>
  <c r="P186" i="33"/>
  <c r="G186" i="33"/>
  <c r="B186" i="33"/>
  <c r="R185" i="33"/>
  <c r="P185" i="33"/>
  <c r="G185" i="33"/>
  <c r="B185" i="33"/>
  <c r="R184" i="33"/>
  <c r="P184" i="33"/>
  <c r="G184" i="33"/>
  <c r="B184" i="33"/>
  <c r="R183" i="33"/>
  <c r="P183" i="33"/>
  <c r="G183" i="33"/>
  <c r="B183" i="33"/>
  <c r="R182" i="33"/>
  <c r="P182" i="33"/>
  <c r="G182" i="33"/>
  <c r="B182" i="33"/>
  <c r="R181" i="33"/>
  <c r="P181" i="33"/>
  <c r="G181" i="33"/>
  <c r="B181" i="33"/>
  <c r="R180" i="33"/>
  <c r="P180" i="33"/>
  <c r="G180" i="33"/>
  <c r="B180" i="33"/>
  <c r="R179" i="33"/>
  <c r="P179" i="33"/>
  <c r="G179" i="33"/>
  <c r="B179" i="33"/>
  <c r="R178" i="33"/>
  <c r="P178" i="33"/>
  <c r="G178" i="33"/>
  <c r="B178" i="33"/>
  <c r="R177" i="33"/>
  <c r="P177" i="33"/>
  <c r="G177" i="33"/>
  <c r="B177" i="33"/>
  <c r="R176" i="33"/>
  <c r="P176" i="33"/>
  <c r="G176" i="33"/>
  <c r="B176" i="33"/>
  <c r="V198" i="33"/>
  <c r="V199" i="33"/>
  <c r="V200" i="33"/>
  <c r="V201" i="33"/>
  <c r="V202" i="33"/>
  <c r="V203" i="33"/>
  <c r="V204" i="33"/>
  <c r="V205" i="33"/>
  <c r="V206" i="33"/>
  <c r="V207" i="33"/>
  <c r="V197" i="33"/>
  <c r="V177" i="33"/>
  <c r="V178" i="33"/>
  <c r="V179" i="33"/>
  <c r="V180" i="33"/>
  <c r="V181" i="33"/>
  <c r="V182" i="33"/>
  <c r="V183" i="33"/>
  <c r="V184" i="33"/>
  <c r="V185" i="33"/>
  <c r="V186" i="33"/>
  <c r="V187" i="33"/>
  <c r="V188" i="33"/>
  <c r="V189" i="33"/>
  <c r="V190" i="33"/>
  <c r="V176" i="33"/>
  <c r="V282" i="33"/>
  <c r="V283" i="33"/>
  <c r="V284" i="33"/>
  <c r="V285" i="33"/>
  <c r="V286" i="33"/>
  <c r="V287" i="33"/>
  <c r="V288" i="33"/>
  <c r="V289" i="33"/>
  <c r="V290" i="33"/>
  <c r="V291" i="33"/>
  <c r="X3" i="36"/>
  <c r="X3" i="35" s="1"/>
  <c r="W3" i="36"/>
  <c r="W3" i="35"/>
  <c r="V3" i="36"/>
  <c r="V3" i="35" s="1"/>
  <c r="U3" i="36"/>
  <c r="U3" i="35" s="1"/>
  <c r="I122" i="22"/>
  <c r="O122" i="22"/>
  <c r="AB115" i="22"/>
  <c r="AB113" i="22"/>
  <c r="AB111" i="22"/>
  <c r="AB109" i="22"/>
  <c r="AB107" i="22"/>
  <c r="AB105" i="22"/>
  <c r="I115" i="22"/>
  <c r="I113" i="22"/>
  <c r="I111" i="22"/>
  <c r="I109" i="22"/>
  <c r="I107" i="22"/>
  <c r="I105" i="22"/>
  <c r="Z26" i="22"/>
  <c r="W26" i="22"/>
  <c r="T26" i="22"/>
  <c r="Q26" i="22"/>
  <c r="J102" i="7"/>
  <c r="AN60" i="30"/>
  <c r="AN60" i="6" s="1"/>
  <c r="AN59" i="30"/>
  <c r="AN58" i="30"/>
  <c r="AN57" i="30"/>
  <c r="AN56" i="30"/>
  <c r="AF60" i="30"/>
  <c r="AF60" i="6"/>
  <c r="AF59" i="30"/>
  <c r="AF59" i="6"/>
  <c r="AF58" i="30"/>
  <c r="AF58" i="6"/>
  <c r="AF57" i="30"/>
  <c r="AF57" i="6"/>
  <c r="AF56" i="30"/>
  <c r="AF56" i="6"/>
  <c r="Y60" i="30"/>
  <c r="Y58" i="30"/>
  <c r="Y58" i="6"/>
  <c r="Y59" i="30"/>
  <c r="Y59" i="6" s="1"/>
  <c r="Y57" i="30"/>
  <c r="Y57" i="6" s="1"/>
  <c r="Y56" i="30"/>
  <c r="N60" i="30"/>
  <c r="N58" i="30"/>
  <c r="N58" i="6" s="1"/>
  <c r="N59" i="30"/>
  <c r="N59" i="6" s="1"/>
  <c r="N57" i="30"/>
  <c r="N56" i="30"/>
  <c r="AE59" i="29"/>
  <c r="W27" i="27"/>
  <c r="W30" i="27"/>
  <c r="W28" i="27"/>
  <c r="W29" i="27"/>
  <c r="W26" i="27"/>
  <c r="W26" i="3" s="1"/>
  <c r="O30" i="27"/>
  <c r="O28" i="27"/>
  <c r="O29" i="27"/>
  <c r="O27" i="27"/>
  <c r="Z27" i="27" s="1"/>
  <c r="Z27" i="3" s="1"/>
  <c r="O26" i="27"/>
  <c r="Z28" i="27"/>
  <c r="Z28" i="3" s="1"/>
  <c r="C216" i="14"/>
  <c r="C215" i="14"/>
  <c r="C214" i="14"/>
  <c r="C213" i="14"/>
  <c r="AN45" i="6"/>
  <c r="AN46" i="6"/>
  <c r="AN47" i="6"/>
  <c r="AN48" i="6"/>
  <c r="AN49" i="6"/>
  <c r="AN44" i="6"/>
  <c r="N45" i="6"/>
  <c r="P45" i="6" s="1"/>
  <c r="N46" i="6"/>
  <c r="P46" i="6" s="1"/>
  <c r="N47" i="6"/>
  <c r="P47" i="6" s="1"/>
  <c r="N48" i="6"/>
  <c r="P48" i="6" s="1"/>
  <c r="N49" i="6"/>
  <c r="P49" i="6" s="1"/>
  <c r="N44" i="6"/>
  <c r="P44" i="6" s="1"/>
  <c r="AN27" i="6"/>
  <c r="AN26" i="6"/>
  <c r="AN25" i="6"/>
  <c r="AN24" i="6"/>
  <c r="AA42" i="6"/>
  <c r="AA43" i="6"/>
  <c r="AA44" i="6"/>
  <c r="AA45" i="6"/>
  <c r="AA46" i="6"/>
  <c r="AA47" i="6"/>
  <c r="AA48" i="6"/>
  <c r="AA49" i="6"/>
  <c r="AA41" i="6"/>
  <c r="AA40" i="6"/>
  <c r="AI42" i="6"/>
  <c r="AI43" i="6"/>
  <c r="AI44" i="6"/>
  <c r="AI45" i="6"/>
  <c r="AI46" i="6"/>
  <c r="AI47" i="6"/>
  <c r="AI48" i="6"/>
  <c r="AI49" i="6"/>
  <c r="AI41" i="6"/>
  <c r="AI40" i="6"/>
  <c r="Y26" i="6"/>
  <c r="Y27" i="6"/>
  <c r="Y28" i="6"/>
  <c r="Y29" i="6"/>
  <c r="Y30" i="6"/>
  <c r="Y31" i="6"/>
  <c r="Y32" i="6"/>
  <c r="Y33" i="6"/>
  <c r="Y25" i="6"/>
  <c r="Y24" i="6"/>
  <c r="AN26" i="30"/>
  <c r="AN25" i="30"/>
  <c r="AN24" i="30"/>
  <c r="AE51" i="29"/>
  <c r="AE50" i="29"/>
  <c r="AE49" i="29"/>
  <c r="AE48" i="29"/>
  <c r="AE47" i="29"/>
  <c r="AE46" i="29"/>
  <c r="AE33" i="29"/>
  <c r="AE32" i="29"/>
  <c r="T33" i="29"/>
  <c r="T32" i="29"/>
  <c r="AE30" i="29"/>
  <c r="T30" i="29"/>
  <c r="T31" i="29"/>
  <c r="T34" i="29"/>
  <c r="T34" i="5" s="1"/>
  <c r="AE31" i="29"/>
  <c r="AE31" i="5" s="1"/>
  <c r="AE38" i="29"/>
  <c r="AE38" i="5" s="1"/>
  <c r="T38" i="29"/>
  <c r="AE37" i="29"/>
  <c r="T37" i="29"/>
  <c r="AE36" i="29"/>
  <c r="AE34" i="29"/>
  <c r="T36" i="29"/>
  <c r="T36" i="5" s="1"/>
  <c r="T26" i="29"/>
  <c r="T26" i="5" s="1"/>
  <c r="T27" i="29"/>
  <c r="T28" i="29"/>
  <c r="T29" i="29"/>
  <c r="AE25" i="29"/>
  <c r="AE26" i="29"/>
  <c r="AE27" i="29"/>
  <c r="AE28" i="29"/>
  <c r="AE28" i="5" s="1"/>
  <c r="AE29" i="29"/>
  <c r="AE29" i="5" s="1"/>
  <c r="T25" i="29"/>
  <c r="T25" i="5" s="1"/>
  <c r="AE24" i="29"/>
  <c r="T24" i="29"/>
  <c r="C88" i="34"/>
  <c r="C87" i="34"/>
  <c r="C85" i="34"/>
  <c r="M154" i="33"/>
  <c r="M155" i="33"/>
  <c r="M156" i="33"/>
  <c r="M157" i="33"/>
  <c r="M158" i="33"/>
  <c r="M159" i="33"/>
  <c r="M160" i="33"/>
  <c r="M161" i="33"/>
  <c r="M162" i="33"/>
  <c r="M163" i="33"/>
  <c r="M164" i="33"/>
  <c r="M153" i="33"/>
  <c r="W140" i="33"/>
  <c r="W107" i="34"/>
  <c r="S140" i="33"/>
  <c r="S107" i="34"/>
  <c r="O140" i="33"/>
  <c r="O107" i="34"/>
  <c r="I140" i="33"/>
  <c r="I107" i="34" s="1"/>
  <c r="C140" i="33"/>
  <c r="C107" i="34"/>
  <c r="W106" i="34"/>
  <c r="S139" i="33"/>
  <c r="S106" i="34" s="1"/>
  <c r="O139" i="33"/>
  <c r="O106" i="34" s="1"/>
  <c r="I139" i="33"/>
  <c r="I106" i="34"/>
  <c r="C139" i="33"/>
  <c r="C106" i="34"/>
  <c r="W138" i="33"/>
  <c r="W105" i="34" s="1"/>
  <c r="S138" i="33"/>
  <c r="S105" i="34" s="1"/>
  <c r="O138" i="33"/>
  <c r="O105" i="34"/>
  <c r="I138" i="33"/>
  <c r="I105" i="34"/>
  <c r="C138" i="33"/>
  <c r="C105" i="34"/>
  <c r="S137" i="33"/>
  <c r="S104" i="34"/>
  <c r="O137" i="33"/>
  <c r="O104" i="34"/>
  <c r="I137" i="33"/>
  <c r="I104" i="34" s="1"/>
  <c r="C137" i="33"/>
  <c r="C104" i="34" s="1"/>
  <c r="W136" i="33"/>
  <c r="W103" i="34"/>
  <c r="S136" i="33"/>
  <c r="S103" i="34"/>
  <c r="O136" i="33"/>
  <c r="O103" i="34" s="1"/>
  <c r="I136" i="33"/>
  <c r="I103" i="34" s="1"/>
  <c r="C136" i="33"/>
  <c r="C103" i="34"/>
  <c r="W135" i="33"/>
  <c r="W102" i="34"/>
  <c r="S135" i="33"/>
  <c r="S102" i="34"/>
  <c r="O135" i="33"/>
  <c r="O102" i="34" s="1"/>
  <c r="I135" i="33"/>
  <c r="I102" i="34"/>
  <c r="C135" i="33"/>
  <c r="C102" i="34"/>
  <c r="W134" i="33"/>
  <c r="W101" i="34"/>
  <c r="S134" i="33"/>
  <c r="S101" i="34" s="1"/>
  <c r="O134" i="33"/>
  <c r="O101" i="34"/>
  <c r="I134" i="33"/>
  <c r="I101" i="34"/>
  <c r="C134" i="33"/>
  <c r="C101" i="34" s="1"/>
  <c r="W133" i="33"/>
  <c r="W100" i="34" s="1"/>
  <c r="S133" i="33"/>
  <c r="S100" i="34"/>
  <c r="O133" i="33"/>
  <c r="O100" i="34"/>
  <c r="I133" i="33"/>
  <c r="I100" i="34" s="1"/>
  <c r="C133" i="33"/>
  <c r="C100" i="34" s="1"/>
  <c r="W132" i="33"/>
  <c r="W99" i="34"/>
  <c r="S132" i="33"/>
  <c r="S99" i="34"/>
  <c r="O132" i="33"/>
  <c r="O99" i="34"/>
  <c r="I132" i="33"/>
  <c r="I99" i="34" s="1"/>
  <c r="C132" i="33"/>
  <c r="C99" i="34"/>
  <c r="C121" i="33"/>
  <c r="R77" i="33"/>
  <c r="N78" i="33"/>
  <c r="N43" i="34"/>
  <c r="N77" i="33"/>
  <c r="N42" i="34"/>
  <c r="J77" i="33"/>
  <c r="J42" i="34" s="1"/>
  <c r="F77" i="33"/>
  <c r="F42" i="34" s="1"/>
  <c r="F73" i="33"/>
  <c r="F38" i="34"/>
  <c r="N71" i="33"/>
  <c r="N36" i="34"/>
  <c r="F66" i="33"/>
  <c r="F31" i="34"/>
  <c r="N64" i="33"/>
  <c r="N29" i="34"/>
  <c r="F59" i="33"/>
  <c r="F24" i="34"/>
  <c r="N57" i="33"/>
  <c r="N22" i="34" s="1"/>
  <c r="F52" i="33"/>
  <c r="F17" i="34"/>
  <c r="A6" i="33"/>
  <c r="A7" i="34" s="1"/>
  <c r="X116" i="33"/>
  <c r="X80" i="34" s="1"/>
  <c r="Z29" i="4"/>
  <c r="Z30" i="4"/>
  <c r="Z31" i="4"/>
  <c r="Z32" i="4"/>
  <c r="Z33" i="4"/>
  <c r="Z34" i="4"/>
  <c r="Z35" i="4"/>
  <c r="Z36" i="4"/>
  <c r="Z37" i="4"/>
  <c r="Z38" i="4"/>
  <c r="Z39" i="4"/>
  <c r="V29" i="4"/>
  <c r="V30" i="4"/>
  <c r="V31" i="4"/>
  <c r="V32" i="4"/>
  <c r="V33" i="4"/>
  <c r="V34" i="4"/>
  <c r="V35" i="4"/>
  <c r="V36" i="4"/>
  <c r="V37" i="4"/>
  <c r="V38" i="4"/>
  <c r="V39" i="4"/>
  <c r="R29" i="4"/>
  <c r="R30" i="4"/>
  <c r="R31" i="4"/>
  <c r="R32" i="4"/>
  <c r="R33" i="4"/>
  <c r="R34" i="4"/>
  <c r="R35" i="4"/>
  <c r="R36" i="4"/>
  <c r="R37" i="4"/>
  <c r="R38" i="4"/>
  <c r="R39" i="4"/>
  <c r="L29" i="4"/>
  <c r="L30" i="4"/>
  <c r="L31" i="4"/>
  <c r="L32" i="4"/>
  <c r="L33" i="4"/>
  <c r="L34" i="4"/>
  <c r="L35" i="4"/>
  <c r="L36" i="4"/>
  <c r="L37" i="4"/>
  <c r="L38" i="4"/>
  <c r="L39" i="4"/>
  <c r="C29" i="4"/>
  <c r="C30" i="4"/>
  <c r="C31" i="4"/>
  <c r="C32" i="4"/>
  <c r="C33" i="4"/>
  <c r="C34" i="4"/>
  <c r="C35" i="4"/>
  <c r="C36" i="4"/>
  <c r="C37" i="4"/>
  <c r="C38" i="4"/>
  <c r="C39" i="4"/>
  <c r="W30" i="3"/>
  <c r="W27" i="3"/>
  <c r="W28" i="3"/>
  <c r="AN57" i="6"/>
  <c r="AN58" i="6"/>
  <c r="AN59" i="6"/>
  <c r="AN56" i="6"/>
  <c r="Y60" i="6"/>
  <c r="N60" i="6"/>
  <c r="N57" i="6"/>
  <c r="N56" i="6"/>
  <c r="AP62" i="6"/>
  <c r="AN62" i="6"/>
  <c r="Y56" i="6"/>
  <c r="AE59" i="5"/>
  <c r="AE48" i="5"/>
  <c r="AE49" i="5"/>
  <c r="AE50" i="5"/>
  <c r="AE51" i="5"/>
  <c r="AE47" i="5"/>
  <c r="AE37" i="5"/>
  <c r="AE36" i="5"/>
  <c r="AE25" i="5"/>
  <c r="AE26" i="5"/>
  <c r="AE27" i="5"/>
  <c r="AE30" i="5"/>
  <c r="AE32" i="5"/>
  <c r="AE33" i="5"/>
  <c r="AE34" i="5"/>
  <c r="T37" i="5"/>
  <c r="T38" i="5"/>
  <c r="T27" i="5"/>
  <c r="T28" i="5"/>
  <c r="T29" i="5"/>
  <c r="T30" i="5"/>
  <c r="T31" i="5"/>
  <c r="T32" i="5"/>
  <c r="T33" i="5"/>
  <c r="AE24" i="5"/>
  <c r="T24" i="5"/>
  <c r="AG49" i="4"/>
  <c r="AE49" i="4"/>
  <c r="AF29" i="4"/>
  <c r="AF30" i="4"/>
  <c r="AF31" i="4"/>
  <c r="AF32" i="4"/>
  <c r="AF33" i="4"/>
  <c r="AF34" i="4"/>
  <c r="AF35" i="4"/>
  <c r="AF36" i="4"/>
  <c r="AF37" i="4"/>
  <c r="AF38" i="4"/>
  <c r="AF39" i="4"/>
  <c r="B130" i="7"/>
  <c r="B131" i="7"/>
  <c r="B130" i="22"/>
  <c r="AD67" i="3"/>
  <c r="AF67" i="3"/>
  <c r="AE45" i="3"/>
  <c r="AE47" i="3"/>
  <c r="AE49" i="3"/>
  <c r="W45" i="3"/>
  <c r="W47" i="3"/>
  <c r="W49" i="3"/>
  <c r="O45" i="3"/>
  <c r="O47" i="3"/>
  <c r="O49" i="3"/>
  <c r="D46" i="3"/>
  <c r="D47" i="3"/>
  <c r="D48" i="3"/>
  <c r="D49" i="3"/>
  <c r="D50" i="3"/>
  <c r="D45" i="3"/>
  <c r="O28" i="3"/>
  <c r="O29" i="3"/>
  <c r="O27" i="3"/>
  <c r="O26" i="3"/>
  <c r="C51" i="29"/>
  <c r="C49" i="29"/>
  <c r="C48" i="29"/>
  <c r="C46" i="29"/>
  <c r="C38" i="29"/>
  <c r="C37" i="29"/>
  <c r="C35" i="29"/>
  <c r="C34" i="29"/>
  <c r="C29" i="29"/>
  <c r="C28" i="29"/>
  <c r="C27" i="29"/>
  <c r="C26" i="29"/>
  <c r="C25" i="29"/>
  <c r="C24" i="29"/>
  <c r="C23" i="29"/>
  <c r="E54" i="27"/>
  <c r="T23" i="29"/>
  <c r="T23" i="5" s="1"/>
  <c r="D44" i="27"/>
  <c r="D44" i="3" s="1"/>
  <c r="D43" i="27"/>
  <c r="D43" i="3" s="1"/>
  <c r="D42" i="27"/>
  <c r="D42" i="3" s="1"/>
  <c r="D41" i="27"/>
  <c r="O41" i="27" s="1"/>
  <c r="D40" i="27"/>
  <c r="D40" i="3" s="1"/>
  <c r="D39" i="27"/>
  <c r="D39" i="3" s="1"/>
  <c r="W43" i="27"/>
  <c r="W43" i="3"/>
  <c r="AE43" i="27"/>
  <c r="AE43" i="3"/>
  <c r="O43" i="27"/>
  <c r="O43" i="3" s="1"/>
  <c r="AE41" i="27"/>
  <c r="AE41" i="3" s="1"/>
  <c r="O41" i="3"/>
  <c r="D41" i="3"/>
  <c r="W41" i="27"/>
  <c r="W41" i="3" s="1"/>
  <c r="N16" i="26"/>
  <c r="A5" i="33" s="1"/>
  <c r="AC36" i="36" s="1"/>
  <c r="AD90" i="26"/>
  <c r="AD90" i="8" s="1"/>
  <c r="AD88" i="26"/>
  <c r="AD88" i="8"/>
  <c r="AD86" i="26"/>
  <c r="AD86" i="8"/>
  <c r="AD79" i="26"/>
  <c r="AD79" i="8" s="1"/>
  <c r="AD77" i="26"/>
  <c r="AD77" i="8"/>
  <c r="AD75" i="26"/>
  <c r="AD75" i="8" s="1"/>
  <c r="AD73" i="26"/>
  <c r="AD73" i="8"/>
  <c r="AD71" i="26"/>
  <c r="AD71" i="8" s="1"/>
  <c r="AD69" i="26"/>
  <c r="AD69" i="8"/>
  <c r="AD67" i="26"/>
  <c r="AD67" i="8" s="1"/>
  <c r="AD65" i="26"/>
  <c r="AD65" i="8"/>
  <c r="AD63" i="26"/>
  <c r="AD63" i="8"/>
  <c r="AD61" i="26"/>
  <c r="AD61" i="8"/>
  <c r="AD59" i="26"/>
  <c r="AD59" i="8" s="1"/>
  <c r="AD52" i="26"/>
  <c r="AD52" i="8"/>
  <c r="AD48" i="26"/>
  <c r="AD48" i="8"/>
  <c r="AD46" i="26"/>
  <c r="AD46" i="8"/>
  <c r="AH39" i="26"/>
  <c r="AH39" i="8" s="1"/>
  <c r="AG39" i="26"/>
  <c r="AG39" i="8"/>
  <c r="AF39" i="26"/>
  <c r="AF39" i="8" s="1"/>
  <c r="AD39" i="26"/>
  <c r="AD39" i="8" s="1"/>
  <c r="AC39" i="26"/>
  <c r="AC39" i="8"/>
  <c r="AB39" i="26"/>
  <c r="AB39" i="8"/>
  <c r="Z39" i="26"/>
  <c r="Z39" i="8" s="1"/>
  <c r="X39" i="26"/>
  <c r="X39" i="8" s="1"/>
  <c r="W39" i="26"/>
  <c r="W39" i="8"/>
  <c r="V39" i="26"/>
  <c r="V39" i="8"/>
  <c r="T39" i="26"/>
  <c r="T39" i="8" s="1"/>
  <c r="S39" i="26"/>
  <c r="S39" i="8"/>
  <c r="R39" i="26"/>
  <c r="R39" i="8" s="1"/>
  <c r="P39" i="26"/>
  <c r="P39" i="8"/>
  <c r="O39" i="26"/>
  <c r="O39" i="8" s="1"/>
  <c r="AM37" i="26"/>
  <c r="AM37" i="8"/>
  <c r="AL37" i="26"/>
  <c r="AL37" i="8"/>
  <c r="AK37" i="26"/>
  <c r="AK37" i="8"/>
  <c r="AJ37" i="26"/>
  <c r="AJ37" i="8" s="1"/>
  <c r="AI37" i="26"/>
  <c r="AI37" i="8" s="1"/>
  <c r="AH37" i="26"/>
  <c r="AH37" i="8"/>
  <c r="AG37" i="26"/>
  <c r="AG37" i="8"/>
  <c r="AF37" i="26"/>
  <c r="AF37" i="8" s="1"/>
  <c r="AE37" i="26"/>
  <c r="AE37" i="8" s="1"/>
  <c r="AD37" i="26"/>
  <c r="AD37" i="8"/>
  <c r="AC37" i="26"/>
  <c r="AC37" i="8"/>
  <c r="AB37" i="26"/>
  <c r="AB37" i="8" s="1"/>
  <c r="AA37" i="26"/>
  <c r="AA37" i="8"/>
  <c r="Z37" i="26"/>
  <c r="Z37" i="8" s="1"/>
  <c r="Y37" i="26"/>
  <c r="Y37" i="8"/>
  <c r="X37" i="26"/>
  <c r="X37" i="8" s="1"/>
  <c r="W37" i="26"/>
  <c r="W37" i="8"/>
  <c r="V37" i="26"/>
  <c r="V37" i="8" s="1"/>
  <c r="U37" i="26"/>
  <c r="U37" i="8"/>
  <c r="T37" i="26"/>
  <c r="T37" i="8" s="1"/>
  <c r="S37" i="26"/>
  <c r="S37" i="8" s="1"/>
  <c r="R37" i="26"/>
  <c r="R37" i="8"/>
  <c r="Q37" i="26"/>
  <c r="Q37" i="8" s="1"/>
  <c r="P37" i="26"/>
  <c r="P37" i="8" s="1"/>
  <c r="O37" i="26"/>
  <c r="O37" i="8"/>
  <c r="AH35" i="26"/>
  <c r="AH35" i="8"/>
  <c r="AG35" i="26"/>
  <c r="AG35" i="8" s="1"/>
  <c r="AF35" i="26"/>
  <c r="AF35" i="8" s="1"/>
  <c r="AD35" i="26"/>
  <c r="AD35" i="8"/>
  <c r="AC35" i="26"/>
  <c r="AC35" i="8" s="1"/>
  <c r="AB35" i="26"/>
  <c r="AB35" i="8"/>
  <c r="Z35" i="26"/>
  <c r="Z35" i="8" s="1"/>
  <c r="X35" i="26"/>
  <c r="X35" i="8"/>
  <c r="W35" i="26"/>
  <c r="W35" i="8"/>
  <c r="V35" i="26"/>
  <c r="V35" i="8"/>
  <c r="T35" i="26"/>
  <c r="T35" i="8" s="1"/>
  <c r="S35" i="26"/>
  <c r="S35" i="8" s="1"/>
  <c r="R35" i="26"/>
  <c r="R35" i="8"/>
  <c r="P35" i="26"/>
  <c r="P35" i="8" s="1"/>
  <c r="O35" i="26"/>
  <c r="O35" i="8" s="1"/>
  <c r="AM33" i="26"/>
  <c r="AM33" i="8" s="1"/>
  <c r="AL33" i="26"/>
  <c r="AL33" i="8"/>
  <c r="AK33" i="26"/>
  <c r="AK33" i="8"/>
  <c r="AJ33" i="26"/>
  <c r="AJ33" i="8" s="1"/>
  <c r="AI33" i="26"/>
  <c r="AI33" i="8"/>
  <c r="AH33" i="26"/>
  <c r="AH33" i="8" s="1"/>
  <c r="AG33" i="26"/>
  <c r="AG33" i="8"/>
  <c r="AF33" i="26"/>
  <c r="AF33" i="8" s="1"/>
  <c r="AE33" i="26"/>
  <c r="AE33" i="8"/>
  <c r="AD33" i="26"/>
  <c r="AD33" i="8" s="1"/>
  <c r="AC33" i="26"/>
  <c r="AC33" i="8"/>
  <c r="AB33" i="26"/>
  <c r="AB33" i="8" s="1"/>
  <c r="AA33" i="26"/>
  <c r="AA33" i="8" s="1"/>
  <c r="Z33" i="26"/>
  <c r="Z33" i="8"/>
  <c r="Y33" i="26"/>
  <c r="Y33" i="8" s="1"/>
  <c r="X33" i="26"/>
  <c r="X33" i="8" s="1"/>
  <c r="W33" i="26"/>
  <c r="W33" i="8" s="1"/>
  <c r="V33" i="26"/>
  <c r="V33" i="8"/>
  <c r="U33" i="26"/>
  <c r="U33" i="8" s="1"/>
  <c r="T33" i="26"/>
  <c r="T33" i="8" s="1"/>
  <c r="S33" i="26"/>
  <c r="S33" i="8"/>
  <c r="R33" i="26"/>
  <c r="R33" i="8" s="1"/>
  <c r="Q33" i="26"/>
  <c r="Q33" i="8"/>
  <c r="P33" i="26"/>
  <c r="P33" i="8" s="1"/>
  <c r="O33" i="26"/>
  <c r="O33" i="8"/>
  <c r="AH31" i="26"/>
  <c r="AH31" i="8"/>
  <c r="AG31" i="26"/>
  <c r="AG31" i="8"/>
  <c r="AF31" i="26"/>
  <c r="AF31" i="8" s="1"/>
  <c r="AD31" i="26"/>
  <c r="AD31" i="8" s="1"/>
  <c r="AC31" i="26"/>
  <c r="AC31" i="8" s="1"/>
  <c r="AB31" i="26"/>
  <c r="AB31" i="8" s="1"/>
  <c r="Z31" i="26"/>
  <c r="Z31" i="8" s="1"/>
  <c r="X31" i="26"/>
  <c r="X31" i="8" s="1"/>
  <c r="W31" i="26"/>
  <c r="W31" i="8"/>
  <c r="V31" i="26"/>
  <c r="V31" i="8" s="1"/>
  <c r="T31" i="26"/>
  <c r="T31" i="8" s="1"/>
  <c r="S31" i="26"/>
  <c r="S31" i="8"/>
  <c r="R31" i="26"/>
  <c r="R31" i="8" s="1"/>
  <c r="P31" i="26"/>
  <c r="P31" i="8"/>
  <c r="O31" i="26"/>
  <c r="O31" i="8" s="1"/>
  <c r="AM29" i="26"/>
  <c r="AM29" i="8"/>
  <c r="AL29" i="26"/>
  <c r="AL29" i="8" s="1"/>
  <c r="AK29" i="26"/>
  <c r="AK29" i="8"/>
  <c r="AJ29" i="26"/>
  <c r="AJ29" i="8" s="1"/>
  <c r="AI29" i="26"/>
  <c r="AI29" i="8" s="1"/>
  <c r="AH29" i="26"/>
  <c r="AH29" i="8"/>
  <c r="AG29" i="26"/>
  <c r="AG29" i="8" s="1"/>
  <c r="AF29" i="26"/>
  <c r="AF29" i="8" s="1"/>
  <c r="AE29" i="26"/>
  <c r="AE29" i="8"/>
  <c r="AD29" i="26"/>
  <c r="AD29" i="8"/>
  <c r="AC29" i="26"/>
  <c r="AC29" i="8" s="1"/>
  <c r="AB29" i="26"/>
  <c r="AB29" i="8" s="1"/>
  <c r="AA29" i="26"/>
  <c r="AA29" i="8"/>
  <c r="Z29" i="26"/>
  <c r="Z29" i="8" s="1"/>
  <c r="Y29" i="26"/>
  <c r="Y29" i="8"/>
  <c r="X29" i="26"/>
  <c r="X29" i="8" s="1"/>
  <c r="W29" i="26"/>
  <c r="W29" i="8"/>
  <c r="V29" i="26"/>
  <c r="V29" i="8"/>
  <c r="U29" i="26"/>
  <c r="U29" i="8"/>
  <c r="T29" i="26"/>
  <c r="T29" i="8" s="1"/>
  <c r="S29" i="26"/>
  <c r="S29" i="8" s="1"/>
  <c r="R29" i="26"/>
  <c r="R29" i="8" s="1"/>
  <c r="Q29" i="26"/>
  <c r="Q29" i="8" s="1"/>
  <c r="P29" i="26"/>
  <c r="P29" i="8" s="1"/>
  <c r="O29" i="26"/>
  <c r="O29" i="8" s="1"/>
  <c r="AH27" i="26"/>
  <c r="AH27" i="8"/>
  <c r="AG27" i="26"/>
  <c r="AG27" i="8"/>
  <c r="AF27" i="26"/>
  <c r="AF27" i="8" s="1"/>
  <c r="AD27" i="26"/>
  <c r="AD27" i="8" s="1"/>
  <c r="AC27" i="26"/>
  <c r="AC27" i="8" s="1"/>
  <c r="AB27" i="26"/>
  <c r="AB27" i="8"/>
  <c r="Z27" i="26"/>
  <c r="Z27" i="8" s="1"/>
  <c r="X27" i="26"/>
  <c r="X27" i="8"/>
  <c r="W27" i="26"/>
  <c r="W27" i="8" s="1"/>
  <c r="V27" i="26"/>
  <c r="V27" i="8"/>
  <c r="T27" i="26"/>
  <c r="T27" i="8" s="1"/>
  <c r="S27" i="26"/>
  <c r="S27" i="8" s="1"/>
  <c r="R27" i="26"/>
  <c r="R27" i="8" s="1"/>
  <c r="P27" i="26"/>
  <c r="P27" i="8" s="1"/>
  <c r="O27" i="26"/>
  <c r="O27" i="8" s="1"/>
  <c r="AM25" i="26"/>
  <c r="AM25" i="8"/>
  <c r="AL25" i="26"/>
  <c r="AL25" i="8"/>
  <c r="AK25" i="26"/>
  <c r="AK25" i="8" s="1"/>
  <c r="AJ25" i="26"/>
  <c r="AJ25" i="8"/>
  <c r="AI25" i="26"/>
  <c r="AI25" i="8" s="1"/>
  <c r="AH25" i="26"/>
  <c r="AH25" i="8"/>
  <c r="AG25" i="26"/>
  <c r="AG25" i="8" s="1"/>
  <c r="AF25" i="26"/>
  <c r="AF25" i="8"/>
  <c r="AE25" i="26"/>
  <c r="AE25" i="8"/>
  <c r="AD25" i="26"/>
  <c r="AD25" i="8"/>
  <c r="AC25" i="26"/>
  <c r="AC25" i="8" s="1"/>
  <c r="AB25" i="26"/>
  <c r="AB25" i="8"/>
  <c r="AA25" i="26"/>
  <c r="AA25" i="8"/>
  <c r="Z25" i="26"/>
  <c r="Z25" i="8"/>
  <c r="Y25" i="26"/>
  <c r="Y25" i="8" s="1"/>
  <c r="X25" i="26"/>
  <c r="X25" i="8"/>
  <c r="W25" i="26"/>
  <c r="W25" i="8" s="1"/>
  <c r="V25" i="26"/>
  <c r="V25" i="8"/>
  <c r="U25" i="26"/>
  <c r="U25" i="8" s="1"/>
  <c r="T25" i="26"/>
  <c r="T25" i="8"/>
  <c r="S25" i="26"/>
  <c r="S25" i="8"/>
  <c r="R25" i="26"/>
  <c r="R25" i="8"/>
  <c r="Q25" i="26"/>
  <c r="Q25" i="8" s="1"/>
  <c r="P25" i="26"/>
  <c r="P25" i="8"/>
  <c r="O25" i="26"/>
  <c r="O25" i="8"/>
  <c r="AE23" i="26"/>
  <c r="AE23" i="8"/>
  <c r="Y23" i="26"/>
  <c r="Y23" i="8" s="1"/>
  <c r="O23" i="26"/>
  <c r="O23" i="8"/>
  <c r="I138" i="25"/>
  <c r="Y285" i="33"/>
  <c r="I139" i="25"/>
  <c r="Y286" i="33"/>
  <c r="I140" i="25"/>
  <c r="Y287" i="33" s="1"/>
  <c r="I141" i="25"/>
  <c r="Y288" i="33"/>
  <c r="I142" i="25"/>
  <c r="Y289" i="33"/>
  <c r="I143" i="25"/>
  <c r="Y290" i="33"/>
  <c r="I136" i="25"/>
  <c r="Y283" i="33" s="1"/>
  <c r="I135" i="25"/>
  <c r="Y282" i="33"/>
  <c r="V268" i="33"/>
  <c r="V269" i="33"/>
  <c r="V272" i="33"/>
  <c r="V273" i="33"/>
  <c r="V257" i="33"/>
  <c r="V251" i="33"/>
  <c r="V252" i="33"/>
  <c r="V255" i="33"/>
  <c r="V256" i="33"/>
  <c r="V249" i="33"/>
  <c r="V234" i="33"/>
  <c r="V237" i="33"/>
  <c r="V238" i="33"/>
  <c r="V233" i="33"/>
  <c r="V216" i="33"/>
  <c r="V217" i="33"/>
  <c r="V218" i="33"/>
  <c r="V220" i="33"/>
  <c r="V221" i="33"/>
  <c r="M207" i="33"/>
  <c r="M199" i="33"/>
  <c r="M200" i="33"/>
  <c r="M201" i="33"/>
  <c r="M202" i="33"/>
  <c r="M203" i="33"/>
  <c r="M204" i="33"/>
  <c r="M205" i="33"/>
  <c r="M206" i="33"/>
  <c r="M198" i="33"/>
  <c r="M197" i="33"/>
  <c r="M190" i="33"/>
  <c r="I40" i="25"/>
  <c r="Y207" i="33" s="1"/>
  <c r="I32" i="25"/>
  <c r="Y199" i="33" s="1"/>
  <c r="I33" i="25"/>
  <c r="Y200" i="33"/>
  <c r="I34" i="25"/>
  <c r="Y201" i="33"/>
  <c r="I35" i="25"/>
  <c r="Y202" i="33"/>
  <c r="I36" i="25"/>
  <c r="Y203" i="33" s="1"/>
  <c r="I37" i="25"/>
  <c r="Y204" i="33"/>
  <c r="I38" i="25"/>
  <c r="Y205" i="33"/>
  <c r="I39" i="25"/>
  <c r="Y206" i="33" s="1"/>
  <c r="I31" i="25"/>
  <c r="Y198" i="33" s="1"/>
  <c r="I30" i="25"/>
  <c r="Y197" i="33"/>
  <c r="M178" i="33"/>
  <c r="M179" i="33"/>
  <c r="M180" i="33"/>
  <c r="M181" i="33"/>
  <c r="M182" i="33"/>
  <c r="M183" i="33"/>
  <c r="M184" i="33"/>
  <c r="M185" i="33"/>
  <c r="M186" i="33"/>
  <c r="M187" i="33"/>
  <c r="M188" i="33"/>
  <c r="M189" i="33"/>
  <c r="M177" i="33"/>
  <c r="I11" i="25"/>
  <c r="Y178" i="33"/>
  <c r="I12" i="25"/>
  <c r="Y179" i="33" s="1"/>
  <c r="I13" i="25"/>
  <c r="Y180" i="33"/>
  <c r="I14" i="25"/>
  <c r="Y181" i="33"/>
  <c r="I15" i="25"/>
  <c r="Y182" i="33"/>
  <c r="I16" i="25"/>
  <c r="Y183" i="33" s="1"/>
  <c r="I17" i="25"/>
  <c r="Y184" i="33"/>
  <c r="I18" i="25"/>
  <c r="Y185" i="33"/>
  <c r="I19" i="25"/>
  <c r="Y186" i="33"/>
  <c r="I20" i="25"/>
  <c r="Y187" i="33" s="1"/>
  <c r="I21" i="25"/>
  <c r="Y188" i="33"/>
  <c r="I22" i="25"/>
  <c r="Y189" i="33"/>
  <c r="I23" i="25"/>
  <c r="Y190" i="33"/>
  <c r="I10" i="25"/>
  <c r="Y177" i="33" s="1"/>
  <c r="I144" i="25"/>
  <c r="Y291" i="33"/>
  <c r="I137" i="25"/>
  <c r="Y284" i="33" s="1"/>
  <c r="B123" i="25"/>
  <c r="B122" i="25"/>
  <c r="I121" i="25"/>
  <c r="Y273" i="33" s="1"/>
  <c r="B121" i="25"/>
  <c r="B120" i="25"/>
  <c r="B119" i="25"/>
  <c r="B118" i="25"/>
  <c r="I117" i="25"/>
  <c r="Y269" i="33"/>
  <c r="B117" i="25"/>
  <c r="B116" i="25"/>
  <c r="B115" i="25"/>
  <c r="B114" i="25"/>
  <c r="B102" i="25"/>
  <c r="I101" i="25"/>
  <c r="Y256" i="33" s="1"/>
  <c r="B101" i="25"/>
  <c r="B100" i="25"/>
  <c r="B99" i="25"/>
  <c r="B98" i="25"/>
  <c r="B97" i="25"/>
  <c r="I96" i="25"/>
  <c r="Y251" i="33"/>
  <c r="B96" i="25"/>
  <c r="B95" i="25"/>
  <c r="I94" i="25"/>
  <c r="Y249" i="33" s="1"/>
  <c r="B94" i="25"/>
  <c r="B93" i="25"/>
  <c r="B81" i="25"/>
  <c r="B80" i="25"/>
  <c r="B79" i="25"/>
  <c r="B78" i="25"/>
  <c r="I77" i="25"/>
  <c r="Y237" i="33" s="1"/>
  <c r="B77" i="25"/>
  <c r="B76" i="25"/>
  <c r="B75" i="25"/>
  <c r="B74" i="25"/>
  <c r="B73" i="25"/>
  <c r="B72" i="25"/>
  <c r="B60" i="25"/>
  <c r="B59" i="25"/>
  <c r="B58" i="25"/>
  <c r="B57" i="25"/>
  <c r="B56" i="25"/>
  <c r="B55" i="25"/>
  <c r="I54" i="25"/>
  <c r="Y217" i="33"/>
  <c r="B54" i="25"/>
  <c r="B53" i="25"/>
  <c r="B52" i="25"/>
  <c r="B51" i="25"/>
  <c r="B40" i="25"/>
  <c r="B39" i="25"/>
  <c r="B38" i="25"/>
  <c r="B37" i="25"/>
  <c r="B36" i="25"/>
  <c r="B35" i="25"/>
  <c r="B34" i="25"/>
  <c r="B33" i="25"/>
  <c r="B32" i="25"/>
  <c r="B31" i="25"/>
  <c r="B30" i="25"/>
  <c r="B23" i="25"/>
  <c r="B22" i="25"/>
  <c r="B21" i="25"/>
  <c r="B20" i="25"/>
  <c r="B19" i="25"/>
  <c r="B18" i="25"/>
  <c r="B17" i="25"/>
  <c r="B16" i="25"/>
  <c r="B15" i="25"/>
  <c r="B14" i="25"/>
  <c r="B13" i="25"/>
  <c r="B12" i="25"/>
  <c r="B11" i="25"/>
  <c r="B10" i="25"/>
  <c r="B9" i="25"/>
  <c r="I74" i="25"/>
  <c r="Y234" i="33"/>
  <c r="I116" i="25"/>
  <c r="Y268" i="33" s="1"/>
  <c r="I55" i="25"/>
  <c r="Y218" i="33"/>
  <c r="I58" i="25"/>
  <c r="Y221" i="33"/>
  <c r="I97" i="25"/>
  <c r="Y252" i="33"/>
  <c r="I100" i="25"/>
  <c r="Y255" i="33" s="1"/>
  <c r="I73" i="25"/>
  <c r="Y233" i="33"/>
  <c r="I78" i="25"/>
  <c r="Y238" i="33"/>
  <c r="I120" i="25"/>
  <c r="Y272" i="33"/>
  <c r="I51" i="25"/>
  <c r="Y214" i="33" s="1"/>
  <c r="V214" i="33"/>
  <c r="I80" i="25"/>
  <c r="Y240" i="33" s="1"/>
  <c r="V240" i="33"/>
  <c r="I99" i="25"/>
  <c r="Y254" i="33"/>
  <c r="V254" i="33"/>
  <c r="I115" i="25"/>
  <c r="Y267" i="33"/>
  <c r="V267" i="33"/>
  <c r="I52" i="25"/>
  <c r="Y215" i="33"/>
  <c r="V215" i="33"/>
  <c r="I56" i="25"/>
  <c r="Y219" i="33" s="1"/>
  <c r="V219" i="33"/>
  <c r="I60" i="25"/>
  <c r="Y223" i="33"/>
  <c r="V223" i="33"/>
  <c r="I79" i="25"/>
  <c r="Y239" i="33" s="1"/>
  <c r="V239" i="33"/>
  <c r="I75" i="25"/>
  <c r="Y235" i="33" s="1"/>
  <c r="V235" i="33"/>
  <c r="I98" i="25"/>
  <c r="Y253" i="33"/>
  <c r="V253" i="33"/>
  <c r="I102" i="25"/>
  <c r="Y257" i="33"/>
  <c r="I122" i="25"/>
  <c r="Y274" i="33" s="1"/>
  <c r="V274" i="33"/>
  <c r="I118" i="25"/>
  <c r="Y270" i="33" s="1"/>
  <c r="V270" i="33"/>
  <c r="I93" i="25"/>
  <c r="Y248" i="33"/>
  <c r="V248" i="33"/>
  <c r="I119" i="25"/>
  <c r="Y271" i="33"/>
  <c r="V271" i="33"/>
  <c r="I57" i="25"/>
  <c r="Y220" i="33"/>
  <c r="I59" i="25"/>
  <c r="Y222" i="33"/>
  <c r="V222" i="33"/>
  <c r="I72" i="25"/>
  <c r="Y232" i="33"/>
  <c r="V232" i="33"/>
  <c r="I76" i="25"/>
  <c r="Y236" i="33"/>
  <c r="V236" i="33"/>
  <c r="I95" i="25"/>
  <c r="Y250" i="33" s="1"/>
  <c r="V250" i="33"/>
  <c r="I123" i="25"/>
  <c r="Y275" i="33"/>
  <c r="V275" i="33"/>
  <c r="I53" i="25"/>
  <c r="Y216" i="33" s="1"/>
  <c r="I81" i="25"/>
  <c r="Y241" i="33" s="1"/>
  <c r="V241" i="33"/>
  <c r="I114" i="25"/>
  <c r="Y266" i="33"/>
  <c r="V266" i="33"/>
  <c r="A6" i="34"/>
  <c r="AC36" i="35"/>
  <c r="K18" i="27"/>
  <c r="N16" i="8"/>
  <c r="AD50" i="26"/>
  <c r="AD81" i="26"/>
  <c r="AD81" i="8"/>
  <c r="AD92" i="26"/>
  <c r="AD95" i="26" s="1"/>
  <c r="AD95" i="8" s="1"/>
  <c r="AD92" i="8"/>
  <c r="I122" i="7"/>
  <c r="I105" i="7"/>
  <c r="I107" i="7"/>
  <c r="I109" i="7"/>
  <c r="AD54" i="26"/>
  <c r="AD54" i="8" s="1"/>
  <c r="AD50" i="8"/>
  <c r="K18" i="3"/>
  <c r="L17" i="28"/>
  <c r="M16" i="29"/>
  <c r="W89" i="7"/>
  <c r="AF11" i="22"/>
  <c r="AF11" i="7"/>
  <c r="AG11" i="7" s="1"/>
  <c r="X126" i="22"/>
  <c r="X126" i="7" s="1"/>
  <c r="R126" i="22"/>
  <c r="R126" i="7" s="1"/>
  <c r="M126" i="22"/>
  <c r="M126" i="7"/>
  <c r="I124" i="22"/>
  <c r="I124" i="7" s="1"/>
  <c r="O122" i="7"/>
  <c r="AB126" i="22"/>
  <c r="AB126" i="7" s="1"/>
  <c r="AB115" i="7"/>
  <c r="I115" i="7"/>
  <c r="J115" i="7" s="1"/>
  <c r="AB113" i="7"/>
  <c r="I113" i="7"/>
  <c r="AB111" i="7"/>
  <c r="I111" i="7"/>
  <c r="AB109" i="7"/>
  <c r="AB107" i="7"/>
  <c r="AB105" i="7"/>
  <c r="AD92" i="22"/>
  <c r="AD92" i="7"/>
  <c r="AD89" i="22"/>
  <c r="AD89" i="7" s="1"/>
  <c r="AD85" i="22"/>
  <c r="AD85" i="7" s="1"/>
  <c r="AC85" i="22"/>
  <c r="AC85" i="7" s="1"/>
  <c r="AB85" i="22"/>
  <c r="AB85" i="7"/>
  <c r="AA85" i="22"/>
  <c r="AA85" i="7" s="1"/>
  <c r="Z85" i="22"/>
  <c r="Z85" i="7" s="1"/>
  <c r="Y85" i="22"/>
  <c r="Y85" i="7" s="1"/>
  <c r="AG65" i="22"/>
  <c r="AG65" i="7"/>
  <c r="X58" i="22"/>
  <c r="X58" i="7" s="1"/>
  <c r="U58" i="22"/>
  <c r="U58" i="7" s="1"/>
  <c r="R58" i="7"/>
  <c r="AG48" i="22"/>
  <c r="AG48" i="7"/>
  <c r="W26" i="7"/>
  <c r="Q26" i="7"/>
  <c r="AM24" i="22"/>
  <c r="AM24" i="7"/>
  <c r="AL24" i="22"/>
  <c r="AL24" i="7" s="1"/>
  <c r="AK24" i="22"/>
  <c r="AK24" i="7"/>
  <c r="AJ24" i="22"/>
  <c r="AJ24" i="7"/>
  <c r="AI24" i="22"/>
  <c r="AI24" i="7"/>
  <c r="AH24" i="22"/>
  <c r="AH24" i="7" s="1"/>
  <c r="AG24" i="22"/>
  <c r="AG24" i="7"/>
  <c r="AF24" i="22"/>
  <c r="AF24" i="7"/>
  <c r="AE24" i="22"/>
  <c r="AE24" i="7"/>
  <c r="AC24" i="22"/>
  <c r="AC24" i="7" s="1"/>
  <c r="AB24" i="22"/>
  <c r="AB24" i="7"/>
  <c r="AA24" i="22"/>
  <c r="AA24" i="7"/>
  <c r="Z24" i="22"/>
  <c r="Z24" i="7"/>
  <c r="Y24" i="22"/>
  <c r="Y24" i="7" s="1"/>
  <c r="X24" i="22"/>
  <c r="X24" i="7"/>
  <c r="W24" i="22"/>
  <c r="W24" i="7"/>
  <c r="V24" i="22"/>
  <c r="V24" i="7"/>
  <c r="U24" i="22"/>
  <c r="U24" i="7" s="1"/>
  <c r="T24" i="22"/>
  <c r="T24" i="7"/>
  <c r="S24" i="22"/>
  <c r="S24" i="7" s="1"/>
  <c r="R24" i="22"/>
  <c r="R24" i="7"/>
  <c r="Q24" i="22"/>
  <c r="Q24" i="7" s="1"/>
  <c r="Q22" i="22"/>
  <c r="Q22" i="7"/>
  <c r="AM20" i="22"/>
  <c r="AM20" i="7" s="1"/>
  <c r="AL20" i="22"/>
  <c r="AI7" i="36" s="1"/>
  <c r="AI7" i="35" s="1"/>
  <c r="AK20" i="22"/>
  <c r="AH7" i="36"/>
  <c r="AH7" i="35"/>
  <c r="AJ20" i="22"/>
  <c r="AG7" i="36" s="1"/>
  <c r="AG7" i="35" s="1"/>
  <c r="AI20" i="22"/>
  <c r="AF7" i="36" s="1"/>
  <c r="AF7" i="35" s="1"/>
  <c r="AH20" i="22"/>
  <c r="AH20" i="7" s="1"/>
  <c r="AG20" i="22"/>
  <c r="AD7" i="36"/>
  <c r="AD7" i="35"/>
  <c r="AF20" i="22"/>
  <c r="AC7" i="36"/>
  <c r="AC7" i="35"/>
  <c r="AE20" i="22"/>
  <c r="AD20" i="22"/>
  <c r="AA7" i="36"/>
  <c r="AA7" i="35" s="1"/>
  <c r="AC20" i="22"/>
  <c r="Z7" i="36"/>
  <c r="Z7" i="35" s="1"/>
  <c r="AB20" i="22"/>
  <c r="AA20" i="22"/>
  <c r="X7" i="36" s="1"/>
  <c r="X7" i="35" s="1"/>
  <c r="Z20" i="22"/>
  <c r="W7" i="36" s="1"/>
  <c r="W7" i="35" s="1"/>
  <c r="Y20" i="22"/>
  <c r="V7" i="36"/>
  <c r="V7" i="35"/>
  <c r="X20" i="22"/>
  <c r="U7" i="36"/>
  <c r="U7" i="35"/>
  <c r="W20" i="22"/>
  <c r="W20" i="7" s="1"/>
  <c r="T7" i="36"/>
  <c r="T7" i="35" s="1"/>
  <c r="V20" i="22"/>
  <c r="S7" i="36" s="1"/>
  <c r="S7" i="35" s="1"/>
  <c r="U20" i="22"/>
  <c r="R7" i="36"/>
  <c r="R7" i="35"/>
  <c r="T20" i="22"/>
  <c r="S20" i="22"/>
  <c r="P7" i="36" s="1"/>
  <c r="P7" i="35" s="1"/>
  <c r="R20" i="22"/>
  <c r="O7" i="36"/>
  <c r="O7" i="35"/>
  <c r="Q20" i="22"/>
  <c r="N7" i="36"/>
  <c r="N7" i="35"/>
  <c r="AJ18" i="22"/>
  <c r="AG9" i="36"/>
  <c r="AG9" i="35"/>
  <c r="AI18" i="22"/>
  <c r="AI18" i="7" s="1"/>
  <c r="AF9" i="36"/>
  <c r="AF9" i="35" s="1"/>
  <c r="AH18" i="22"/>
  <c r="AE14" i="26" s="1"/>
  <c r="AE9" i="36"/>
  <c r="AE9" i="35" s="1"/>
  <c r="AF18" i="22"/>
  <c r="AC9" i="36"/>
  <c r="AC9" i="35" s="1"/>
  <c r="AE18" i="22"/>
  <c r="AD18" i="22"/>
  <c r="AA9" i="36" s="1"/>
  <c r="AA9" i="35" s="1"/>
  <c r="AB18" i="22"/>
  <c r="AB18" i="7" s="1"/>
  <c r="Y9" i="36"/>
  <c r="Y9" i="35" s="1"/>
  <c r="Z18" i="22"/>
  <c r="W9" i="36"/>
  <c r="W9" i="35"/>
  <c r="Y18" i="22"/>
  <c r="V9" i="36"/>
  <c r="V9" i="35"/>
  <c r="X18" i="22"/>
  <c r="U9" i="36" s="1"/>
  <c r="U9" i="35" s="1"/>
  <c r="V18" i="22"/>
  <c r="S9" i="36"/>
  <c r="S9" i="35" s="1"/>
  <c r="U18" i="22"/>
  <c r="R9" i="36"/>
  <c r="R9" i="35"/>
  <c r="T18" i="22"/>
  <c r="R18" i="22"/>
  <c r="O9" i="36" s="1"/>
  <c r="O9" i="35" s="1"/>
  <c r="Q18" i="22"/>
  <c r="N9" i="36"/>
  <c r="N9" i="35" s="1"/>
  <c r="AK9" i="22"/>
  <c r="AF9" i="22"/>
  <c r="AN6" i="22"/>
  <c r="AN6" i="7" s="1"/>
  <c r="AM6" i="22"/>
  <c r="AM6" i="26" s="1"/>
  <c r="AL6" i="22"/>
  <c r="AK6" i="22"/>
  <c r="AI6" i="22"/>
  <c r="AI6" i="7" s="1"/>
  <c r="AH6" i="22"/>
  <c r="AG6" i="22"/>
  <c r="AF6" i="22"/>
  <c r="AF6" i="7" s="1"/>
  <c r="AL3" i="22"/>
  <c r="AJ3" i="22"/>
  <c r="AH3" i="22"/>
  <c r="AF3" i="22"/>
  <c r="AF3" i="26" s="1"/>
  <c r="Q20" i="7"/>
  <c r="S20" i="7"/>
  <c r="AA20" i="7"/>
  <c r="AI20" i="7"/>
  <c r="X20" i="7"/>
  <c r="AF20" i="7"/>
  <c r="AJ20" i="7"/>
  <c r="U20" i="7"/>
  <c r="Y20" i="7"/>
  <c r="AC20" i="7"/>
  <c r="AG20" i="7"/>
  <c r="AK20" i="7"/>
  <c r="R20" i="7"/>
  <c r="V20" i="7"/>
  <c r="Z20" i="7"/>
  <c r="AD20" i="7"/>
  <c r="AL20" i="7"/>
  <c r="AF6" i="26"/>
  <c r="AF6" i="8" s="1"/>
  <c r="AK6" i="26"/>
  <c r="AI7" i="27" s="1"/>
  <c r="AK6" i="7"/>
  <c r="AG54" i="22"/>
  <c r="AG54" i="7" s="1"/>
  <c r="AG38" i="22"/>
  <c r="AF8" i="26"/>
  <c r="AF9" i="7"/>
  <c r="T18" i="7"/>
  <c r="V14" i="26"/>
  <c r="V14" i="8" s="1"/>
  <c r="Y18" i="7"/>
  <c r="AE18" i="7"/>
  <c r="AG14" i="26"/>
  <c r="AD16" i="27" s="1"/>
  <c r="AJ18" i="7"/>
  <c r="AJ3" i="26"/>
  <c r="AJ3" i="8" s="1"/>
  <c r="AJ3" i="7"/>
  <c r="AM6" i="7"/>
  <c r="N14" i="26"/>
  <c r="Q18" i="7"/>
  <c r="S14" i="26"/>
  <c r="V18" i="7"/>
  <c r="AH18" i="7"/>
  <c r="AF29" i="22"/>
  <c r="AF29" i="7"/>
  <c r="Z26" i="7"/>
  <c r="AG11" i="22"/>
  <c r="AJ29" i="22"/>
  <c r="AJ29" i="7" s="1"/>
  <c r="T26" i="7"/>
  <c r="AH3" i="26"/>
  <c r="AH3" i="7"/>
  <c r="AG6" i="26"/>
  <c r="AG6" i="7"/>
  <c r="AL6" i="26"/>
  <c r="AL6" i="8" s="1"/>
  <c r="AL6" i="7"/>
  <c r="AJ8" i="26"/>
  <c r="AK9" i="7"/>
  <c r="R14" i="26"/>
  <c r="U18" i="7"/>
  <c r="W14" i="26"/>
  <c r="W14" i="8" s="1"/>
  <c r="Z18" i="7"/>
  <c r="AC14" i="26"/>
  <c r="AF18" i="7"/>
  <c r="AN6" i="26"/>
  <c r="O14" i="26"/>
  <c r="R18" i="7"/>
  <c r="AA14" i="26"/>
  <c r="X16" i="27" s="1"/>
  <c r="AD18" i="7"/>
  <c r="AF14" i="26"/>
  <c r="AC16" i="27" s="1"/>
  <c r="AC115" i="22"/>
  <c r="AC107" i="22"/>
  <c r="J115" i="22"/>
  <c r="U29" i="22"/>
  <c r="U29" i="7"/>
  <c r="Z29" i="22"/>
  <c r="Z29" i="7" s="1"/>
  <c r="Q29" i="22"/>
  <c r="Q29" i="7"/>
  <c r="V29" i="22"/>
  <c r="V29" i="7" s="1"/>
  <c r="AB29" i="22"/>
  <c r="AB29" i="7" s="1"/>
  <c r="AH29" i="22"/>
  <c r="AH29" i="7" s="1"/>
  <c r="I126" i="22"/>
  <c r="I126" i="7"/>
  <c r="N126" i="22"/>
  <c r="N126" i="7" s="1"/>
  <c r="T126" i="22"/>
  <c r="T126" i="7" s="1"/>
  <c r="Z126" i="22"/>
  <c r="Z126" i="7" s="1"/>
  <c r="R29" i="22"/>
  <c r="R29" i="7"/>
  <c r="X29" i="22"/>
  <c r="X29" i="7" s="1"/>
  <c r="AD29" i="22"/>
  <c r="AD29" i="7" s="1"/>
  <c r="AI29" i="22"/>
  <c r="AI29" i="7" s="1"/>
  <c r="J126" i="22"/>
  <c r="J126" i="7" s="1"/>
  <c r="P126" i="22"/>
  <c r="P126" i="7" s="1"/>
  <c r="V126" i="22"/>
  <c r="V126" i="7"/>
  <c r="AA126" i="22"/>
  <c r="AA126" i="7" s="1"/>
  <c r="T29" i="22"/>
  <c r="T29" i="7" s="1"/>
  <c r="Y29" i="22"/>
  <c r="Y29" i="7" s="1"/>
  <c r="AE29" i="22"/>
  <c r="AE29" i="7"/>
  <c r="L126" i="22"/>
  <c r="L126" i="7"/>
  <c r="Q126" i="22"/>
  <c r="Q126" i="7"/>
  <c r="W126" i="22"/>
  <c r="W126" i="7" s="1"/>
  <c r="L16" i="27"/>
  <c r="L16" i="3" s="1"/>
  <c r="M15" i="4" s="1"/>
  <c r="O14" i="8"/>
  <c r="AB16" i="27"/>
  <c r="AE14" i="8"/>
  <c r="P16" i="27"/>
  <c r="S14" i="8"/>
  <c r="AM6" i="8"/>
  <c r="AK7" i="27"/>
  <c r="AL6" i="28" s="1"/>
  <c r="AH3" i="27"/>
  <c r="Z16" i="27"/>
  <c r="Z16" i="3" s="1"/>
  <c r="AC14" i="8"/>
  <c r="O16" i="27"/>
  <c r="O16" i="3" s="1"/>
  <c r="R14" i="8"/>
  <c r="AJ7" i="27"/>
  <c r="AK6" i="28" s="1"/>
  <c r="AL6" i="29" s="1"/>
  <c r="AL6" i="5" s="1"/>
  <c r="AJ8" i="8"/>
  <c r="AH9" i="27"/>
  <c r="AE7" i="27"/>
  <c r="AE7" i="3" s="1"/>
  <c r="AG6" i="8"/>
  <c r="AL7" i="27"/>
  <c r="AN6" i="8"/>
  <c r="K16" i="27"/>
  <c r="K16" i="3" s="1"/>
  <c r="N14" i="8"/>
  <c r="AG14" i="8"/>
  <c r="S16" i="27"/>
  <c r="T15" i="28" s="1"/>
  <c r="U14" i="29" s="1"/>
  <c r="AC15" i="30" s="1"/>
  <c r="AF8" i="8"/>
  <c r="AD9" i="27"/>
  <c r="AK6" i="8"/>
  <c r="AF32" i="32"/>
  <c r="AD9" i="3"/>
  <c r="AE9" i="28"/>
  <c r="AF6" i="28"/>
  <c r="AG6" i="29" s="1"/>
  <c r="AG6" i="5" s="1"/>
  <c r="AN6" i="30" s="1"/>
  <c r="AN6" i="6" s="1"/>
  <c r="P15" i="28"/>
  <c r="Q14" i="29" s="1"/>
  <c r="AI3" i="28"/>
  <c r="AJ3" i="29" s="1"/>
  <c r="AJ3" i="5" s="1"/>
  <c r="AH3" i="3"/>
  <c r="P16" i="3"/>
  <c r="Q15" i="28"/>
  <c r="R14" i="29"/>
  <c r="Z15" i="30" s="1"/>
  <c r="Z15" i="6" s="1"/>
  <c r="L15" i="28"/>
  <c r="M14" i="29"/>
  <c r="AH9" i="3"/>
  <c r="AI9" i="28"/>
  <c r="AM6" i="29"/>
  <c r="AM6" i="5" s="1"/>
  <c r="AT6" i="30" s="1"/>
  <c r="AT6" i="6" s="1"/>
  <c r="AK7" i="3"/>
  <c r="AJ6" i="28"/>
  <c r="AJ6" i="4" s="1"/>
  <c r="AI7" i="3"/>
  <c r="AJ7" i="3"/>
  <c r="AA15" i="28"/>
  <c r="AB14" i="29" s="1"/>
  <c r="M15" i="28"/>
  <c r="N14" i="29" s="1"/>
  <c r="AC107" i="7"/>
  <c r="AC115" i="7"/>
  <c r="O120" i="14"/>
  <c r="D120" i="14"/>
  <c r="M166" i="33"/>
  <c r="V129" i="14"/>
  <c r="R14" i="5"/>
  <c r="AC15" i="6"/>
  <c r="U14" i="5"/>
  <c r="K120" i="14"/>
  <c r="AF558" i="16"/>
  <c r="AF548" i="16"/>
  <c r="AF545" i="16"/>
  <c r="AF256" i="16"/>
  <c r="AF245" i="16"/>
  <c r="AF244" i="16"/>
  <c r="AF241" i="16"/>
  <c r="AF105" i="16"/>
  <c r="AF95" i="16"/>
  <c r="AF94" i="16"/>
  <c r="AF91" i="16"/>
  <c r="AF90" i="16"/>
  <c r="AF108" i="16" s="1"/>
  <c r="R56" i="33" s="1"/>
  <c r="A665" i="16"/>
  <c r="A659" i="16"/>
  <c r="A653" i="16"/>
  <c r="A647" i="16"/>
  <c r="T637" i="16"/>
  <c r="X609" i="16"/>
  <c r="P598" i="16"/>
  <c r="P582" i="16"/>
  <c r="P607" i="16" s="1"/>
  <c r="F78" i="33" s="1"/>
  <c r="F43" i="34" s="1"/>
  <c r="V561" i="16"/>
  <c r="AF547" i="16"/>
  <c r="AF546" i="16"/>
  <c r="AF544" i="16"/>
  <c r="A547" i="16"/>
  <c r="A548" i="16"/>
  <c r="A549" i="16" s="1"/>
  <c r="A550" i="16" s="1"/>
  <c r="A551" i="16" s="1"/>
  <c r="A552" i="16" s="1"/>
  <c r="A553" i="16" s="1"/>
  <c r="A554" i="16" s="1"/>
  <c r="A555" i="16" s="1"/>
  <c r="A556" i="16" s="1"/>
  <c r="A557" i="16" s="1"/>
  <c r="K536" i="16"/>
  <c r="N76" i="33"/>
  <c r="N41" i="34" s="1"/>
  <c r="G536" i="16"/>
  <c r="F76" i="33"/>
  <c r="F41" i="34"/>
  <c r="K511" i="16"/>
  <c r="N75" i="33"/>
  <c r="G511" i="16"/>
  <c r="F75" i="33"/>
  <c r="F40" i="34" s="1"/>
  <c r="A494" i="16"/>
  <c r="A495" i="16"/>
  <c r="A496" i="16"/>
  <c r="A497" i="16"/>
  <c r="A498" i="16"/>
  <c r="A499" i="16" s="1"/>
  <c r="A500" i="16" s="1"/>
  <c r="A501" i="16" s="1"/>
  <c r="A502" i="16" s="1"/>
  <c r="A503" i="16" s="1"/>
  <c r="A504" i="16" s="1"/>
  <c r="A505" i="16" s="1"/>
  <c r="A506" i="16" s="1"/>
  <c r="A507" i="16" s="1"/>
  <c r="K486" i="16"/>
  <c r="N74" i="33"/>
  <c r="N79" i="33" s="1"/>
  <c r="AJ79" i="33" s="1"/>
  <c r="G486" i="16"/>
  <c r="F74" i="33"/>
  <c r="A469" i="16"/>
  <c r="A470" i="16"/>
  <c r="A471" i="16"/>
  <c r="A472" i="16" s="1"/>
  <c r="A473" i="16"/>
  <c r="A474" i="16" s="1"/>
  <c r="A475" i="16" s="1"/>
  <c r="A476" i="16" s="1"/>
  <c r="A477" i="16" s="1"/>
  <c r="A478" i="16" s="1"/>
  <c r="A479" i="16" s="1"/>
  <c r="A480" i="16" s="1"/>
  <c r="A481" i="16" s="1"/>
  <c r="A482" i="16" s="1"/>
  <c r="X458" i="16"/>
  <c r="R71" i="33" s="1"/>
  <c r="P447" i="16"/>
  <c r="P431" i="16"/>
  <c r="V410" i="16"/>
  <c r="N70" i="33"/>
  <c r="N35" i="34"/>
  <c r="A393" i="16"/>
  <c r="A394" i="16"/>
  <c r="A395" i="16" s="1"/>
  <c r="A396" i="16"/>
  <c r="A397" i="16" s="1"/>
  <c r="A398" i="16" s="1"/>
  <c r="A399" i="16" s="1"/>
  <c r="A400" i="16" s="1"/>
  <c r="A401" i="16" s="1"/>
  <c r="A402" i="16" s="1"/>
  <c r="A403" i="16" s="1"/>
  <c r="A404" i="16" s="1"/>
  <c r="A405" i="16" s="1"/>
  <c r="A406" i="16" s="1"/>
  <c r="K385" i="16"/>
  <c r="N69" i="33"/>
  <c r="N34" i="34"/>
  <c r="G385" i="16"/>
  <c r="F69" i="33" s="1"/>
  <c r="F34" i="34" s="1"/>
  <c r="K360" i="16"/>
  <c r="N68" i="33" s="1"/>
  <c r="N33" i="34" s="1"/>
  <c r="G360" i="16"/>
  <c r="F68" i="33"/>
  <c r="F33" i="34"/>
  <c r="K335" i="16"/>
  <c r="N67" i="33" s="1"/>
  <c r="N32" i="34" s="1"/>
  <c r="G335" i="16"/>
  <c r="F67" i="33"/>
  <c r="X307" i="16"/>
  <c r="R64" i="33" s="1"/>
  <c r="V64" i="33" s="1"/>
  <c r="P296" i="16"/>
  <c r="P280" i="16"/>
  <c r="P305" i="16" s="1"/>
  <c r="F64" i="33" s="1"/>
  <c r="F29" i="34" s="1"/>
  <c r="V259" i="16"/>
  <c r="N63" i="33"/>
  <c r="N28" i="34" s="1"/>
  <c r="K234" i="16"/>
  <c r="N62" i="33" s="1"/>
  <c r="N27" i="34" s="1"/>
  <c r="G234" i="16"/>
  <c r="F62" i="33" s="1"/>
  <c r="F27" i="34" s="1"/>
  <c r="K209" i="16"/>
  <c r="N61" i="33" s="1"/>
  <c r="N26" i="34"/>
  <c r="G209" i="16"/>
  <c r="F61" i="33" s="1"/>
  <c r="F26" i="34" s="1"/>
  <c r="K184" i="16"/>
  <c r="N60" i="33" s="1"/>
  <c r="G184" i="16"/>
  <c r="F60" i="33"/>
  <c r="F25" i="34" s="1"/>
  <c r="X156" i="16"/>
  <c r="P145" i="16"/>
  <c r="P129" i="16"/>
  <c r="P154" i="16" s="1"/>
  <c r="F57" i="33" s="1"/>
  <c r="F22" i="34" s="1"/>
  <c r="V108" i="16"/>
  <c r="N56" i="33"/>
  <c r="N21" i="34" s="1"/>
  <c r="K83" i="16"/>
  <c r="N55" i="33" s="1"/>
  <c r="N20" i="34"/>
  <c r="G83" i="16"/>
  <c r="F55" i="33"/>
  <c r="F20" i="34"/>
  <c r="K58" i="16"/>
  <c r="N54" i="33"/>
  <c r="N19" i="34" s="1"/>
  <c r="G58" i="16"/>
  <c r="F54" i="33"/>
  <c r="F19" i="34"/>
  <c r="K33" i="16"/>
  <c r="N53" i="33"/>
  <c r="G33" i="16"/>
  <c r="F53" i="33"/>
  <c r="A16" i="16"/>
  <c r="R57" i="33"/>
  <c r="R22" i="34" s="1"/>
  <c r="R78" i="33"/>
  <c r="R43" i="34" s="1"/>
  <c r="R108" i="16"/>
  <c r="F56" i="33" s="1"/>
  <c r="F21" i="34" s="1"/>
  <c r="AF246" i="16"/>
  <c r="F39" i="34"/>
  <c r="N40" i="34"/>
  <c r="F32" i="34"/>
  <c r="P456" i="16"/>
  <c r="F71" i="33" s="1"/>
  <c r="F36" i="34" s="1"/>
  <c r="R561" i="16"/>
  <c r="AF242" i="16"/>
  <c r="AF93" i="16"/>
  <c r="AF92" i="16"/>
  <c r="AF243" i="16"/>
  <c r="AF543" i="16"/>
  <c r="AF561" i="16"/>
  <c r="R259" i="16"/>
  <c r="F63" i="33"/>
  <c r="F28" i="34"/>
  <c r="R410" i="16"/>
  <c r="F70" i="33"/>
  <c r="F35" i="34" s="1"/>
  <c r="F79" i="33"/>
  <c r="J57" i="33"/>
  <c r="J22" i="34" s="1"/>
  <c r="U209" i="16"/>
  <c r="Q654" i="16"/>
  <c r="R29" i="34"/>
  <c r="V29" i="34"/>
  <c r="R61" i="33"/>
  <c r="R26" i="34" s="1"/>
  <c r="J71" i="33"/>
  <c r="J36" i="34" s="1"/>
  <c r="U83" i="16"/>
  <c r="Q649" i="16" s="1"/>
  <c r="AA83" i="16"/>
  <c r="V55" i="33" s="1"/>
  <c r="V20" i="34" s="1"/>
  <c r="U234" i="16"/>
  <c r="R62" i="33" s="1"/>
  <c r="AA234" i="16"/>
  <c r="V62" i="33" s="1"/>
  <c r="V27" i="34"/>
  <c r="U33" i="16"/>
  <c r="R53" i="33" s="1"/>
  <c r="U511" i="16"/>
  <c r="Q666" i="16" s="1"/>
  <c r="U184" i="16"/>
  <c r="R60" i="33" s="1"/>
  <c r="AA209" i="16"/>
  <c r="V61" i="33" s="1"/>
  <c r="U335" i="16"/>
  <c r="R67" i="33" s="1"/>
  <c r="U360" i="16"/>
  <c r="R68" i="33" s="1"/>
  <c r="R33" i="34" s="1"/>
  <c r="AA33" i="16"/>
  <c r="V53" i="33"/>
  <c r="V18" i="34" s="1"/>
  <c r="AA58" i="16"/>
  <c r="V54" i="33" s="1"/>
  <c r="V19" i="34" s="1"/>
  <c r="U385" i="16"/>
  <c r="Q661" i="16" s="1"/>
  <c r="AA184" i="16"/>
  <c r="V60" i="33"/>
  <c r="V25" i="34" s="1"/>
  <c r="U58" i="16"/>
  <c r="Q648" i="16" s="1"/>
  <c r="R69" i="33"/>
  <c r="R34" i="34"/>
  <c r="J67" i="33"/>
  <c r="J32" i="34"/>
  <c r="R54" i="33"/>
  <c r="R19" i="34" s="1"/>
  <c r="J56" i="33"/>
  <c r="J21" i="34" s="1"/>
  <c r="Q655" i="16"/>
  <c r="R27" i="34"/>
  <c r="J62" i="33"/>
  <c r="J27" i="34"/>
  <c r="Q660" i="16"/>
  <c r="Q653" i="16"/>
  <c r="Q659" i="16"/>
  <c r="J53" i="33"/>
  <c r="J18" i="34"/>
  <c r="R75" i="33"/>
  <c r="R40" i="34"/>
  <c r="J74" i="33"/>
  <c r="J39" i="34" s="1"/>
  <c r="AA511" i="16"/>
  <c r="V75" i="33" s="1"/>
  <c r="V40" i="34" s="1"/>
  <c r="AA360" i="16"/>
  <c r="V68" i="33"/>
  <c r="V33" i="34"/>
  <c r="R18" i="34"/>
  <c r="R25" i="34"/>
  <c r="V25" i="28"/>
  <c r="V25" i="4" s="1"/>
  <c r="AG38" i="7"/>
  <c r="V139" i="14"/>
  <c r="O208" i="14"/>
  <c r="V173" i="14"/>
  <c r="Q171" i="14"/>
  <c r="L171" i="14"/>
  <c r="V171" i="14" s="1"/>
  <c r="V165" i="14"/>
  <c r="Z59" i="27"/>
  <c r="Z59" i="3" s="1"/>
  <c r="V166" i="14"/>
  <c r="Z60" i="27"/>
  <c r="Z60" i="3"/>
  <c r="V167" i="14"/>
  <c r="Z61" i="27" s="1"/>
  <c r="Z61" i="3" s="1"/>
  <c r="V168" i="14"/>
  <c r="Z62" i="27" s="1"/>
  <c r="Z62" i="3" s="1"/>
  <c r="V169" i="14"/>
  <c r="Z63" i="27"/>
  <c r="Z63" i="3"/>
  <c r="V164" i="14"/>
  <c r="Z58" i="27" s="1"/>
  <c r="Z58" i="3"/>
  <c r="V159" i="14"/>
  <c r="V158" i="14"/>
  <c r="V155" i="14"/>
  <c r="V150" i="14"/>
  <c r="V149" i="14"/>
  <c r="Q151" i="14"/>
  <c r="L151" i="14"/>
  <c r="G151" i="14"/>
  <c r="W39" i="27"/>
  <c r="W39" i="3" s="1"/>
  <c r="V145" i="14"/>
  <c r="V144" i="14"/>
  <c r="V143" i="14"/>
  <c r="V142" i="14"/>
  <c r="V141" i="14"/>
  <c r="V140" i="14"/>
  <c r="Q146" i="14"/>
  <c r="L146" i="14"/>
  <c r="G146" i="14"/>
  <c r="G153" i="14" s="1"/>
  <c r="V153" i="14" s="1"/>
  <c r="O39" i="27"/>
  <c r="O39" i="3"/>
  <c r="AD37" i="14"/>
  <c r="L15" i="14"/>
  <c r="L13" i="14"/>
  <c r="L9" i="14"/>
  <c r="L7" i="14"/>
  <c r="L6" i="14"/>
  <c r="Y129" i="14"/>
  <c r="E4" i="32"/>
  <c r="G15" i="33"/>
  <c r="AG58" i="22"/>
  <c r="X104" i="33"/>
  <c r="X68" i="34"/>
  <c r="AK6" i="4"/>
  <c r="AL6" i="4"/>
  <c r="AF6" i="4"/>
  <c r="L17" i="4"/>
  <c r="AD38" i="14"/>
  <c r="AE39" i="27"/>
  <c r="AE51" i="27" s="1"/>
  <c r="L153" i="14"/>
  <c r="Q153" i="14"/>
  <c r="V151" i="14"/>
  <c r="V146" i="14"/>
  <c r="AE39" i="3"/>
  <c r="S20" i="33"/>
  <c r="L148" i="33"/>
  <c r="G89" i="33"/>
  <c r="J53" i="34"/>
  <c r="T95" i="33"/>
  <c r="T59" i="34" s="1"/>
  <c r="X112" i="33"/>
  <c r="X76" i="34" s="1"/>
  <c r="X27" i="33"/>
  <c r="AA15" i="4"/>
  <c r="P15" i="4"/>
  <c r="Q15" i="4"/>
  <c r="L15" i="4"/>
  <c r="AI3" i="4"/>
  <c r="M176" i="33"/>
  <c r="O121" i="14"/>
  <c r="AG79" i="22" s="1"/>
  <c r="AG79" i="7" s="1"/>
  <c r="K121" i="14"/>
  <c r="AG40" i="22"/>
  <c r="AG40" i="7" s="1"/>
  <c r="AE51" i="3"/>
  <c r="M167" i="33"/>
  <c r="AG77" i="22"/>
  <c r="AE23" i="29"/>
  <c r="AE23" i="5" s="1"/>
  <c r="X98" i="33"/>
  <c r="X62" i="34" s="1"/>
  <c r="AG58" i="7"/>
  <c r="AE104" i="33"/>
  <c r="X111" i="33" s="1"/>
  <c r="X75" i="34" s="1"/>
  <c r="AS6" i="30"/>
  <c r="AS6" i="6" s="1"/>
  <c r="I9" i="25"/>
  <c r="Y176" i="33" s="1"/>
  <c r="AE39" i="29"/>
  <c r="AE39" i="5" s="1"/>
  <c r="AG77" i="7"/>
  <c r="AQ3" i="30"/>
  <c r="AQ3" i="6"/>
  <c r="AK23" i="32"/>
  <c r="S19" i="33"/>
  <c r="AK120" i="32"/>
  <c r="AK130" i="32"/>
  <c r="AK122" i="32"/>
  <c r="AK66" i="32"/>
  <c r="AK25" i="32"/>
  <c r="AK172" i="32"/>
  <c r="AK162" i="32"/>
  <c r="AK33" i="32"/>
  <c r="AK76" i="32"/>
  <c r="AK82" i="32"/>
  <c r="AK35" i="32"/>
  <c r="AK178" i="32"/>
  <c r="AK164" i="32"/>
  <c r="AK68" i="32"/>
  <c r="S33" i="33"/>
  <c r="S39" i="33"/>
  <c r="AK132" i="32"/>
  <c r="AK174" i="32"/>
  <c r="AK78" i="32"/>
  <c r="X106" i="33"/>
  <c r="X70" i="34"/>
  <c r="AK177" i="32"/>
  <c r="X108" i="33"/>
  <c r="AK81" i="32"/>
  <c r="X102" i="33"/>
  <c r="X66" i="34" s="1"/>
  <c r="X72" i="34"/>
  <c r="X114" i="33"/>
  <c r="X78" i="34" s="1"/>
  <c r="S21" i="33"/>
  <c r="X22" i="33" s="1"/>
  <c r="X25" i="33"/>
  <c r="X30" i="33"/>
  <c r="AK135" i="32"/>
  <c r="AK136" i="32"/>
  <c r="AK38" i="32"/>
  <c r="AK39" i="32"/>
  <c r="S34" i="33"/>
  <c r="X36" i="33"/>
  <c r="S40" i="33"/>
  <c r="X42" i="33"/>
  <c r="AG63" i="22" s="1"/>
  <c r="Z64" i="3" l="1"/>
  <c r="AG42" i="22"/>
  <c r="Z64" i="27"/>
  <c r="V26" i="34"/>
  <c r="N65" i="33"/>
  <c r="N25" i="34"/>
  <c r="AG63" i="7"/>
  <c r="AG68" i="22"/>
  <c r="Q14" i="5"/>
  <c r="Y15" i="30"/>
  <c r="Y15" i="6" s="1"/>
  <c r="V56" i="33"/>
  <c r="V21" i="34" s="1"/>
  <c r="V23" i="34" s="1"/>
  <c r="R21" i="34"/>
  <c r="W131" i="33"/>
  <c r="O131" i="33"/>
  <c r="I131" i="33"/>
  <c r="I98" i="34" s="1"/>
  <c r="AB14" i="5"/>
  <c r="AJ15" i="30"/>
  <c r="AJ15" i="6" s="1"/>
  <c r="X119" i="33"/>
  <c r="S131" i="33"/>
  <c r="N39" i="34"/>
  <c r="N14" i="5"/>
  <c r="V15" i="30"/>
  <c r="V15" i="6" s="1"/>
  <c r="AB16" i="3"/>
  <c r="AC15" i="4" s="1"/>
  <c r="AC15" i="28"/>
  <c r="AD14" i="29" s="1"/>
  <c r="AD15" i="28"/>
  <c r="AE14" i="29" s="1"/>
  <c r="AC16" i="3"/>
  <c r="AD15" i="4" s="1"/>
  <c r="AE20" i="7"/>
  <c r="AB7" i="36"/>
  <c r="AB7" i="35" s="1"/>
  <c r="N58" i="33"/>
  <c r="AJ58" i="33" s="1"/>
  <c r="N18" i="34"/>
  <c r="N23" i="34" s="1"/>
  <c r="Y7" i="36"/>
  <c r="Y7" i="35" s="1"/>
  <c r="AB20" i="7"/>
  <c r="F18" i="34"/>
  <c r="F23" i="34" s="1"/>
  <c r="F58" i="33"/>
  <c r="AH58" i="33" s="1"/>
  <c r="AF3" i="8"/>
  <c r="AD3" i="27"/>
  <c r="AA469" i="16"/>
  <c r="U486" i="16"/>
  <c r="F65" i="33"/>
  <c r="AF259" i="16"/>
  <c r="R63" i="33" s="1"/>
  <c r="M14" i="5"/>
  <c r="U15" i="30"/>
  <c r="U15" i="6" s="1"/>
  <c r="AD16" i="3"/>
  <c r="AE15" i="4" s="1"/>
  <c r="AE15" i="28"/>
  <c r="AF14" i="29" s="1"/>
  <c r="Q7" i="36"/>
  <c r="Q7" i="35" s="1"/>
  <c r="T20" i="7"/>
  <c r="R36" i="34"/>
  <c r="V71" i="33"/>
  <c r="V36" i="34" s="1"/>
  <c r="I24" i="25"/>
  <c r="Y191" i="33" s="1"/>
  <c r="R72" i="33"/>
  <c r="R32" i="34"/>
  <c r="N44" i="34"/>
  <c r="F72" i="33"/>
  <c r="AL7" i="3"/>
  <c r="AM6" i="28"/>
  <c r="AE9" i="4"/>
  <c r="AF8" i="29"/>
  <c r="U536" i="16"/>
  <c r="AA520" i="16"/>
  <c r="T94" i="33"/>
  <c r="T58" i="34" s="1"/>
  <c r="T93" i="33"/>
  <c r="Q647" i="16"/>
  <c r="V78" i="33"/>
  <c r="V43" i="34" s="1"/>
  <c r="AF14" i="8"/>
  <c r="AI6" i="26"/>
  <c r="U17" i="30"/>
  <c r="U17" i="6" s="1"/>
  <c r="M16" i="5"/>
  <c r="AE83" i="16"/>
  <c r="U649" i="16" s="1"/>
  <c r="AH79" i="33"/>
  <c r="F44" i="34"/>
  <c r="AK8" i="29"/>
  <c r="AI9" i="4"/>
  <c r="X16" i="3"/>
  <c r="Y15" i="4" s="1"/>
  <c r="Y15" i="28"/>
  <c r="Z14" i="29" s="1"/>
  <c r="M41" i="25"/>
  <c r="M38" i="25"/>
  <c r="M36" i="25"/>
  <c r="M42" i="25"/>
  <c r="M37" i="25"/>
  <c r="M35" i="25"/>
  <c r="AG82" i="22"/>
  <c r="AG82" i="7" s="1"/>
  <c r="C131" i="33"/>
  <c r="C98" i="34" s="1"/>
  <c r="S16" i="3"/>
  <c r="T15" i="4" s="1"/>
  <c r="AH6" i="7"/>
  <c r="AH6" i="26"/>
  <c r="AE7" i="36"/>
  <c r="AE7" i="35" s="1"/>
  <c r="AJ7" i="36"/>
  <c r="AJ7" i="35" s="1"/>
  <c r="AE367" i="16"/>
  <c r="AE385" i="16" s="1"/>
  <c r="U661" i="16" s="1"/>
  <c r="AA385" i="16"/>
  <c r="V69" i="33" s="1"/>
  <c r="V34" i="34" s="1"/>
  <c r="AE332" i="16"/>
  <c r="AA335" i="16"/>
  <c r="V67" i="33" s="1"/>
  <c r="R35" i="34"/>
  <c r="V70" i="33"/>
  <c r="V35" i="34" s="1"/>
  <c r="T16" i="27"/>
  <c r="AK6" i="29"/>
  <c r="AK6" i="5" s="1"/>
  <c r="AR6" i="30" s="1"/>
  <c r="AR6" i="6" s="1"/>
  <c r="M12" i="25"/>
  <c r="M10" i="25"/>
  <c r="M9" i="25"/>
  <c r="M11" i="25"/>
  <c r="M8" i="25"/>
  <c r="U14" i="26"/>
  <c r="X18" i="7"/>
  <c r="M33" i="25"/>
  <c r="M32" i="25"/>
  <c r="M31" i="25"/>
  <c r="M30" i="25"/>
  <c r="M34" i="25"/>
  <c r="M29" i="25"/>
  <c r="AE209" i="16"/>
  <c r="U654" i="16" s="1"/>
  <c r="R55" i="33"/>
  <c r="R20" i="34" s="1"/>
  <c r="R23" i="34" s="1"/>
  <c r="AA14" i="8"/>
  <c r="AF3" i="7"/>
  <c r="Q9" i="36"/>
  <c r="Q9" i="35" s="1"/>
  <c r="Q14" i="26"/>
  <c r="M17" i="25"/>
  <c r="M24" i="25"/>
  <c r="M16" i="25"/>
  <c r="M23" i="25"/>
  <c r="M22" i="25"/>
  <c r="M20" i="25"/>
  <c r="M18" i="25"/>
  <c r="M19" i="25"/>
  <c r="M21" i="25"/>
  <c r="AK650" i="16"/>
  <c r="Q650" i="16"/>
  <c r="U650" i="16" s="1"/>
  <c r="V57" i="33"/>
  <c r="V22" i="34" s="1"/>
  <c r="N72" i="33"/>
  <c r="AD7" i="27"/>
  <c r="AL3" i="7"/>
  <c r="AL3" i="26"/>
  <c r="W137" i="33"/>
  <c r="W104" i="34" s="1"/>
  <c r="AB637" i="16"/>
  <c r="AE335" i="16"/>
  <c r="U659" i="16" s="1"/>
  <c r="AE33" i="16"/>
  <c r="U647" i="16" s="1"/>
  <c r="AK647" i="16"/>
  <c r="Q184" i="16"/>
  <c r="AF3" i="27"/>
  <c r="AH3" i="8"/>
  <c r="Y14" i="26"/>
  <c r="AB9" i="36"/>
  <c r="AB9" i="35" s="1"/>
  <c r="AB14" i="26"/>
  <c r="R42" i="34"/>
  <c r="V77" i="33"/>
  <c r="V42" i="34" s="1"/>
  <c r="W29" i="3"/>
  <c r="Z29" i="27"/>
  <c r="Z29" i="3" s="1"/>
  <c r="AE234" i="16"/>
  <c r="U655" i="16" s="1"/>
  <c r="I129" i="25"/>
  <c r="Y276" i="33" s="1"/>
  <c r="I150" i="25"/>
  <c r="Y292" i="33" s="1"/>
  <c r="M40" i="25"/>
  <c r="M44" i="25"/>
  <c r="M45" i="25"/>
  <c r="M47" i="25"/>
  <c r="M46" i="25"/>
  <c r="Z26" i="27"/>
  <c r="Q511" i="16"/>
  <c r="I87" i="25"/>
  <c r="Y242" i="33" s="1"/>
  <c r="Q663" i="16"/>
  <c r="AK663" i="16"/>
  <c r="I66" i="25"/>
  <c r="Y224" i="33" s="1"/>
  <c r="AK651" i="16"/>
  <c r="Q651" i="16"/>
  <c r="M25" i="25"/>
  <c r="M28" i="25"/>
  <c r="M26" i="25"/>
  <c r="I45" i="25"/>
  <c r="Y208" i="33" s="1"/>
  <c r="AE52" i="29"/>
  <c r="AE52" i="5" s="1"/>
  <c r="AE46" i="5"/>
  <c r="AE360" i="16"/>
  <c r="U660" i="16" s="1"/>
  <c r="AB410" i="16"/>
  <c r="M27" i="25"/>
  <c r="I108" i="25"/>
  <c r="Y258" i="33" s="1"/>
  <c r="M13" i="25"/>
  <c r="M14" i="25"/>
  <c r="M15" i="25"/>
  <c r="Z30" i="27"/>
  <c r="Z30" i="3" s="1"/>
  <c r="O30" i="3"/>
  <c r="X598" i="16"/>
  <c r="X607" i="16" s="1"/>
  <c r="Q360" i="16"/>
  <c r="AB561" i="16"/>
  <c r="M668" i="16" s="1"/>
  <c r="AB259" i="16"/>
  <c r="Q83" i="16"/>
  <c r="Q58" i="16"/>
  <c r="Q536" i="16"/>
  <c r="Q385" i="16"/>
  <c r="Q209" i="16"/>
  <c r="X280" i="16"/>
  <c r="X305" i="16" s="1"/>
  <c r="M669" i="16" l="1"/>
  <c r="J78" i="33"/>
  <c r="J43" i="34" s="1"/>
  <c r="M661" i="16"/>
  <c r="AK661" i="16" s="1"/>
  <c r="J69" i="33"/>
  <c r="J34" i="34" s="1"/>
  <c r="AG3" i="28"/>
  <c r="AF3" i="3"/>
  <c r="AJ3" i="27"/>
  <c r="AL3" i="8"/>
  <c r="AH6" i="8"/>
  <c r="AF7" i="27"/>
  <c r="Q652" i="16"/>
  <c r="AN6" i="29"/>
  <c r="AN6" i="5" s="1"/>
  <c r="AU6" i="30" s="1"/>
  <c r="AU6" i="6" s="1"/>
  <c r="AM6" i="4"/>
  <c r="AJ65" i="33"/>
  <c r="N30" i="34"/>
  <c r="M648" i="16"/>
  <c r="J54" i="33"/>
  <c r="AD7" i="3"/>
  <c r="AE6" i="28"/>
  <c r="V32" i="34"/>
  <c r="V72" i="33"/>
  <c r="F37" i="34"/>
  <c r="AH72" i="33"/>
  <c r="F81" i="33" s="1"/>
  <c r="F30" i="34"/>
  <c r="AH65" i="33"/>
  <c r="AG96" i="22"/>
  <c r="AG96" i="7" s="1"/>
  <c r="X83" i="34"/>
  <c r="M667" i="16"/>
  <c r="AK667" i="16" s="1"/>
  <c r="J76" i="33"/>
  <c r="J41" i="34" s="1"/>
  <c r="T57" i="34"/>
  <c r="X96" i="33"/>
  <c r="V63" i="33"/>
  <c r="R28" i="34"/>
  <c r="M649" i="16"/>
  <c r="AK649" i="16" s="1"/>
  <c r="J55" i="33"/>
  <c r="J20" i="34" s="1"/>
  <c r="U663" i="16"/>
  <c r="AJ72" i="33"/>
  <c r="N37" i="34"/>
  <c r="AE520" i="16"/>
  <c r="AE536" i="16" s="1"/>
  <c r="U667" i="16" s="1"/>
  <c r="AA536" i="16"/>
  <c r="V76" i="33" s="1"/>
  <c r="V41" i="34" s="1"/>
  <c r="AE14" i="5"/>
  <c r="AM15" i="30"/>
  <c r="AM15" i="6" s="1"/>
  <c r="M656" i="16"/>
  <c r="J63" i="33"/>
  <c r="J28" i="34" s="1"/>
  <c r="P44" i="25"/>
  <c r="N44" i="25" s="1"/>
  <c r="P40" i="25"/>
  <c r="O44" i="25"/>
  <c r="Q44" i="25" s="1"/>
  <c r="O40" i="25"/>
  <c r="Y16" i="27"/>
  <c r="AB14" i="8"/>
  <c r="Z14" i="5"/>
  <c r="AH15" i="30"/>
  <c r="AH15" i="6" s="1"/>
  <c r="R76" i="33"/>
  <c r="R41" i="34" s="1"/>
  <c r="Q667" i="16"/>
  <c r="Q665" i="16"/>
  <c r="R74" i="33"/>
  <c r="AL15" i="30"/>
  <c r="AL15" i="6" s="1"/>
  <c r="AD14" i="5"/>
  <c r="AK668" i="16"/>
  <c r="Q668" i="16"/>
  <c r="U668" i="16" s="1"/>
  <c r="M666" i="16"/>
  <c r="J75" i="33"/>
  <c r="R65" i="33"/>
  <c r="AG7" i="27"/>
  <c r="AI6" i="8"/>
  <c r="V58" i="33"/>
  <c r="AL58" i="33" s="1"/>
  <c r="AK72" i="33"/>
  <c r="R37" i="34"/>
  <c r="AF14" i="5"/>
  <c r="AN15" i="30"/>
  <c r="AN15" i="6" s="1"/>
  <c r="AE469" i="16"/>
  <c r="AE486" i="16" s="1"/>
  <c r="U665" i="16" s="1"/>
  <c r="AA486" i="16"/>
  <c r="V74" i="33" s="1"/>
  <c r="AG68" i="7"/>
  <c r="M653" i="16"/>
  <c r="J60" i="33"/>
  <c r="Q14" i="8"/>
  <c r="N16" i="27"/>
  <c r="S98" i="34"/>
  <c r="S141" i="33"/>
  <c r="S108" i="34" s="1"/>
  <c r="M657" i="16"/>
  <c r="J64" i="33"/>
  <c r="J29" i="34" s="1"/>
  <c r="M660" i="16"/>
  <c r="J68" i="33"/>
  <c r="V16" i="27"/>
  <c r="Y14" i="8"/>
  <c r="R16" i="27"/>
  <c r="U14" i="8"/>
  <c r="AF8" i="5"/>
  <c r="AM9" i="30"/>
  <c r="AM9" i="6" s="1"/>
  <c r="AE3" i="28"/>
  <c r="AD3" i="3"/>
  <c r="N81" i="33"/>
  <c r="O98" i="34"/>
  <c r="O141" i="33"/>
  <c r="O108" i="34" s="1"/>
  <c r="AG42" i="7"/>
  <c r="M654" i="16"/>
  <c r="AK654" i="16" s="1"/>
  <c r="J61" i="33"/>
  <c r="J26" i="34" s="1"/>
  <c r="M662" i="16"/>
  <c r="J70" i="33"/>
  <c r="J35" i="34" s="1"/>
  <c r="U651" i="16"/>
  <c r="U652" i="16" s="1"/>
  <c r="AC652" i="16" s="1"/>
  <c r="Z26" i="3"/>
  <c r="Z31" i="27"/>
  <c r="Z31" i="3" s="1"/>
  <c r="P8" i="25"/>
  <c r="AE24" i="30" s="1"/>
  <c r="N8" i="25"/>
  <c r="O8" i="25"/>
  <c r="P24" i="30" s="1"/>
  <c r="U15" i="28"/>
  <c r="V14" i="29" s="1"/>
  <c r="T16" i="3"/>
  <c r="U15" i="4" s="1"/>
  <c r="AK8" i="5"/>
  <c r="AQ9" i="30"/>
  <c r="AQ9" i="6" s="1"/>
  <c r="R58" i="33"/>
  <c r="AK58" i="33" s="1"/>
  <c r="W141" i="33"/>
  <c r="W108" i="34" s="1"/>
  <c r="W98" i="34"/>
  <c r="Z58" i="33" l="1"/>
  <c r="P40" i="30"/>
  <c r="Q40" i="25"/>
  <c r="X100" i="33"/>
  <c r="X64" i="34" s="1"/>
  <c r="X60" i="34"/>
  <c r="AF6" i="29"/>
  <c r="AF6" i="5" s="1"/>
  <c r="AM6" i="30" s="1"/>
  <c r="AM6" i="6" s="1"/>
  <c r="AE6" i="4"/>
  <c r="J33" i="34"/>
  <c r="J72" i="33"/>
  <c r="J25" i="34"/>
  <c r="J65" i="33"/>
  <c r="O15" i="28"/>
  <c r="P14" i="29" s="1"/>
  <c r="N16" i="3"/>
  <c r="O15" i="4" s="1"/>
  <c r="V14" i="5"/>
  <c r="AD15" i="30"/>
  <c r="AD15" i="6" s="1"/>
  <c r="AK660" i="16"/>
  <c r="M664" i="16"/>
  <c r="Y664" i="16" s="1"/>
  <c r="AK653" i="16"/>
  <c r="M658" i="16"/>
  <c r="Y658" i="16" s="1"/>
  <c r="AK65" i="33"/>
  <c r="R30" i="34"/>
  <c r="N40" i="25"/>
  <c r="AN40" i="30"/>
  <c r="P45" i="25"/>
  <c r="AF7" i="3"/>
  <c r="AG6" i="28"/>
  <c r="R16" i="3"/>
  <c r="S15" i="4" s="1"/>
  <c r="S15" i="28"/>
  <c r="T14" i="29" s="1"/>
  <c r="AL72" i="33"/>
  <c r="V37" i="34"/>
  <c r="O45" i="25"/>
  <c r="AH6" i="28"/>
  <c r="AG7" i="3"/>
  <c r="AK656" i="16"/>
  <c r="Q656" i="16"/>
  <c r="V28" i="34"/>
  <c r="V65" i="33"/>
  <c r="Q8" i="25"/>
  <c r="N24" i="30"/>
  <c r="N24" i="6" s="1"/>
  <c r="P24" i="6" s="1"/>
  <c r="AK662" i="16"/>
  <c r="Q662" i="16"/>
  <c r="Q657" i="16"/>
  <c r="AK657" i="16"/>
  <c r="J79" i="33"/>
  <c r="J40" i="34"/>
  <c r="R79" i="33"/>
  <c r="R39" i="34"/>
  <c r="V39" i="34"/>
  <c r="V79" i="33"/>
  <c r="AG3" i="4"/>
  <c r="AH3" i="29"/>
  <c r="AH3" i="5" s="1"/>
  <c r="AO3" i="30" s="1"/>
  <c r="AO3" i="6" s="1"/>
  <c r="AE24" i="6"/>
  <c r="AK666" i="16"/>
  <c r="M670" i="16"/>
  <c r="Y670" i="16" s="1"/>
  <c r="N9" i="25"/>
  <c r="J19" i="34"/>
  <c r="J23" i="34" s="1"/>
  <c r="J58" i="33"/>
  <c r="AI58" i="33" s="1"/>
  <c r="AK3" i="28"/>
  <c r="AJ3" i="3"/>
  <c r="Q669" i="16"/>
  <c r="Q670" i="16" s="1"/>
  <c r="AK669" i="16"/>
  <c r="Y16" i="3"/>
  <c r="Z15" i="4" s="1"/>
  <c r="Z15" i="28"/>
  <c r="AA14" i="29" s="1"/>
  <c r="AF3" i="29"/>
  <c r="AF3" i="5" s="1"/>
  <c r="AM3" i="30" s="1"/>
  <c r="AM3" i="6" s="1"/>
  <c r="AE3" i="4"/>
  <c r="W15" i="28"/>
  <c r="X14" i="29" s="1"/>
  <c r="V16" i="3"/>
  <c r="W15" i="4" s="1"/>
  <c r="AK648" i="16"/>
  <c r="M652" i="16"/>
  <c r="Y652" i="16" s="1"/>
  <c r="Y671" i="16" s="1"/>
  <c r="AG44" i="22" s="1"/>
  <c r="N40" i="30" l="1"/>
  <c r="N40" i="6" s="1"/>
  <c r="P40" i="6" s="1"/>
  <c r="AL65" i="33"/>
  <c r="V30" i="34"/>
  <c r="AF15" i="30"/>
  <c r="AF15" i="6" s="1"/>
  <c r="X14" i="5"/>
  <c r="AK79" i="33"/>
  <c r="R81" i="33" s="1"/>
  <c r="R46" i="34" s="1"/>
  <c r="R44" i="34"/>
  <c r="J44" i="34"/>
  <c r="AI79" i="33"/>
  <c r="AB15" i="30"/>
  <c r="AB15" i="6" s="1"/>
  <c r="T14" i="5"/>
  <c r="X15" i="30"/>
  <c r="X15" i="6" s="1"/>
  <c r="P14" i="5"/>
  <c r="AI15" i="30"/>
  <c r="AI15" i="6" s="1"/>
  <c r="AA14" i="5"/>
  <c r="P9" i="25"/>
  <c r="AE25" i="30" s="1"/>
  <c r="Q9" i="25"/>
  <c r="N25" i="30"/>
  <c r="N25" i="6" s="1"/>
  <c r="P25" i="6" s="1"/>
  <c r="O9" i="25"/>
  <c r="P25" i="30" s="1"/>
  <c r="N10" i="25"/>
  <c r="U656" i="16"/>
  <c r="Q658" i="16"/>
  <c r="J30" i="34"/>
  <c r="AI65" i="33"/>
  <c r="J81" i="33" s="1"/>
  <c r="J46" i="34" s="1"/>
  <c r="AL3" i="29"/>
  <c r="AL3" i="5" s="1"/>
  <c r="AS3" i="30" s="1"/>
  <c r="AS3" i="6" s="1"/>
  <c r="AK3" i="4"/>
  <c r="U657" i="16"/>
  <c r="AH6" i="29"/>
  <c r="AH6" i="5" s="1"/>
  <c r="AO6" i="30" s="1"/>
  <c r="AO6" i="6" s="1"/>
  <c r="AG6" i="4"/>
  <c r="AG44" i="7"/>
  <c r="AG46" i="22"/>
  <c r="AL79" i="33"/>
  <c r="V44" i="34"/>
  <c r="U662" i="16"/>
  <c r="U664" i="16" s="1"/>
  <c r="AC664" i="16" s="1"/>
  <c r="Z72" i="33" s="1"/>
  <c r="Q664" i="16"/>
  <c r="AI72" i="33"/>
  <c r="J37" i="34"/>
  <c r="U669" i="16"/>
  <c r="U670" i="16" s="1"/>
  <c r="AC670" i="16" s="1"/>
  <c r="Z79" i="33" s="1"/>
  <c r="AI6" i="29"/>
  <c r="AI6" i="5" s="1"/>
  <c r="AP6" i="30" s="1"/>
  <c r="AP6" i="6" s="1"/>
  <c r="AH6" i="4"/>
  <c r="AN41" i="30"/>
  <c r="AN41" i="6" s="1"/>
  <c r="N45" i="25"/>
  <c r="N41" i="30" s="1"/>
  <c r="N41" i="6" s="1"/>
  <c r="P41" i="6" s="1"/>
  <c r="P46" i="25"/>
  <c r="O46" i="25"/>
  <c r="AM58" i="33"/>
  <c r="Z23" i="34"/>
  <c r="Q45" i="25"/>
  <c r="P41" i="30"/>
  <c r="AN40" i="6"/>
  <c r="AM79" i="33" l="1"/>
  <c r="Z44" i="34"/>
  <c r="U658" i="16"/>
  <c r="AC658" i="16" s="1"/>
  <c r="Q46" i="25"/>
  <c r="P42" i="30"/>
  <c r="P10" i="25"/>
  <c r="AE26" i="30" s="1"/>
  <c r="AE26" i="6" s="1"/>
  <c r="O10" i="25"/>
  <c r="P26" i="30" s="1"/>
  <c r="N26" i="30"/>
  <c r="N26" i="6" s="1"/>
  <c r="P26" i="6" s="1"/>
  <c r="Q10" i="25"/>
  <c r="N11" i="25"/>
  <c r="N12" i="25" s="1"/>
  <c r="AN42" i="30"/>
  <c r="N46" i="25"/>
  <c r="N42" i="30" s="1"/>
  <c r="N42" i="6" s="1"/>
  <c r="P42" i="6" s="1"/>
  <c r="P47" i="25"/>
  <c r="O47" i="25"/>
  <c r="AM72" i="33"/>
  <c r="Z37" i="34"/>
  <c r="V81" i="33"/>
  <c r="V46" i="34" s="1"/>
  <c r="AE25" i="6"/>
  <c r="AG50" i="22"/>
  <c r="AG46" i="7"/>
  <c r="P12" i="25" l="1"/>
  <c r="AE28" i="30" s="1"/>
  <c r="AE28" i="6" s="1"/>
  <c r="Q12" i="25"/>
  <c r="N28" i="30"/>
  <c r="N28" i="6" s="1"/>
  <c r="P28" i="6" s="1"/>
  <c r="O12" i="25"/>
  <c r="P28" i="30" s="1"/>
  <c r="N13" i="25"/>
  <c r="AN43" i="30"/>
  <c r="AN43" i="6" s="1"/>
  <c r="N47" i="25"/>
  <c r="N43" i="30" s="1"/>
  <c r="N43" i="6" s="1"/>
  <c r="P43" i="6" s="1"/>
  <c r="AG56" i="22"/>
  <c r="AG50" i="7"/>
  <c r="AN42" i="6"/>
  <c r="P43" i="30"/>
  <c r="Q47" i="25"/>
  <c r="Z65" i="33"/>
  <c r="AC671" i="16"/>
  <c r="P11" i="25"/>
  <c r="AE27" i="30" s="1"/>
  <c r="AE27" i="6" s="1"/>
  <c r="N27" i="30"/>
  <c r="N27" i="6" s="1"/>
  <c r="P27" i="6" s="1"/>
  <c r="Q11" i="25"/>
  <c r="O11" i="25"/>
  <c r="P27" i="30" s="1"/>
  <c r="AN50" i="30" l="1"/>
  <c r="AN50" i="6" s="1"/>
  <c r="C25" i="28"/>
  <c r="C25" i="4" s="1"/>
  <c r="L25" i="28"/>
  <c r="L25" i="4" s="1"/>
  <c r="Z25" i="28"/>
  <c r="AF25" i="28"/>
  <c r="R25" i="28"/>
  <c r="R25" i="4" s="1"/>
  <c r="AG71" i="22"/>
  <c r="AG60" i="22"/>
  <c r="AG60" i="7" s="1"/>
  <c r="AG56" i="7"/>
  <c r="Z30" i="34"/>
  <c r="AM65" i="33"/>
  <c r="Z81" i="33" s="1"/>
  <c r="Z46" i="34" s="1"/>
  <c r="N29" i="30"/>
  <c r="N29" i="6" s="1"/>
  <c r="P29" i="6" s="1"/>
  <c r="O13" i="25"/>
  <c r="P29" i="30" s="1"/>
  <c r="P13" i="25"/>
  <c r="AE29" i="30" s="1"/>
  <c r="AE29" i="6" s="1"/>
  <c r="Q13" i="25"/>
  <c r="N14" i="25"/>
  <c r="Q14" i="25" l="1"/>
  <c r="N30" i="30"/>
  <c r="N30" i="6" s="1"/>
  <c r="P30" i="6" s="1"/>
  <c r="P14" i="25"/>
  <c r="AE30" i="30" s="1"/>
  <c r="O14" i="25"/>
  <c r="P30" i="30" s="1"/>
  <c r="N15" i="25"/>
  <c r="AG71" i="7"/>
  <c r="AG73" i="22"/>
  <c r="AF25" i="4"/>
  <c r="AF26" i="28"/>
  <c r="R26" i="28"/>
  <c r="Z25" i="4"/>
  <c r="L26" i="28"/>
  <c r="L26" i="4" s="1"/>
  <c r="C26" i="28"/>
  <c r="V27" i="28" l="1"/>
  <c r="V27" i="4" s="1"/>
  <c r="C27" i="28"/>
  <c r="C26" i="4"/>
  <c r="L27" i="28"/>
  <c r="L27" i="4" s="1"/>
  <c r="AG73" i="7"/>
  <c r="I75" i="22"/>
  <c r="I75" i="7" s="1"/>
  <c r="I73" i="22"/>
  <c r="I73" i="7" s="1"/>
  <c r="J100" i="22"/>
  <c r="AG85" i="22"/>
  <c r="V26" i="28"/>
  <c r="V26" i="4" s="1"/>
  <c r="P15" i="25"/>
  <c r="AE31" i="30" s="1"/>
  <c r="AE31" i="6" s="1"/>
  <c r="Q15" i="25"/>
  <c r="O15" i="25"/>
  <c r="P31" i="30" s="1"/>
  <c r="N31" i="30"/>
  <c r="N31" i="6" s="1"/>
  <c r="P31" i="6" s="1"/>
  <c r="N16" i="25"/>
  <c r="R26" i="4"/>
  <c r="R27" i="28"/>
  <c r="R27" i="4" s="1"/>
  <c r="AE30" i="6"/>
  <c r="AF27" i="28"/>
  <c r="AF26" i="4"/>
  <c r="Z26" i="28"/>
  <c r="Z26" i="4" s="1"/>
  <c r="P16" i="25" l="1"/>
  <c r="AE32" i="30" s="1"/>
  <c r="AE32" i="6" s="1"/>
  <c r="Q16" i="25"/>
  <c r="O16" i="25"/>
  <c r="P32" i="30" s="1"/>
  <c r="N32" i="30"/>
  <c r="N32" i="6" s="1"/>
  <c r="P32" i="6" s="1"/>
  <c r="N17" i="25"/>
  <c r="J100" i="7"/>
  <c r="AA100" i="22"/>
  <c r="AA100" i="7" s="1"/>
  <c r="AF27" i="4"/>
  <c r="AF28" i="28"/>
  <c r="R28" i="28"/>
  <c r="R28" i="4" s="1"/>
  <c r="V28" i="28"/>
  <c r="V28" i="4" s="1"/>
  <c r="C27" i="4"/>
  <c r="C28" i="28"/>
  <c r="L28" i="28"/>
  <c r="L28" i="4" s="1"/>
  <c r="Z27" i="28"/>
  <c r="Z27" i="4" s="1"/>
  <c r="AG85" i="7"/>
  <c r="J85" i="22"/>
  <c r="J85" i="7" s="1"/>
  <c r="J87" i="22"/>
  <c r="J87" i="7" s="1"/>
  <c r="O17" i="25" l="1"/>
  <c r="P33" i="30" s="1"/>
  <c r="P17" i="25"/>
  <c r="AE33" i="30" s="1"/>
  <c r="Q17" i="25"/>
  <c r="N33" i="30"/>
  <c r="N33" i="6" s="1"/>
  <c r="P33" i="6" s="1"/>
  <c r="N18" i="25"/>
  <c r="Z28" i="28"/>
  <c r="Z28" i="4" s="1"/>
  <c r="C28" i="4"/>
  <c r="AF28" i="4"/>
  <c r="AF40" i="28"/>
  <c r="AF40" i="4" s="1"/>
  <c r="P18" i="25" l="1"/>
  <c r="O18" i="25"/>
  <c r="Q18" i="25"/>
  <c r="N19" i="25"/>
  <c r="AE33" i="6"/>
  <c r="AE34" i="30"/>
  <c r="AE34" i="6" s="1"/>
  <c r="O19" i="25" l="1"/>
  <c r="P19" i="25"/>
  <c r="Q19" i="25"/>
  <c r="N20" i="25"/>
  <c r="Q20" i="25" l="1"/>
  <c r="O20" i="25"/>
  <c r="P20" i="25"/>
  <c r="N21" i="25"/>
  <c r="Q21" i="25" l="1"/>
  <c r="O21" i="25"/>
  <c r="P21" i="25"/>
  <c r="N22" i="25"/>
  <c r="O22" i="25" l="1"/>
  <c r="Q22" i="25"/>
  <c r="P22" i="25"/>
  <c r="N23" i="25"/>
  <c r="O23" i="25" l="1"/>
  <c r="Q23" i="25"/>
  <c r="P23" i="25"/>
  <c r="N24" i="25"/>
  <c r="O24" i="25" l="1"/>
  <c r="Q24" i="25"/>
  <c r="P24" i="25"/>
  <c r="N25" i="25"/>
  <c r="Q25" i="25" l="1"/>
  <c r="P25" i="25"/>
  <c r="O25" i="25"/>
  <c r="N26" i="25"/>
  <c r="Q26" i="25" l="1"/>
  <c r="O26" i="25"/>
  <c r="P26" i="25"/>
  <c r="N27" i="25"/>
  <c r="O27" i="25" l="1"/>
  <c r="P27" i="25"/>
  <c r="Q27" i="25"/>
  <c r="N28" i="25"/>
  <c r="P28" i="25" l="1"/>
  <c r="Q28" i="25"/>
  <c r="O28" i="25"/>
  <c r="N29" i="25"/>
  <c r="O29" i="25" l="1"/>
  <c r="P29" i="25"/>
  <c r="Q29" i="25"/>
  <c r="N30" i="25"/>
  <c r="O30" i="25" l="1"/>
  <c r="Q30" i="25"/>
  <c r="P30" i="25"/>
  <c r="N31" i="25"/>
  <c r="P31" i="25" l="1"/>
  <c r="O31" i="25"/>
  <c r="Q31" i="25"/>
  <c r="N32" i="25"/>
  <c r="O32" i="25" l="1"/>
  <c r="Q32" i="25"/>
  <c r="P32" i="25"/>
  <c r="N33" i="25"/>
  <c r="P33" i="25" l="1"/>
  <c r="Q33" i="25"/>
  <c r="O33" i="25"/>
  <c r="N34" i="25"/>
  <c r="P34" i="25" l="1"/>
  <c r="O34" i="25"/>
  <c r="Q34" i="25"/>
  <c r="N35" i="25"/>
  <c r="P35" i="25" l="1"/>
  <c r="O35" i="25"/>
  <c r="Q35" i="25"/>
  <c r="N36" i="25"/>
  <c r="Q36" i="25" l="1"/>
  <c r="P36" i="25"/>
  <c r="O36" i="25"/>
  <c r="N37" i="25"/>
  <c r="P37" i="25" l="1"/>
  <c r="O37" i="25"/>
  <c r="Q37" i="25"/>
  <c r="N38" i="25"/>
  <c r="O38" i="25" l="1"/>
  <c r="Q38" i="25"/>
  <c r="P38" i="25"/>
  <c r="N41" i="25"/>
  <c r="P41" i="25" l="1"/>
  <c r="Q41" i="25"/>
  <c r="O41" i="25"/>
  <c r="N42" i="25"/>
  <c r="Q42" i="25" l="1"/>
  <c r="P42" i="25"/>
  <c r="O42" i="25"/>
</calcChain>
</file>

<file path=xl/comments1.xml><?xml version="1.0" encoding="utf-8"?>
<comments xmlns="http://schemas.openxmlformats.org/spreadsheetml/2006/main">
  <authors>
    <author>Windows User</author>
  </authors>
  <commentList>
    <comment ref="B12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37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62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H87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M112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B163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188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213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H238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M263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B314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339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364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H389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M414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B465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490" authorId="0" shapeId="0">
      <text>
        <r>
          <rPr>
            <b/>
            <sz val="9"/>
            <color indexed="81"/>
            <rFont val="Tahoma"/>
            <family val="2"/>
          </rPr>
          <t xml:space="preserve">Note on the input format:
</t>
        </r>
        <r>
          <rPr>
            <sz val="9"/>
            <color indexed="81"/>
            <rFont val="Tahoma"/>
            <family val="2"/>
          </rPr>
          <t>1) for daily rates: dd/mm/yy, e.g. 01/10/13
2) for monthly average rates: avgMmmyy, e.g. avgJan13, avgFeb13
3) for accumulated average rates, e.g. JanMar13, MarDec13</t>
        </r>
      </text>
    </comment>
    <comment ref="B515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H540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  <comment ref="M565" authorId="0" shapeId="0">
      <text>
        <r>
          <rPr>
            <b/>
            <sz val="9"/>
            <color indexed="81"/>
            <rFont val="Tahoma"/>
            <family val="2"/>
          </rPr>
          <t>Note on the input format:</t>
        </r>
        <r>
          <rPr>
            <sz val="9"/>
            <color indexed="81"/>
            <rFont val="Tahoma"/>
            <family val="2"/>
          </rPr>
          <t xml:space="preserve">
1) for daily rates: dd/mm/yy, e.g. 01/10/13
2) for monthly average rates: avgMmmyy, e.g. avgJan13, avgFeb13
3) for accumulated average rates, e.g. JanMar13, MarDec13</t>
        </r>
      </text>
    </comment>
  </commentList>
</comments>
</file>

<file path=xl/sharedStrings.xml><?xml version="1.0" encoding="utf-8"?>
<sst xmlns="http://schemas.openxmlformats.org/spreadsheetml/2006/main" count="3137" uniqueCount="1440">
  <si>
    <t>FORMULIR</t>
  </si>
  <si>
    <t xml:space="preserve">1770 </t>
  </si>
  <si>
    <t>SPT  TAHUNAN PPh WAJIB PAJAK ORANG PRIBADI</t>
  </si>
  <si>
    <t>TAHUN PAJAK</t>
  </si>
  <si>
    <t>BL</t>
  </si>
  <si>
    <t>TH</t>
  </si>
  <si>
    <t>•</t>
  </si>
  <si>
    <t>s.d</t>
  </si>
  <si>
    <t>DIREKTORAT JENDERAL PAJAK</t>
  </si>
  <si>
    <t>PEMBUKUAN</t>
  </si>
  <si>
    <t>BERI TANDA " X " DALAM</t>
  </si>
  <si>
    <t>IDENTITAS</t>
  </si>
  <si>
    <t xml:space="preserve">NPWP                                                    </t>
  </si>
  <si>
    <t>:</t>
  </si>
  <si>
    <t xml:space="preserve">NAMA WAJIB PAJAK                             </t>
  </si>
  <si>
    <t>KLU :</t>
  </si>
  <si>
    <t>/</t>
  </si>
  <si>
    <t>A. PENGHASILAN NETO</t>
  </si>
  <si>
    <t>1.</t>
  </si>
  <si>
    <t>2.</t>
  </si>
  <si>
    <t>3.</t>
  </si>
  <si>
    <t>4.</t>
  </si>
  <si>
    <t>5.</t>
  </si>
  <si>
    <t>…………………………………………………………………………………………………………………………..</t>
  </si>
  <si>
    <t>6.</t>
  </si>
  <si>
    <t>7.</t>
  </si>
  <si>
    <t>B. PENGHASILAN KENA PAJAK</t>
  </si>
  <si>
    <t>8.</t>
  </si>
  <si>
    <t>9.</t>
  </si>
  <si>
    <t>10.</t>
  </si>
  <si>
    <t>PENGHASILAN TIDAK KENA PAJAK</t>
  </si>
  <si>
    <t>11.</t>
  </si>
  <si>
    <t>C. PPh TERUTANG</t>
  </si>
  <si>
    <t>12.</t>
  </si>
  <si>
    <t>13.</t>
  </si>
  <si>
    <t>14.</t>
  </si>
  <si>
    <t>D. KREDIT PAJAK</t>
  </si>
  <si>
    <t>15.</t>
  </si>
  <si>
    <t>16.</t>
  </si>
  <si>
    <t>a.</t>
  </si>
  <si>
    <t xml:space="preserve">PPh YANG HARUS DIBAYAR SENDIRI   </t>
  </si>
  <si>
    <t>b.</t>
  </si>
  <si>
    <t>PPh YANG LEBIH DIPOTONG/DIPUNGUT</t>
  </si>
  <si>
    <t>17.</t>
  </si>
  <si>
    <t xml:space="preserve">PPh YANG DIBAYAR SENDIRI </t>
  </si>
  <si>
    <t xml:space="preserve">PPh PASAL 25 BULANAN </t>
  </si>
  <si>
    <t>c.</t>
  </si>
  <si>
    <t>d.</t>
  </si>
  <si>
    <t>18.</t>
  </si>
  <si>
    <t>19.</t>
  </si>
  <si>
    <t>PPh YANG KURANG DIBAYAR (PPh PASAL 29)</t>
  </si>
  <si>
    <t>(16-18)</t>
  </si>
  <si>
    <t xml:space="preserve"> TGL LUNAS</t>
  </si>
  <si>
    <t>PPh YANG LEBIH DIBAYAR (PPh PASAL 28 A)</t>
  </si>
  <si>
    <t>20.</t>
  </si>
  <si>
    <t>DIRESTITUSIKAN</t>
  </si>
  <si>
    <t>F. ANGSURAN PPh PASAL 25 TAHUN PAJAK BERIKUTNYA</t>
  </si>
  <si>
    <t>21.</t>
  </si>
  <si>
    <t>ANGSURAN PPh PASAL 25 TAHUN PAJAK BERIKUTNYA DIHITUNG SEBESAR</t>
  </si>
  <si>
    <t>DIHITUNG BERDASARKAN :</t>
  </si>
  <si>
    <t>G. LAMPIRAN</t>
  </si>
  <si>
    <t>SURAT KUASA KHUSUS (BILA DIKUASAKAN)</t>
  </si>
  <si>
    <t>PERHITUNGAN KOMPENSASI KERUGIAN FISKAL</t>
  </si>
  <si>
    <t>PERNYATAAN</t>
  </si>
  <si>
    <t>Dengan menyadari sepenuhnya akan segala akibatnya termasuk sanksi-sanksi sesuai dengan ketentuan perundang-undangan yang berlaku, saya menyatakan bahwa apa yang telah saya beritahukan di atas beserta lampiran-lampirannya adalah benar, lengkap dan jelas.</t>
  </si>
  <si>
    <t>TANDA TANGAN</t>
  </si>
  <si>
    <t>WAJIB PAJAK</t>
  </si>
  <si>
    <t>KUASA</t>
  </si>
  <si>
    <t>TANGGAL:</t>
  </si>
  <si>
    <t>-</t>
  </si>
  <si>
    <t>F.1.1.32.16</t>
  </si>
  <si>
    <t>LAMPIRAN - I</t>
  </si>
  <si>
    <t xml:space="preserve">1770 - I </t>
  </si>
  <si>
    <t xml:space="preserve"> PERHATIAN:</t>
  </si>
  <si>
    <t xml:space="preserve">BERI TANDA " X " DALAM </t>
  </si>
  <si>
    <t>BAGIAN A:</t>
  </si>
  <si>
    <t>PEMBUKUAN / LAPORAN KEUANGAN</t>
  </si>
  <si>
    <t>DIAUDIT</t>
  </si>
  <si>
    <t xml:space="preserve">OPINI AKUNTAN : </t>
  </si>
  <si>
    <t>TIDAK DIAUDIT</t>
  </si>
  <si>
    <t>NAMA AKUNTAN PUBLIK</t>
  </si>
  <si>
    <t>NPWP AKUNTAN PUBLIK</t>
  </si>
  <si>
    <t>NAMA KANTOR AKUNTAN PUBLIK</t>
  </si>
  <si>
    <t>NPWP KANTOR AKUNTAN PUBLIK</t>
  </si>
  <si>
    <t xml:space="preserve">NAMA KONSULTAN PAJAK </t>
  </si>
  <si>
    <t>NPWP KONSULTAN PAJAK</t>
  </si>
  <si>
    <t xml:space="preserve">NAMA KANTOR KONSULTAN PAJAK </t>
  </si>
  <si>
    <t>NPWP KANTOR KONSULTAN PAJAK</t>
  </si>
  <si>
    <t>1a</t>
  </si>
  <si>
    <t>1b</t>
  </si>
  <si>
    <t>1c</t>
  </si>
  <si>
    <t>1d</t>
  </si>
  <si>
    <t>e.</t>
  </si>
  <si>
    <t>1e</t>
  </si>
  <si>
    <t>PENYESUAIAN FISKAL POSITIF</t>
  </si>
  <si>
    <t>2a</t>
  </si>
  <si>
    <t>2b</t>
  </si>
  <si>
    <t>2c</t>
  </si>
  <si>
    <t>2d</t>
  </si>
  <si>
    <t>2e</t>
  </si>
  <si>
    <t>f.</t>
  </si>
  <si>
    <t>2f</t>
  </si>
  <si>
    <t>g.</t>
  </si>
  <si>
    <t>2g</t>
  </si>
  <si>
    <t>h.</t>
  </si>
  <si>
    <t>2h</t>
  </si>
  <si>
    <t>i.</t>
  </si>
  <si>
    <t>2i</t>
  </si>
  <si>
    <t>j.</t>
  </si>
  <si>
    <t>2j</t>
  </si>
  <si>
    <t>k.</t>
  </si>
  <si>
    <t>2k</t>
  </si>
  <si>
    <t>l.</t>
  </si>
  <si>
    <t>2l</t>
  </si>
  <si>
    <t>PENYESUAIAN FISKAL NEGATIF:</t>
  </si>
  <si>
    <t>3a</t>
  </si>
  <si>
    <t>3b</t>
  </si>
  <si>
    <t>3c</t>
  </si>
  <si>
    <t>3d</t>
  </si>
  <si>
    <t>HALAMAN 2</t>
  </si>
  <si>
    <t>1770 - I</t>
  </si>
  <si>
    <t>PERHATIAN :</t>
  </si>
  <si>
    <t xml:space="preserve">BAGIAN B: </t>
  </si>
  <si>
    <t>NO.</t>
  </si>
  <si>
    <t>JENIS USAHA</t>
  </si>
  <si>
    <t>PEREDARAN USAHA                                                                                                                     (Rupiah)</t>
  </si>
  <si>
    <t>NORMA                                 (%)</t>
  </si>
  <si>
    <t>PENGHASILAN NETO                                               (Rupiah)</t>
  </si>
  <si>
    <t>(1)</t>
  </si>
  <si>
    <t>(2)</t>
  </si>
  <si>
    <t>(3)</t>
  </si>
  <si>
    <t>(4)</t>
  </si>
  <si>
    <t>(5)</t>
  </si>
  <si>
    <t>DAGANG</t>
  </si>
  <si>
    <t>INDUSTRI</t>
  </si>
  <si>
    <t>JASA</t>
  </si>
  <si>
    <t>PEKERJAAN BEBAS</t>
  </si>
  <si>
    <t>USAHA LAINNYA</t>
  </si>
  <si>
    <t>JUMLAH BAGIAN B</t>
  </si>
  <si>
    <t>JBB</t>
  </si>
  <si>
    <t>BAGIAN C :</t>
  </si>
  <si>
    <t>JENIS PENGHASILAN</t>
  </si>
  <si>
    <t>BUNGA</t>
  </si>
  <si>
    <t>ROYALTI</t>
  </si>
  <si>
    <t>SEWA</t>
  </si>
  <si>
    <t>PENGHARGAAN DAN HADIAH</t>
  </si>
  <si>
    <t>PENGHASILAN LAINNYA</t>
  </si>
  <si>
    <t>1770 - II</t>
  </si>
  <si>
    <t>LAMPIRAN - II</t>
  </si>
  <si>
    <t>SPT TAHUNAN PPh WAJIB PAJAK ORANG PRIBADI</t>
  </si>
  <si>
    <t>BAGIAN A :</t>
  </si>
  <si>
    <t>NO</t>
  </si>
  <si>
    <t>NAMA  PEMOTONG/PEMUNGUT PAJAK</t>
  </si>
  <si>
    <t>(6)</t>
  </si>
  <si>
    <t>JUMLAH BAGIAN A</t>
  </si>
  <si>
    <t>JBA</t>
  </si>
  <si>
    <t>*)</t>
  </si>
  <si>
    <t>DTP</t>
  </si>
  <si>
    <t>=</t>
  </si>
  <si>
    <t>PPh Ditanggung Pemerintah</t>
  </si>
  <si>
    <t>LAMPIRAN - III</t>
  </si>
  <si>
    <t xml:space="preserve">PENJUALAN SAHAM DI BURSA EFEK </t>
  </si>
  <si>
    <t xml:space="preserve">HADIAH UNDIAN  </t>
  </si>
  <si>
    <t xml:space="preserve">HONORARIUM ATAS BEBAN APBN / APBD </t>
  </si>
  <si>
    <t xml:space="preserve">BANGUNAN YANG DITERIMA DALAM RANGKA BANGUNAN GUNA SERAH </t>
  </si>
  <si>
    <t xml:space="preserve">USAHA JASA KONSTRUKSI </t>
  </si>
  <si>
    <t>BAGIAN B :</t>
  </si>
  <si>
    <t>PENGHASILAN YANG TIDAK TERMASUK OBJEK PAJAK</t>
  </si>
  <si>
    <t>BANTUAN / SUMBANGAN / HIBAH</t>
  </si>
  <si>
    <t>WARISAN</t>
  </si>
  <si>
    <t xml:space="preserve">KLAIM ASURANSI KESEHATAN, KECELAKAAN, JIWA, DWIGUNA, BEASISWA </t>
  </si>
  <si>
    <t>PENGHASILAN LAIN YANG TIDAK TERMASUK OBJEK PAJAK</t>
  </si>
  <si>
    <t>(Rupiah)</t>
  </si>
  <si>
    <t>1770 - IV</t>
  </si>
  <si>
    <t>LAMPIRAN - IV</t>
  </si>
  <si>
    <t>TAHUN PEROLEHAN</t>
  </si>
  <si>
    <t>HARGA PEROLEHAN                                                                                                                                                                                                        (Rupiah)</t>
  </si>
  <si>
    <t>KETERANGAN</t>
  </si>
  <si>
    <t>NAMA PEMBERI PINJAMAN</t>
  </si>
  <si>
    <t>ALAMAT PEMBERI PINJAMAN</t>
  </si>
  <si>
    <t>TAHUN PEMINJAMAN</t>
  </si>
  <si>
    <t>JUMLAH                                                                                                                                                                                                      (Rupiah)</t>
  </si>
  <si>
    <t>JIKA FORMULIR INI TIDAK MENCUKUPI, DAPAT DIBUAT SENDIRI SESUAI DENGAN BENTUK INI</t>
  </si>
  <si>
    <t>15 dst</t>
  </si>
  <si>
    <t>Halaman ke-</t>
  </si>
  <si>
    <t xml:space="preserve">dari </t>
  </si>
  <si>
    <t>Halaman ke -</t>
  </si>
  <si>
    <r>
      <t xml:space="preserve">JUMLAH PENGHASILAN NETO </t>
    </r>
    <r>
      <rPr>
        <b/>
        <sz val="9"/>
        <rFont val="Arial"/>
        <family val="2"/>
      </rPr>
      <t>(1 + 2 + 3 + 4)</t>
    </r>
  </si>
  <si>
    <t xml:space="preserve">KOMPENSASI KERUGIAN </t>
  </si>
  <si>
    <r>
      <t>JUMLAH PENGHASILAN NETO SETELAH KOMPENSASI KERUGIAN</t>
    </r>
    <r>
      <rPr>
        <b/>
        <sz val="9"/>
        <rFont val="Arial"/>
        <family val="2"/>
      </rPr>
      <t xml:space="preserve"> (7 - 8)</t>
    </r>
  </si>
  <si>
    <r>
      <t xml:space="preserve">PENGHASILAN KENA PAJAK </t>
    </r>
    <r>
      <rPr>
        <b/>
        <sz val="9"/>
        <rFont val="Arial"/>
        <family val="2"/>
      </rPr>
      <t xml:space="preserve">(9 -10) </t>
    </r>
    <r>
      <rPr>
        <sz val="9"/>
        <rFont val="Arial"/>
        <family val="2"/>
      </rPr>
      <t xml:space="preserve"> </t>
    </r>
  </si>
  <si>
    <t xml:space="preserve">PENGEMBALIAN/PENGURANGAN PPh PASAL 24 YANG TELAH DIKREDITKAN </t>
  </si>
  <si>
    <r>
      <t xml:space="preserve">JUMLAH PPh TERUTANG </t>
    </r>
    <r>
      <rPr>
        <b/>
        <sz val="9"/>
        <rFont val="Arial"/>
        <family val="2"/>
      </rPr>
      <t xml:space="preserve">( 12 + 13) </t>
    </r>
  </si>
  <si>
    <t xml:space="preserve"> (14-15) </t>
  </si>
  <si>
    <t xml:space="preserve">STP PPh PASAL 25  (HANYA POKOK PAJAK)  </t>
  </si>
  <si>
    <t>PEREDARAN USAHA</t>
  </si>
  <si>
    <t xml:space="preserve">HARGA POKOK PENJUALAN </t>
  </si>
  <si>
    <t xml:space="preserve">LABA/RUGI BRUTO USAHA (1a - 1b) </t>
  </si>
  <si>
    <t xml:space="preserve">BIAYA USAHA  </t>
  </si>
  <si>
    <t xml:space="preserve">PENGHASILAN NETO (1c - 1d)  </t>
  </si>
  <si>
    <t xml:space="preserve">BIAYA YANG DIBEBANKAN/DIKELUARKAN UNTUK KEPENTINGAN PRIBADI WAJIB PAJAK ATAU ORANG YANG MENJADI TANGGUNGANNYA  </t>
  </si>
  <si>
    <t xml:space="preserve">PREMI ASURANSI KESEHATAN, ASURANSI KECELAKAAN, ASURANSI JIWA, ASURANSI DWIGUNA, DAN ASURANSI BEASISWA YANG DIBAYAR OLEH WAJIB PAJAK  </t>
  </si>
  <si>
    <t xml:space="preserve">PENGGANTIAN ATAU IMBALAN SEHUBUNGAN DENGAN PEKERJAAN ATAU JASA YANG DIBERIKAN DALAM BENTUK NATURA ATAU KENIKMATAN  </t>
  </si>
  <si>
    <t xml:space="preserve">JUMLAH YANG MELEBIHI KEWAJARAN YANG DIBAYARKAN KEPADA PIHAK YANG MEMPUNYAI HUBUNGAN ISTIMEWA SEHUBUNGAN DENGAN PEKERJAAN YANG DILAKUKAN </t>
  </si>
  <si>
    <t xml:space="preserve">HARTA YANG DIHIBAHKAN, BANTUAN ATAU SUMBANGAN </t>
  </si>
  <si>
    <t xml:space="preserve">PAJAK PENGHASILAN  </t>
  </si>
  <si>
    <t xml:space="preserve">GAJI YANG DIBAYARKAN KEPADA PEMILIK / ORANG YANG MENJADI TANGGUNGANNYA </t>
  </si>
  <si>
    <t xml:space="preserve">SANKSI ADMINISTRASI  </t>
  </si>
  <si>
    <t xml:space="preserve">SELISIH PENYUSUTAN/AMORTISASI KOMERSIAL DIATAS PENYUSUTAN/ AMORTISASI                                                          FISKAL  </t>
  </si>
  <si>
    <t xml:space="preserve">BIAYA UNTUK MENDAPATKAN, MENAGIH DAN MEMELIHARA PENGHASILAN YANG DIKENAKAN PPh FINAL DAN PENGHASILAN YANG TIDAK TERMASUK OBJEK PAJAK </t>
  </si>
  <si>
    <r>
      <t xml:space="preserve">PENYESUAIAN FISKAL POSITIF LAINNYA </t>
    </r>
    <r>
      <rPr>
        <sz val="7"/>
        <rFont val="Arial"/>
        <family val="2"/>
      </rPr>
      <t xml:space="preserve"> </t>
    </r>
  </si>
  <si>
    <t xml:space="preserve">JUMLAH (2a s.d. 2k)  </t>
  </si>
  <si>
    <t xml:space="preserve">PENGHASILAN YANG DIKENAKAN PPh FINAL DAN PENGHASILAN YANG TIDAK TERMASUK OBJEK PAJAK TETAPI TERMASUK DALAM PEREDARAN USAHA  </t>
  </si>
  <si>
    <t xml:space="preserve">SELISIH PENYUSUTAN / AMORTISASI KOMERSIAL DI BAWAH PENYUSUTAN AMORTISASI FISKAL  </t>
  </si>
  <si>
    <t xml:space="preserve">PENYESUAIAN FISKAL NEGATIF LAINNYA  </t>
  </si>
  <si>
    <t xml:space="preserve">JUMLAH (3a s.d. 3c)  </t>
  </si>
  <si>
    <t xml:space="preserve">JUMLAH BAGIAN A (1e + 2l - 3d) </t>
  </si>
  <si>
    <t>Pindahkan Jumlah Bagian A (angka 4) ke Formulir 1770 Angka 1</t>
  </si>
  <si>
    <t>Jika terdapat kredit pajak PPh Pasal 24, maka jumlah yang diisi adalah maksimum yang dapat dikreditkan sesuai lampiran tersendiri</t>
  </si>
  <si>
    <t>JENIS USAHA/PEKERJAAN BEBAS</t>
  </si>
  <si>
    <t>DIVIDEN</t>
  </si>
  <si>
    <t>HALAMAN 1</t>
  </si>
  <si>
    <t xml:space="preserve">    (KOTAK PILIHAN) YANG SESUAI</t>
  </si>
  <si>
    <t xml:space="preserve">  (KOTAK PILIHAN) YANG SESUAI</t>
  </si>
  <si>
    <t>JUMLAH PPh YANG DIPOTONG /                    DIPUNGUT                                            (Rupiah)</t>
  </si>
  <si>
    <t>PENGHASILAN BRUTO                                                                                                               (Rupiah)</t>
  </si>
  <si>
    <r>
      <t>PPh YANG DIPOTONG / DIPUNGUT OLEH PIHAK LAIN,  PPh YANG DIBAYAR  / DIPOTONG DI LUAR NEGERI DAN PPh DITANGGUNG PEMERINTAH</t>
    </r>
    <r>
      <rPr>
        <sz val="8"/>
        <rFont val="Arial"/>
        <family val="2"/>
      </rPr>
      <t xml:space="preserve"> [Diisi dari formulir 1770 -II Jumlah Bagian A Kolom 7]</t>
    </r>
  </si>
  <si>
    <t>PERHITUNGAN ANGSURAN PPh PASAL 25 TAHUN PAJAK BERIKUTNYA</t>
  </si>
  <si>
    <t>E. PPh KURANG/ LEBIH BAYAR</t>
  </si>
  <si>
    <t>NPWP                   :</t>
  </si>
  <si>
    <t>NAMA LENGKAP :</t>
  </si>
  <si>
    <t>NPWP PEMOTONG/PEMUNGUT PAJAK</t>
  </si>
  <si>
    <t>NOMOR</t>
  </si>
  <si>
    <t>TANGGAL</t>
  </si>
  <si>
    <t>(7)</t>
  </si>
  <si>
    <t xml:space="preserve">PERHATIAN :   </t>
  </si>
  <si>
    <t>1770 - III</t>
  </si>
  <si>
    <t>SELAIN FORMULIR 1770 - I SAMPAI DENGAN 1770 - IV (BAIK YANG DIISI MAUPUN YANG TIDAK DIISI) HARUS DILAMPIRKAN PULA :</t>
  </si>
  <si>
    <t>JENIS PAJAK : PPh PASAL 21/ 22/23/24/26/DTP *)</t>
  </si>
  <si>
    <t>Kolom (6) diisi dengan pilihan sebagai berikut : 21 / 22 / 23 / 24 /26/ DTP (Contoh : ditulis 21, 22, 23, 24, 26, DTP)</t>
  </si>
  <si>
    <t>PERHATIAN</t>
  </si>
  <si>
    <t>RUPIAH *)</t>
  </si>
  <si>
    <t xml:space="preserve">RUPIAH </t>
  </si>
  <si>
    <t>PERMOHONAN : PPh Lebih Bayar pada 19.b mohon</t>
  </si>
  <si>
    <t>halaman Lampiran-II</t>
  </si>
  <si>
    <t>halaman Lampiran-IV</t>
  </si>
  <si>
    <t>DAFTAR JUMLAH PENGHASILAN DAN PEMBAYARAN PPh PASAL 25 (KHUSUS  UNTUK ORANG PRIBADI PENGUSAHA TERTENTU)</t>
  </si>
  <si>
    <t>SSP LEMBAR KE-3 PPh PASAL 29</t>
  </si>
  <si>
    <t xml:space="preserve">PERHATIAN  </t>
  </si>
  <si>
    <t>Pindahkan Jumlah Bagian A Kolom 7 ke Formulir 1770 Angka 15</t>
  </si>
  <si>
    <t>PPh TERUTANG                                               (Rupiah)</t>
  </si>
  <si>
    <t xml:space="preserve">PENGALIHAN HAK ATAS TANAH DAN/ATAU BANGUNAN </t>
  </si>
  <si>
    <t xml:space="preserve">SEWA ATAS TANAH DAN/ATAU BANGUNAN </t>
  </si>
  <si>
    <r>
      <rPr>
        <sz val="9"/>
        <rFont val="Arial"/>
        <family val="2"/>
      </rPr>
      <t>PENGHASILAN NETO DALAM NEGERI DARI USAHA DAN/ATAU PEKERJAAN BEBAS</t>
    </r>
    <r>
      <rPr>
        <sz val="8"/>
        <rFont val="Arial"/>
        <family val="2"/>
      </rPr>
      <t xml:space="preserve">      </t>
    </r>
    <r>
      <rPr>
        <sz val="7"/>
        <rFont val="Arial"/>
        <family val="2"/>
      </rPr>
      <t xml:space="preserve">                                                                                       </t>
    </r>
    <r>
      <rPr>
        <sz val="8"/>
        <rFont val="Arial"/>
        <family val="2"/>
      </rPr>
      <t>[Diisi dari Formulir 1770 - I Halaman 1 Jumlah Bagian A atau Formulir 1770 - I Halaman 2 Jumlah Bagian B Kolom 5]</t>
    </r>
  </si>
  <si>
    <t>PENGHASILAN NETO DALAM NEGERI DARI USAHA DAN/ATAU PEKERJAAN BEBAS</t>
  </si>
  <si>
    <t>PENGHASILAN DARI USAHA DAN/ATAU PEKERJAAN BEBAS BERDASARKAN LAPORAN KEUANGAN KOMERSIAL :</t>
  </si>
  <si>
    <t>tgl</t>
  </si>
  <si>
    <t>bln</t>
  </si>
  <si>
    <t>thn</t>
  </si>
  <si>
    <t xml:space="preserve">   SPT  TAHUNAN PPh WAJIB PAJAK ORANG PRIBADI</t>
  </si>
  <si>
    <r>
      <t xml:space="preserve">PENGHASILAN NETO DALAM NEGERI SEHUBUNGAN DENGAN PEKERJAAN  </t>
    </r>
    <r>
      <rPr>
        <sz val="7"/>
        <rFont val="Arial"/>
        <family val="2"/>
      </rPr>
      <t xml:space="preserve">                                                                                                                                     </t>
    </r>
    <r>
      <rPr>
        <sz val="8"/>
        <rFont val="Arial"/>
        <family val="2"/>
      </rPr>
      <t>[Diisi dari Formulir 1770 - I Halaman 2 Jumlah Bagian C Kolom 5]</t>
    </r>
  </si>
  <si>
    <t>ZAKAT / SUMBANGAN KEAGAMAAN YANG BERSIFAT WAJIB</t>
  </si>
  <si>
    <t xml:space="preserve">DIPERHITUNGKAN DENGAN                                                                                                                                                                         </t>
  </si>
  <si>
    <t xml:space="preserve">  1/12 X JUMLAH PADA ANGKA 16</t>
  </si>
  <si>
    <t xml:space="preserve">  PERHITUNGAN WAJIB PAJAK ORANG PRIBADI PENGUSAHA TERTENTU</t>
  </si>
  <si>
    <t xml:space="preserve">  PERHITUNGAN DALAM LAMPIRAN TERSENDIRI</t>
  </si>
  <si>
    <t>BUKTI PEMOTONGAN/PEMUNGUTAN OLEH PIHAK LAIN/DITANGGUNG PEMERINTAH  DAN YANG                                                                                                                                  DIBAYAR/DIPOTONG DI LUAR NEGERI</t>
  </si>
  <si>
    <r>
      <rPr>
        <sz val="9"/>
        <rFont val="Arial"/>
        <family val="2"/>
      </rPr>
      <t xml:space="preserve">PENGHASILAN NETO DALAM NEGERI LAINNYA  </t>
    </r>
    <r>
      <rPr>
        <sz val="8"/>
        <rFont val="Arial"/>
        <family val="2"/>
      </rPr>
      <t xml:space="preserve">  </t>
    </r>
    <r>
      <rPr>
        <sz val="7"/>
        <rFont val="Arial"/>
        <family val="2"/>
      </rPr>
      <t xml:space="preserve">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[Diisi dari Formulir 1770 - I Halaman 2 Jumlah Bagian D  Kolom 3]</t>
    </r>
  </si>
  <si>
    <r>
      <t xml:space="preserve">SIFATNYA WAJIB </t>
    </r>
    <r>
      <rPr>
        <b/>
        <sz val="9"/>
        <rFont val="Arial"/>
        <family val="2"/>
      </rPr>
      <t>( 5- 6)</t>
    </r>
  </si>
  <si>
    <t xml:space="preserve">JUMLAH PENGHASILAN NETO SETELAH PENGURANGAN ZAKAT /SUMBANGAN KEAGAMAAN YANG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</si>
  <si>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PENGHASILAN NETO DALAM NEGERI SEHUBUNGAN DENGAN PEKERJAAN</t>
  </si>
  <si>
    <r>
      <t>Pindahkan Jumlah Bagian B</t>
    </r>
    <r>
      <rPr>
        <b/>
        <sz val="8"/>
        <rFont val="Arial"/>
        <family val="2"/>
      </rPr>
      <t xml:space="preserve"> </t>
    </r>
    <r>
      <rPr>
        <sz val="8"/>
        <rFont val="Arial"/>
        <family val="2"/>
      </rPr>
      <t>Kolom (5)</t>
    </r>
    <r>
      <rPr>
        <b/>
        <sz val="8"/>
        <rFont val="Arial"/>
        <family val="2"/>
      </rPr>
      <t xml:space="preserve"> </t>
    </r>
    <r>
      <rPr>
        <sz val="8"/>
        <rFont val="Arial"/>
        <family val="2"/>
      </rPr>
      <t>ke Formulir 1770 Angka 1</t>
    </r>
  </si>
  <si>
    <t>PENGHASILAN NETO DALAM NEGERI LAINNYA</t>
  </si>
  <si>
    <t>(TIDAK TERMASUK PENGHASILAN YANG DIKENAKAN PPh BERSIFAT FINAL)</t>
  </si>
  <si>
    <t>JUMLAH BAGIAN C</t>
  </si>
  <si>
    <t>NAMA DAN NPWP
PEMBERI KERJA</t>
  </si>
  <si>
    <t>JBC</t>
  </si>
  <si>
    <r>
      <t>Pindahkan Jumlah Bagian C</t>
    </r>
    <r>
      <rPr>
        <b/>
        <sz val="8"/>
        <rFont val="Arial"/>
        <family val="2"/>
      </rPr>
      <t xml:space="preserve"> </t>
    </r>
    <r>
      <rPr>
        <sz val="8"/>
        <rFont val="Arial"/>
        <family val="2"/>
      </rPr>
      <t>Kolom (5)</t>
    </r>
    <r>
      <rPr>
        <b/>
        <sz val="8"/>
        <rFont val="Arial"/>
        <family val="2"/>
      </rPr>
      <t xml:space="preserve"> </t>
    </r>
    <r>
      <rPr>
        <sz val="8"/>
        <rFont val="Arial"/>
        <family val="2"/>
      </rPr>
      <t>ke Formulir 1770 Angka 2</t>
    </r>
  </si>
  <si>
    <t>BAGIAN D :</t>
  </si>
  <si>
    <t>JUMLAH PENGHASILAN NETO                                                                                                                (Rupiah)</t>
  </si>
  <si>
    <t xml:space="preserve"> JUMLAH BAGIAN D</t>
  </si>
  <si>
    <t xml:space="preserve"> JBD</t>
  </si>
  <si>
    <t>Pindahkan Jumlah  Bagian D ke Formulir 1770 Angka 3</t>
  </si>
  <si>
    <t>DAFTAR PEMOTONGAN/PEMUNGUTAN PPh OLEH PIHAK LAIN,
PPh YANG DIBAYAR/DIPOTONG DI LUAR NEGERI DAN 
PPh DITANGGUNG PEMERINTAH</t>
  </si>
  <si>
    <t>BUKTI 
PEMOTONGAN/PEMUNGUTAN</t>
  </si>
  <si>
    <t xml:space="preserve">PENGHASILAN YANG DIKENAKAN PAJAK FINAL DAN/ATAU BERSIFAT FINAL </t>
  </si>
  <si>
    <t>DASAR PENGENAAN 
PAJAK/PENGHASILAN BRUTO</t>
  </si>
  <si>
    <t>BUNGA SIMPANAN YANG DIBAYARKAN OLEH KOPERASI KEPADA ANGGOTA KOPERASI</t>
  </si>
  <si>
    <t>PENGHASILAN DARI TRANSAKSI DERIVATIF</t>
  </si>
  <si>
    <t>PESANGON, TUNJANGAN HARI TUA DAN TEBUSAN
PENSIUN YANG DIBAYAR SEKALIGUS</t>
  </si>
  <si>
    <t xml:space="preserve">PENGHASILAN LAIN YANG DIKENAKAN PAJAK FINAL 
DAN/ATAU BERSIFAT FINAL </t>
  </si>
  <si>
    <t>BAGIAN LABA ANGGOTA PERSEROAN KOMANDITER TIDAK ATAS SAHAM, PERSEKUTUAN, 
PERKUMPULAN, FIRMA, KONGSI</t>
  </si>
  <si>
    <t>HARTA PADA AKHIR TAHUN</t>
  </si>
  <si>
    <t>KEWAJIBAN/UTANG PADA AKHIR TAHUN</t>
  </si>
  <si>
    <t>DAFTAR SUSUNAN ANGGOTA KELUARGA</t>
  </si>
  <si>
    <t>NAMA ANGGOTA KELUARGA</t>
  </si>
  <si>
    <t>HUBUNGAN KELUARGA</t>
  </si>
  <si>
    <t>PEKERJAAN</t>
  </si>
  <si>
    <t>5
dst</t>
  </si>
  <si>
    <t>17a</t>
  </si>
  <si>
    <t>17b</t>
  </si>
  <si>
    <t>NERACA DAN LAP. LABA RUGI / REKAPITULASI BULANAN PEREDARAN BRUTO DAN/ATAU PENGHASILAN 
LAIN DAN BIAYA</t>
  </si>
  <si>
    <t>KEMENTERIAN KEUANGAN RI</t>
  </si>
  <si>
    <t>dari</t>
  </si>
  <si>
    <t>halaman Lampiran -II</t>
  </si>
  <si>
    <t>PENGHASILAN YANG  DIKENAKAN PAJAK FINAL DAN/ATAU BERSIFAT FINAL</t>
  </si>
  <si>
    <t xml:space="preserve">BEASISWA </t>
  </si>
  <si>
    <t xml:space="preserve">PENGHASILAN NETO </t>
  </si>
  <si>
    <t xml:space="preserve">PENGURANGAN PENGHASILAN 
BRUTO/BIAYA </t>
  </si>
  <si>
    <t>PENGHASILAN BRUTO</t>
  </si>
  <si>
    <t>KEUNTUNGAN DARI PENJUALAN/PENGALIHAN HARTA</t>
  </si>
  <si>
    <t>DAFTAR PEMOTONGAN/PEMUNGUTAN PPh OLEH PIHAK LAIN,  PPh YANG DIBAYAR  / DIPOTONG DI LUAR NEGERI DAN PPh DITANGGUNG PEMERINTAH</t>
  </si>
  <si>
    <t>BUNGA DEPOSITO, TABUNGAN, DISKONTO SBI, SURAT BERHARGA NEGARA</t>
  </si>
  <si>
    <t>BUNGA/DISKONTO OBLIGASI</t>
  </si>
  <si>
    <t>PENYALUR/DEALER/AGEN PRODUK BBM</t>
  </si>
  <si>
    <t>SUMBER/JENIS PENGHASILAN</t>
  </si>
  <si>
    <t>KODE HARTA</t>
  </si>
  <si>
    <t>10 dst</t>
  </si>
  <si>
    <t>HB</t>
  </si>
  <si>
    <t>PH</t>
  </si>
  <si>
    <t>MT</t>
  </si>
  <si>
    <t>PENCATATAN</t>
  </si>
  <si>
    <t xml:space="preserve"> KK</t>
  </si>
  <si>
    <t>Permohonan perubahan data disampaikan terpisah dari pelaporan SPT Tahunan PPh Orang Pribadi ini, dengan menggunakan Formulir Perubahan Data Wajib Pajak dan dilengkapi dokumen yang disyaratkan.</t>
  </si>
  <si>
    <t xml:space="preserve">NO. TELEPON/FAKSIMILI                  </t>
  </si>
  <si>
    <r>
      <t xml:space="preserve">JUMLAH KREDIT PAJAK </t>
    </r>
    <r>
      <rPr>
        <b/>
        <sz val="9"/>
        <rFont val="Arial"/>
        <family val="2"/>
      </rPr>
      <t>(17a+17b</t>
    </r>
    <r>
      <rPr>
        <b/>
        <sz val="9"/>
        <rFont val="Arial"/>
        <family val="2"/>
      </rPr>
      <t xml:space="preserve">) </t>
    </r>
  </si>
  <si>
    <t>UTANG PAJAK</t>
  </si>
  <si>
    <t>PENGHITUNGAN PENGHASILAN NETO DALAM NEGERI DARI USAHA DAN/ATAU PEKERJAAN BEBAS BAGI WAJIB PAJAK YANG MENYELENGGARAKAN PEMBUKUAN</t>
  </si>
  <si>
    <t>PENGHITUNGAN PENGHASILAN NETO DALAM NEGERI DARI USAHA DAN/ATAU PEKERJAAN BEBAS BAGI WAJIB PAJAK YANG MENYELENGGARAKAN PENCATATAN</t>
  </si>
  <si>
    <t>PENGHITUNGAN PENGHASILAN NETO DALAM NEGERI SEHUBUNGAN DENGAN PEKERJAAN</t>
  </si>
  <si>
    <t>PENGHITUNGAN PENGHASILAN DALAM NEGERI LAINNYA</t>
  </si>
  <si>
    <t xml:space="preserve">(BAGI WAJIB PAJAK YANG MENYELENGGARAKAN PENCATATAN) </t>
  </si>
  <si>
    <t>(BAGI WAJIB PAJAK YANG MENYELENGGARAKAN PEMBUKUAN)</t>
  </si>
  <si>
    <t>NAMA HARTA</t>
  </si>
  <si>
    <t xml:space="preserve">JUMLAH (1 s.d. 16) </t>
  </si>
  <si>
    <t>NIK</t>
  </si>
  <si>
    <t>KODE UTANG</t>
  </si>
  <si>
    <t>STATUS KEWAJIBAN PERPAJAKAN SUAMI-ISTERI</t>
  </si>
  <si>
    <t xml:space="preserve">NPWP ISTERI/SUAMI                                  </t>
  </si>
  <si>
    <t>PENGHASILAN ISTERI/SUAMI YANG DIKENAKAN PAJAK SECARA TERPISAH</t>
  </si>
  <si>
    <t xml:space="preserve">PENGHASILAN NETO ISTERI/SUAMI YANG DIKENAKAN PAJAK SECARA TERPISAH  </t>
  </si>
  <si>
    <t xml:space="preserve">PENGHASILAN ISTERI DARI SATU PEMBERI KERJA </t>
  </si>
  <si>
    <t>DIKEMBALIKAN DENGAN SKPPKP PASAL 17C (WP dengan Kriteria Tertentu)</t>
  </si>
  <si>
    <t>DIKEMBALIKAN DENGAN SKPPKP PASAL 17D (WP yang Memenuhi Persyaratan Tertentu)</t>
  </si>
  <si>
    <t>BAGI WAJIB PAJAK YANG MEMPUNYAI PENGHASILAN :</t>
  </si>
  <si>
    <t xml:space="preserve">DARI USAHA/PEKERJAAN BEBAS;                                                                </t>
  </si>
  <si>
    <t>DARI SATU ATAU LEBIH PEMBERI KERJA;</t>
  </si>
  <si>
    <t>YANG DIKENAKAN PPh FINAL DAN/ATAU BERSIFAT FINAL; DAN/ATAU</t>
  </si>
  <si>
    <r>
      <t xml:space="preserve">PENGHASILAN NETO LUAR NEGERI </t>
    </r>
    <r>
      <rPr>
        <sz val="8"/>
        <rFont val="Arial"/>
        <family val="2"/>
      </rPr>
      <t xml:space="preserve">  </t>
    </r>
    <r>
      <rPr>
        <sz val="9"/>
        <rFont val="Arial"/>
        <family val="2"/>
      </rPr>
      <t xml:space="preserve">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[Apabila memiliki penghasilan dari luar negeri agar diisi dari Lampiran Tersendiri, lihat petunjuk pengisian]</t>
    </r>
  </si>
  <si>
    <t>SEBELUM MENGISI BACALAH PETUNJUK PENGISIAN</t>
  </si>
  <si>
    <t>K / I /</t>
  </si>
  <si>
    <t>K /</t>
  </si>
  <si>
    <t>TK /</t>
  </si>
  <si>
    <t>PERHITUNGAN PPh TERUTANG BAGI WAJIB PAJAK DENGAN STATUS PERPAJAKAN PH ATAU MT</t>
  </si>
  <si>
    <t>(lihat petunjuk pengisian tentang Lampiran II Bagian A dan Induk SPT angka 4)</t>
  </si>
  <si>
    <t>DAFTAR JUMLAH PENGHASILAN BRUTO DAN PEMBAYARAN PPh FINAL BERDASARKAN PP 46 TAHUN 2013 PER MASA PAJAK DAN PER TEMPAT USAHA</t>
  </si>
  <si>
    <t>DALAM NEGERI LAINNYA/LUAR NEGERI.</t>
  </si>
  <si>
    <t>ISI DENGAN HURUF CETAK / DIKETIK DENGAN TINTA HITAM</t>
  </si>
  <si>
    <r>
      <t xml:space="preserve">   *) </t>
    </r>
    <r>
      <rPr>
        <sz val="7"/>
        <rFont val="Arial"/>
        <family val="2"/>
      </rPr>
      <t>Pengisian kolom-kolom yang berisi nilai rupiah harus tanpa nilai desimal (contoh penulisan lihat petunjuk pengisian halaman 3)</t>
    </r>
  </si>
  <si>
    <r>
      <t xml:space="preserve">PPh TERUTANG (TARIF PASAL 17 UU PPh X ANGKA 11)                                                                                                      </t>
    </r>
    <r>
      <rPr>
        <sz val="7"/>
        <rFont val="Arial"/>
        <family val="2"/>
      </rPr>
      <t xml:space="preserve">[Bagi Wajib Pajak dengan status PH / MT diisi dari Lampiran Perhitungan PPh Terutang sebagaimana dimaksud dalam bagian G: Lampiran huruf i] </t>
    </r>
  </si>
  <si>
    <t>No.</t>
  </si>
  <si>
    <t>No</t>
  </si>
  <si>
    <t>Daftar Jumlah Penghasilan dan Pembayaran PPh Pasal 25</t>
  </si>
  <si>
    <t>Wajib Pajak Orang Pribadi Pengusaha Tertentu</t>
  </si>
  <si>
    <t>NPWP Tempat Usaha</t>
  </si>
  <si>
    <t>KPP Lokasi</t>
  </si>
  <si>
    <t>Alamat</t>
  </si>
  <si>
    <t>Jumlah</t>
  </si>
  <si>
    <t>Tanda Tangan, Nama dan Cap</t>
  </si>
  <si>
    <t>Peredaran Bruto Pedagang Pengecer</t>
  </si>
  <si>
    <t>PPh Pasal 25 Dibayar</t>
  </si>
  <si>
    <t xml:space="preserve">Daftar Jumlah Penghasilan Bruto dan Pembayaran PPh Final berdasarkan PP 46 Tahun 2013 </t>
  </si>
  <si>
    <t>Per Masa Pajak Serta Dari Masing-Masing Tempat Usaha</t>
  </si>
  <si>
    <t>Peredaran Bruto</t>
  </si>
  <si>
    <t>PPh Final 1% Dibayar</t>
  </si>
  <si>
    <t xml:space="preserve">Halaman ke- ……. dari ……. halaman  </t>
  </si>
  <si>
    <t>Jika formulir ini tidak mencukupi, dapat dibuat sendiri sesuai dengan bentuk ini</t>
  </si>
  <si>
    <t>b</t>
  </si>
  <si>
    <t>G E N E R A L   I N F O R M A T I O N</t>
  </si>
  <si>
    <t>TYPE OF TAX RETURNS (CHOOSE ONE OF THE TWO OPTIONS BELOW)</t>
  </si>
  <si>
    <t>FULL YEAR / PART YEAR (INCLUDING PART TAX TREATY)</t>
  </si>
  <si>
    <t xml:space="preserve"> </t>
  </si>
  <si>
    <t>a</t>
  </si>
  <si>
    <t>WITH 1721-A1 (INCLUDING PART TAX TREATY)</t>
  </si>
  <si>
    <t>X</t>
  </si>
  <si>
    <t>YES</t>
  </si>
  <si>
    <t>WITHOUT 1721-A1</t>
  </si>
  <si>
    <t xml:space="preserve">FULL TAX TREATY </t>
  </si>
  <si>
    <r>
      <t xml:space="preserve">IF THERE IS </t>
    </r>
    <r>
      <rPr>
        <b/>
        <u/>
        <sz val="10"/>
        <rFont val="Arial"/>
        <family val="2"/>
      </rPr>
      <t>NO</t>
    </r>
    <r>
      <rPr>
        <b/>
        <sz val="10"/>
        <rFont val="Arial"/>
        <family val="2"/>
      </rPr>
      <t xml:space="preserve"> INCOME BEING TAXED IN INDONESIA BASED ON PER-2/PJ./2009, PLEASE CHOOSE OPTION "FULL TAX TREATY"</t>
    </r>
  </si>
  <si>
    <t xml:space="preserve">THE ASSIGNEE HAS A TAX ID DURING THE TAX YEAR? </t>
  </si>
  <si>
    <t>BLANK FORM</t>
  </si>
  <si>
    <t>A.   PERMANENT INFO</t>
  </si>
  <si>
    <t>TAX ID NUMBER</t>
  </si>
  <si>
    <t>TAXPAYER'S NAME</t>
  </si>
  <si>
    <t xml:space="preserve">  </t>
  </si>
  <si>
    <t>PHONE NUMBER</t>
  </si>
  <si>
    <t>FAX NUMBER</t>
  </si>
  <si>
    <t xml:space="preserve">TAX OBLIGATION STATUS FOR </t>
  </si>
  <si>
    <t xml:space="preserve">MARRIED FILE JOINTLY </t>
  </si>
  <si>
    <t xml:space="preserve">PRENUPTIAL AGREEMENT </t>
  </si>
  <si>
    <t xml:space="preserve">HUSBAND - WIFE </t>
  </si>
  <si>
    <t xml:space="preserve">SEPARATED BY LAW </t>
  </si>
  <si>
    <t>MARRIED FILE SEPARATELY</t>
  </si>
  <si>
    <t xml:space="preserve">HUSBAND's/WIFE's TAX ID NUMBER </t>
  </si>
  <si>
    <t>B.   CURRENT-YEAR QUALITATIVE INFO</t>
  </si>
  <si>
    <t>WHAT YEAR</t>
  </si>
  <si>
    <t>Tax Year</t>
  </si>
  <si>
    <t>Tax Year End</t>
  </si>
  <si>
    <t>DATE OF DEPARTURE FROM INDONESIA</t>
  </si>
  <si>
    <t>AMENDED TAX RETURN NO.</t>
  </si>
  <si>
    <t>(dd/mm/yyyy)</t>
  </si>
  <si>
    <r>
      <t xml:space="preserve">EPO </t>
    </r>
    <r>
      <rPr>
        <b/>
        <u/>
        <sz val="10"/>
        <rFont val="Arial"/>
        <family val="2"/>
      </rPr>
      <t>OR</t>
    </r>
    <r>
      <rPr>
        <b/>
        <sz val="10"/>
        <rFont val="Arial"/>
        <family val="2"/>
      </rPr>
      <t xml:space="preserve"> ERP TIDAK KEMBALI? </t>
    </r>
  </si>
  <si>
    <t xml:space="preserve">EPO </t>
  </si>
  <si>
    <t xml:space="preserve">ERP TIDAK KEMBALI </t>
  </si>
  <si>
    <t>DATE OF PPh 29 PAYMENT (dd/mm/yy)</t>
  </si>
  <si>
    <t>PPH 29 PAID VIA EXTENSION</t>
  </si>
  <si>
    <t>TAX OVERPAYMENT</t>
  </si>
  <si>
    <t>REFUND</t>
  </si>
  <si>
    <t>c</t>
  </si>
  <si>
    <t>RETURN WITH SKPPKP ART. 17 C (OBEDIENT TAXPAYER)</t>
  </si>
  <si>
    <t xml:space="preserve">OFFSET AGAINST THE </t>
  </si>
  <si>
    <t>d</t>
  </si>
  <si>
    <t>RETURN WITH SKKPP ART. 17 D (CERTAIN TAXPAYER)</t>
  </si>
  <si>
    <t>TAX LIABILITES</t>
  </si>
  <si>
    <t>LIST OF ATTACHMENTS</t>
  </si>
  <si>
    <t>SSP PPH 29</t>
  </si>
  <si>
    <t>TAX LIABILITIES CALCULATION FOR TAXPAYER WITH PRENUPTIAL AGREEMENT AND/OR MARRIED FILE SEPARATELY</t>
  </si>
  <si>
    <t>in English</t>
  </si>
  <si>
    <t>in Bahasa Indonesia</t>
  </si>
  <si>
    <t>e</t>
  </si>
  <si>
    <t>MONTHLY INSTALMENT FOR NEXT YEAR, IF FILE RETURNS FOR TWO CONSECUTIVE YEARS TOGETHER, CLICK THIS BOX</t>
  </si>
  <si>
    <t>SIGNATORY</t>
  </si>
  <si>
    <t>TAXPAYER</t>
  </si>
  <si>
    <t>PROXY    NAME</t>
  </si>
  <si>
    <t xml:space="preserve"> TAX ID NUMBER</t>
  </si>
  <si>
    <t>C   LIST OF FAMILY</t>
  </si>
  <si>
    <t>MARITAL STATUS</t>
  </si>
  <si>
    <t>DEPENDANTS</t>
  </si>
  <si>
    <t>PERSONAL RELIEFS</t>
  </si>
  <si>
    <t>Name</t>
  </si>
  <si>
    <t>Relationship</t>
  </si>
  <si>
    <t>Birthdate</t>
  </si>
  <si>
    <t>Any Occupation?</t>
  </si>
  <si>
    <t>NIK (outbound) /                          No. Passport (inbound)</t>
  </si>
  <si>
    <t>D   SELF-PAID INCOME TAX</t>
  </si>
  <si>
    <t>MONTHLY INSTALMENT (PPh 25) PAYMENTS</t>
  </si>
  <si>
    <t>Month</t>
  </si>
  <si>
    <t>Instalment amount</t>
  </si>
  <si>
    <t>Paid through STP?</t>
  </si>
  <si>
    <t>Reguler Payments</t>
  </si>
  <si>
    <t>Payments through STP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</si>
  <si>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</si>
  <si>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</si>
  <si>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</si>
  <si>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</si>
  <si>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</si>
  <si>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</si>
  <si>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</si>
  <si>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</si>
  <si>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</si>
  <si>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</si>
  <si>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</si>
  <si>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</si>
  <si>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 PPh 25 PAYMENTS</t>
  </si>
  <si>
    <t xml:space="preserve">TOTAL PPh 25 CLAIMED </t>
  </si>
  <si>
    <t>REFUND OF PPh 24 WHICH HAS BEEN CREDITED</t>
  </si>
  <si>
    <t>EMPLOYER 1</t>
  </si>
  <si>
    <t>EMPLOYER 2</t>
  </si>
  <si>
    <t>EMPLOYER 3</t>
  </si>
  <si>
    <t>TOTAL</t>
  </si>
  <si>
    <t>QUALITATIVE INFO</t>
  </si>
  <si>
    <t>WORKING PERIOD</t>
  </si>
  <si>
    <t>s/d</t>
  </si>
  <si>
    <t>NUMBER OF PERIOD</t>
  </si>
  <si>
    <t>NAME OF EMPLOYER</t>
  </si>
  <si>
    <t>EMPLOYER'S TAX ID NUMBER</t>
  </si>
  <si>
    <t>NUMBER OF WITHHOLDING TAX SLIP</t>
  </si>
  <si>
    <t>DATE OF WITHHOLDING TAX SLIP</t>
  </si>
  <si>
    <t>ROUNDING DOWN</t>
  </si>
  <si>
    <t>QUANTITATIVE INFO</t>
  </si>
  <si>
    <t>GROSS INCOME</t>
  </si>
  <si>
    <t>DEDUCTIONS</t>
  </si>
  <si>
    <t xml:space="preserve">a. Occupational costs </t>
  </si>
  <si>
    <t>b. Pension and old-age saving contributions</t>
  </si>
  <si>
    <t>c. TOTAL (a + b)</t>
  </si>
  <si>
    <t>NET INCOME</t>
  </si>
  <si>
    <t>INCOME TAX WITHHELD</t>
  </si>
  <si>
    <t xml:space="preserve">PREVIOUS EMPLOYER </t>
  </si>
  <si>
    <t xml:space="preserve">a. Net income </t>
  </si>
  <si>
    <t xml:space="preserve">b. Income tax withheld </t>
  </si>
  <si>
    <t>Gross income</t>
  </si>
  <si>
    <t>Expenses</t>
  </si>
  <si>
    <t>Net Income</t>
  </si>
  <si>
    <t xml:space="preserve">Interest </t>
  </si>
  <si>
    <t>Royalty</t>
  </si>
  <si>
    <t>Rentals</t>
  </si>
  <si>
    <t>Prize and awards</t>
  </si>
  <si>
    <t>Gains on sales/transfer of assets</t>
  </si>
  <si>
    <t>Others</t>
  </si>
  <si>
    <t>Total</t>
  </si>
  <si>
    <t>Irregular items</t>
  </si>
  <si>
    <t>Tax on irregular items</t>
  </si>
  <si>
    <t>Income Tax</t>
  </si>
  <si>
    <t>INCOME SUBJECT TO FINAL TAX AND/OR FINAL IN NATURE</t>
  </si>
  <si>
    <t>Interest on time deposits, savings, discount on SBI, state commercial paper</t>
  </si>
  <si>
    <t xml:space="preserve">Interest/discounts on bonds traded in stock exchange </t>
  </si>
  <si>
    <t>Sales value of shares traded in stock exchange</t>
  </si>
  <si>
    <t>Prizes from lotteries</t>
  </si>
  <si>
    <t>One time payment of severance pay, old-age savings and pension benefits</t>
  </si>
  <si>
    <t>State budget financed honorarium</t>
  </si>
  <si>
    <t>Transfer of title of land and/or buildings</t>
  </si>
  <si>
    <t>Rental of land and or building</t>
  </si>
  <si>
    <t>The buildings received under a "BOT" arrangement</t>
  </si>
  <si>
    <t>Interest paid by Cooperation to Cooperation Member</t>
  </si>
  <si>
    <t>Income from Derivative Transaction</t>
  </si>
  <si>
    <t>Dividend</t>
  </si>
  <si>
    <t>Wife's employment income</t>
  </si>
  <si>
    <t>Other income which has been subject to final income tax</t>
  </si>
  <si>
    <t>NON-ASSESSABLE INCOME</t>
  </si>
  <si>
    <t>Donations/Gifts/Grants</t>
  </si>
  <si>
    <t>Inheritance</t>
  </si>
  <si>
    <t>Profit Sharing of Member of the Company Which The Capital Is Not Divided In Share, Partnership Etc.</t>
  </si>
  <si>
    <t>Claim for health, accident, life, or schoolarship insurance</t>
  </si>
  <si>
    <t>Domestic Scholarship</t>
  </si>
  <si>
    <t>Other non-assessable income</t>
  </si>
  <si>
    <t>a. Salaries/pension payment/old-age savings</t>
  </si>
  <si>
    <t>b. Income tax allowance</t>
  </si>
  <si>
    <t xml:space="preserve">c. Other allowances, cash compensation, overtime, etc. </t>
  </si>
  <si>
    <t xml:space="preserve">d. Honorarium, and other similar remuneration </t>
  </si>
  <si>
    <t>e. Employer-provided insurance premiums</t>
  </si>
  <si>
    <t>f. Benefits-in-kind which have been subject to   PPh 21</t>
  </si>
  <si>
    <t>g. Tantiem,bonuses,gratuities,production comepnsation, THR</t>
  </si>
  <si>
    <t>i. TOTAL (a to g)</t>
  </si>
  <si>
    <t xml:space="preserve">O V E R S E A S   I N C O M E </t>
  </si>
  <si>
    <t>The income information is divided by country.  You may input overseas income received to maximum of 4 countries.  If you have more country of source,</t>
  </si>
  <si>
    <t>please contact the administrator</t>
  </si>
  <si>
    <t>Please also fill out the irregular income sheet, if any.  Click …</t>
  </si>
  <si>
    <t>Irregular Income</t>
  </si>
  <si>
    <t>**) Note : if you have more transactions, please ask the administrator for help.</t>
  </si>
  <si>
    <t>COUNTRY OF SOURCE - 1</t>
  </si>
  <si>
    <t>DIVIDEND INCOME</t>
  </si>
  <si>
    <t>Date of receipt</t>
  </si>
  <si>
    <t>Currency</t>
  </si>
  <si>
    <t>Amount in Original Currency</t>
  </si>
  <si>
    <t>Appl. Exch. Rate</t>
  </si>
  <si>
    <t>Amount in Rupiah</t>
  </si>
  <si>
    <t>Treaty Rate (%)</t>
  </si>
  <si>
    <t>FTC based on treaty</t>
  </si>
  <si>
    <t>Allowed FTC</t>
  </si>
  <si>
    <t xml:space="preserve">Income </t>
  </si>
  <si>
    <t>Tax paid /withheld</t>
  </si>
  <si>
    <t>**)</t>
  </si>
  <si>
    <t>SUBTOTAL</t>
  </si>
  <si>
    <t>INTEREST INCOME</t>
  </si>
  <si>
    <t>OTHER INCOME</t>
  </si>
  <si>
    <t>CAPITAL GAIN/LOSS</t>
  </si>
  <si>
    <t>Description of Assets</t>
  </si>
  <si>
    <t>Selling Date</t>
  </si>
  <si>
    <t>Proceeds</t>
  </si>
  <si>
    <t>Cost</t>
  </si>
  <si>
    <t>Capital Gain/Loss</t>
  </si>
  <si>
    <t>Tax paid/withheld</t>
  </si>
  <si>
    <t>Capital gain/loss</t>
  </si>
  <si>
    <t>RENTAL INCOME/LOSS</t>
  </si>
  <si>
    <t>Information</t>
  </si>
  <si>
    <t>Date</t>
  </si>
  <si>
    <t>Income</t>
  </si>
  <si>
    <t>Subtotal income</t>
  </si>
  <si>
    <t>Expenses (exclude depreciation per commercial)</t>
  </si>
  <si>
    <t>Subtotal expenses</t>
  </si>
  <si>
    <t>Depreciation per fiscal</t>
  </si>
  <si>
    <t>Acquisition cost of Building</t>
  </si>
  <si>
    <t>Year of acquisition</t>
  </si>
  <si>
    <t>Depreciation rate</t>
  </si>
  <si>
    <t>Depreciation expense per fiscal</t>
  </si>
  <si>
    <t>NET RENTAL INCOME/(LOSS)</t>
  </si>
  <si>
    <t>COUNTRY OF SOURCE - 2</t>
  </si>
  <si>
    <t>COUNTRY OF SOURCE - 3</t>
  </si>
  <si>
    <t>COUNTRY OF SOURCE - 4</t>
  </si>
  <si>
    <t>IRREGULAR INCOME/TAX PAID</t>
  </si>
  <si>
    <t>IRREGULAR INCOME</t>
  </si>
  <si>
    <t>Country of Source</t>
  </si>
  <si>
    <t>Type of income</t>
  </si>
  <si>
    <t>Allowed tax credit</t>
  </si>
  <si>
    <t>Actual paid/treaty</t>
  </si>
  <si>
    <t>As per Art. 24</t>
  </si>
  <si>
    <t>Subtotal irregular income</t>
  </si>
  <si>
    <t>IRREGULAR TAX CREDIT</t>
  </si>
  <si>
    <t>ART. 29 INCOME TAX PAID BECAUSE OF IMPROPER ART. 21 INCOME TAX CALCULATION</t>
  </si>
  <si>
    <t>SUMMARY OF OVERSEAS INCOME</t>
  </si>
  <si>
    <t>Country of source</t>
  </si>
  <si>
    <t>For calculation purposes</t>
  </si>
  <si>
    <t>Allowed FTC(Art. 24)</t>
  </si>
  <si>
    <t>Interest</t>
  </si>
  <si>
    <t>Other</t>
  </si>
  <si>
    <t>Capital Gain/loss</t>
  </si>
  <si>
    <t>Rental income/loss</t>
  </si>
  <si>
    <t>Subtotal</t>
  </si>
  <si>
    <t xml:space="preserve">Foreign Exchange Rates </t>
  </si>
  <si>
    <t>USD</t>
  </si>
  <si>
    <t>AUD</t>
  </si>
  <si>
    <t>GBP</t>
  </si>
  <si>
    <t>CAD</t>
  </si>
  <si>
    <t>SGD</t>
  </si>
  <si>
    <t>THB</t>
  </si>
  <si>
    <t>MYR</t>
  </si>
  <si>
    <t>INR</t>
  </si>
  <si>
    <t>YEAR 2011</t>
  </si>
  <si>
    <t>Daily Rates</t>
  </si>
  <si>
    <t>Accumulated monthly average rates</t>
  </si>
  <si>
    <t>JanFeb11</t>
  </si>
  <si>
    <t>JanMar11</t>
  </si>
  <si>
    <t>JanApr11</t>
  </si>
  <si>
    <t>JanMay11</t>
  </si>
  <si>
    <t>JanJun11</t>
  </si>
  <si>
    <t>JanJul11</t>
  </si>
  <si>
    <t>JanAug11</t>
  </si>
  <si>
    <t>JanSep11</t>
  </si>
  <si>
    <t>JanOct11</t>
  </si>
  <si>
    <t>JanNov11</t>
  </si>
  <si>
    <t>JanDec11</t>
  </si>
  <si>
    <t>FebDec11</t>
  </si>
  <si>
    <t>MarDec11</t>
  </si>
  <si>
    <t>AprDec11</t>
  </si>
  <si>
    <t>MayDec11</t>
  </si>
  <si>
    <t>JunDec11</t>
  </si>
  <si>
    <t>JulDec11</t>
  </si>
  <si>
    <t>AugDec11</t>
  </si>
  <si>
    <t>SepDec11</t>
  </si>
  <si>
    <t>OctDec11</t>
  </si>
  <si>
    <t>NovDec11</t>
  </si>
  <si>
    <t>Monthly average</t>
  </si>
  <si>
    <t>avgJan11</t>
  </si>
  <si>
    <t>avgFeb11</t>
  </si>
  <si>
    <t>avgMar11</t>
  </si>
  <si>
    <t>avgApr11</t>
  </si>
  <si>
    <t>avgMay11</t>
  </si>
  <si>
    <t>avgJun11</t>
  </si>
  <si>
    <t>avgJul11</t>
  </si>
  <si>
    <t>avgAug11</t>
  </si>
  <si>
    <t>avgSep11</t>
  </si>
  <si>
    <t>avgOct11</t>
  </si>
  <si>
    <t>avgNov11</t>
  </si>
  <si>
    <t>avgDec11</t>
  </si>
  <si>
    <t>YEAR 2012</t>
  </si>
  <si>
    <t>Daily Exchange rates</t>
  </si>
  <si>
    <t>Accumulated monthly average</t>
  </si>
  <si>
    <t>JanFeb12</t>
  </si>
  <si>
    <t>JanMar12</t>
  </si>
  <si>
    <t>JanApr12</t>
  </si>
  <si>
    <t>JanMay12</t>
  </si>
  <si>
    <t>JanJun12</t>
  </si>
  <si>
    <t>JanJul12</t>
  </si>
  <si>
    <t>JanAug12</t>
  </si>
  <si>
    <t>JanSep12</t>
  </si>
  <si>
    <t>JanOct12</t>
  </si>
  <si>
    <t>JanNov12</t>
  </si>
  <si>
    <t>JanDec12</t>
  </si>
  <si>
    <t>FebDec12</t>
  </si>
  <si>
    <t>MarDec12</t>
  </si>
  <si>
    <t>AprDec12</t>
  </si>
  <si>
    <t>MayDec12</t>
  </si>
  <si>
    <t>JunDec12</t>
  </si>
  <si>
    <t>JulDec12</t>
  </si>
  <si>
    <t>AugDec12</t>
  </si>
  <si>
    <t>SepDec12</t>
  </si>
  <si>
    <t>OctDec12</t>
  </si>
  <si>
    <t>NovDec12</t>
  </si>
  <si>
    <t>avgJan12</t>
  </si>
  <si>
    <t>avgFeb12</t>
  </si>
  <si>
    <t>avgMar12</t>
  </si>
  <si>
    <t>avgApr12</t>
  </si>
  <si>
    <t>avgMay12</t>
  </si>
  <si>
    <t>avgJun12</t>
  </si>
  <si>
    <t>avgJul12</t>
  </si>
  <si>
    <t>avgAug12</t>
  </si>
  <si>
    <t>avgSep12</t>
  </si>
  <si>
    <t>avgOct12</t>
  </si>
  <si>
    <t>avgNov12</t>
  </si>
  <si>
    <t>avgDec12</t>
  </si>
  <si>
    <t>YEAR 2013</t>
  </si>
  <si>
    <t>JanFeb13</t>
  </si>
  <si>
    <t>JanMar13</t>
  </si>
  <si>
    <t>JanApr13</t>
  </si>
  <si>
    <t>JanMay13</t>
  </si>
  <si>
    <t>JanJun13</t>
  </si>
  <si>
    <t>JanJul13</t>
  </si>
  <si>
    <t>JanAug13</t>
  </si>
  <si>
    <t>JanSep13</t>
  </si>
  <si>
    <t>JanOct13</t>
  </si>
  <si>
    <t>JanNov13</t>
  </si>
  <si>
    <t>JanDec13</t>
  </si>
  <si>
    <t>FebDec13</t>
  </si>
  <si>
    <t>MarDec13</t>
  </si>
  <si>
    <t>AprDec13</t>
  </si>
  <si>
    <t>MayDec13</t>
  </si>
  <si>
    <t>JunDec13</t>
  </si>
  <si>
    <t>JulDec13</t>
  </si>
  <si>
    <t>AugDec13</t>
  </si>
  <si>
    <t>SepDec13</t>
  </si>
  <si>
    <t>OctDec13</t>
  </si>
  <si>
    <t>NovDec13</t>
  </si>
  <si>
    <t>Monthly average rates</t>
  </si>
  <si>
    <t>avgJan13</t>
  </si>
  <si>
    <t>avgFeb13</t>
  </si>
  <si>
    <t>avgMar13</t>
  </si>
  <si>
    <t>avgApr13</t>
  </si>
  <si>
    <t>avgMay13</t>
  </si>
  <si>
    <t>avgJun13</t>
  </si>
  <si>
    <t>avgJul13</t>
  </si>
  <si>
    <t>avgAug13</t>
  </si>
  <si>
    <t>avgSep13</t>
  </si>
  <si>
    <t>avgOct13</t>
  </si>
  <si>
    <t>avgNov13</t>
  </si>
  <si>
    <t>avgDec13</t>
  </si>
  <si>
    <t>YEAR 2014</t>
  </si>
  <si>
    <t>JanFeb14</t>
  </si>
  <si>
    <t>JanMar14</t>
  </si>
  <si>
    <t>JanApr14</t>
  </si>
  <si>
    <t>JanMay14</t>
  </si>
  <si>
    <t>JanJun14</t>
  </si>
  <si>
    <t>JanJul14</t>
  </si>
  <si>
    <t>JanAug14</t>
  </si>
  <si>
    <t>JanSep14</t>
  </si>
  <si>
    <t>JanOct14</t>
  </si>
  <si>
    <t>JanNov14</t>
  </si>
  <si>
    <t>JanDec14</t>
  </si>
  <si>
    <t>FebDec14</t>
  </si>
  <si>
    <t>MarDec14</t>
  </si>
  <si>
    <t>AprDec14</t>
  </si>
  <si>
    <t>MayDec14</t>
  </si>
  <si>
    <t>JunDec14</t>
  </si>
  <si>
    <t>JulDec14</t>
  </si>
  <si>
    <t>AugDec14</t>
  </si>
  <si>
    <t>SepDec14</t>
  </si>
  <si>
    <t>OctDec14</t>
  </si>
  <si>
    <t>NovDec14</t>
  </si>
  <si>
    <t>avgJan14</t>
  </si>
  <si>
    <t>avgFeb14</t>
  </si>
  <si>
    <t>avgMar14</t>
  </si>
  <si>
    <t>avgApr14</t>
  </si>
  <si>
    <t>avgMay14</t>
  </si>
  <si>
    <t>avgJun14</t>
  </si>
  <si>
    <t>avgJul14</t>
  </si>
  <si>
    <t>avgAug14</t>
  </si>
  <si>
    <t>avgSep14</t>
  </si>
  <si>
    <t>avgOct14</t>
  </si>
  <si>
    <t>avgNov14</t>
  </si>
  <si>
    <t>avgDec14</t>
  </si>
  <si>
    <t>PROXY LETTER (WHERE RELEVANT)</t>
  </si>
  <si>
    <t>f</t>
  </si>
  <si>
    <t>g</t>
  </si>
  <si>
    <t>h</t>
  </si>
  <si>
    <t>i</t>
  </si>
  <si>
    <t>j</t>
  </si>
  <si>
    <t>k</t>
  </si>
  <si>
    <t>l</t>
  </si>
  <si>
    <t xml:space="preserve">COPY OF FORMS 1721A1/A2 </t>
  </si>
  <si>
    <t>FORM</t>
  </si>
  <si>
    <t>MINISTRY OF FINANCE</t>
  </si>
  <si>
    <t xml:space="preserve">THE DIRECTORATE GENERAL </t>
  </si>
  <si>
    <t>OF TAXATION</t>
  </si>
  <si>
    <t>TAX YEAR</t>
  </si>
  <si>
    <t>YR</t>
  </si>
  <si>
    <t>MTH</t>
  </si>
  <si>
    <t>TAXPAYER NAME</t>
  </si>
  <si>
    <t>TAX OBLIGATION STATUS FOR HUSBAND-WIFE</t>
  </si>
  <si>
    <t xml:space="preserve">HUSBAND's/WIFE's TAX ID NUMBER                                  </t>
  </si>
  <si>
    <t>Change of data request must be submitted separately from this annual tax return submission by using the taxpayer change of data form along with the required documents.</t>
  </si>
  <si>
    <t xml:space="preserve">  *) Columns with IDR amounts have to be filled without any decimal amount (please refer to the guideline book page 3)</t>
  </si>
  <si>
    <t>IDENTITY</t>
  </si>
  <si>
    <r>
      <t xml:space="preserve">DOMESTIC NET INCOME FROM EMPLOYMENT
</t>
    </r>
    <r>
      <rPr>
        <sz val="8"/>
        <rFont val="Arial"/>
        <family val="2"/>
      </rPr>
      <t>[Fill in with amount from form 1770-I page 2 Total Section C Column 5]</t>
    </r>
  </si>
  <si>
    <r>
      <rPr>
        <sz val="9"/>
        <rFont val="Arial"/>
        <family val="2"/>
      </rPr>
      <t xml:space="preserve">OTHER DOMESTIC NET INCOME
</t>
    </r>
    <r>
      <rPr>
        <sz val="8"/>
        <rFont val="Arial"/>
        <family val="2"/>
      </rPr>
      <t>[Fill in with amount from Form 1770 - I page 2 Total Section D Column 3]</t>
    </r>
  </si>
  <si>
    <r>
      <t xml:space="preserve">TOTAL NET INCOME </t>
    </r>
    <r>
      <rPr>
        <b/>
        <sz val="9"/>
        <rFont val="Arial"/>
        <family val="2"/>
      </rPr>
      <t>(1 + 2 + 3 + 4)</t>
    </r>
  </si>
  <si>
    <t>TITHE OF INCOME</t>
  </si>
  <si>
    <t>NET INCOME AFTER TITHE OF INCOME DEDUCTION (5- 6)</t>
  </si>
  <si>
    <t>A. NET INCOME</t>
  </si>
  <si>
    <t>B. TAXABLE INCOME</t>
  </si>
  <si>
    <t>BU :</t>
  </si>
  <si>
    <t>NON - TAXABLE INCOME</t>
  </si>
  <si>
    <r>
      <t xml:space="preserve">TAXABLE INCOME </t>
    </r>
    <r>
      <rPr>
        <b/>
        <sz val="9"/>
        <rFont val="Arial"/>
        <family val="2"/>
      </rPr>
      <t xml:space="preserve">(9 -10) </t>
    </r>
    <r>
      <rPr>
        <sz val="9"/>
        <rFont val="Arial"/>
        <family val="2"/>
      </rPr>
      <t xml:space="preserve"> </t>
    </r>
  </si>
  <si>
    <t xml:space="preserve">ART. 24 TAX REFUND/DEDUCTION WHICH HAS BEEN CREDITED </t>
  </si>
  <si>
    <r>
      <t xml:space="preserve">TOTAL TAX STILL LIABLE </t>
    </r>
    <r>
      <rPr>
        <b/>
        <sz val="9"/>
        <rFont val="Arial"/>
        <family val="2"/>
      </rPr>
      <t xml:space="preserve">( 12 + 13) </t>
    </r>
  </si>
  <si>
    <t>S/</t>
  </si>
  <si>
    <t>M/</t>
  </si>
  <si>
    <t>M/W/</t>
  </si>
  <si>
    <t>C. TAX LIABILITY</t>
  </si>
  <si>
    <t>D. TAX CREDITS</t>
  </si>
  <si>
    <t xml:space="preserve">INCOME TAX YET TO BE SELF-PAID  </t>
  </si>
  <si>
    <t>OVERWITHHELD/OVERCOLLECTED TAX</t>
  </si>
  <si>
    <t>SELF-PAID INCOME TAX</t>
  </si>
  <si>
    <t>ART. 25 INCOME TAX (PPh 25)</t>
  </si>
  <si>
    <t>ART. 25 COLLECTION LETTER (PRINCIPLE ONLY)</t>
  </si>
  <si>
    <t>PAYMENT DATE</t>
  </si>
  <si>
    <t>Mth</t>
  </si>
  <si>
    <t>Yr</t>
  </si>
  <si>
    <t>REQUEST : With respect to the overpaid tax in number 19b please:</t>
  </si>
  <si>
    <t>OFFSET AGAINST THE TAX LIABILITIES</t>
  </si>
  <si>
    <t>E. UNDERPAID/ OVERPAID TAX</t>
  </si>
  <si>
    <t>F. PPh 25 INSTALLMENT FOR THE FOLLOWING TAX YEAR</t>
  </si>
  <si>
    <t>PPh 25 INSTALLMENT FOR THE FOLLOWING YEAR AMOUNTING TO</t>
  </si>
  <si>
    <t>THIS AMOUNT HAS BEEN CALCULATED AS FOLLOWS :</t>
  </si>
  <si>
    <t xml:space="preserve">  1/12 x TOTAL OF NUMBER 16</t>
  </si>
  <si>
    <t xml:space="preserve">  REFER TO THE SEPARATELY CALCULATION ATTACHED</t>
  </si>
  <si>
    <t>G. ATTACHMENT</t>
  </si>
  <si>
    <t>3RD COPY OF TAX PAYMENT SLIP - ARTICLE 29 INCOME TAX</t>
  </si>
  <si>
    <t>CALCULATION OF PPh 25 INSTALLMENT FOR THE FOLLOWING YEAR</t>
  </si>
  <si>
    <t>WITHHOLDING TAX SLIP / COLLECT BY OTHER PARTIES / BORNE AND PAID BY THE GOVERNMENT / WITHHELD ABROAD</t>
  </si>
  <si>
    <t>TAX PAYER</t>
  </si>
  <si>
    <t>PROXY</t>
  </si>
  <si>
    <t>DATE :</t>
  </si>
  <si>
    <t>NAME                    :</t>
  </si>
  <si>
    <t>TAX ID NUMBER :</t>
  </si>
  <si>
    <r>
      <t xml:space="preserve">TOTAL TAX CREDITS </t>
    </r>
    <r>
      <rPr>
        <b/>
        <sz val="9"/>
        <rFont val="Arial"/>
        <family val="2"/>
      </rPr>
      <t xml:space="preserve">(17a+17b) </t>
    </r>
  </si>
  <si>
    <t>UNDER PAID INCOME TAX (PPh Art. 29)</t>
  </si>
  <si>
    <t>OVERPAID INCOME TAX (PPh Art. 28 A)</t>
  </si>
  <si>
    <t>Being fully aware of all the consequences, including the sanctions in accordance with the prevailing tax regulations, I hereby state that all I have declared above including all of the attachment are correct, complete, and clear.</t>
  </si>
  <si>
    <t>SIGNATURE</t>
  </si>
  <si>
    <t>MFJ</t>
  </si>
  <si>
    <t>SBL</t>
  </si>
  <si>
    <t>PA</t>
  </si>
  <si>
    <t>MJS</t>
  </si>
  <si>
    <t>SUBJECT TO FINAL TAX AND / OR FINAL IN NATURE; AND / OR</t>
  </si>
  <si>
    <t>ATTENTION</t>
  </si>
  <si>
    <t>PLEASE REFER TO THE GUIDELINE BOOK BEFORE FILLING</t>
  </si>
  <si>
    <t>FILL OUT WITH PRINTED / TYPED BLACK LETTERS</t>
  </si>
  <si>
    <t>APPROPRIATE BOX</t>
  </si>
  <si>
    <t>(KOTAK PILIHAN) YANG SESUAI</t>
  </si>
  <si>
    <t>ASSETS &amp; LIABILITIES INFORMATION</t>
  </si>
  <si>
    <t>I. CASH AND CASH EQUIVALENT</t>
  </si>
  <si>
    <t xml:space="preserve">Account </t>
  </si>
  <si>
    <t xml:space="preserve">Code </t>
  </si>
  <si>
    <t xml:space="preserve">Total Amount </t>
  </si>
  <si>
    <t>Reference Number</t>
  </si>
  <si>
    <t xml:space="preserve">Description </t>
  </si>
  <si>
    <t>Details (Bank's Name/Others)</t>
  </si>
  <si>
    <t>Balance Date</t>
  </si>
  <si>
    <t>Balance</t>
  </si>
  <si>
    <t xml:space="preserve">Assets Code </t>
  </si>
  <si>
    <t>In Original Currency</t>
  </si>
  <si>
    <t>Applicable Tax Exchange Rate</t>
  </si>
  <si>
    <t>In Rupiah</t>
  </si>
  <si>
    <t>Cash</t>
  </si>
  <si>
    <t>011</t>
  </si>
  <si>
    <t xml:space="preserve">Uang tunai </t>
  </si>
  <si>
    <t>Bank Account</t>
  </si>
  <si>
    <t>012</t>
  </si>
  <si>
    <t xml:space="preserve">Tabungan </t>
  </si>
  <si>
    <t>Giro</t>
  </si>
  <si>
    <t>013</t>
  </si>
  <si>
    <t>Deposit/time deposit</t>
  </si>
  <si>
    <t>014</t>
  </si>
  <si>
    <t xml:space="preserve">Deposito </t>
  </si>
  <si>
    <t>Other Cash Equivalent</t>
  </si>
  <si>
    <t>019</t>
  </si>
  <si>
    <t xml:space="preserve">Setara kas lainnya </t>
  </si>
  <si>
    <t>Account Receivable</t>
  </si>
  <si>
    <t>021</t>
  </si>
  <si>
    <t xml:space="preserve">Piutang </t>
  </si>
  <si>
    <t>Account Receivable from Afiliated Party</t>
  </si>
  <si>
    <t>022</t>
  </si>
  <si>
    <t xml:space="preserve">Piutang Afiliasi </t>
  </si>
  <si>
    <t>Other Account Receivable</t>
  </si>
  <si>
    <t>029</t>
  </si>
  <si>
    <t xml:space="preserve">Piutang lainnya </t>
  </si>
  <si>
    <t xml:space="preserve">Tradable Shares </t>
  </si>
  <si>
    <t>031</t>
  </si>
  <si>
    <t xml:space="preserve">Saham yang dibeli untuk dijual kembali </t>
  </si>
  <si>
    <t>Shares</t>
  </si>
  <si>
    <t>032</t>
  </si>
  <si>
    <t xml:space="preserve">Saham </t>
  </si>
  <si>
    <t>Bond</t>
  </si>
  <si>
    <t>033</t>
  </si>
  <si>
    <t xml:space="preserve">Obligasi perusahaan </t>
  </si>
  <si>
    <t>Government Bond</t>
  </si>
  <si>
    <t>034</t>
  </si>
  <si>
    <t xml:space="preserve">Obligasi pemerintah Indonesia </t>
  </si>
  <si>
    <t>Other Debentures</t>
  </si>
  <si>
    <t>035</t>
  </si>
  <si>
    <t xml:space="preserve">Surat utang lainnya </t>
  </si>
  <si>
    <t>Mutual Funds</t>
  </si>
  <si>
    <t>036</t>
  </si>
  <si>
    <t xml:space="preserve">Reksadana </t>
  </si>
  <si>
    <t xml:space="preserve">Financial Derivatives </t>
  </si>
  <si>
    <t>037</t>
  </si>
  <si>
    <t xml:space="preserve">Instrumen derivatif </t>
  </si>
  <si>
    <t xml:space="preserve">Participation in Company </t>
  </si>
  <si>
    <t>038</t>
  </si>
  <si>
    <t xml:space="preserve">Penyertaan modal dalam perusahaan lain yang tidak atas saham meliputi penyertaan modal pada CV, FIRMA, dan sejenisnya </t>
  </si>
  <si>
    <t>Other Investment</t>
  </si>
  <si>
    <t>039</t>
  </si>
  <si>
    <t xml:space="preserve">Investasi lainnya </t>
  </si>
  <si>
    <t xml:space="preserve">Bicycle </t>
  </si>
  <si>
    <t>041</t>
  </si>
  <si>
    <t xml:space="preserve">Sepeda </t>
  </si>
  <si>
    <t>Motorcycle</t>
  </si>
  <si>
    <t>042</t>
  </si>
  <si>
    <t xml:space="preserve">Sepeda Motor </t>
  </si>
  <si>
    <t>Car</t>
  </si>
  <si>
    <t>043</t>
  </si>
  <si>
    <t xml:space="preserve">Mobil </t>
  </si>
  <si>
    <t>Details (Borrower/Others)</t>
  </si>
  <si>
    <t>Other Modes of Transport</t>
  </si>
  <si>
    <t>049</t>
  </si>
  <si>
    <t xml:space="preserve">Alat transportasi lainnya </t>
  </si>
  <si>
    <t xml:space="preserve">Precious Metals </t>
  </si>
  <si>
    <t>051</t>
  </si>
  <si>
    <t xml:space="preserve">Logam mulia </t>
  </si>
  <si>
    <t>Precious Stones</t>
  </si>
  <si>
    <t>052</t>
  </si>
  <si>
    <t xml:space="preserve">Batu mulia </t>
  </si>
  <si>
    <t>Art and Antique</t>
  </si>
  <si>
    <t>053</t>
  </si>
  <si>
    <t xml:space="preserve">Barang-barang seni dan antik </t>
  </si>
  <si>
    <t>Yacht, Private Jet, Helicopter, Jetski, Sport Equipment</t>
  </si>
  <si>
    <t>054</t>
  </si>
  <si>
    <t xml:space="preserve">Kapal pesiar, pesawat terbang, helikopter, jetski, peralatan olahraga khusus </t>
  </si>
  <si>
    <t>Electronics and Furniture</t>
  </si>
  <si>
    <t>055</t>
  </si>
  <si>
    <t>peralatan elektronik, furnitur</t>
  </si>
  <si>
    <t>Other Moveable Assets</t>
  </si>
  <si>
    <t>059</t>
  </si>
  <si>
    <t xml:space="preserve">Harta bergerak lainnya </t>
  </si>
  <si>
    <t xml:space="preserve">Land and/or building for residental </t>
  </si>
  <si>
    <t>061</t>
  </si>
  <si>
    <t xml:space="preserve">Tanah dan/atau bangunan untuk tempat tinggal </t>
  </si>
  <si>
    <t xml:space="preserve">Land and/or building for business </t>
  </si>
  <si>
    <t>062</t>
  </si>
  <si>
    <t xml:space="preserve">Tanah dan/atau bangunan untuk usaha </t>
  </si>
  <si>
    <t xml:space="preserve">Land for Business Purposes </t>
  </si>
  <si>
    <t>063</t>
  </si>
  <si>
    <t xml:space="preserve">Tanah atau lahan untuk usaha </t>
  </si>
  <si>
    <t>Other Immoveable Assets</t>
  </si>
  <si>
    <t>069</t>
  </si>
  <si>
    <t xml:space="preserve">Harta tidak bergerak lainnya </t>
  </si>
  <si>
    <t xml:space="preserve">Liabilities Code </t>
  </si>
  <si>
    <t>Account Payable/Mortgage/Lease</t>
  </si>
  <si>
    <t>101</t>
  </si>
  <si>
    <t xml:space="preserve">Utang bank/ Lembaga Keuangan Bukan Bank </t>
  </si>
  <si>
    <t>Credit Card</t>
  </si>
  <si>
    <t>102</t>
  </si>
  <si>
    <t xml:space="preserve">Kartu kredit </t>
  </si>
  <si>
    <t>Liabilities from Affiliated Party</t>
  </si>
  <si>
    <t>103</t>
  </si>
  <si>
    <t xml:space="preserve">Utang Afiliasi </t>
  </si>
  <si>
    <t>Other Liabilities</t>
  </si>
  <si>
    <t>109</t>
  </si>
  <si>
    <t xml:space="preserve">Utang lainnya </t>
  </si>
  <si>
    <t xml:space="preserve">Details </t>
  </si>
  <si>
    <t>Acquisition / Balance Date</t>
  </si>
  <si>
    <t xml:space="preserve">Currency </t>
  </si>
  <si>
    <t>Acquisition Price /Balance</t>
  </si>
  <si>
    <t xml:space="preserve">MOVEABLE ASSETS </t>
  </si>
  <si>
    <t xml:space="preserve">IMMOVEABLE ASSETS </t>
  </si>
  <si>
    <t>LIABILITIES</t>
  </si>
  <si>
    <t>Details (Type, Borrower, etc)</t>
  </si>
  <si>
    <t>Date when Liabilities Started</t>
  </si>
  <si>
    <t>Currency Code</t>
  </si>
  <si>
    <t>Balance as of 31 Dec</t>
  </si>
  <si>
    <t>II. ACCOUNT RECEIVABLES</t>
  </si>
  <si>
    <t>YEAR 2015</t>
  </si>
  <si>
    <t>Daily Exchange Rates</t>
  </si>
  <si>
    <t>JanFeb15</t>
  </si>
  <si>
    <t>JanMar15</t>
  </si>
  <si>
    <t>JanApr15</t>
  </si>
  <si>
    <t>JanMay15</t>
  </si>
  <si>
    <t>JanJun15</t>
  </si>
  <si>
    <t>JanJul15</t>
  </si>
  <si>
    <t>JanAug15</t>
  </si>
  <si>
    <t>JanSep15</t>
  </si>
  <si>
    <t>JanOct15</t>
  </si>
  <si>
    <t>JanNov15</t>
  </si>
  <si>
    <t>JanDec15</t>
  </si>
  <si>
    <t>FebDec15</t>
  </si>
  <si>
    <t>MarDec15</t>
  </si>
  <si>
    <t>AprDec15</t>
  </si>
  <si>
    <t>MayDec15</t>
  </si>
  <si>
    <t>JunDec15</t>
  </si>
  <si>
    <t>JulDec15</t>
  </si>
  <si>
    <t>AugDec15</t>
  </si>
  <si>
    <t>SepDec15</t>
  </si>
  <si>
    <t>OctDec15</t>
  </si>
  <si>
    <t>NovDec15</t>
  </si>
  <si>
    <t>avgJan15</t>
  </si>
  <si>
    <t>avgFeb15</t>
  </si>
  <si>
    <t>avgMar15</t>
  </si>
  <si>
    <t>avgApr15</t>
  </si>
  <si>
    <t>avgMay15</t>
  </si>
  <si>
    <t>avgJun15</t>
  </si>
  <si>
    <t>avgJul15</t>
  </si>
  <si>
    <t>avgAug15</t>
  </si>
  <si>
    <t>avgSep15</t>
  </si>
  <si>
    <t>avgOct15</t>
  </si>
  <si>
    <t>avgNov15</t>
  </si>
  <si>
    <t>avgDec15</t>
  </si>
  <si>
    <t>III. INVESTMENTS</t>
  </si>
  <si>
    <t xml:space="preserve">IV. VEHICLES </t>
  </si>
  <si>
    <t>ATTACHMENT - I</t>
  </si>
  <si>
    <t>PAGE 1</t>
  </si>
  <si>
    <t>TO</t>
  </si>
  <si>
    <t>THE DIRECTORATE GENERAL</t>
  </si>
  <si>
    <t>ANNUAL INCOME TAX RETURN OF INDIVIDUAL TAXPAYER</t>
  </si>
  <si>
    <t>ATTENTION:</t>
  </si>
  <si>
    <t xml:space="preserve">TAX ID NUMBER                                                    </t>
  </si>
  <si>
    <t>SECTION A:</t>
  </si>
  <si>
    <t>AUDITED</t>
  </si>
  <si>
    <t>NOT AUDITED</t>
  </si>
  <si>
    <t>COST OF GOODS SOLD</t>
  </si>
  <si>
    <t xml:space="preserve">NET INCOME (1c - 1d)  </t>
  </si>
  <si>
    <t>POSITIVE FISCAL ADJUSTMENT</t>
  </si>
  <si>
    <t xml:space="preserve">TAX INCOME  </t>
  </si>
  <si>
    <t xml:space="preserve">TOTAL (2a s.d. 2k)  </t>
  </si>
  <si>
    <r>
      <t xml:space="preserve">OTHER POSITIVE FISCAL ADJUSTMENT </t>
    </r>
    <r>
      <rPr>
        <sz val="7"/>
        <rFont val="Arial"/>
        <family val="2"/>
      </rPr>
      <t xml:space="preserve"> </t>
    </r>
  </si>
  <si>
    <t>Move Total Section A (Number 4) to Form 1770 Number 1</t>
  </si>
  <si>
    <t xml:space="preserve">TOTAL SECTION A (1e + 2l - 3d) </t>
  </si>
  <si>
    <t xml:space="preserve">TOTAL (3a s.d. 3c)  </t>
  </si>
  <si>
    <t xml:space="preserve">OTHER NEGATIVE FISCAL ADJUSTMENT </t>
  </si>
  <si>
    <t>NEGATIVE FISCAL ADJUSTMENT :</t>
  </si>
  <si>
    <t>SALARY THAT BE PAID TO THE OWNER / TAXPAYER'S DEPENDENT</t>
  </si>
  <si>
    <t>GROSS INCOME
(Rupiah)</t>
  </si>
  <si>
    <t>PAGE 2</t>
  </si>
  <si>
    <t>CALCULATION OF DOMESTIC NET INCOME FROM EMPLOYMENT</t>
  </si>
  <si>
    <t>CALCULATION OF OTHER DOMESTIC NET INCOME</t>
  </si>
  <si>
    <t>ANNUAL INCOME TAX RETURN INDIVIDUAL
TAXPAYER</t>
  </si>
  <si>
    <t>INCOME SOURCE :</t>
  </si>
  <si>
    <t>BOOKKEEPING</t>
  </si>
  <si>
    <t xml:space="preserve">FROM BUSINESS/INDEPENDENT SERVICE THAT IMPLEMENT BOOKKEEPING OR DEEMED PROFIT CALCULATION;                                                                </t>
  </si>
  <si>
    <t>FROM ONE EMPLOYER OR MORE;</t>
  </si>
  <si>
    <t>FROM OTHER INCOME.</t>
  </si>
  <si>
    <t>REVENUE RECORDING</t>
  </si>
  <si>
    <t>BUSINESS CLASSIFICATION/
INDEPENDENT SERVICE</t>
  </si>
  <si>
    <t xml:space="preserve">PHONE / FAX NUMBER          </t>
  </si>
  <si>
    <r>
      <rPr>
        <sz val="9"/>
        <rFont val="Arial"/>
        <family val="2"/>
      </rPr>
      <t>DOMESTIC NET INCOME FROM BUSINESS/INDEPENDENT SERVICE</t>
    </r>
    <r>
      <rPr>
        <sz val="9"/>
        <color rgb="FFFF0000"/>
        <rFont val="Arial"/>
        <family val="2"/>
      </rPr>
      <t xml:space="preserve">
</t>
    </r>
    <r>
      <rPr>
        <sz val="8"/>
        <rFont val="Arial"/>
        <family val="2"/>
      </rPr>
      <t>[Fill in from Form 1770 - I page 1 Total Section A or Form 1770 - I page 2 Total Section B Column 5]</t>
    </r>
  </si>
  <si>
    <t>CARRY FORWARD LOSS</t>
  </si>
  <si>
    <r>
      <t>TOTAL NET INCOME AFTER CARRY FORWARD LOSS</t>
    </r>
    <r>
      <rPr>
        <b/>
        <sz val="9"/>
        <rFont val="Arial"/>
        <family val="2"/>
      </rPr>
      <t xml:space="preserve"> (7 - 8)</t>
    </r>
  </si>
  <si>
    <r>
      <t xml:space="preserve">TAX LIABILITY (TAX RATES Art. 17 INCOME TAX LAW x NUMBER 11)
</t>
    </r>
    <r>
      <rPr>
        <sz val="7"/>
        <rFont val="Arial"/>
        <family val="2"/>
      </rPr>
      <t xml:space="preserve">[For the taxpayer under PA and MFS please fill this row with the income tax due calculation as attached in section G point i] </t>
    </r>
  </si>
  <si>
    <r>
      <t>INCOME TAX WITHHELD/COLLECTED BY OTHER PARTIES/BORNE BY THE GOVERNMENT AND/OR WITHHELD/PAID ABROAD</t>
    </r>
    <r>
      <rPr>
        <sz val="8"/>
        <rFont val="Arial"/>
        <family val="2"/>
      </rPr>
      <t xml:space="preserve"> [Fill in  with amount from Form 1770 -II Total Section A Column 7]</t>
    </r>
  </si>
  <si>
    <t xml:space="preserve">  CALCULATION FOR CERTAIN ENTREPRENEUR</t>
  </si>
  <si>
    <t>OTHER THAN FORM 1770 - 1 TO 1770 - IV (WHETHER IT IS FILLED OR NOT FILLED), MUST ALSO ATTACHED :</t>
  </si>
  <si>
    <t>BALANCE SHEET AND INCOME STATEMENT / MONTHLY RECAPITULATION OF BUSINESS TURNOVER AND / OR OTHER INCOME AND EXPENSES</t>
  </si>
  <si>
    <t>CALCULATION OF CARRY FORWARD LOSS</t>
  </si>
  <si>
    <t>LIST OF TOTAL INCOME AND PAYMENTS OF PPh 25 (ONLY APPLICABLE FOR CERTAIN ENTREPRENEUR)</t>
  </si>
  <si>
    <t>LIST OF TOTAL INCOME AND FINAL INCOME TAX SETTLEMENT ACCORDING GR 46 YEAR 2013 PER MONTH AND PER BUSINESS BRANCH</t>
  </si>
  <si>
    <t>STATEMENT</t>
  </si>
  <si>
    <t>NET DOMESTIC INCOME CALCULATION FROM BUSINESS ACTIVITIES AND/OR INDEPENDENT SERVICE FOR TAX PAYER APPLYING BOOKKEEPING</t>
  </si>
  <si>
    <t xml:space="preserve">TAXPAYER NAME                   </t>
  </si>
  <si>
    <t>NET DOMESTIC INCOME FROM BUSINESS ACTIVITIES AND/OR INDEPENDENT SERVICE</t>
  </si>
  <si>
    <t>(FOR TAXPAYER APPLYING BOOKKEEPING)</t>
  </si>
  <si>
    <t>BOOKKEEPING / FINANCIAL STATEMENT</t>
  </si>
  <si>
    <t xml:space="preserve">AUDITOR'S OPINION : </t>
  </si>
  <si>
    <t>NAME OF PUBLIC ACCOUNTANT</t>
  </si>
  <si>
    <t>TAX ID NUMBER OF PUBLIC ACCOUNTANT</t>
  </si>
  <si>
    <t>NAME OF PUBLIC ACCOUNTING FIRM</t>
  </si>
  <si>
    <t>TAX ID NUMBER OF PUBLIC ACCOUNTING FIRM</t>
  </si>
  <si>
    <t>NAME OF TAX CONSULTANT</t>
  </si>
  <si>
    <t>TAX ID NUMBER OF TAX CONSULTANT</t>
  </si>
  <si>
    <t>NAME OF TAX CONSULTING FIRM</t>
  </si>
  <si>
    <t>TAX ID NUMBER OF TAX CONSULTING FIRM</t>
  </si>
  <si>
    <t>INCOME FROM BUSINESS ACTIVITIES AND/OR INDEPENDENT SERVICE BASED ON COMMERCIAL FINANCIAL STATEMENT :</t>
  </si>
  <si>
    <t>BUSINESS TURNOVER</t>
  </si>
  <si>
    <t xml:space="preserve">GROSS INCOME / LOSS (1a - 1b) </t>
  </si>
  <si>
    <t>EXPENSE INCURRED FOR THE PERSONAL BENEFIT OF TAXPAYER AND/OR HIS/HER DEPENDENT</t>
  </si>
  <si>
    <t>INSURANCE PREMIUMS FOR MEDICAL, ACCIDENT, LIFE, MULTIPLE TYPE INSURANCE, AND SCHOLARSHIP WHICH ARE PAID BY INDIVIDUAL TAXPAYER</t>
  </si>
  <si>
    <t>REMUNERATION RELATED TO EMPLOYMENT OR SERVICES GIVEN IN THE FORM OF BENEFITS-IN-KIND</t>
  </si>
  <si>
    <t xml:space="preserve">EXCESSIVE COMPENSATION PAID TO RELATED PARTY IN RELATION TO WORK PERFORMED </t>
  </si>
  <si>
    <t>DONATIONS/GIFTS/GRANTS</t>
  </si>
  <si>
    <t>ADMINISTRATION PENALTY</t>
  </si>
  <si>
    <t xml:space="preserve">DIFFERENCE BETWEEN COMMERCIAL DEPRECIATION/AMMORTIZATION AND FISCAL DEPRECIATION/AMORTIZATION (COMMERCIAL OVER FISCAL)  </t>
  </si>
  <si>
    <t xml:space="preserve">EXPENSE INCURRED IN ORDER TO EARN, COLLECT, AND SECURE INCOME WHICH IS SUBJECT TO FINAL INCOME TAX AND NON TAX OBJECT INCOME </t>
  </si>
  <si>
    <t xml:space="preserve">DIFFERENCE BETWEEN COMMERCIAL DEPRECIATION/AMMORTIZATION AND FISCAL DEPRECIATION/AMORTIZATION (FISCAL OVER COMMERCIAL)  </t>
  </si>
  <si>
    <t>INCOME THAT SUBJECT TO FINAL TAX AND NOT INCLUDED TO TAX BUT INCLUDED TO BUSINESS TURNOVER</t>
  </si>
  <si>
    <t>ANNUAL INCOME TAX RETURN INDIVIDUAL TAXPAYER</t>
  </si>
  <si>
    <t>NET DOMESTIC INCOME CALCULATION FOR TAXPAYER APPLYING DEEMED PROFIT</t>
  </si>
  <si>
    <t>THE DIRECTORATE GENERAL OF TAXATION</t>
  </si>
  <si>
    <t>THE DIRECTORATE GENERAL
OF TAXATION</t>
  </si>
  <si>
    <t>ATTENTION :</t>
  </si>
  <si>
    <t xml:space="preserve">SECTION B: </t>
  </si>
  <si>
    <t>NET DOMESTIC INCOME FROM BUSINESS ACTIVITIES AND / OR INDEPENDENT SERVICE</t>
  </si>
  <si>
    <t>(FOR TAXPAYER APPLYING DEEMED PROFIT CALCULATION)</t>
  </si>
  <si>
    <t>TYPE OF BUSINESS</t>
  </si>
  <si>
    <t>BUSINESS TURNOVER
(Rupiah)</t>
  </si>
  <si>
    <t>RATE
(%)</t>
  </si>
  <si>
    <t>NET INCOME
(Rupiah)</t>
  </si>
  <si>
    <t>TRADING</t>
  </si>
  <si>
    <t>INDUSTRY</t>
  </si>
  <si>
    <t>SERVICES</t>
  </si>
  <si>
    <t>INDEPENDENT SERVICES</t>
  </si>
  <si>
    <t>OTHER BUSINESS</t>
  </si>
  <si>
    <t>TOTAL SECTION B</t>
  </si>
  <si>
    <t>TSB</t>
  </si>
  <si>
    <t>Move Total Section B Column (5) to Form 1770 Number 1</t>
  </si>
  <si>
    <t>SECTION C :</t>
  </si>
  <si>
    <t>DOMESTIC NET INCOME FROM EMPLOYMENT</t>
  </si>
  <si>
    <t>(EXCLUDING INCOME SUBJECT TO FINAL INCOME TAX)</t>
  </si>
  <si>
    <t>EMPLOYER NAME AND TAX ID NUMBER</t>
  </si>
  <si>
    <t>DEDUCTIONS/EXPENSES</t>
  </si>
  <si>
    <t>TOTAL SECTION C</t>
  </si>
  <si>
    <t>TSC</t>
  </si>
  <si>
    <t>Move Total Section C Column (5) to Form 1770 Number 2</t>
  </si>
  <si>
    <t>SECTION D :</t>
  </si>
  <si>
    <t>OTHER DOMESTIC NET INCOME</t>
  </si>
  <si>
    <t>TYPE OF INCOME</t>
  </si>
  <si>
    <t>TOTAL NET INCOME
(Rupiah)</t>
  </si>
  <si>
    <t>TOTAL SECTION D</t>
  </si>
  <si>
    <t>TSD</t>
  </si>
  <si>
    <t>Move Total Section D to Form 1770 Number 3</t>
  </si>
  <si>
    <t>INTERESTS</t>
  </si>
  <si>
    <t>ROYALTIES</t>
  </si>
  <si>
    <t>RENTALS</t>
  </si>
  <si>
    <t>PRIZES AND AWARDS</t>
  </si>
  <si>
    <t>GAIN ON SALES / TRANSFER OF ASSETS</t>
  </si>
  <si>
    <t>IF THERE IS NOT ENOUGH SPACE, SEPARATE PAGES IN ACCORDANCE WITH THIS FORM CAN BE PREPARED</t>
  </si>
  <si>
    <t>Page -</t>
  </si>
  <si>
    <t>from</t>
  </si>
  <si>
    <t>page Attachment-II</t>
  </si>
  <si>
    <t>ATTACHMENT - II</t>
  </si>
  <si>
    <t>LIST OF INCOME TAX WITHHELD BY OTHER PARTY,
PAID/WITHHELD OVERSEAS
AND BORNE BY THE GOVERNMENT</t>
  </si>
  <si>
    <t>FILL OUT WITH PRINTED/TYPED BLACK CAPITAL LETTERS</t>
  </si>
  <si>
    <t>PUT "X" IN THE</t>
  </si>
  <si>
    <t>PUT " X " IN THE</t>
  </si>
  <si>
    <t>SECTION A :</t>
  </si>
  <si>
    <t>LIST OF INCOME TAX WITHHELD BY OTHER PARTY, PAID/WITHHELD OVERSEAS AND BORNE BY THE GOVERNMENT</t>
  </si>
  <si>
    <t>NAME OF TAX WITHHOLDER / COLLECTOR</t>
  </si>
  <si>
    <t>TAX ID NUMBER OF WITHHOLDER / COLLECTOR</t>
  </si>
  <si>
    <t>WITHHOLDING TAX SLIP</t>
  </si>
  <si>
    <t>NUMBER</t>
  </si>
  <si>
    <t>DATE</t>
  </si>
  <si>
    <t>TOTAL TAX WITHHELD / COLLECTED
(Rupiah)</t>
  </si>
  <si>
    <t>TYPE OF TAX : INCOME TAX ARTICLE  21 / 22 / 23 / 24 / 26 / DTP *)</t>
  </si>
  <si>
    <t>15 etc.</t>
  </si>
  <si>
    <t>TOTAL SECTION A</t>
  </si>
  <si>
    <t>TSA</t>
  </si>
  <si>
    <t>Move Total Section A Column 7 to Form 1770 Number 15</t>
  </si>
  <si>
    <t>Borne by The Government</t>
  </si>
  <si>
    <t>Fill column (6) with the followings  : 21 / 22 / 23 / 24 /26/ DTP (Example : 21, 22, 23, 24, 26, DTP)</t>
  </si>
  <si>
    <t>If there is Tax Credit of Income Tax Article 24, the column should be filled with maximum creditable according to separate attachment</t>
  </si>
  <si>
    <t>(Follow the Instruction related to Part A of Attachment II and Annual Tax Return line 4)</t>
  </si>
  <si>
    <t>page Attachment - II</t>
  </si>
  <si>
    <t>ATTACHMENT - III</t>
  </si>
  <si>
    <t>INCOME SUBJECT TO FINAL TAX AND / OR FINAL IN NATURE</t>
  </si>
  <si>
    <t>NON TAXABLE INCOME</t>
  </si>
  <si>
    <t>SPOUSE'S INCOME TAXED SEPARATELY</t>
  </si>
  <si>
    <t xml:space="preserve">ATTENTION :   </t>
  </si>
  <si>
    <t xml:space="preserve">PUT "X" IN THE </t>
  </si>
  <si>
    <t>TAX BASE / GROSS INCOME
(Rupiah)</t>
  </si>
  <si>
    <t>TAX LIABILITY
(Rupiah)</t>
  </si>
  <si>
    <t>PROPERTY ACQUIRED FROM PROPERTY OWNERSHIP SCHEME</t>
  </si>
  <si>
    <t>LEASE / RENT OF LAND AND / OR BUILDING</t>
  </si>
  <si>
    <t>CONSTRUCTION SERVICE</t>
  </si>
  <si>
    <t>SUPPLIER / DEALER / AGENT OF FUEL PRODUCT</t>
  </si>
  <si>
    <t>DIVIDEND</t>
  </si>
  <si>
    <t xml:space="preserve">TOTAL (1 to 16) </t>
  </si>
  <si>
    <t>SECTION B :</t>
  </si>
  <si>
    <t>NON TAX OBJECT INCOME</t>
  </si>
  <si>
    <t>SOURCE / TYPE OF INCOME</t>
  </si>
  <si>
    <t>INHERITANCE</t>
  </si>
  <si>
    <t>SCHOLARSHIP</t>
  </si>
  <si>
    <t>SPOUSE INCOME TAXED SEPARATELY</t>
  </si>
  <si>
    <t>SPOUSE NET INCOME TAXED SEPARATELY</t>
  </si>
  <si>
    <t>ATTACHMENT - IV</t>
  </si>
  <si>
    <t>FILL OUT WITH PRINTED / TYPED BLACK CAPITAL LETTERS</t>
  </si>
  <si>
    <t xml:space="preserve"> ANNUAL INCOME TAX RETURN INDIVIDUAL TAXPAYER</t>
  </si>
  <si>
    <t>ASSETS AT YEAR END</t>
  </si>
  <si>
    <t>LIABILITIES AT YEAR END</t>
  </si>
  <si>
    <t>LIST OF FAMILY MEMBER</t>
  </si>
  <si>
    <t>REF. CODE</t>
  </si>
  <si>
    <t>TYPE OF ASSETS</t>
  </si>
  <si>
    <t>YEAR OF ACQUISITION</t>
  </si>
  <si>
    <t>ACQUISITION PRICE
(Rupiah)</t>
  </si>
  <si>
    <t>DESCRIPTION</t>
  </si>
  <si>
    <t>10 etc.</t>
  </si>
  <si>
    <t>NAME OF LENDER</t>
  </si>
  <si>
    <t>ADDRESS OF LENDER</t>
  </si>
  <si>
    <t>AMOUNT
(Rupiah)</t>
  </si>
  <si>
    <t>NAME</t>
  </si>
  <si>
    <t>PASSPORT / CITIZENSHIP NUMBER</t>
  </si>
  <si>
    <t>RELATIONSHIP</t>
  </si>
  <si>
    <t>OCCUPATION</t>
  </si>
  <si>
    <t>5
etc.</t>
  </si>
  <si>
    <t>10
etc.</t>
  </si>
  <si>
    <t>page Attachment - IV</t>
  </si>
  <si>
    <t>VERSION 1 - ARTICLE 21 INCOME TAX CALCULATION IS ROUNDED DOWN</t>
  </si>
  <si>
    <t>INDIVIDUAL INCOME TAX CALCULATION</t>
  </si>
  <si>
    <t xml:space="preserve"> NET INCOME </t>
  </si>
  <si>
    <t>Net employment income</t>
  </si>
  <si>
    <t>Net employment bonus</t>
  </si>
  <si>
    <t>Subtotal net employment income &amp; bonus</t>
  </si>
  <si>
    <t>Other domestic net income</t>
  </si>
  <si>
    <t>Overseas net income</t>
  </si>
  <si>
    <t>Total net income</t>
  </si>
  <si>
    <t>ANNUALIZED NET INCOME</t>
  </si>
  <si>
    <t>ANNUALIZED TAX BASE</t>
  </si>
  <si>
    <t>Employment income</t>
  </si>
  <si>
    <t>Employment bonus</t>
  </si>
  <si>
    <t>Total employment income + bonus</t>
  </si>
  <si>
    <t>Total annualized net income</t>
  </si>
  <si>
    <t>ANNUALIZED TAXABLE INCOME</t>
  </si>
  <si>
    <t>ANNUALIZED INCOME TAX DUE</t>
  </si>
  <si>
    <t>Subtotal employment income and bonus</t>
  </si>
  <si>
    <t>On other income</t>
  </si>
  <si>
    <t>Total annualized income tax due</t>
  </si>
  <si>
    <t>Tax base</t>
  </si>
  <si>
    <t>ACTUAL INCOME TAX DUE</t>
  </si>
  <si>
    <t>ANNUALIZED IMCOME TAX DUE</t>
  </si>
  <si>
    <t>Total actual income tax due</t>
  </si>
  <si>
    <t xml:space="preserve">Tax base </t>
  </si>
  <si>
    <t>CALCULATION OF MONTHLY PPh 25 INSTALLMENTS</t>
  </si>
  <si>
    <t>ANNUALIZED REGULAR NET INCOME</t>
  </si>
  <si>
    <t xml:space="preserve">Net employment income </t>
  </si>
  <si>
    <t>Irregular domestic net income</t>
  </si>
  <si>
    <t>Regular domestic net income</t>
  </si>
  <si>
    <t>Irregular overseas net income</t>
  </si>
  <si>
    <t>Regular overseas net income</t>
  </si>
  <si>
    <t>Total annualized regular net income</t>
  </si>
  <si>
    <t xml:space="preserve">PERSONAL RELIEFS </t>
  </si>
  <si>
    <t>Total annualized tax base</t>
  </si>
  <si>
    <t>TAX CREDIT</t>
  </si>
  <si>
    <t>Art. 21 income tax</t>
  </si>
  <si>
    <t>Art. 24 income tax</t>
  </si>
  <si>
    <t>Irregular income tax</t>
  </si>
  <si>
    <t>Total tax credit</t>
  </si>
  <si>
    <t>TAX CREDIT FROM ART. 29</t>
  </si>
  <si>
    <t>TAX BASE TO CALCULATE ART. 25</t>
  </si>
  <si>
    <t>NUMBER OF TAX PERIODS</t>
  </si>
  <si>
    <t xml:space="preserve">MONTHLY PPh 25 </t>
  </si>
  <si>
    <t xml:space="preserve">VERSION 2 - ARTICLE 21 INCOME TAX CALCULATION IS NOT ROUNDED </t>
  </si>
  <si>
    <t/>
  </si>
  <si>
    <t>ANNUALIZED TAX DUE</t>
  </si>
  <si>
    <t>2009 Onward Personal Relief</t>
  </si>
  <si>
    <t>INDIVIDUAL TAX RETURN ATTACHMENT</t>
  </si>
  <si>
    <t>Net employment income &amp; bonus</t>
  </si>
  <si>
    <t>On employment income &amp; bonus</t>
  </si>
  <si>
    <t xml:space="preserve">Net income </t>
  </si>
  <si>
    <t xml:space="preserve">Actual tax paid/due/withheld </t>
  </si>
  <si>
    <t>Allowed Tax Credit (in Rupiah)</t>
  </si>
  <si>
    <t>In foreign crcy</t>
  </si>
  <si>
    <t>as per tax treaty</t>
  </si>
  <si>
    <t>as per Art. 24 *)</t>
  </si>
  <si>
    <t>COUNTRY OF SOURCE =</t>
  </si>
  <si>
    <t>Dividend income</t>
  </si>
  <si>
    <t>Interest income</t>
  </si>
  <si>
    <t>Other income</t>
  </si>
  <si>
    <t>Capital gain/(loss)</t>
  </si>
  <si>
    <t>Rental income/(loss)</t>
  </si>
  <si>
    <t>TOTAL NET INCOME</t>
  </si>
  <si>
    <t>*) I request the amount in this column to be calculated as tax credit.</t>
  </si>
  <si>
    <t>CALCULATION OF MONTHLY PPh 25 INSTALLMENT</t>
  </si>
  <si>
    <t xml:space="preserve">FOR YEAR </t>
  </si>
  <si>
    <t>NET INCOME *)</t>
  </si>
  <si>
    <t>Employment Income</t>
  </si>
  <si>
    <t>Other domestic income</t>
  </si>
  <si>
    <t>Overseas income</t>
  </si>
  <si>
    <t>LESS: IRREGULAR INCOME</t>
  </si>
  <si>
    <t>TOTAL NET REGULAR INCOME</t>
  </si>
  <si>
    <t>ANNUALIZED NET REGULAR INCOME</t>
  </si>
  <si>
    <t>NOTIONAL TAXABLE INCOME</t>
  </si>
  <si>
    <t>NOTIONAL TAX DUE</t>
  </si>
  <si>
    <t>LESS:</t>
  </si>
  <si>
    <t>TAX CREDITS</t>
  </si>
  <si>
    <t>Art. 29 TAX CREDITS (from employment income)</t>
  </si>
  <si>
    <t>TAX BASE FOR MONTHLY PPh 25 INSTALMENT CALCULATION</t>
  </si>
  <si>
    <t>NUMBER OF TAX PERIODS (MONTHS)</t>
  </si>
  <si>
    <t>MONTHLY PPh 25 INSTALMENT</t>
  </si>
  <si>
    <t>LIST OF IRREGULAR INCOME</t>
  </si>
  <si>
    <t>LIST OF MONTHLY PPh 25 INSTALLMENTS</t>
  </si>
  <si>
    <t>PAID IN YEAR</t>
  </si>
  <si>
    <t>Amount</t>
  </si>
  <si>
    <t>TOTAL PAYMENTS</t>
  </si>
  <si>
    <t>TOTAL CLAIMED</t>
  </si>
  <si>
    <t>Description</t>
  </si>
  <si>
    <t>Details</t>
  </si>
  <si>
    <t>LAMPIRAN SPT TAHUNAN WP ORANG PRIBADI</t>
  </si>
  <si>
    <t>DAFTAR PENGHASILAN LUAR NEGERI</t>
  </si>
  <si>
    <t>Negara dan Jenis Penghasilan</t>
  </si>
  <si>
    <t>Penghasilan Neto</t>
  </si>
  <si>
    <t>Pajak yang dibayar / dipotong</t>
  </si>
  <si>
    <t>PPh Pasal 24 yang diperbolehkan</t>
  </si>
  <si>
    <t>Mata Uang Asing</t>
  </si>
  <si>
    <t>Rupiah</t>
  </si>
  <si>
    <t>Sesuai Dengan P3B Negara Yang Bersangkutan</t>
  </si>
  <si>
    <t>PPh Pasal 24 Yang Diperbolehkan*)</t>
  </si>
  <si>
    <t xml:space="preserve">NEGARA ASAL PENGHASILAN = </t>
  </si>
  <si>
    <t>Penghasilan Dividen</t>
  </si>
  <si>
    <t>Penghasilan Bunga</t>
  </si>
  <si>
    <t>Penghasilan lainnya</t>
  </si>
  <si>
    <t>Keuntungan/Kerugian Pengalihan Harta</t>
  </si>
  <si>
    <t>Keuntungan/Kerugian Sewa</t>
  </si>
  <si>
    <t>JUMLAH PENGHASILAN NETO</t>
  </si>
  <si>
    <t>*) Permohonan: jumlah pada kolom ini mohon diperhitungkan sebagai kredit pajak.</t>
  </si>
  <si>
    <t xml:space="preserve">PERHITUNGAN CICILAN PPh PASAL 25 </t>
  </si>
  <si>
    <t>UNTUK TAHUN PAJAK</t>
  </si>
  <si>
    <t>PENGHASILAN NETO *)</t>
  </si>
  <si>
    <t>Penghasilan bruto dari pekerjaan &amp; bonus</t>
  </si>
  <si>
    <t>Penghasilan bruto dalam negeri lainnya</t>
  </si>
  <si>
    <t>Penghasilan bruto luar negeri</t>
  </si>
  <si>
    <t>Jumlah penghasilan neto</t>
  </si>
  <si>
    <t>DIKURANGI: PENGHASILAN NETO TIDAK TERATUR</t>
  </si>
  <si>
    <t xml:space="preserve">JUMLAH PENGHASILAN NETO TERATUR </t>
  </si>
  <si>
    <t>PENGHASILAN NETO TERATUR YANG DISETAHUNKAN</t>
  </si>
  <si>
    <t xml:space="preserve">PENGHASILAN TIDAK KENA PAJAK </t>
  </si>
  <si>
    <t>PENGHASILAN KENA PAJAK NOSIONAL</t>
  </si>
  <si>
    <t>PAJAK PENGHASILAN YANG TERHUTANG NOSIONAL</t>
  </si>
  <si>
    <t>DIKURANGI:</t>
  </si>
  <si>
    <t>KREDIT PAJAK</t>
  </si>
  <si>
    <t xml:space="preserve">KREDIT PAJAK PPh PASAL 29 (DARI PEKERJAAN) </t>
  </si>
  <si>
    <t>DASAR UNTUK MENGHITUNG PPh PASAL 25</t>
  </si>
  <si>
    <t>JUMLAH MASA PAJAK (BULAN)</t>
  </si>
  <si>
    <t>JUMLAH SETORAN PPh PASAL 25 PER BULAN</t>
  </si>
  <si>
    <t>**)   Dihitung berdasarkan Undang-Undang Republik Indonesia Nomor 36 Tahun 2008 dan peraturan perpajakan yang terkait</t>
  </si>
  <si>
    <t>DAFTAR PENGHASILAN TIDAK TERATUR</t>
  </si>
  <si>
    <t>Negara Asal Penghasilan</t>
  </si>
  <si>
    <t>Jenis Penghasilan</t>
  </si>
  <si>
    <t>Kredit Pajak Yang Diperbolehkan</t>
  </si>
  <si>
    <t>Pajak yang Dibayar/Dipotong</t>
  </si>
  <si>
    <t>PPh Pasal 24 Yang Diperbolehkan</t>
  </si>
  <si>
    <t>JUMLAH</t>
  </si>
  <si>
    <t>Construction Services</t>
  </si>
  <si>
    <t>Supplier / Dealer / Agent of Fuel Product</t>
  </si>
  <si>
    <t>PUBLIC ACCOUNTANT</t>
  </si>
  <si>
    <t>AUDITOR'S OPINION</t>
  </si>
  <si>
    <t>a. Business Turnover</t>
  </si>
  <si>
    <t>b. Cost of Goods Sold</t>
  </si>
  <si>
    <t>OPERATING EXPENSE</t>
  </si>
  <si>
    <t>c. Operating Expense</t>
  </si>
  <si>
    <t>a. Expense inccured for the personal benefit of taxpayer and / or his / her dependant</t>
  </si>
  <si>
    <t>b. Insurance Premiums for medical, accident, life, multitype insurance, and scholarship which are paid by individual taxpayer</t>
  </si>
  <si>
    <t>c. Remuneration related to employment or services given in the form of Benefits in-kind</t>
  </si>
  <si>
    <t>d. Excessive compensation paid to related party in relation to work performed</t>
  </si>
  <si>
    <t>e. Donations / Gifts / Grants</t>
  </si>
  <si>
    <t>f. Tax Income</t>
  </si>
  <si>
    <t>g. Salary that be paid to the owner / taxpayer's dependant</t>
  </si>
  <si>
    <t>h. Administration Penalty</t>
  </si>
  <si>
    <t xml:space="preserve">i. Difference between commercial depreciation / ammortization and fiscal depreciation / ammortization </t>
  </si>
  <si>
    <t>j. Expense incurred in order to earn, collect, and secure income which is subject to final income tax and non tax object income</t>
  </si>
  <si>
    <t>k. Other Positive Fiscal Adjustment</t>
  </si>
  <si>
    <t>Negative Fiscal Adjustment</t>
  </si>
  <si>
    <t>c. Other Negative Fiscal Adjustment</t>
  </si>
  <si>
    <t>Carry Forward Loss</t>
  </si>
  <si>
    <t>a. Income that subject to final tax and not included to tax business turnover</t>
  </si>
  <si>
    <t>b. Difference between commercial depreciation / ammortization and fiscal depreciation / ammortization (fiscal over commercial)</t>
  </si>
  <si>
    <t>Trading</t>
  </si>
  <si>
    <t>Industry</t>
  </si>
  <si>
    <t>Services</t>
  </si>
  <si>
    <t>Independent Services</t>
  </si>
  <si>
    <t>Other business</t>
  </si>
  <si>
    <t>BUSINESS' TYPE</t>
  </si>
  <si>
    <t>E   INDONESIAN EMPLOYMENT INCOME (AS STATED IN THE FORMS 1721A1/A2)</t>
  </si>
  <si>
    <t xml:space="preserve">F   OTHER DOMESTIC NET INCOME </t>
  </si>
  <si>
    <t xml:space="preserve">G   INCOME SUBJECT TO FINAL TAX,  SEPARATELY TAXED INCOME, AND NON-ASSESSABLE INCOME </t>
  </si>
  <si>
    <t>H   BUSINESS / INDEPENDENT SERVICES (AS STATED IN THE FORMS 1770-I)</t>
  </si>
  <si>
    <t>Business TurnOver</t>
  </si>
  <si>
    <t>Rate (%)</t>
  </si>
  <si>
    <t>Spouse Income Taxed Separately</t>
  </si>
  <si>
    <t>Net Business / Independent Service Income</t>
  </si>
  <si>
    <t>Net business / independent services</t>
  </si>
  <si>
    <t>RINGKASAN CATATAN PEREDARAN / PENERIMAAN BRUTO</t>
  </si>
  <si>
    <t>TAHUN</t>
  </si>
  <si>
    <t>(Bagi Wajib Pajak Yang Menggunakan Norma Perhitungan)</t>
  </si>
  <si>
    <t xml:space="preserve">NAMA </t>
  </si>
  <si>
    <t>ALAMAT</t>
  </si>
  <si>
    <t>Bulan</t>
  </si>
  <si>
    <t>Jumlah Peredaran / Penerimaan Bruto</t>
  </si>
  <si>
    <t>Keterangan</t>
  </si>
  <si>
    <t>Januari</t>
  </si>
  <si>
    <t>Februari</t>
  </si>
  <si>
    <t>Maret</t>
  </si>
  <si>
    <t>Mei</t>
  </si>
  <si>
    <t>Juni</t>
  </si>
  <si>
    <t>Juli</t>
  </si>
  <si>
    <t>Agustus</t>
  </si>
  <si>
    <t>Oktober</t>
  </si>
  <si>
    <t>Desember</t>
  </si>
  <si>
    <t>Wajib Pajak yang Bersangkutan</t>
  </si>
  <si>
    <t>SUMMARY OF BUSINESS TURNOVER NOTEKEEPING</t>
  </si>
  <si>
    <t>YEAR</t>
  </si>
  <si>
    <t>(For taxpayer Who Uses Deemed Net Income Calculation)</t>
  </si>
  <si>
    <t>TAX ID</t>
  </si>
  <si>
    <t>ADDRESS</t>
  </si>
  <si>
    <t>Business Turnover</t>
  </si>
  <si>
    <t>Remark</t>
  </si>
  <si>
    <t>Taxpayer</t>
  </si>
  <si>
    <t xml:space="preserve">  EUR  </t>
  </si>
  <si>
    <t xml:space="preserve">  JPY  </t>
  </si>
  <si>
    <t xml:space="preserve">  HKD  </t>
  </si>
  <si>
    <t>CASH AND CASH EQUIVALENT</t>
  </si>
  <si>
    <t>ACCOUNT RECEIVABLES</t>
  </si>
  <si>
    <t>INVESTMENTS</t>
  </si>
  <si>
    <t>VEHICLES</t>
  </si>
  <si>
    <t>MOVEABLE ASSETS</t>
  </si>
  <si>
    <t>IMMOVABLE ASSETS</t>
  </si>
  <si>
    <t>Acquisition Price / Balance</t>
  </si>
  <si>
    <r>
      <t xml:space="preserve">OVERSEAS NET INCOME </t>
    </r>
    <r>
      <rPr>
        <sz val="8"/>
        <rFont val="Arial"/>
        <family val="2"/>
      </rPr>
      <t xml:space="preserve">  </t>
    </r>
    <r>
      <rPr>
        <sz val="9"/>
        <rFont val="Arial"/>
        <family val="2"/>
      </rPr>
      <t xml:space="preserve">                                                                                                                                                                            </t>
    </r>
    <r>
      <rPr>
        <sz val="8"/>
        <rFont val="Arial"/>
        <family val="2"/>
      </rPr>
      <t>[If there is income from overseas, please attach a separate attachment, refer to the Guidelines]</t>
    </r>
  </si>
  <si>
    <t>Net income from business/freelancer business</t>
  </si>
  <si>
    <t>Net business/independent service income</t>
  </si>
  <si>
    <t>Irregular net business income</t>
  </si>
  <si>
    <t>Regular net business income</t>
  </si>
  <si>
    <t>net business income</t>
  </si>
  <si>
    <t>Net business income</t>
  </si>
  <si>
    <t>Nama                                   :</t>
  </si>
  <si>
    <t>NPWP                                  :</t>
  </si>
  <si>
    <t>Alamat                                 :</t>
  </si>
  <si>
    <t>Uang Tunai</t>
  </si>
  <si>
    <t>Tabungan</t>
  </si>
  <si>
    <t>Deposito</t>
  </si>
  <si>
    <t>Setara Kas Lainnya</t>
  </si>
  <si>
    <t>Piutang</t>
  </si>
  <si>
    <t>Piutang Lainnya</t>
  </si>
  <si>
    <t>Saham yang dibeli untuk dijual kembali</t>
  </si>
  <si>
    <t>Saham</t>
  </si>
  <si>
    <t>Obligasi Perusahaan</t>
  </si>
  <si>
    <t>Obligasi Pemerintah Indonesia</t>
  </si>
  <si>
    <t>Surat Utang Lainnya</t>
  </si>
  <si>
    <t>Reksadana</t>
  </si>
  <si>
    <t>Instrumen Derivatif Lainnya</t>
  </si>
  <si>
    <t>Penyertaan modal dalam perusahaan lain yang tidak atas saham meliputi penyertaan modal pada CV, Firma, dan sejenisnya</t>
  </si>
  <si>
    <t>Investasi lainnya</t>
  </si>
  <si>
    <t>Sepeda</t>
  </si>
  <si>
    <t>Sepeda Motor</t>
  </si>
  <si>
    <t>Mobil</t>
  </si>
  <si>
    <t>Alat transportasi lainnya</t>
  </si>
  <si>
    <t>Logam mulia</t>
  </si>
  <si>
    <t>Batu mulia</t>
  </si>
  <si>
    <t>Barang antik dan seni</t>
  </si>
  <si>
    <t>Kapal pesiar, pesawat, helikopter, jet ski, dan peralatan olah raga lainnya</t>
  </si>
  <si>
    <t>Peralatan elektronik, furnitur</t>
  </si>
  <si>
    <t>Harta bergerak lainnya</t>
  </si>
  <si>
    <t>Tanah dan/atau bangunan untuk tempat tinggal</t>
  </si>
  <si>
    <t>Tanah dan/atau bangunan untuk usaha</t>
  </si>
  <si>
    <t>Tanah/lahan untuk usaha</t>
  </si>
  <si>
    <t>Harta tidak bergerak lainnya</t>
  </si>
  <si>
    <t>044</t>
  </si>
  <si>
    <t>Utang bank/lembaga keuangan bukan bank</t>
  </si>
  <si>
    <t>Kartu kredit</t>
  </si>
  <si>
    <t>Utang afiliasi</t>
  </si>
  <si>
    <t>Utang lainnya</t>
  </si>
  <si>
    <t>DAFTAR HARTA DAN KEWAJIBAN/UTANG PADA AKHIR TAHUN</t>
  </si>
  <si>
    <t>Kode Harta</t>
  </si>
  <si>
    <t>Nama Harta</t>
  </si>
  <si>
    <t>Tahun Perolehan</t>
  </si>
  <si>
    <t>Harga Perolehan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</si>
</sst>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4">
    <numFmt numFmtId="8" formatCode="&quot;$&quot;#,##0.00_);[Red]\(&quot;$&quot;#,##0.00\)"/>
    <numFmt numFmtId="41" formatCode="_(* #,##0_);_(* \(#,##0\);_(* &quot;-&quot;_);_(@_)"/>
    <numFmt numFmtId="43" formatCode="_(* #,##0.00_);_(* \(#,##0.00\);_(* &quot;-&quot;??_);_(@_)"/>
    <numFmt numFmtId="164" formatCode="_(&quot;Rp&quot;* #,##0_);_(&quot;Rp&quot;* \(#,##0\);_(&quot;Rp&quot;* &quot;-&quot;_);_(@_)"/>
    <numFmt numFmtId="165" formatCode="_-* #,##0_-;\-* #,##0_-;_-* &quot;-&quot;_-;_-@_-"/>
    <numFmt numFmtId="166" formatCode="_-&quot;£&quot;* #,##0.00_-;\-&quot;£&quot;* #,##0.00_-;_-&quot;£&quot;* &quot;-&quot;??_-;_-@_-"/>
    <numFmt numFmtId="167" formatCode="_-* #,##0.00_-;\-* #,##0.00_-;_-* &quot;-&quot;??_-;_-@_-"/>
    <numFmt numFmtId="168" formatCode="_(* #,##0_);_(* \(#,##0\);_(* &quot;-&quot;??_);_(@_)"/>
    <numFmt numFmtId="169" formatCode="dd\-mm\-yyyy"/>
    <numFmt numFmtId="170" formatCode="[$-409]d\-mmm\-yy;@"/>
    <numFmt numFmtId="171" formatCode="[$-C09]dd\-mmm\-yy;@"/>
    <numFmt numFmtId="172" formatCode="#,###;[Red]\(#,###\);&quot;-&quot;"/>
    <numFmt numFmtId="173" formatCode="[$-409]mmm\-yy;@"/>
    <numFmt numFmtId="174" formatCode="[$-409]dd\-mmm\-yy;@"/>
    <numFmt numFmtId="175" formatCode="#,##0;\(#,##0\)"/>
    <numFmt numFmtId="176" formatCode="_-[$Rp-421]* #,##0_ ;_-[$Rp-421]* \-#,##0\ ;_-[$Rp-421]* &quot;-&quot;_ ;_-@_ "/>
    <numFmt numFmtId="177" formatCode="#,##0;[Red]\ \(#,##0\);\ &quot;-&quot;"/>
    <numFmt numFmtId="178" formatCode="_-* #,##0_-;\-* #,##0_-;_-* &quot;-&quot;??_-;_-@_-"/>
    <numFmt numFmtId="179" formatCode="_([$Rp-421]* #,##0_);_([$Rp-421]* \(#,##0\);_([$Rp-421]* &quot;-&quot;_);_(@_)"/>
    <numFmt numFmtId="180" formatCode="0.0000%"/>
    <numFmt numFmtId="181" formatCode="#,##0_ ;\-#,##0\ "/>
    <numFmt numFmtId="182" formatCode="#,###"/>
    <numFmt numFmtId="183" formatCode="_-[$Rp-421]* #,##0.00_ ;_-[$Rp-421]* \-#,##0.00\ ;_-[$Rp-421]* &quot;-&quot;??_ ;_-@_ "/>
    <numFmt numFmtId="184" formatCode="[$-409]d\-mmm\-yyyy;@"/>
  </numFmts>
  <fonts count="132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sz val="11"/>
      <name val="Arial"/>
      <family val="2"/>
    </font>
    <font>
      <b/>
      <sz val="28"/>
      <name val="Arial"/>
      <family val="2"/>
    </font>
    <font>
      <b/>
      <sz val="20"/>
      <name val="Arial"/>
      <family val="2"/>
    </font>
    <font>
      <b/>
      <sz val="8"/>
      <name val="Arial"/>
      <family val="2"/>
    </font>
    <font>
      <b/>
      <sz val="26"/>
      <name val="Arial"/>
      <family val="2"/>
    </font>
    <font>
      <b/>
      <sz val="9"/>
      <name val="Arial"/>
      <family val="2"/>
    </font>
    <font>
      <b/>
      <sz val="6"/>
      <name val="Arial"/>
      <family val="2"/>
    </font>
    <font>
      <sz val="18"/>
      <name val="Arial"/>
      <family val="2"/>
    </font>
    <font>
      <sz val="9"/>
      <name val="Arial"/>
      <family val="2"/>
    </font>
    <font>
      <sz val="7"/>
      <name val="Arial"/>
      <family val="2"/>
    </font>
    <font>
      <sz val="6"/>
      <name val="Arial"/>
      <family val="2"/>
    </font>
    <font>
      <b/>
      <sz val="7"/>
      <name val="Arial"/>
      <family val="2"/>
    </font>
    <font>
      <b/>
      <sz val="11"/>
      <name val="Arial"/>
      <family val="2"/>
    </font>
    <font>
      <b/>
      <sz val="10"/>
      <name val="Times New Roman"/>
      <family val="1"/>
    </font>
    <font>
      <sz val="8.6999999999999993"/>
      <name val="Arial"/>
      <family val="2"/>
    </font>
    <font>
      <sz val="8.8000000000000007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i/>
      <sz val="7"/>
      <name val="Arial"/>
      <family val="2"/>
    </font>
    <font>
      <b/>
      <sz val="13"/>
      <name val="Arial"/>
      <family val="2"/>
    </font>
    <font>
      <b/>
      <sz val="22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b/>
      <sz val="27"/>
      <name val="Arial"/>
      <family val="2"/>
    </font>
    <font>
      <b/>
      <sz val="25"/>
      <name val="Arial"/>
      <family val="2"/>
    </font>
    <font>
      <b/>
      <i/>
      <sz val="8"/>
      <name val="Arial"/>
      <family val="2"/>
    </font>
    <font>
      <sz val="10"/>
      <color theme="0"/>
      <name val="Arial"/>
      <family val="2"/>
    </font>
    <font>
      <sz val="7"/>
      <color theme="0"/>
      <name val="Arial"/>
      <family val="2"/>
    </font>
    <font>
      <b/>
      <sz val="7"/>
      <color rgb="FFFF0000"/>
      <name val="Arial"/>
      <family val="2"/>
    </font>
    <font>
      <b/>
      <sz val="10"/>
      <color rgb="FFFF0000"/>
      <name val="Arial"/>
      <family val="2"/>
    </font>
    <font>
      <sz val="10"/>
      <color theme="1"/>
      <name val="Arial"/>
      <family val="2"/>
    </font>
    <font>
      <sz val="11"/>
      <name val="Calibri"/>
      <family val="2"/>
    </font>
    <font>
      <sz val="10"/>
      <name val="Calibri"/>
      <family val="2"/>
    </font>
    <font>
      <sz val="5.5"/>
      <name val="Calibri"/>
      <family val="2"/>
    </font>
    <font>
      <b/>
      <sz val="14"/>
      <name val="Calibri"/>
      <family val="2"/>
    </font>
    <font>
      <sz val="14"/>
      <name val="Arial"/>
      <family val="2"/>
    </font>
    <font>
      <sz val="14"/>
      <name val="Calibri"/>
      <family val="2"/>
    </font>
    <font>
      <sz val="14"/>
      <name val="Calibri"/>
      <family val="2"/>
      <scheme val="minor"/>
    </font>
    <font>
      <sz val="12"/>
      <name val="Calibri"/>
      <family val="2"/>
      <scheme val="minor"/>
    </font>
    <font>
      <sz val="20"/>
      <color theme="3"/>
      <name val="Calibri"/>
      <family val="2"/>
      <scheme val="minor"/>
    </font>
    <font>
      <b/>
      <sz val="28"/>
      <color theme="3"/>
      <name val="Arial"/>
      <family val="2"/>
    </font>
    <font>
      <sz val="10"/>
      <name val="Calibri"/>
      <family val="2"/>
      <scheme val="minor"/>
    </font>
    <font>
      <b/>
      <u/>
      <sz val="10"/>
      <name val="Arial"/>
      <family val="2"/>
    </font>
    <font>
      <sz val="13"/>
      <name val="Arial"/>
      <family val="2"/>
    </font>
    <font>
      <i/>
      <sz val="10"/>
      <name val="Arial"/>
      <family val="2"/>
    </font>
    <font>
      <sz val="11"/>
      <color theme="3"/>
      <name val="Arial"/>
      <family val="2"/>
    </font>
    <font>
      <u/>
      <sz val="10"/>
      <color indexed="12"/>
      <name val="Arial"/>
      <family val="2"/>
    </font>
    <font>
      <u/>
      <sz val="10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rgb="FF9C0006"/>
      <name val="Calibri"/>
      <family val="2"/>
      <scheme val="minor"/>
    </font>
    <font>
      <b/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sz val="10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u/>
      <sz val="11"/>
      <color theme="10"/>
      <name val="Calibri"/>
      <family val="2"/>
    </font>
    <font>
      <u/>
      <sz val="9"/>
      <color theme="10"/>
      <name val="Franklin Gothic Medium"/>
      <family val="2"/>
    </font>
    <font>
      <sz val="10"/>
      <color rgb="FF3F3F76"/>
      <name val="Calibri"/>
      <family val="2"/>
      <scheme val="minor"/>
    </font>
    <font>
      <sz val="10"/>
      <color rgb="FFFA7D00"/>
      <name val="Calibri"/>
      <family val="2"/>
      <scheme val="minor"/>
    </font>
    <font>
      <sz val="10"/>
      <color rgb="FF9C6500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0"/>
      <color rgb="FF3F3F3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0"/>
      <color rgb="FFFF0000"/>
      <name val="Arial"/>
      <family val="2"/>
    </font>
    <font>
      <sz val="18"/>
      <color rgb="FFFF0000"/>
      <name val="Arial"/>
      <family val="2"/>
    </font>
    <font>
      <b/>
      <sz val="8"/>
      <color rgb="FFFF0000"/>
      <name val="Arial"/>
      <family val="2"/>
    </font>
    <font>
      <sz val="7"/>
      <color rgb="FFFF0000"/>
      <name val="Arial"/>
      <family val="2"/>
    </font>
    <font>
      <sz val="9"/>
      <color rgb="FFFF0000"/>
      <name val="Arial"/>
      <family val="2"/>
    </font>
    <font>
      <u/>
      <sz val="11"/>
      <color rgb="FF990000"/>
      <name val="Arial"/>
      <family val="2"/>
    </font>
    <font>
      <b/>
      <u/>
      <sz val="12"/>
      <name val="Arial"/>
      <family val="2"/>
    </font>
    <font>
      <sz val="12"/>
      <color rgb="FFF64C08"/>
      <name val="Arial"/>
      <family val="2"/>
    </font>
    <font>
      <u/>
      <sz val="12"/>
      <color theme="10"/>
      <name val="Arial"/>
      <family val="2"/>
    </font>
    <font>
      <u/>
      <sz val="11"/>
      <color theme="10"/>
      <name val="Arial"/>
      <family val="2"/>
    </font>
    <font>
      <b/>
      <sz val="10"/>
      <name val="Aria;"/>
    </font>
    <font>
      <sz val="10"/>
      <name val="Aria;"/>
    </font>
    <font>
      <b/>
      <sz val="5"/>
      <name val="Arial"/>
      <family val="2"/>
    </font>
    <font>
      <b/>
      <sz val="16"/>
      <name val="Arial Black"/>
      <family val="2"/>
    </font>
    <font>
      <b/>
      <sz val="10"/>
      <color indexed="48"/>
      <name val="Arial"/>
      <family val="2"/>
    </font>
    <font>
      <b/>
      <sz val="16"/>
      <name val="Arial"/>
      <family val="2"/>
    </font>
    <font>
      <sz val="10"/>
      <color indexed="12"/>
      <name val="Arial"/>
      <family val="2"/>
    </font>
    <font>
      <b/>
      <i/>
      <sz val="10"/>
      <name val="Arial"/>
      <family val="2"/>
    </font>
    <font>
      <b/>
      <sz val="18"/>
      <name val="Arial"/>
      <family val="2"/>
    </font>
    <font>
      <b/>
      <i/>
      <sz val="10"/>
      <color indexed="12"/>
      <name val="Arial"/>
      <family val="2"/>
    </font>
    <font>
      <sz val="10"/>
      <name val="Times New Roman"/>
      <family val="1"/>
    </font>
    <font>
      <b/>
      <sz val="14"/>
      <name val="Times New Roman"/>
      <family val="1"/>
    </font>
    <font>
      <b/>
      <sz val="11"/>
      <name val="Times New Roman"/>
      <family val="1"/>
    </font>
    <font>
      <b/>
      <sz val="12"/>
      <name val="Times New Roman"/>
      <family val="1"/>
    </font>
    <font>
      <b/>
      <sz val="20"/>
      <name val="Times New Roman"/>
      <family val="1"/>
    </font>
    <font>
      <sz val="18"/>
      <name val="Times New Roman"/>
      <family val="1"/>
    </font>
    <font>
      <sz val="9"/>
      <name val="Times New Roman"/>
      <family val="1"/>
    </font>
    <font>
      <b/>
      <sz val="8"/>
      <name val="Times New Roman"/>
      <family val="1"/>
    </font>
    <font>
      <b/>
      <sz val="7"/>
      <name val="Times New Roman"/>
      <family val="1"/>
    </font>
    <font>
      <b/>
      <sz val="9"/>
      <name val="Times New Roman"/>
      <family val="1"/>
    </font>
    <font>
      <sz val="7"/>
      <name val="Times New Roman"/>
      <family val="1"/>
    </font>
    <font>
      <sz val="12"/>
      <name val="Times New Roman"/>
      <family val="1"/>
    </font>
    <font>
      <b/>
      <sz val="16"/>
      <name val="Cambria"/>
      <family val="1"/>
      <scheme val="major"/>
    </font>
    <font>
      <sz val="10"/>
      <name val="Cambria"/>
      <family val="1"/>
      <scheme val="major"/>
    </font>
    <font>
      <b/>
      <sz val="11"/>
      <name val="Cambria"/>
      <family val="1"/>
      <scheme val="major"/>
    </font>
    <font>
      <b/>
      <sz val="10"/>
      <color theme="0"/>
      <name val="Cambria"/>
      <family val="1"/>
      <scheme val="major"/>
    </font>
    <font>
      <b/>
      <sz val="9"/>
      <color theme="0"/>
      <name val="Cambria"/>
      <family val="1"/>
      <scheme val="major"/>
    </font>
    <font>
      <sz val="9"/>
      <name val="Cambria"/>
      <family val="1"/>
      <scheme val="major"/>
    </font>
  </fonts>
  <fills count="7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CFABC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E2ECF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indexed="4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92D400"/>
        <bgColor indexed="64"/>
      </patternFill>
    </fill>
  </fills>
  <borders count="16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hair">
        <color indexed="64"/>
      </bottom>
      <diagonal/>
    </border>
    <border>
      <left/>
      <right/>
      <top style="double">
        <color indexed="64"/>
      </top>
      <bottom style="hair">
        <color indexed="64"/>
      </bottom>
      <diagonal/>
    </border>
    <border>
      <left/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/>
      <top style="double">
        <color indexed="64"/>
      </top>
      <bottom style="hair">
        <color indexed="64"/>
      </bottom>
      <diagonal/>
    </border>
    <border>
      <left/>
      <right style="medium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double">
        <color indexed="64"/>
      </bottom>
      <diagonal/>
    </border>
    <border>
      <left/>
      <right/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</borders>
  <cellStyleXfs count="120">
    <xf numFmtId="0" fontId="0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5" fillId="3" borderId="0" applyNumberFormat="0" applyBorder="0" applyAlignment="0" applyProtection="0"/>
    <xf numFmtId="0" fontId="6" fillId="20" borderId="1" applyNumberFormat="0" applyAlignment="0" applyProtection="0"/>
    <xf numFmtId="0" fontId="7" fillId="21" borderId="2" applyNumberFormat="0" applyAlignment="0" applyProtection="0"/>
    <xf numFmtId="41" fontId="3" fillId="0" borderId="0" applyFont="0" applyFill="0" applyBorder="0" applyAlignment="0" applyProtection="0"/>
    <xf numFmtId="41" fontId="45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4" borderId="0" applyNumberFormat="0" applyBorder="0" applyAlignment="0" applyProtection="0"/>
    <xf numFmtId="0" fontId="10" fillId="0" borderId="3" applyNumberFormat="0" applyFill="0" applyAlignment="0" applyProtection="0"/>
    <xf numFmtId="0" fontId="11" fillId="0" borderId="4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3" fillId="7" borderId="1" applyNumberFormat="0" applyAlignment="0" applyProtection="0"/>
    <xf numFmtId="0" fontId="14" fillId="0" borderId="6" applyNumberFormat="0" applyFill="0" applyAlignment="0" applyProtection="0"/>
    <xf numFmtId="0" fontId="15" fillId="22" borderId="0" applyNumberFormat="0" applyBorder="0" applyAlignment="0" applyProtection="0"/>
    <xf numFmtId="0" fontId="3" fillId="23" borderId="7" applyNumberFormat="0" applyFont="0" applyAlignment="0" applyProtection="0"/>
    <xf numFmtId="0" fontId="16" fillId="20" borderId="8" applyNumberForma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0" borderId="0" applyNumberFormat="0" applyFill="0" applyBorder="0" applyAlignment="0" applyProtection="0"/>
    <xf numFmtId="167" fontId="45" fillId="0" borderId="0" applyFont="0" applyFill="0" applyBorder="0" applyAlignment="0" applyProtection="0"/>
    <xf numFmtId="0" fontId="62" fillId="0" borderId="0" applyNumberFormat="0" applyFill="0" applyBorder="0" applyProtection="0">
      <alignment vertical="center"/>
    </xf>
    <xf numFmtId="0" fontId="64" fillId="0" borderId="0">
      <alignment vertical="center"/>
    </xf>
    <xf numFmtId="0" fontId="45" fillId="0" borderId="0"/>
    <xf numFmtId="0" fontId="45" fillId="0" borderId="0"/>
    <xf numFmtId="0" fontId="45" fillId="0" borderId="0"/>
    <xf numFmtId="0" fontId="69" fillId="0" borderId="0" applyNumberFormat="0" applyFill="0" applyBorder="0" applyAlignment="0" applyProtection="0">
      <alignment vertical="top"/>
      <protection locked="0"/>
    </xf>
    <xf numFmtId="43" fontId="45" fillId="0" borderId="0" applyFont="0" applyFill="0" applyBorder="0" applyAlignment="0" applyProtection="0"/>
    <xf numFmtId="0" fontId="73" fillId="35" borderId="0" applyNumberFormat="0" applyBorder="0" applyAlignment="0" applyProtection="0"/>
    <xf numFmtId="0" fontId="73" fillId="36" borderId="0" applyNumberFormat="0" applyBorder="0" applyAlignment="0" applyProtection="0"/>
    <xf numFmtId="0" fontId="73" fillId="37" borderId="0" applyNumberFormat="0" applyBorder="0" applyAlignment="0" applyProtection="0"/>
    <xf numFmtId="0" fontId="73" fillId="38" borderId="0" applyNumberFormat="0" applyBorder="0" applyAlignment="0" applyProtection="0"/>
    <xf numFmtId="0" fontId="73" fillId="39" borderId="0" applyNumberFormat="0" applyBorder="0" applyAlignment="0" applyProtection="0"/>
    <xf numFmtId="0" fontId="73" fillId="40" borderId="0" applyNumberFormat="0" applyBorder="0" applyAlignment="0" applyProtection="0"/>
    <xf numFmtId="0" fontId="73" fillId="41" borderId="0" applyNumberFormat="0" applyBorder="0" applyAlignment="0" applyProtection="0"/>
    <xf numFmtId="0" fontId="73" fillId="42" borderId="0" applyNumberFormat="0" applyBorder="0" applyAlignment="0" applyProtection="0"/>
    <xf numFmtId="0" fontId="73" fillId="43" borderId="0" applyNumberFormat="0" applyBorder="0" applyAlignment="0" applyProtection="0"/>
    <xf numFmtId="0" fontId="73" fillId="44" borderId="0" applyNumberFormat="0" applyBorder="0" applyAlignment="0" applyProtection="0"/>
    <xf numFmtId="0" fontId="73" fillId="45" borderId="0" applyNumberFormat="0" applyBorder="0" applyAlignment="0" applyProtection="0"/>
    <xf numFmtId="0" fontId="73" fillId="46" borderId="0" applyNumberFormat="0" applyBorder="0" applyAlignment="0" applyProtection="0"/>
    <xf numFmtId="0" fontId="74" fillId="47" borderId="0" applyNumberFormat="0" applyBorder="0" applyAlignment="0" applyProtection="0"/>
    <xf numFmtId="0" fontId="74" fillId="48" borderId="0" applyNumberFormat="0" applyBorder="0" applyAlignment="0" applyProtection="0"/>
    <xf numFmtId="0" fontId="74" fillId="49" borderId="0" applyNumberFormat="0" applyBorder="0" applyAlignment="0" applyProtection="0"/>
    <xf numFmtId="0" fontId="74" fillId="50" borderId="0" applyNumberFormat="0" applyBorder="0" applyAlignment="0" applyProtection="0"/>
    <xf numFmtId="0" fontId="74" fillId="51" borderId="0" applyNumberFormat="0" applyBorder="0" applyAlignment="0" applyProtection="0"/>
    <xf numFmtId="0" fontId="74" fillId="52" borderId="0" applyNumberFormat="0" applyBorder="0" applyAlignment="0" applyProtection="0"/>
    <xf numFmtId="0" fontId="74" fillId="53" borderId="0" applyNumberFormat="0" applyBorder="0" applyAlignment="0" applyProtection="0"/>
    <xf numFmtId="0" fontId="74" fillId="54" borderId="0" applyNumberFormat="0" applyBorder="0" applyAlignment="0" applyProtection="0"/>
    <xf numFmtId="0" fontId="74" fillId="55" borderId="0" applyNumberFormat="0" applyBorder="0" applyAlignment="0" applyProtection="0"/>
    <xf numFmtId="0" fontId="74" fillId="56" borderId="0" applyNumberFormat="0" applyBorder="0" applyAlignment="0" applyProtection="0"/>
    <xf numFmtId="0" fontId="74" fillId="57" borderId="0" applyNumberFormat="0" applyBorder="0" applyAlignment="0" applyProtection="0"/>
    <xf numFmtId="0" fontId="74" fillId="58" borderId="0" applyNumberFormat="0" applyBorder="0" applyAlignment="0" applyProtection="0"/>
    <xf numFmtId="0" fontId="75" fillId="59" borderId="0" applyNumberFormat="0" applyBorder="0" applyAlignment="0" applyProtection="0"/>
    <xf numFmtId="0" fontId="76" fillId="60" borderId="99" applyNumberFormat="0" applyAlignment="0" applyProtection="0"/>
    <xf numFmtId="0" fontId="77" fillId="61" borderId="100" applyNumberFormat="0" applyAlignment="0" applyProtection="0"/>
    <xf numFmtId="41" fontId="3" fillId="0" borderId="0" applyFont="0" applyFill="0" applyBorder="0" applyAlignment="0" applyProtection="0"/>
    <xf numFmtId="0" fontId="78" fillId="0" borderId="0" applyNumberFormat="0" applyFill="0" applyBorder="0" applyAlignment="0" applyProtection="0"/>
    <xf numFmtId="0" fontId="79" fillId="62" borderId="0" applyNumberFormat="0" applyBorder="0" applyAlignment="0" applyProtection="0"/>
    <xf numFmtId="0" fontId="80" fillId="0" borderId="101" applyNumberFormat="0" applyFill="0" applyAlignment="0" applyProtection="0"/>
    <xf numFmtId="0" fontId="81" fillId="0" borderId="102" applyNumberFormat="0" applyFill="0" applyAlignment="0" applyProtection="0"/>
    <xf numFmtId="0" fontId="82" fillId="0" borderId="103" applyNumberFormat="0" applyFill="0" applyAlignment="0" applyProtection="0"/>
    <xf numFmtId="0" fontId="82" fillId="0" borderId="0" applyNumberFormat="0" applyFill="0" applyBorder="0" applyAlignment="0" applyProtection="0"/>
    <xf numFmtId="0" fontId="69" fillId="0" borderId="0" applyNumberFormat="0" applyFill="0" applyBorder="0" applyAlignment="0" applyProtection="0">
      <alignment vertical="top"/>
      <protection locked="0"/>
    </xf>
    <xf numFmtId="0" fontId="83" fillId="0" borderId="0" applyNumberFormat="0" applyFill="0" applyBorder="0" applyAlignment="0" applyProtection="0">
      <alignment vertical="top"/>
      <protection locked="0"/>
    </xf>
    <xf numFmtId="0" fontId="84" fillId="0" borderId="0" applyNumberFormat="0" applyFill="0" applyBorder="0" applyAlignment="0" applyProtection="0">
      <alignment vertical="top"/>
      <protection locked="0"/>
    </xf>
    <xf numFmtId="0" fontId="85" fillId="63" borderId="99" applyNumberFormat="0" applyAlignment="0" applyProtection="0"/>
    <xf numFmtId="0" fontId="86" fillId="0" borderId="104" applyNumberFormat="0" applyFill="0" applyAlignment="0" applyProtection="0"/>
    <xf numFmtId="0" fontId="87" fillId="64" borderId="0" applyNumberFormat="0" applyBorder="0" applyAlignment="0" applyProtection="0"/>
    <xf numFmtId="0" fontId="2" fillId="0" borderId="0"/>
    <xf numFmtId="0" fontId="4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8" fillId="0" borderId="0"/>
    <xf numFmtId="0" fontId="64" fillId="0" borderId="0">
      <alignment vertical="center"/>
    </xf>
    <xf numFmtId="0" fontId="2" fillId="0" borderId="0"/>
    <xf numFmtId="0" fontId="45" fillId="0" borderId="0"/>
    <xf numFmtId="0" fontId="73" fillId="0" borderId="0"/>
    <xf numFmtId="0" fontId="2" fillId="0" borderId="0"/>
    <xf numFmtId="0" fontId="2" fillId="0" borderId="0"/>
    <xf numFmtId="0" fontId="89" fillId="60" borderId="105" applyNumberFormat="0" applyAlignment="0" applyProtection="0"/>
    <xf numFmtId="0" fontId="90" fillId="0" borderId="106" applyNumberFormat="0" applyFill="0" applyAlignment="0" applyProtection="0"/>
    <xf numFmtId="0" fontId="91" fillId="0" borderId="0" applyNumberFormat="0" applyFill="0" applyBorder="0" applyAlignment="0" applyProtection="0"/>
    <xf numFmtId="9" fontId="4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474">
    <xf numFmtId="0" fontId="0" fillId="0" borderId="0" xfId="0"/>
    <xf numFmtId="0" fontId="0" fillId="0" borderId="0" xfId="0" applyBorder="1"/>
    <xf numFmtId="0" fontId="0" fillId="24" borderId="0" xfId="0" applyFill="1"/>
    <xf numFmtId="0" fontId="0" fillId="0" borderId="0" xfId="0" applyFill="1"/>
    <xf numFmtId="0" fontId="21" fillId="0" borderId="0" xfId="0" applyFont="1" applyBorder="1" applyAlignment="1">
      <alignment vertical="center"/>
    </xf>
    <xf numFmtId="0" fontId="25" fillId="0" borderId="0" xfId="0" quotePrefix="1" applyFont="1" applyBorder="1" applyAlignment="1">
      <alignment vertical="distributed"/>
    </xf>
    <xf numFmtId="0" fontId="28" fillId="0" borderId="10" xfId="0" applyFont="1" applyBorder="1" applyAlignment="1"/>
    <xf numFmtId="0" fontId="0" fillId="0" borderId="11" xfId="0" applyBorder="1"/>
    <xf numFmtId="0" fontId="20" fillId="0" borderId="0" xfId="0" applyFont="1" applyBorder="1" applyAlignment="1"/>
    <xf numFmtId="0" fontId="20" fillId="0" borderId="0" xfId="0" applyFont="1" applyBorder="1"/>
    <xf numFmtId="0" fontId="25" fillId="0" borderId="0" xfId="0" quotePrefix="1" applyFont="1" applyBorder="1" applyAlignment="1">
      <alignment vertical="distributed" wrapText="1"/>
    </xf>
    <xf numFmtId="0" fontId="26" fillId="0" borderId="0" xfId="0" applyFont="1"/>
    <xf numFmtId="0" fontId="25" fillId="0" borderId="12" xfId="0" quotePrefix="1" applyFont="1" applyBorder="1" applyAlignment="1">
      <alignment vertical="distributed"/>
    </xf>
    <xf numFmtId="0" fontId="30" fillId="0" borderId="12" xfId="0" applyFont="1" applyBorder="1" applyAlignment="1">
      <alignment horizontal="center" vertical="center"/>
    </xf>
    <xf numFmtId="0" fontId="31" fillId="0" borderId="13" xfId="0" applyFont="1" applyBorder="1" applyAlignment="1">
      <alignment horizontal="left"/>
    </xf>
    <xf numFmtId="0" fontId="30" fillId="0" borderId="10" xfId="0" applyFont="1" applyFill="1" applyBorder="1" applyAlignment="1">
      <alignment horizontal="center" vertical="center"/>
    </xf>
    <xf numFmtId="0" fontId="32" fillId="0" borderId="0" xfId="0" applyFont="1" applyBorder="1" applyAlignment="1"/>
    <xf numFmtId="0" fontId="31" fillId="0" borderId="0" xfId="0" applyFont="1" applyBorder="1" applyAlignment="1">
      <alignment horizontal="center" vertical="center" textRotation="90"/>
    </xf>
    <xf numFmtId="0" fontId="31" fillId="0" borderId="14" xfId="0" applyFont="1" applyBorder="1" applyAlignment="1">
      <alignment horizontal="center" vertical="center" textRotation="90"/>
    </xf>
    <xf numFmtId="0" fontId="0" fillId="0" borderId="14" xfId="0" applyBorder="1"/>
    <xf numFmtId="0" fontId="25" fillId="0" borderId="14" xfId="0" quotePrefix="1" applyFont="1" applyBorder="1" applyAlignment="1">
      <alignment vertical="distributed"/>
    </xf>
    <xf numFmtId="0" fontId="30" fillId="0" borderId="14" xfId="0" applyFont="1" applyBorder="1" applyAlignment="1">
      <alignment horizontal="center" vertical="center"/>
    </xf>
    <xf numFmtId="0" fontId="31" fillId="0" borderId="14" xfId="0" applyFont="1" applyBorder="1" applyAlignment="1">
      <alignment horizontal="left"/>
    </xf>
    <xf numFmtId="0" fontId="30" fillId="0" borderId="14" xfId="0" applyFont="1" applyFill="1" applyBorder="1" applyAlignment="1">
      <alignment horizontal="center" vertical="center"/>
    </xf>
    <xf numFmtId="0" fontId="31" fillId="0" borderId="14" xfId="0" applyFont="1" applyFill="1" applyBorder="1" applyAlignment="1"/>
    <xf numFmtId="0" fontId="0" fillId="0" borderId="14" xfId="0" applyBorder="1" applyAlignment="1">
      <alignment horizontal="center"/>
    </xf>
    <xf numFmtId="0" fontId="32" fillId="0" borderId="14" xfId="0" applyFont="1" applyBorder="1" applyAlignment="1"/>
    <xf numFmtId="0" fontId="0" fillId="0" borderId="14" xfId="0" applyBorder="1" applyAlignment="1">
      <alignment horizontal="center" wrapText="1"/>
    </xf>
    <xf numFmtId="0" fontId="25" fillId="0" borderId="14" xfId="0" quotePrefix="1" applyFont="1" applyBorder="1" applyAlignment="1">
      <alignment vertical="distributed" wrapText="1"/>
    </xf>
    <xf numFmtId="0" fontId="33" fillId="0" borderId="0" xfId="0" applyFont="1" applyBorder="1"/>
    <xf numFmtId="0" fontId="33" fillId="0" borderId="0" xfId="0" applyFont="1"/>
    <xf numFmtId="0" fontId="30" fillId="0" borderId="0" xfId="0" applyFont="1" applyFill="1" applyBorder="1" applyAlignment="1">
      <alignment horizontal="right" vertical="center"/>
    </xf>
    <xf numFmtId="0" fontId="33" fillId="0" borderId="0" xfId="0" applyFont="1" applyBorder="1" applyAlignment="1">
      <alignment vertical="center"/>
    </xf>
    <xf numFmtId="0" fontId="33" fillId="0" borderId="0" xfId="0" applyFont="1" applyBorder="1" applyAlignment="1">
      <alignment vertical="distributed"/>
    </xf>
    <xf numFmtId="0" fontId="33" fillId="0" borderId="15" xfId="0" applyFont="1" applyFill="1" applyBorder="1" applyAlignment="1">
      <alignment horizontal="left" vertical="distributed"/>
    </xf>
    <xf numFmtId="0" fontId="31" fillId="0" borderId="0" xfId="0" applyFont="1" applyBorder="1"/>
    <xf numFmtId="0" fontId="0" fillId="0" borderId="0" xfId="0" applyBorder="1" applyAlignment="1">
      <alignment horizontal="center" wrapText="1"/>
    </xf>
    <xf numFmtId="0" fontId="0" fillId="0" borderId="0" xfId="0" applyFont="1" applyBorder="1" applyAlignment="1">
      <alignment horizontal="center" vertical="center" textRotation="90"/>
    </xf>
    <xf numFmtId="0" fontId="35" fillId="0" borderId="0" xfId="0" applyFont="1" applyBorder="1" applyAlignment="1">
      <alignment horizontal="center" vertical="center" textRotation="90" wrapText="1"/>
    </xf>
    <xf numFmtId="0" fontId="35" fillId="0" borderId="0" xfId="0" applyFont="1" applyBorder="1" applyAlignment="1"/>
    <xf numFmtId="0" fontId="0" fillId="0" borderId="0" xfId="0" applyFill="1" applyBorder="1"/>
    <xf numFmtId="0" fontId="31" fillId="0" borderId="0" xfId="0" applyFont="1" applyBorder="1" applyAlignment="1"/>
    <xf numFmtId="0" fontId="22" fillId="0" borderId="0" xfId="0" applyFont="1" applyBorder="1" applyAlignment="1">
      <alignment horizontal="center" vertical="center"/>
    </xf>
    <xf numFmtId="0" fontId="0" fillId="25" borderId="0" xfId="0" applyFill="1" applyBorder="1"/>
    <xf numFmtId="0" fontId="28" fillId="0" borderId="0" xfId="0" applyFont="1" applyBorder="1" applyAlignment="1"/>
    <xf numFmtId="0" fontId="22" fillId="0" borderId="0" xfId="0" applyFont="1" applyFill="1" applyBorder="1" applyAlignment="1">
      <alignment horizontal="center" vertical="center"/>
    </xf>
    <xf numFmtId="0" fontId="22" fillId="25" borderId="0" xfId="0" applyFont="1" applyFill="1" applyBorder="1"/>
    <xf numFmtId="0" fontId="22" fillId="0" borderId="0" xfId="0" applyFont="1" applyBorder="1"/>
    <xf numFmtId="0" fontId="0" fillId="0" borderId="0" xfId="0" applyBorder="1" applyAlignment="1">
      <alignment vertical="center"/>
    </xf>
    <xf numFmtId="0" fontId="39" fillId="0" borderId="0" xfId="0" applyFont="1"/>
    <xf numFmtId="0" fontId="26" fillId="25" borderId="0" xfId="0" applyFont="1" applyFill="1" applyBorder="1" applyAlignment="1"/>
    <xf numFmtId="0" fontId="32" fillId="0" borderId="16" xfId="0" applyFont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1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vertical="center"/>
    </xf>
    <xf numFmtId="0" fontId="22" fillId="0" borderId="0" xfId="0" applyFont="1" applyAlignment="1">
      <alignment vertical="top"/>
    </xf>
    <xf numFmtId="0" fontId="31" fillId="0" borderId="16" xfId="0" applyFont="1" applyBorder="1" applyAlignment="1">
      <alignment vertical="center" wrapText="1"/>
    </xf>
    <xf numFmtId="0" fontId="20" fillId="0" borderId="16" xfId="0" applyFont="1" applyBorder="1" applyAlignment="1">
      <alignment vertical="top"/>
    </xf>
    <xf numFmtId="0" fontId="32" fillId="0" borderId="0" xfId="0" applyFont="1" applyBorder="1" applyAlignment="1">
      <alignment vertical="top"/>
    </xf>
    <xf numFmtId="0" fontId="31" fillId="0" borderId="0" xfId="0" applyFont="1" applyBorder="1" applyAlignment="1">
      <alignment horizontal="center" vertical="top"/>
    </xf>
    <xf numFmtId="0" fontId="26" fillId="0" borderId="0" xfId="0" applyFont="1" applyBorder="1" applyAlignment="1">
      <alignment vertical="top"/>
    </xf>
    <xf numFmtId="0" fontId="39" fillId="0" borderId="0" xfId="0" applyFont="1" applyAlignment="1">
      <alignment horizontal="left"/>
    </xf>
    <xf numFmtId="0" fontId="26" fillId="0" borderId="0" xfId="0" applyFont="1" applyBorder="1" applyAlignment="1">
      <alignment vertical="center"/>
    </xf>
    <xf numFmtId="0" fontId="20" fillId="0" borderId="0" xfId="0" applyFont="1" applyBorder="1" applyAlignment="1">
      <alignment vertical="center"/>
    </xf>
    <xf numFmtId="0" fontId="0" fillId="0" borderId="0" xfId="0" applyFont="1" applyBorder="1"/>
    <xf numFmtId="0" fontId="32" fillId="0" borderId="0" xfId="0" applyFont="1" applyBorder="1"/>
    <xf numFmtId="0" fontId="31" fillId="0" borderId="0" xfId="0" applyFont="1" applyBorder="1" applyAlignment="1">
      <alignment horizontal="center"/>
    </xf>
    <xf numFmtId="0" fontId="26" fillId="0" borderId="0" xfId="0" applyFont="1" applyBorder="1" applyAlignment="1">
      <alignment horizontal="left" vertical="top"/>
    </xf>
    <xf numFmtId="0" fontId="31" fillId="0" borderId="0" xfId="0" applyFont="1"/>
    <xf numFmtId="0" fontId="22" fillId="0" borderId="0" xfId="0" applyFont="1" applyBorder="1" applyAlignment="1">
      <alignment vertical="top"/>
    </xf>
    <xf numFmtId="0" fontId="20" fillId="0" borderId="17" xfId="0" applyFont="1" applyBorder="1" applyAlignment="1">
      <alignment vertical="top"/>
    </xf>
    <xf numFmtId="0" fontId="0" fillId="0" borderId="17" xfId="0" applyBorder="1" applyAlignment="1">
      <alignment vertical="top"/>
    </xf>
    <xf numFmtId="0" fontId="28" fillId="0" borderId="17" xfId="0" quotePrefix="1" applyFont="1" applyBorder="1" applyAlignment="1">
      <alignment vertical="top"/>
    </xf>
    <xf numFmtId="0" fontId="22" fillId="0" borderId="18" xfId="0" applyFont="1" applyBorder="1" applyAlignment="1">
      <alignment vertical="top"/>
    </xf>
    <xf numFmtId="0" fontId="28" fillId="0" borderId="0" xfId="0" quotePrefix="1" applyFont="1" applyBorder="1" applyAlignment="1">
      <alignment vertical="top"/>
    </xf>
    <xf numFmtId="0" fontId="31" fillId="0" borderId="0" xfId="0" quotePrefix="1" applyFont="1" applyBorder="1" applyAlignment="1">
      <alignment horizontal="center" vertical="top"/>
    </xf>
    <xf numFmtId="0" fontId="0" fillId="0" borderId="17" xfId="0" applyBorder="1"/>
    <xf numFmtId="0" fontId="31" fillId="0" borderId="17" xfId="0" applyFont="1" applyBorder="1" applyAlignment="1">
      <alignment vertical="center"/>
    </xf>
    <xf numFmtId="0" fontId="0" fillId="0" borderId="17" xfId="0" applyBorder="1" applyAlignment="1">
      <alignment vertical="center"/>
    </xf>
    <xf numFmtId="0" fontId="32" fillId="0" borderId="0" xfId="0" applyFont="1" applyBorder="1" applyAlignment="1">
      <alignment vertical="center"/>
    </xf>
    <xf numFmtId="0" fontId="41" fillId="0" borderId="0" xfId="0" applyFont="1" applyBorder="1" applyAlignment="1">
      <alignment horizontal="center" vertical="center"/>
    </xf>
    <xf numFmtId="0" fontId="32" fillId="0" borderId="16" xfId="0" applyFont="1" applyBorder="1" applyAlignment="1">
      <alignment vertical="center"/>
    </xf>
    <xf numFmtId="0" fontId="22" fillId="0" borderId="0" xfId="0" applyFont="1" applyBorder="1" applyAlignment="1">
      <alignment horizontal="right" vertical="center"/>
    </xf>
    <xf numFmtId="0" fontId="29" fillId="0" borderId="0" xfId="0" applyFont="1" applyBorder="1" applyAlignment="1">
      <alignment vertical="center" wrapText="1"/>
    </xf>
    <xf numFmtId="0" fontId="34" fillId="0" borderId="0" xfId="0" applyFont="1" applyBorder="1" applyAlignment="1">
      <alignment horizontal="center" textRotation="90" wrapText="1"/>
    </xf>
    <xf numFmtId="0" fontId="40" fillId="0" borderId="0" xfId="0" applyFont="1"/>
    <xf numFmtId="0" fontId="22" fillId="0" borderId="20" xfId="0" applyFont="1" applyBorder="1" applyAlignment="1"/>
    <xf numFmtId="0" fontId="32" fillId="0" borderId="20" xfId="0" applyFont="1" applyBorder="1"/>
    <xf numFmtId="0" fontId="32" fillId="0" borderId="0" xfId="0" applyFont="1"/>
    <xf numFmtId="0" fontId="33" fillId="0" borderId="15" xfId="0" applyFont="1" applyBorder="1"/>
    <xf numFmtId="0" fontId="33" fillId="0" borderId="20" xfId="0" applyFont="1" applyBorder="1"/>
    <xf numFmtId="0" fontId="33" fillId="0" borderId="0" xfId="0" applyFont="1" applyFill="1" applyBorder="1" applyAlignment="1">
      <alignment vertical="center"/>
    </xf>
    <xf numFmtId="0" fontId="33" fillId="0" borderId="0" xfId="0" applyFont="1" applyFill="1" applyBorder="1" applyAlignment="1">
      <alignment wrapText="1"/>
    </xf>
    <xf numFmtId="0" fontId="33" fillId="0" borderId="0" xfId="0" applyFont="1" applyFill="1" applyBorder="1" applyAlignment="1"/>
    <xf numFmtId="0" fontId="29" fillId="0" borderId="0" xfId="0" applyFont="1" applyBorder="1"/>
    <xf numFmtId="0" fontId="26" fillId="0" borderId="0" xfId="0" applyFont="1" applyFill="1" applyBorder="1" applyAlignment="1"/>
    <xf numFmtId="0" fontId="34" fillId="0" borderId="0" xfId="0" applyFont="1" applyBorder="1" applyAlignment="1">
      <alignment vertical="top" wrapText="1"/>
    </xf>
    <xf numFmtId="0" fontId="22" fillId="0" borderId="0" xfId="0" applyFont="1" applyBorder="1" applyAlignment="1"/>
    <xf numFmtId="0" fontId="29" fillId="0" borderId="0" xfId="0" applyFont="1" applyBorder="1" applyAlignment="1">
      <alignment horizontal="left" vertical="top" wrapText="1"/>
    </xf>
    <xf numFmtId="0" fontId="28" fillId="0" borderId="0" xfId="0" applyFont="1" applyBorder="1"/>
    <xf numFmtId="0" fontId="34" fillId="0" borderId="0" xfId="0" applyFont="1" applyBorder="1"/>
    <xf numFmtId="0" fontId="32" fillId="24" borderId="0" xfId="0" applyFont="1" applyFill="1"/>
    <xf numFmtId="0" fontId="0" fillId="0" borderId="0" xfId="0" applyFont="1"/>
    <xf numFmtId="0" fontId="0" fillId="24" borderId="0" xfId="0" applyFont="1" applyFill="1" applyBorder="1"/>
    <xf numFmtId="0" fontId="0" fillId="0" borderId="0" xfId="0" applyFont="1" applyFill="1"/>
    <xf numFmtId="0" fontId="0" fillId="24" borderId="0" xfId="0" applyFont="1" applyFill="1" applyAlignment="1"/>
    <xf numFmtId="0" fontId="0" fillId="0" borderId="0" xfId="0" applyFont="1" applyFill="1" applyBorder="1"/>
    <xf numFmtId="0" fontId="25" fillId="25" borderId="0" xfId="0" quotePrefix="1" applyFont="1" applyFill="1" applyBorder="1" applyAlignment="1">
      <alignment vertical="distributed"/>
    </xf>
    <xf numFmtId="0" fontId="26" fillId="0" borderId="0" xfId="0" applyFont="1" applyBorder="1" applyAlignment="1">
      <alignment vertical="distributed" wrapText="1"/>
    </xf>
    <xf numFmtId="0" fontId="26" fillId="0" borderId="0" xfId="0" quotePrefix="1" applyFont="1" applyBorder="1" applyAlignment="1">
      <alignment vertical="distributed" wrapText="1"/>
    </xf>
    <xf numFmtId="0" fontId="25" fillId="25" borderId="0" xfId="0" quotePrefix="1" applyFont="1" applyFill="1" applyBorder="1" applyAlignment="1">
      <alignment vertical="distributed" wrapText="1"/>
    </xf>
    <xf numFmtId="0" fontId="31" fillId="0" borderId="10" xfId="0" applyFont="1" applyBorder="1" applyAlignment="1">
      <alignment horizontal="center" vertical="center" textRotation="90"/>
    </xf>
    <xf numFmtId="0" fontId="31" fillId="0" borderId="12" xfId="0" applyFont="1" applyBorder="1" applyAlignment="1">
      <alignment vertical="center" textRotation="90"/>
    </xf>
    <xf numFmtId="0" fontId="0" fillId="0" borderId="12" xfId="0" applyFont="1" applyBorder="1"/>
    <xf numFmtId="0" fontId="0" fillId="0" borderId="14" xfId="0" applyFont="1" applyBorder="1"/>
    <xf numFmtId="0" fontId="0" fillId="0" borderId="14" xfId="0" applyFont="1" applyBorder="1" applyAlignment="1">
      <alignment horizontal="center"/>
    </xf>
    <xf numFmtId="0" fontId="0" fillId="0" borderId="14" xfId="0" applyFont="1" applyBorder="1" applyAlignment="1">
      <alignment horizontal="center" wrapText="1"/>
    </xf>
    <xf numFmtId="0" fontId="0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 wrapText="1"/>
    </xf>
    <xf numFmtId="0" fontId="0" fillId="25" borderId="0" xfId="0" applyFont="1" applyFill="1" applyBorder="1"/>
    <xf numFmtId="0" fontId="20" fillId="0" borderId="0" xfId="0" applyFont="1" applyFill="1"/>
    <xf numFmtId="0" fontId="22" fillId="0" borderId="0" xfId="0" applyFont="1" applyAlignment="1"/>
    <xf numFmtId="0" fontId="22" fillId="25" borderId="0" xfId="0" applyFont="1" applyFill="1" applyBorder="1" applyAlignment="1">
      <alignment vertical="top" wrapText="1"/>
    </xf>
    <xf numFmtId="0" fontId="35" fillId="25" borderId="0" xfId="0" applyFont="1" applyFill="1" applyBorder="1" applyAlignment="1">
      <alignment vertical="top" wrapText="1"/>
    </xf>
    <xf numFmtId="0" fontId="35" fillId="25" borderId="0" xfId="0" applyFont="1" applyFill="1" applyBorder="1" applyAlignment="1">
      <alignment horizontal="left" vertical="top" wrapText="1"/>
    </xf>
    <xf numFmtId="0" fontId="31" fillId="0" borderId="0" xfId="0" applyFont="1" applyAlignment="1">
      <alignment vertical="top"/>
    </xf>
    <xf numFmtId="0" fontId="31" fillId="0" borderId="0" xfId="0" applyFont="1" applyFill="1" applyBorder="1" applyAlignment="1">
      <alignment horizontal="center" vertical="top"/>
    </xf>
    <xf numFmtId="0" fontId="28" fillId="0" borderId="0" xfId="0" applyFont="1" applyBorder="1" applyAlignment="1">
      <alignment vertical="center"/>
    </xf>
    <xf numFmtId="0" fontId="0" fillId="0" borderId="0" xfId="0" applyFont="1" applyBorder="1" applyAlignment="1">
      <alignment horizontal="left" vertical="top"/>
    </xf>
    <xf numFmtId="0" fontId="22" fillId="0" borderId="0" xfId="0" applyFont="1" applyBorder="1" applyAlignment="1">
      <alignment horizontal="center" vertical="top"/>
    </xf>
    <xf numFmtId="0" fontId="22" fillId="25" borderId="0" xfId="0" applyFont="1" applyFill="1" applyBorder="1" applyAlignment="1">
      <alignment horizontal="center" vertical="top"/>
    </xf>
    <xf numFmtId="0" fontId="0" fillId="0" borderId="0" xfId="0" applyFont="1" applyAlignment="1">
      <alignment vertical="top"/>
    </xf>
    <xf numFmtId="0" fontId="22" fillId="25" borderId="0" xfId="0" applyFont="1" applyFill="1" applyBorder="1" applyAlignment="1">
      <alignment vertical="top"/>
    </xf>
    <xf numFmtId="0" fontId="22" fillId="0" borderId="0" xfId="0" applyFont="1" applyBorder="1" applyAlignment="1">
      <alignment vertical="center"/>
    </xf>
    <xf numFmtId="0" fontId="34" fillId="0" borderId="0" xfId="0" applyFont="1" applyBorder="1" applyAlignment="1">
      <alignment vertical="top"/>
    </xf>
    <xf numFmtId="0" fontId="22" fillId="0" borderId="0" xfId="0" applyFont="1" applyBorder="1" applyAlignment="1">
      <alignment vertical="center" wrapText="1"/>
    </xf>
    <xf numFmtId="0" fontId="22" fillId="0" borderId="17" xfId="0" applyFont="1" applyBorder="1" applyAlignment="1">
      <alignment vertical="center" wrapText="1"/>
    </xf>
    <xf numFmtId="0" fontId="22" fillId="0" borderId="0" xfId="0" applyFont="1" applyBorder="1" applyAlignment="1">
      <alignment vertical="top" wrapText="1"/>
    </xf>
    <xf numFmtId="0" fontId="31" fillId="0" borderId="16" xfId="0" applyFont="1" applyBorder="1" applyAlignment="1">
      <alignment vertical="justify" wrapText="1"/>
    </xf>
    <xf numFmtId="0" fontId="0" fillId="0" borderId="16" xfId="0" applyFont="1" applyBorder="1"/>
    <xf numFmtId="0" fontId="31" fillId="0" borderId="16" xfId="0" applyFont="1" applyBorder="1" applyAlignment="1">
      <alignment vertical="top" wrapText="1"/>
    </xf>
    <xf numFmtId="0" fontId="31" fillId="0" borderId="16" xfId="0" applyFont="1" applyFill="1" applyBorder="1" applyAlignment="1">
      <alignment vertical="top"/>
    </xf>
    <xf numFmtId="0" fontId="31" fillId="0" borderId="0" xfId="0" applyFont="1" applyFill="1" applyBorder="1" applyAlignment="1">
      <alignment horizontal="left" vertical="top"/>
    </xf>
    <xf numFmtId="0" fontId="31" fillId="0" borderId="16" xfId="0" applyFont="1" applyBorder="1" applyAlignment="1">
      <alignment wrapText="1"/>
    </xf>
    <xf numFmtId="0" fontId="39" fillId="0" borderId="0" xfId="0" applyFont="1" applyBorder="1" applyAlignment="1"/>
    <xf numFmtId="0" fontId="22" fillId="0" borderId="0" xfId="0" applyFont="1" applyFill="1" applyBorder="1" applyAlignment="1">
      <alignment vertical="top"/>
    </xf>
    <xf numFmtId="0" fontId="28" fillId="0" borderId="0" xfId="0" applyFont="1" applyFill="1" applyBorder="1" applyAlignment="1">
      <alignment vertical="top"/>
    </xf>
    <xf numFmtId="0" fontId="31" fillId="25" borderId="16" xfId="0" applyFont="1" applyFill="1" applyBorder="1" applyAlignment="1">
      <alignment vertical="top" wrapText="1"/>
    </xf>
    <xf numFmtId="0" fontId="31" fillId="25" borderId="16" xfId="0" applyFont="1" applyFill="1" applyBorder="1" applyAlignment="1">
      <alignment horizontal="left" vertical="top"/>
    </xf>
    <xf numFmtId="0" fontId="28" fillId="0" borderId="0" xfId="0" applyFont="1" applyBorder="1" applyAlignment="1">
      <alignment vertical="top"/>
    </xf>
    <xf numFmtId="0" fontId="0" fillId="0" borderId="16" xfId="0" applyFont="1" applyBorder="1" applyAlignment="1">
      <alignment vertical="center" wrapText="1"/>
    </xf>
    <xf numFmtId="0" fontId="32" fillId="0" borderId="16" xfId="0" applyFont="1" applyBorder="1"/>
    <xf numFmtId="0" fontId="23" fillId="25" borderId="16" xfId="0" applyFont="1" applyFill="1" applyBorder="1" applyAlignment="1">
      <alignment vertical="top" wrapText="1"/>
    </xf>
    <xf numFmtId="0" fontId="23" fillId="25" borderId="0" xfId="0" applyFont="1" applyFill="1" applyBorder="1" applyAlignment="1">
      <alignment vertical="top" wrapText="1"/>
    </xf>
    <xf numFmtId="0" fontId="31" fillId="0" borderId="16" xfId="0" applyFont="1" applyBorder="1"/>
    <xf numFmtId="0" fontId="0" fillId="0" borderId="0" xfId="0" applyFont="1" applyBorder="1" applyAlignment="1">
      <alignment vertical="center" wrapText="1"/>
    </xf>
    <xf numFmtId="0" fontId="39" fillId="0" borderId="0" xfId="0" applyFont="1" applyBorder="1"/>
    <xf numFmtId="0" fontId="22" fillId="0" borderId="0" xfId="0" applyFont="1" applyBorder="1" applyAlignment="1">
      <alignment horizontal="left" vertical="top"/>
    </xf>
    <xf numFmtId="0" fontId="42" fillId="0" borderId="0" xfId="0" applyFont="1" applyBorder="1" applyAlignment="1">
      <alignment horizontal="left" vertical="top"/>
    </xf>
    <xf numFmtId="0" fontId="28" fillId="0" borderId="0" xfId="0" applyFont="1" applyBorder="1" applyAlignment="1">
      <alignment horizontal="left" vertical="top"/>
    </xf>
    <xf numFmtId="0" fontId="26" fillId="0" borderId="0" xfId="0" applyFont="1" applyBorder="1"/>
    <xf numFmtId="0" fontId="22" fillId="0" borderId="16" xfId="0" applyFont="1" applyBorder="1" applyAlignment="1">
      <alignment vertical="top" wrapText="1"/>
    </xf>
    <xf numFmtId="0" fontId="42" fillId="0" borderId="0" xfId="0" applyFont="1" applyBorder="1" applyAlignment="1">
      <alignment vertical="center"/>
    </xf>
    <xf numFmtId="0" fontId="32" fillId="24" borderId="0" xfId="0" applyFont="1" applyFill="1" applyBorder="1"/>
    <xf numFmtId="0" fontId="32" fillId="25" borderId="0" xfId="0" applyFont="1" applyFill="1"/>
    <xf numFmtId="0" fontId="0" fillId="24" borderId="0" xfId="0" applyFont="1" applyFill="1"/>
    <xf numFmtId="0" fontId="35" fillId="0" borderId="0" xfId="0" applyFont="1" applyBorder="1" applyAlignment="1">
      <alignment vertical="center"/>
    </xf>
    <xf numFmtId="0" fontId="34" fillId="0" borderId="0" xfId="0" applyFont="1" applyFill="1" applyBorder="1" applyAlignment="1">
      <alignment vertical="center"/>
    </xf>
    <xf numFmtId="0" fontId="0" fillId="0" borderId="21" xfId="0" applyFont="1" applyBorder="1"/>
    <xf numFmtId="0" fontId="39" fillId="0" borderId="0" xfId="0" applyFont="1" applyBorder="1" applyAlignment="1">
      <alignment vertical="top" wrapText="1"/>
    </xf>
    <xf numFmtId="0" fontId="31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vertical="top"/>
    </xf>
    <xf numFmtId="0" fontId="35" fillId="0" borderId="0" xfId="0" applyFont="1" applyBorder="1"/>
    <xf numFmtId="0" fontId="22" fillId="0" borderId="0" xfId="0" applyFont="1" applyFill="1" applyBorder="1" applyAlignment="1">
      <alignment horizontal="left" vertical="top"/>
    </xf>
    <xf numFmtId="0" fontId="23" fillId="0" borderId="0" xfId="0" applyFont="1" applyFill="1" applyBorder="1" applyAlignment="1">
      <alignment horizontal="left" vertical="center"/>
    </xf>
    <xf numFmtId="0" fontId="0" fillId="0" borderId="0" xfId="0" applyFont="1" applyFill="1" applyBorder="1" applyAlignment="1">
      <alignment horizontal="left" vertical="center"/>
    </xf>
    <xf numFmtId="0" fontId="35" fillId="0" borderId="0" xfId="0" applyFont="1" applyAlignment="1">
      <alignment vertical="top"/>
    </xf>
    <xf numFmtId="0" fontId="35" fillId="0" borderId="0" xfId="0" applyFont="1" applyFill="1" applyBorder="1" applyAlignment="1">
      <alignment horizontal="left" vertical="top"/>
    </xf>
    <xf numFmtId="0" fontId="0" fillId="0" borderId="0" xfId="0" applyFont="1" applyBorder="1" applyAlignment="1">
      <alignment vertical="top" wrapText="1"/>
    </xf>
    <xf numFmtId="0" fontId="35" fillId="0" borderId="0" xfId="0" applyFont="1" applyBorder="1" applyAlignment="1">
      <alignment horizontal="left" vertical="center"/>
    </xf>
    <xf numFmtId="0" fontId="42" fillId="0" borderId="0" xfId="0" applyFont="1" applyBorder="1" applyAlignment="1">
      <alignment horizontal="left" vertical="center"/>
    </xf>
    <xf numFmtId="0" fontId="43" fillId="0" borderId="0" xfId="0" quotePrefix="1" applyFont="1" applyBorder="1" applyAlignment="1">
      <alignment vertical="distributed" wrapText="1"/>
    </xf>
    <xf numFmtId="0" fontId="43" fillId="0" borderId="11" xfId="0" quotePrefix="1" applyFont="1" applyBorder="1" applyAlignment="1">
      <alignment vertical="distributed" wrapText="1"/>
    </xf>
    <xf numFmtId="0" fontId="28" fillId="0" borderId="12" xfId="0" applyFont="1" applyBorder="1" applyAlignment="1">
      <alignment vertical="center" textRotation="90"/>
    </xf>
    <xf numFmtId="0" fontId="20" fillId="25" borderId="0" xfId="0" applyFont="1" applyFill="1" applyBorder="1"/>
    <xf numFmtId="0" fontId="35" fillId="25" borderId="0" xfId="0" applyFont="1" applyFill="1" applyBorder="1" applyAlignment="1">
      <alignment vertical="center" wrapText="1"/>
    </xf>
    <xf numFmtId="0" fontId="39" fillId="0" borderId="0" xfId="0" applyFont="1" applyBorder="1" applyAlignment="1">
      <alignment vertical="center" wrapText="1"/>
    </xf>
    <xf numFmtId="0" fontId="40" fillId="0" borderId="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center" vertical="center"/>
    </xf>
    <xf numFmtId="0" fontId="0" fillId="0" borderId="0" xfId="0" applyAlignment="1"/>
    <xf numFmtId="0" fontId="34" fillId="0" borderId="0" xfId="0" applyFont="1" applyBorder="1" applyAlignment="1">
      <alignment vertical="center"/>
    </xf>
    <xf numFmtId="0" fontId="27" fillId="0" borderId="0" xfId="0" applyFont="1" applyBorder="1" applyAlignment="1">
      <alignment vertical="distributed" wrapText="1"/>
    </xf>
    <xf numFmtId="0" fontId="27" fillId="0" borderId="11" xfId="0" applyFont="1" applyBorder="1" applyAlignment="1">
      <alignment vertical="distributed" wrapText="1"/>
    </xf>
    <xf numFmtId="0" fontId="31" fillId="0" borderId="12" xfId="0" applyFont="1" applyBorder="1" applyAlignment="1">
      <alignment horizontal="left"/>
    </xf>
    <xf numFmtId="0" fontId="28" fillId="0" borderId="13" xfId="0" applyFont="1" applyBorder="1" applyAlignment="1">
      <alignment vertical="center" wrapText="1"/>
    </xf>
    <xf numFmtId="0" fontId="22" fillId="25" borderId="0" xfId="0" applyFont="1" applyFill="1" applyBorder="1" applyAlignment="1">
      <alignment vertical="center"/>
    </xf>
    <xf numFmtId="0" fontId="36" fillId="0" borderId="0" xfId="0" applyFont="1" applyBorder="1" applyAlignment="1">
      <alignment horizontal="center" vertical="center"/>
    </xf>
    <xf numFmtId="0" fontId="35" fillId="0" borderId="12" xfId="0" applyFont="1" applyBorder="1" applyAlignment="1">
      <alignment vertical="center" wrapText="1"/>
    </xf>
    <xf numFmtId="0" fontId="35" fillId="0" borderId="13" xfId="0" applyFont="1" applyBorder="1" applyAlignment="1">
      <alignment vertical="center" wrapText="1"/>
    </xf>
    <xf numFmtId="0" fontId="35" fillId="0" borderId="10" xfId="0" applyFont="1" applyBorder="1" applyAlignment="1">
      <alignment vertical="center" wrapText="1"/>
    </xf>
    <xf numFmtId="0" fontId="35" fillId="0" borderId="21" xfId="0" applyFont="1" applyBorder="1" applyAlignment="1">
      <alignment vertical="center" wrapText="1"/>
    </xf>
    <xf numFmtId="0" fontId="35" fillId="0" borderId="0" xfId="0" applyFont="1"/>
    <xf numFmtId="0" fontId="23" fillId="0" borderId="0" xfId="0" applyFont="1" applyBorder="1" applyAlignment="1">
      <alignment vertical="center" wrapText="1"/>
    </xf>
    <xf numFmtId="0" fontId="35" fillId="0" borderId="0" xfId="0" applyFont="1" applyAlignment="1">
      <alignment vertical="center"/>
    </xf>
    <xf numFmtId="0" fontId="23" fillId="0" borderId="0" xfId="0" applyFont="1" applyBorder="1" applyAlignment="1">
      <alignment vertical="center"/>
    </xf>
    <xf numFmtId="0" fontId="20" fillId="0" borderId="0" xfId="0" applyFont="1" applyFill="1" applyBorder="1" applyAlignment="1">
      <alignment vertical="top" wrapText="1"/>
    </xf>
    <xf numFmtId="0" fontId="0" fillId="0" borderId="0" xfId="0" applyFont="1" applyBorder="1" applyAlignment="1">
      <alignment vertical="center"/>
    </xf>
    <xf numFmtId="0" fontId="44" fillId="24" borderId="0" xfId="0" applyFont="1" applyFill="1"/>
    <xf numFmtId="0" fontId="44" fillId="0" borderId="0" xfId="0" applyFont="1" applyFill="1"/>
    <xf numFmtId="0" fontId="39" fillId="0" borderId="0" xfId="0" applyFont="1" applyBorder="1" applyAlignment="1">
      <alignment vertical="center"/>
    </xf>
    <xf numFmtId="0" fontId="45" fillId="0" borderId="0" xfId="0" applyFont="1" applyBorder="1" applyAlignment="1">
      <alignment vertical="center"/>
    </xf>
    <xf numFmtId="0" fontId="22" fillId="0" borderId="15" xfId="0" applyFont="1" applyBorder="1" applyAlignment="1">
      <alignment horizontal="center" vertical="center"/>
    </xf>
    <xf numFmtId="0" fontId="45" fillId="0" borderId="0" xfId="0" applyFont="1" applyBorder="1" applyAlignment="1">
      <alignment horizontal="center" vertical="center"/>
    </xf>
    <xf numFmtId="0" fontId="45" fillId="0" borderId="17" xfId="0" applyFont="1" applyBorder="1" applyAlignment="1">
      <alignment vertical="center"/>
    </xf>
    <xf numFmtId="0" fontId="33" fillId="0" borderId="15" xfId="0" applyFont="1" applyBorder="1" applyAlignment="1">
      <alignment vertical="distributed"/>
    </xf>
    <xf numFmtId="0" fontId="28" fillId="0" borderId="15" xfId="0" applyFont="1" applyBorder="1" applyAlignment="1">
      <alignment horizontal="center" vertical="center" wrapText="1"/>
    </xf>
    <xf numFmtId="0" fontId="28" fillId="25" borderId="17" xfId="0" applyFont="1" applyFill="1" applyBorder="1" applyAlignment="1">
      <alignment horizontal="center" vertical="center" wrapText="1"/>
    </xf>
    <xf numFmtId="0" fontId="28" fillId="0" borderId="23" xfId="0" applyFont="1" applyBorder="1" applyAlignment="1">
      <alignment horizontal="center" vertical="center" wrapText="1"/>
    </xf>
    <xf numFmtId="0" fontId="32" fillId="0" borderId="18" xfId="0" applyFont="1" applyBorder="1" applyAlignment="1">
      <alignment vertical="center"/>
    </xf>
    <xf numFmtId="0" fontId="31" fillId="0" borderId="0" xfId="0" quotePrefix="1" applyFont="1" applyAlignment="1">
      <alignment vertical="center"/>
    </xf>
    <xf numFmtId="0" fontId="33" fillId="0" borderId="0" xfId="0" applyFont="1" applyBorder="1" applyAlignment="1">
      <alignment vertical="center" wrapText="1"/>
    </xf>
    <xf numFmtId="0" fontId="26" fillId="0" borderId="16" xfId="0" applyFont="1" applyBorder="1" applyAlignment="1">
      <alignment horizontal="center" vertical="center" wrapText="1"/>
    </xf>
    <xf numFmtId="0" fontId="33" fillId="0" borderId="0" xfId="0" applyFont="1" applyBorder="1" applyAlignment="1">
      <alignment horizontal="center" vertical="center"/>
    </xf>
    <xf numFmtId="0" fontId="20" fillId="0" borderId="17" xfId="0" applyFont="1" applyBorder="1" applyAlignment="1">
      <alignment vertical="center"/>
    </xf>
    <xf numFmtId="0" fontId="34" fillId="0" borderId="0" xfId="0" quotePrefix="1" applyFont="1" applyBorder="1" applyAlignment="1">
      <alignment vertical="distributed" wrapText="1"/>
    </xf>
    <xf numFmtId="0" fontId="26" fillId="0" borderId="11" xfId="0" applyFont="1" applyBorder="1" applyAlignment="1">
      <alignment vertical="center"/>
    </xf>
    <xf numFmtId="0" fontId="34" fillId="25" borderId="0" xfId="0" quotePrefix="1" applyFont="1" applyFill="1" applyBorder="1" applyAlignment="1">
      <alignment vertical="distributed"/>
    </xf>
    <xf numFmtId="0" fontId="35" fillId="0" borderId="14" xfId="0" applyFont="1" applyBorder="1" applyAlignment="1">
      <alignment vertical="center" wrapText="1"/>
    </xf>
    <xf numFmtId="0" fontId="35" fillId="0" borderId="25" xfId="0" applyFont="1" applyBorder="1" applyAlignment="1">
      <alignment vertical="center" wrapText="1"/>
    </xf>
    <xf numFmtId="0" fontId="35" fillId="0" borderId="11" xfId="0" applyFont="1" applyBorder="1" applyAlignment="1">
      <alignment vertical="center" wrapText="1"/>
    </xf>
    <xf numFmtId="0" fontId="0" fillId="0" borderId="14" xfId="0" applyBorder="1" applyAlignment="1"/>
    <xf numFmtId="0" fontId="0" fillId="0" borderId="10" xfId="0" applyBorder="1" applyAlignment="1"/>
    <xf numFmtId="0" fontId="0" fillId="0" borderId="21" xfId="0" applyBorder="1" applyAlignment="1"/>
    <xf numFmtId="0" fontId="0" fillId="0" borderId="12" xfId="0" applyBorder="1" applyAlignment="1"/>
    <xf numFmtId="0" fontId="0" fillId="0" borderId="13" xfId="0" applyBorder="1" applyAlignment="1"/>
    <xf numFmtId="0" fontId="30" fillId="0" borderId="0" xfId="0" applyFont="1" applyFill="1" applyBorder="1" applyAlignment="1">
      <alignment horizontal="center" vertical="top"/>
    </xf>
    <xf numFmtId="0" fontId="35" fillId="0" borderId="14" xfId="0" applyFont="1" applyBorder="1" applyAlignment="1"/>
    <xf numFmtId="0" fontId="36" fillId="0" borderId="14" xfId="0" applyFont="1" applyBorder="1" applyAlignment="1">
      <alignment vertical="top"/>
    </xf>
    <xf numFmtId="0" fontId="0" fillId="0" borderId="14" xfId="0" applyFont="1" applyBorder="1" applyAlignment="1">
      <alignment horizontal="center" vertical="center" textRotation="90"/>
    </xf>
    <xf numFmtId="0" fontId="25" fillId="0" borderId="25" xfId="0" quotePrefix="1" applyFont="1" applyBorder="1" applyAlignment="1">
      <alignment vertical="distributed" wrapText="1"/>
    </xf>
    <xf numFmtId="0" fontId="0" fillId="25" borderId="11" xfId="0" applyFill="1" applyBorder="1"/>
    <xf numFmtId="0" fontId="0" fillId="0" borderId="18" xfId="0" applyBorder="1"/>
    <xf numFmtId="0" fontId="0" fillId="0" borderId="28" xfId="0" applyBorder="1"/>
    <xf numFmtId="0" fontId="0" fillId="0" borderId="22" xfId="0" applyBorder="1"/>
    <xf numFmtId="0" fontId="0" fillId="0" borderId="16" xfId="0" applyBorder="1"/>
    <xf numFmtId="0" fontId="34" fillId="0" borderId="22" xfId="0" applyFont="1" applyBorder="1" applyAlignment="1">
      <alignment horizontal="center" textRotation="90" wrapText="1"/>
    </xf>
    <xf numFmtId="0" fontId="0" fillId="0" borderId="16" xfId="0" applyBorder="1" applyAlignment="1">
      <alignment vertical="center"/>
    </xf>
    <xf numFmtId="0" fontId="33" fillId="0" borderId="16" xfId="0" applyFont="1" applyBorder="1"/>
    <xf numFmtId="0" fontId="33" fillId="0" borderId="16" xfId="0" applyFont="1" applyFill="1" applyBorder="1" applyAlignment="1">
      <alignment wrapText="1"/>
    </xf>
    <xf numFmtId="0" fontId="33" fillId="0" borderId="16" xfId="0" applyFont="1" applyFill="1" applyBorder="1" applyAlignment="1"/>
    <xf numFmtId="0" fontId="32" fillId="0" borderId="22" xfId="0" applyFont="1" applyBorder="1"/>
    <xf numFmtId="0" fontId="26" fillId="0" borderId="16" xfId="0" applyFont="1" applyFill="1" applyBorder="1" applyAlignment="1"/>
    <xf numFmtId="0" fontId="34" fillId="0" borderId="16" xfId="0" applyFont="1" applyBorder="1" applyAlignment="1">
      <alignment vertical="top" wrapText="1"/>
    </xf>
    <xf numFmtId="0" fontId="29" fillId="0" borderId="16" xfId="0" applyFont="1" applyBorder="1" applyAlignment="1">
      <alignment horizontal="left" vertical="top" wrapText="1"/>
    </xf>
    <xf numFmtId="0" fontId="32" fillId="0" borderId="16" xfId="0" applyFont="1" applyBorder="1" applyAlignment="1"/>
    <xf numFmtId="0" fontId="32" fillId="0" borderId="22" xfId="0" applyFont="1" applyBorder="1" applyAlignment="1">
      <alignment vertical="center"/>
    </xf>
    <xf numFmtId="0" fontId="32" fillId="0" borderId="29" xfId="0" applyFont="1" applyBorder="1"/>
    <xf numFmtId="0" fontId="32" fillId="0" borderId="17" xfId="0" applyFont="1" applyBorder="1"/>
    <xf numFmtId="0" fontId="32" fillId="0" borderId="30" xfId="0" applyFont="1" applyBorder="1"/>
    <xf numFmtId="0" fontId="35" fillId="0" borderId="14" xfId="0" applyFont="1" applyBorder="1" applyAlignment="1">
      <alignment horizontal="center" vertical="center" textRotation="90" wrapText="1"/>
    </xf>
    <xf numFmtId="0" fontId="34" fillId="0" borderId="16" xfId="0" applyFont="1" applyBorder="1" applyAlignment="1">
      <alignment horizontal="center" textRotation="90" wrapText="1"/>
    </xf>
    <xf numFmtId="0" fontId="22" fillId="0" borderId="22" xfId="0" applyFont="1" applyFill="1" applyBorder="1" applyAlignment="1"/>
    <xf numFmtId="0" fontId="22" fillId="0" borderId="0" xfId="0" applyFont="1" applyFill="1" applyBorder="1" applyAlignment="1"/>
    <xf numFmtId="0" fontId="22" fillId="0" borderId="16" xfId="0" applyFont="1" applyFill="1" applyBorder="1" applyAlignment="1"/>
    <xf numFmtId="0" fontId="28" fillId="0" borderId="0" xfId="0" applyFont="1" applyFill="1" applyBorder="1" applyAlignment="1">
      <alignment horizontal="center"/>
    </xf>
    <xf numFmtId="0" fontId="22" fillId="0" borderId="29" xfId="0" applyFont="1" applyBorder="1" applyAlignment="1">
      <alignment horizontal="left" vertical="center" textRotation="90"/>
    </xf>
    <xf numFmtId="0" fontId="22" fillId="0" borderId="17" xfId="0" applyFont="1" applyBorder="1" applyAlignment="1">
      <alignment horizontal="left" vertical="center" textRotation="90"/>
    </xf>
    <xf numFmtId="0" fontId="22" fillId="0" borderId="30" xfId="0" applyFont="1" applyBorder="1" applyAlignment="1">
      <alignment horizontal="left" vertical="center" textRotation="90"/>
    </xf>
    <xf numFmtId="0" fontId="28" fillId="0" borderId="17" xfId="0" applyFont="1" applyBorder="1" applyAlignment="1">
      <alignment horizontal="center" vertical="top"/>
    </xf>
    <xf numFmtId="0" fontId="31" fillId="0" borderId="17" xfId="0" applyFont="1" applyBorder="1"/>
    <xf numFmtId="0" fontId="0" fillId="0" borderId="30" xfId="0" applyBorder="1"/>
    <xf numFmtId="0" fontId="22" fillId="0" borderId="29" xfId="0" applyFont="1" applyFill="1" applyBorder="1" applyAlignment="1">
      <alignment horizontal="center" vertical="center" textRotation="90" wrapText="1"/>
    </xf>
    <xf numFmtId="0" fontId="22" fillId="0" borderId="17" xfId="0" applyFont="1" applyFill="1" applyBorder="1" applyAlignment="1">
      <alignment horizontal="center" vertical="center" textRotation="90" wrapText="1"/>
    </xf>
    <xf numFmtId="0" fontId="28" fillId="0" borderId="17" xfId="0" applyFont="1" applyBorder="1" applyAlignment="1">
      <alignment horizontal="center"/>
    </xf>
    <xf numFmtId="0" fontId="20" fillId="0" borderId="17" xfId="0" applyFont="1" applyBorder="1"/>
    <xf numFmtId="0" fontId="26" fillId="0" borderId="17" xfId="0" applyFont="1" applyBorder="1"/>
    <xf numFmtId="0" fontId="45" fillId="0" borderId="17" xfId="0" applyFont="1" applyBorder="1" applyAlignment="1">
      <alignment horizontal="center" vertical="center"/>
    </xf>
    <xf numFmtId="0" fontId="22" fillId="0" borderId="29" xfId="0" applyFont="1" applyBorder="1" applyAlignment="1">
      <alignment horizontal="center" vertical="center" textRotation="90" wrapText="1"/>
    </xf>
    <xf numFmtId="0" fontId="22" fillId="0" borderId="17" xfId="0" applyFont="1" applyBorder="1" applyAlignment="1">
      <alignment horizontal="center" vertical="center" textRotation="90" wrapText="1"/>
    </xf>
    <xf numFmtId="0" fontId="26" fillId="0" borderId="17" xfId="0" applyFont="1" applyBorder="1" applyAlignment="1">
      <alignment vertical="center"/>
    </xf>
    <xf numFmtId="0" fontId="22" fillId="0" borderId="29" xfId="0" applyFont="1" applyBorder="1" applyAlignment="1">
      <alignment horizontal="left" vertical="center" textRotation="90" wrapText="1"/>
    </xf>
    <xf numFmtId="0" fontId="22" fillId="0" borderId="17" xfId="0" applyFont="1" applyBorder="1" applyAlignment="1">
      <alignment horizontal="left" vertical="center" textRotation="90" wrapText="1"/>
    </xf>
    <xf numFmtId="0" fontId="22" fillId="0" borderId="17" xfId="0" applyFont="1" applyBorder="1" applyAlignment="1">
      <alignment horizontal="center" vertical="top"/>
    </xf>
    <xf numFmtId="0" fontId="26" fillId="0" borderId="18" xfId="0" applyFont="1" applyBorder="1" applyAlignment="1">
      <alignment vertical="center" textRotation="90" wrapText="1"/>
    </xf>
    <xf numFmtId="0" fontId="0" fillId="0" borderId="18" xfId="0" applyFont="1" applyBorder="1"/>
    <xf numFmtId="0" fontId="32" fillId="0" borderId="18" xfId="0" applyFont="1" applyBorder="1"/>
    <xf numFmtId="0" fontId="45" fillId="0" borderId="20" xfId="0" applyFont="1" applyBorder="1" applyAlignment="1">
      <alignment horizontal="center" vertical="top"/>
    </xf>
    <xf numFmtId="0" fontId="26" fillId="0" borderId="17" xfId="0" applyFont="1" applyBorder="1" applyAlignment="1">
      <alignment vertical="center" textRotation="90" wrapText="1"/>
    </xf>
    <xf numFmtId="0" fontId="32" fillId="0" borderId="17" xfId="0" applyFont="1" applyBorder="1" applyAlignment="1">
      <alignment vertical="top"/>
    </xf>
    <xf numFmtId="0" fontId="31" fillId="0" borderId="17" xfId="0" applyFont="1" applyBorder="1" applyAlignment="1">
      <alignment vertical="top"/>
    </xf>
    <xf numFmtId="0" fontId="29" fillId="0" borderId="17" xfId="0" applyFont="1" applyBorder="1" applyAlignment="1">
      <alignment horizontal="left" vertical="top"/>
    </xf>
    <xf numFmtId="0" fontId="29" fillId="0" borderId="17" xfId="0" applyFont="1" applyBorder="1" applyAlignment="1">
      <alignment vertical="center" wrapText="1"/>
    </xf>
    <xf numFmtId="0" fontId="22" fillId="0" borderId="18" xfId="0" applyFont="1" applyBorder="1"/>
    <xf numFmtId="0" fontId="0" fillId="0" borderId="18" xfId="0" applyBorder="1" applyAlignment="1">
      <alignment vertical="center"/>
    </xf>
    <xf numFmtId="0" fontId="26" fillId="0" borderId="18" xfId="0" applyFont="1" applyBorder="1" applyAlignment="1">
      <alignment vertical="center"/>
    </xf>
    <xf numFmtId="0" fontId="0" fillId="0" borderId="18" xfId="0" applyFont="1" applyBorder="1" applyAlignment="1">
      <alignment vertical="center"/>
    </xf>
    <xf numFmtId="0" fontId="22" fillId="0" borderId="18" xfId="0" applyFont="1" applyBorder="1" applyAlignment="1">
      <alignment horizontal="center" vertical="top"/>
    </xf>
    <xf numFmtId="0" fontId="33" fillId="0" borderId="17" xfId="0" applyFont="1" applyBorder="1"/>
    <xf numFmtId="0" fontId="33" fillId="0" borderId="17" xfId="0" applyFont="1" applyBorder="1" applyAlignment="1">
      <alignment vertical="center"/>
    </xf>
    <xf numFmtId="0" fontId="32" fillId="0" borderId="17" xfId="0" applyFont="1" applyBorder="1" applyAlignment="1">
      <alignment vertical="center"/>
    </xf>
    <xf numFmtId="0" fontId="0" fillId="0" borderId="30" xfId="0" applyBorder="1" applyAlignment="1">
      <alignment vertical="center"/>
    </xf>
    <xf numFmtId="0" fontId="29" fillId="0" borderId="17" xfId="0" applyFont="1" applyBorder="1"/>
    <xf numFmtId="0" fontId="26" fillId="0" borderId="17" xfId="0" applyFont="1" applyFill="1" applyBorder="1" applyAlignment="1"/>
    <xf numFmtId="0" fontId="26" fillId="0" borderId="30" xfId="0" applyFont="1" applyFill="1" applyBorder="1" applyAlignment="1"/>
    <xf numFmtId="0" fontId="35" fillId="0" borderId="26" xfId="0" applyFont="1" applyBorder="1" applyAlignment="1"/>
    <xf numFmtId="0" fontId="22" fillId="0" borderId="14" xfId="0" applyFont="1" applyBorder="1" applyAlignment="1">
      <alignment vertical="top"/>
    </xf>
    <xf numFmtId="0" fontId="31" fillId="0" borderId="10" xfId="0" applyFont="1" applyBorder="1" applyAlignment="1"/>
    <xf numFmtId="0" fontId="0" fillId="0" borderId="11" xfId="0" applyFont="1" applyBorder="1"/>
    <xf numFmtId="0" fontId="0" fillId="25" borderId="11" xfId="0" applyFont="1" applyFill="1" applyBorder="1"/>
    <xf numFmtId="0" fontId="28" fillId="0" borderId="21" xfId="0" applyFont="1" applyBorder="1" applyAlignment="1"/>
    <xf numFmtId="0" fontId="28" fillId="0" borderId="12" xfId="0" applyFont="1" applyBorder="1" applyAlignment="1"/>
    <xf numFmtId="0" fontId="31" fillId="0" borderId="12" xfId="0" applyFont="1" applyBorder="1" applyAlignment="1"/>
    <xf numFmtId="0" fontId="31" fillId="0" borderId="12" xfId="0" applyFont="1" applyBorder="1"/>
    <xf numFmtId="0" fontId="20" fillId="0" borderId="12" xfId="0" applyFont="1" applyBorder="1"/>
    <xf numFmtId="0" fontId="20" fillId="0" borderId="12" xfId="0" applyFont="1" applyBorder="1" applyAlignment="1">
      <alignment horizontal="center" vertical="center"/>
    </xf>
    <xf numFmtId="0" fontId="22" fillId="0" borderId="12" xfId="0" applyFont="1" applyBorder="1"/>
    <xf numFmtId="0" fontId="0" fillId="0" borderId="13" xfId="0" applyFont="1" applyBorder="1"/>
    <xf numFmtId="0" fontId="0" fillId="0" borderId="31" xfId="0" applyFont="1" applyBorder="1"/>
    <xf numFmtId="0" fontId="31" fillId="0" borderId="18" xfId="0" applyFont="1" applyBorder="1"/>
    <xf numFmtId="0" fontId="0" fillId="0" borderId="18" xfId="0" applyFont="1" applyFill="1" applyBorder="1"/>
    <xf numFmtId="0" fontId="22" fillId="0" borderId="18" xfId="0" applyFont="1" applyFill="1" applyBorder="1"/>
    <xf numFmtId="0" fontId="20" fillId="0" borderId="18" xfId="0" applyFont="1" applyFill="1" applyBorder="1"/>
    <xf numFmtId="0" fontId="0" fillId="0" borderId="28" xfId="0" applyFont="1" applyFill="1" applyBorder="1"/>
    <xf numFmtId="0" fontId="31" fillId="0" borderId="22" xfId="0" applyFont="1" applyBorder="1" applyAlignment="1">
      <alignment vertical="top"/>
    </xf>
    <xf numFmtId="0" fontId="31" fillId="0" borderId="16" xfId="0" applyFont="1" applyBorder="1" applyAlignment="1">
      <alignment vertical="top"/>
    </xf>
    <xf numFmtId="0" fontId="31" fillId="0" borderId="22" xfId="0" applyFont="1" applyBorder="1" applyAlignment="1">
      <alignment vertical="center"/>
    </xf>
    <xf numFmtId="0" fontId="31" fillId="0" borderId="22" xfId="0" applyFont="1" applyBorder="1" applyAlignment="1"/>
    <xf numFmtId="0" fontId="0" fillId="0" borderId="22" xfId="0" applyFont="1" applyBorder="1" applyAlignment="1"/>
    <xf numFmtId="0" fontId="22" fillId="25" borderId="16" xfId="0" applyFont="1" applyFill="1" applyBorder="1" applyAlignment="1">
      <alignment vertical="top"/>
    </xf>
    <xf numFmtId="0" fontId="31" fillId="0" borderId="29" xfId="0" applyFont="1" applyBorder="1" applyAlignment="1">
      <alignment vertical="top"/>
    </xf>
    <xf numFmtId="0" fontId="0" fillId="0" borderId="17" xfId="0" applyFont="1" applyBorder="1" applyAlignment="1">
      <alignment horizontal="left" vertical="top"/>
    </xf>
    <xf numFmtId="0" fontId="0" fillId="0" borderId="17" xfId="0" applyFont="1" applyBorder="1" applyAlignment="1">
      <alignment vertical="top"/>
    </xf>
    <xf numFmtId="0" fontId="22" fillId="0" borderId="17" xfId="0" applyFont="1" applyBorder="1" applyAlignment="1">
      <alignment vertical="center"/>
    </xf>
    <xf numFmtId="0" fontId="22" fillId="25" borderId="17" xfId="0" applyFont="1" applyFill="1" applyBorder="1" applyAlignment="1">
      <alignment vertical="top"/>
    </xf>
    <xf numFmtId="0" fontId="22" fillId="25" borderId="30" xfId="0" applyFont="1" applyFill="1" applyBorder="1" applyAlignment="1">
      <alignment vertical="top"/>
    </xf>
    <xf numFmtId="0" fontId="34" fillId="0" borderId="18" xfId="0" applyFont="1" applyBorder="1" applyAlignment="1">
      <alignment vertical="top" wrapText="1"/>
    </xf>
    <xf numFmtId="0" fontId="34" fillId="0" borderId="18" xfId="0" applyFont="1" applyBorder="1" applyAlignment="1">
      <alignment vertical="top"/>
    </xf>
    <xf numFmtId="0" fontId="22" fillId="0" borderId="16" xfId="0" applyFont="1" applyBorder="1" applyAlignment="1">
      <alignment vertical="center" wrapText="1"/>
    </xf>
    <xf numFmtId="0" fontId="42" fillId="0" borderId="17" xfId="0" applyFont="1" applyBorder="1" applyAlignment="1">
      <alignment vertical="center"/>
    </xf>
    <xf numFmtId="0" fontId="32" fillId="0" borderId="17" xfId="0" applyFont="1" applyBorder="1" applyAlignment="1"/>
    <xf numFmtId="0" fontId="32" fillId="0" borderId="30" xfId="0" applyFont="1" applyBorder="1" applyAlignment="1"/>
    <xf numFmtId="0" fontId="22" fillId="0" borderId="17" xfId="0" applyFont="1" applyBorder="1" applyAlignment="1">
      <alignment vertical="top"/>
    </xf>
    <xf numFmtId="0" fontId="31" fillId="0" borderId="17" xfId="0" applyFont="1" applyFill="1" applyBorder="1" applyAlignment="1">
      <alignment horizontal="left" vertical="top"/>
    </xf>
    <xf numFmtId="0" fontId="0" fillId="0" borderId="17" xfId="0" applyFont="1" applyBorder="1"/>
    <xf numFmtId="0" fontId="39" fillId="0" borderId="17" xfId="0" applyFont="1" applyBorder="1"/>
    <xf numFmtId="0" fontId="32" fillId="0" borderId="17" xfId="0" applyFont="1" applyBorder="1" applyAlignment="1">
      <alignment horizontal="center"/>
    </xf>
    <xf numFmtId="0" fontId="32" fillId="0" borderId="20" xfId="0" applyFont="1" applyBorder="1" applyAlignment="1">
      <alignment vertical="center"/>
    </xf>
    <xf numFmtId="0" fontId="32" fillId="0" borderId="0" xfId="0" applyFont="1" applyBorder="1" applyAlignment="1">
      <alignment vertical="top" wrapText="1"/>
    </xf>
    <xf numFmtId="0" fontId="39" fillId="0" borderId="0" xfId="0" applyFont="1" applyFill="1" applyBorder="1" applyAlignment="1"/>
    <xf numFmtId="0" fontId="34" fillId="0" borderId="23" xfId="0" applyFont="1" applyBorder="1" applyAlignment="1">
      <alignment vertical="top" wrapText="1"/>
    </xf>
    <xf numFmtId="0" fontId="34" fillId="0" borderId="24" xfId="0" applyFont="1" applyBorder="1" applyAlignment="1">
      <alignment vertical="top" wrapText="1"/>
    </xf>
    <xf numFmtId="0" fontId="0" fillId="0" borderId="24" xfId="0" applyFont="1" applyBorder="1"/>
    <xf numFmtId="0" fontId="31" fillId="0" borderId="24" xfId="0" applyFont="1" applyBorder="1" applyAlignment="1">
      <alignment horizontal="left" vertical="top"/>
    </xf>
    <xf numFmtId="0" fontId="32" fillId="0" borderId="24" xfId="0" applyFont="1" applyBorder="1" applyAlignment="1">
      <alignment vertical="top" wrapText="1"/>
    </xf>
    <xf numFmtId="0" fontId="31" fillId="0" borderId="24" xfId="0" applyFont="1" applyBorder="1" applyAlignment="1">
      <alignment vertical="top" wrapText="1"/>
    </xf>
    <xf numFmtId="0" fontId="20" fillId="0" borderId="24" xfId="0" applyFont="1" applyBorder="1" applyAlignment="1">
      <alignment vertical="top"/>
    </xf>
    <xf numFmtId="0" fontId="31" fillId="0" borderId="24" xfId="0" applyFont="1" applyBorder="1"/>
    <xf numFmtId="0" fontId="20" fillId="0" borderId="32" xfId="0" applyFont="1" applyBorder="1" applyAlignment="1">
      <alignment vertical="top"/>
    </xf>
    <xf numFmtId="0" fontId="28" fillId="0" borderId="24" xfId="0" applyFont="1" applyBorder="1" applyAlignment="1">
      <alignment vertical="center" wrapText="1"/>
    </xf>
    <xf numFmtId="0" fontId="39" fillId="0" borderId="24" xfId="0" applyFont="1" applyFill="1" applyBorder="1" applyAlignment="1"/>
    <xf numFmtId="0" fontId="20" fillId="0" borderId="24" xfId="0" applyFont="1" applyBorder="1"/>
    <xf numFmtId="0" fontId="26" fillId="0" borderId="24" xfId="0" applyFont="1" applyBorder="1"/>
    <xf numFmtId="0" fontId="39" fillId="0" borderId="24" xfId="0" applyFont="1" applyBorder="1"/>
    <xf numFmtId="0" fontId="39" fillId="0" borderId="32" xfId="0" applyFont="1" applyBorder="1"/>
    <xf numFmtId="0" fontId="39" fillId="0" borderId="24" xfId="0" applyFont="1" applyBorder="1" applyAlignment="1">
      <alignment horizontal="center" vertical="center" wrapText="1"/>
    </xf>
    <xf numFmtId="0" fontId="32" fillId="0" borderId="32" xfId="0" applyFont="1" applyBorder="1"/>
    <xf numFmtId="0" fontId="31" fillId="0" borderId="10" xfId="0" applyFont="1" applyBorder="1" applyAlignment="1">
      <alignment vertical="center"/>
    </xf>
    <xf numFmtId="0" fontId="28" fillId="0" borderId="10" xfId="0" applyFont="1" applyBorder="1" applyAlignment="1">
      <alignment vertical="center"/>
    </xf>
    <xf numFmtId="0" fontId="0" fillId="0" borderId="10" xfId="0" applyFont="1" applyBorder="1" applyAlignment="1">
      <alignment vertical="center"/>
    </xf>
    <xf numFmtId="0" fontId="28" fillId="0" borderId="22" xfId="0" applyFont="1" applyFill="1" applyBorder="1" applyAlignment="1">
      <alignment horizontal="center" vertical="center" wrapText="1"/>
    </xf>
    <xf numFmtId="0" fontId="31" fillId="0" borderId="28" xfId="0" applyFont="1" applyBorder="1" applyAlignment="1">
      <alignment vertical="top" wrapText="1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 wrapText="1"/>
    </xf>
    <xf numFmtId="0" fontId="25" fillId="0" borderId="0" xfId="0" quotePrefix="1" applyFont="1" applyBorder="1" applyAlignment="1">
      <alignment vertical="center" wrapText="1"/>
    </xf>
    <xf numFmtId="0" fontId="35" fillId="0" borderId="24" xfId="0" applyFont="1" applyBorder="1" applyAlignment="1">
      <alignment vertical="center" wrapText="1"/>
    </xf>
    <xf numFmtId="0" fontId="32" fillId="0" borderId="23" xfId="0" applyFont="1" applyBorder="1"/>
    <xf numFmtId="0" fontId="29" fillId="0" borderId="0" xfId="0" applyFont="1" applyFill="1" applyBorder="1" applyAlignment="1">
      <alignment vertical="center"/>
    </xf>
    <xf numFmtId="0" fontId="26" fillId="25" borderId="0" xfId="0" applyFont="1" applyFill="1" applyBorder="1" applyAlignment="1">
      <alignment horizontal="center"/>
    </xf>
    <xf numFmtId="0" fontId="26" fillId="25" borderId="16" xfId="0" applyFont="1" applyFill="1" applyBorder="1" applyAlignment="1">
      <alignment horizontal="center"/>
    </xf>
    <xf numFmtId="0" fontId="26" fillId="25" borderId="20" xfId="0" applyFont="1" applyFill="1" applyBorder="1" applyAlignment="1">
      <alignment horizontal="center"/>
    </xf>
    <xf numFmtId="0" fontId="20" fillId="0" borderId="0" xfId="0" applyFont="1"/>
    <xf numFmtId="0" fontId="0" fillId="0" borderId="0" xfId="0" applyFont="1" applyAlignment="1">
      <alignment horizontal="center"/>
    </xf>
    <xf numFmtId="0" fontId="42" fillId="0" borderId="11" xfId="0" applyFont="1" applyBorder="1" applyAlignment="1">
      <alignment vertical="center"/>
    </xf>
    <xf numFmtId="0" fontId="0" fillId="0" borderId="16" xfId="0" applyBorder="1" applyAlignment="1">
      <alignment horizontal="center"/>
    </xf>
    <xf numFmtId="0" fontId="20" fillId="0" borderId="0" xfId="0" applyFont="1" applyBorder="1" applyAlignment="1">
      <alignment horizontal="left" vertical="center" wrapText="1"/>
    </xf>
    <xf numFmtId="0" fontId="26" fillId="0" borderId="0" xfId="0" applyFont="1" applyFill="1" applyBorder="1" applyAlignment="1">
      <alignment vertical="center"/>
    </xf>
    <xf numFmtId="16" fontId="20" fillId="0" borderId="0" xfId="0" applyNumberFormat="1" applyFont="1" applyBorder="1" applyAlignment="1">
      <alignment vertical="center"/>
    </xf>
    <xf numFmtId="0" fontId="0" fillId="0" borderId="0" xfId="0" applyFont="1" applyBorder="1" applyAlignment="1"/>
    <xf numFmtId="0" fontId="31" fillId="26" borderId="33" xfId="0" applyFont="1" applyFill="1" applyBorder="1" applyAlignment="1">
      <alignment vertical="center"/>
    </xf>
    <xf numFmtId="0" fontId="31" fillId="0" borderId="0" xfId="0" applyFont="1" applyFill="1" applyBorder="1" applyAlignment="1">
      <alignment vertical="center" wrapText="1"/>
    </xf>
    <xf numFmtId="0" fontId="31" fillId="0" borderId="0" xfId="0" applyFont="1" applyFill="1" applyBorder="1"/>
    <xf numFmtId="0" fontId="22" fillId="0" borderId="0" xfId="0" applyFont="1" applyFill="1" applyBorder="1" applyAlignment="1">
      <alignment horizontal="center" vertical="top"/>
    </xf>
    <xf numFmtId="0" fontId="0" fillId="0" borderId="0" xfId="0" applyFont="1" applyFill="1" applyBorder="1" applyAlignment="1">
      <alignment wrapText="1"/>
    </xf>
    <xf numFmtId="0" fontId="0" fillId="0" borderId="0" xfId="0" applyFont="1" applyFill="1" applyBorder="1" applyAlignment="1">
      <alignment horizontal="center" vertical="center"/>
    </xf>
    <xf numFmtId="0" fontId="31" fillId="0" borderId="18" xfId="0" applyFont="1" applyBorder="1" applyAlignment="1">
      <alignment vertical="center"/>
    </xf>
    <xf numFmtId="0" fontId="0" fillId="25" borderId="36" xfId="0" applyFont="1" applyFill="1" applyBorder="1"/>
    <xf numFmtId="0" fontId="50" fillId="0" borderId="0" xfId="0" applyFont="1" applyBorder="1"/>
    <xf numFmtId="0" fontId="49" fillId="25" borderId="0" xfId="0" applyFont="1" applyFill="1" applyBorder="1" applyAlignment="1">
      <alignment horizontal="center" vertical="center"/>
    </xf>
    <xf numFmtId="0" fontId="49" fillId="0" borderId="0" xfId="0" applyFont="1" applyBorder="1" applyAlignment="1">
      <alignment horizontal="center" vertical="center"/>
    </xf>
    <xf numFmtId="0" fontId="49" fillId="0" borderId="0" xfId="0" applyFont="1" applyBorder="1"/>
    <xf numFmtId="0" fontId="49" fillId="0" borderId="0" xfId="0" quotePrefix="1" applyFont="1" applyBorder="1" applyAlignment="1">
      <alignment horizontal="center" vertical="center"/>
    </xf>
    <xf numFmtId="0" fontId="0" fillId="25" borderId="0" xfId="0" quotePrefix="1" applyFont="1" applyFill="1" applyBorder="1" applyAlignment="1">
      <alignment horizontal="center" vertical="center"/>
    </xf>
    <xf numFmtId="0" fontId="22" fillId="0" borderId="0" xfId="0" applyFont="1"/>
    <xf numFmtId="0" fontId="0" fillId="25" borderId="0" xfId="0" quotePrefix="1" applyFont="1" applyFill="1" applyBorder="1" applyAlignment="1">
      <alignment horizontal="center"/>
    </xf>
    <xf numFmtId="0" fontId="22" fillId="25" borderId="0" xfId="0" quotePrefix="1" applyFont="1" applyFill="1" applyBorder="1" applyAlignment="1">
      <alignment horizontal="center"/>
    </xf>
    <xf numFmtId="0" fontId="28" fillId="0" borderId="0" xfId="0" applyFont="1" applyBorder="1" applyAlignment="1">
      <alignment horizontal="center" vertical="top" wrapText="1"/>
    </xf>
    <xf numFmtId="0" fontId="34" fillId="0" borderId="17" xfId="0" applyFont="1" applyBorder="1" applyAlignment="1">
      <alignment horizontal="center" vertical="center" wrapText="1"/>
    </xf>
    <xf numFmtId="0" fontId="23" fillId="0" borderId="0" xfId="0" applyFont="1" applyFill="1" applyBorder="1" applyAlignment="1"/>
    <xf numFmtId="0" fontId="25" fillId="0" borderId="0" xfId="0" quotePrefix="1" applyFont="1" applyFill="1" applyBorder="1" applyAlignment="1">
      <alignment vertical="distributed"/>
    </xf>
    <xf numFmtId="0" fontId="26" fillId="0" borderId="0" xfId="0" applyFont="1" applyFill="1" applyBorder="1" applyAlignment="1">
      <alignment vertical="center" wrapText="1"/>
    </xf>
    <xf numFmtId="0" fontId="27" fillId="0" borderId="0" xfId="0" quotePrefix="1" applyFont="1" applyFill="1" applyBorder="1" applyAlignment="1">
      <alignment vertical="distributed" wrapText="1"/>
    </xf>
    <xf numFmtId="0" fontId="26" fillId="0" borderId="0" xfId="0" quotePrefix="1" applyFont="1" applyFill="1" applyBorder="1" applyAlignment="1">
      <alignment horizontal="center" vertical="distributed" wrapText="1"/>
    </xf>
    <xf numFmtId="0" fontId="0" fillId="0" borderId="11" xfId="0" applyFill="1" applyBorder="1"/>
    <xf numFmtId="0" fontId="26" fillId="0" borderId="0" xfId="0" applyFont="1" applyFill="1" applyBorder="1" applyAlignment="1">
      <alignment horizontal="left" vertical="center"/>
    </xf>
    <xf numFmtId="0" fontId="26" fillId="0" borderId="0" xfId="0" applyFont="1" applyFill="1" applyAlignment="1">
      <alignment vertical="center"/>
    </xf>
    <xf numFmtId="0" fontId="32" fillId="0" borderId="0" xfId="0" applyFont="1" applyFill="1"/>
    <xf numFmtId="0" fontId="31" fillId="0" borderId="11" xfId="0" applyFont="1" applyFill="1" applyBorder="1" applyAlignment="1">
      <alignment horizontal="left"/>
    </xf>
    <xf numFmtId="0" fontId="22" fillId="0" borderId="0" xfId="0" applyFont="1" applyFill="1" applyAlignment="1">
      <alignment vertical="center"/>
    </xf>
    <xf numFmtId="0" fontId="0" fillId="0" borderId="0" xfId="0" applyFill="1" applyBorder="1" applyAlignment="1">
      <alignment horizontal="center" wrapText="1"/>
    </xf>
    <xf numFmtId="0" fontId="31" fillId="0" borderId="0" xfId="0" applyFont="1" applyFill="1" applyBorder="1" applyAlignment="1">
      <alignment horizontal="center" vertical="center" textRotation="90"/>
    </xf>
    <xf numFmtId="0" fontId="25" fillId="0" borderId="0" xfId="0" quotePrefix="1" applyFont="1" applyFill="1" applyBorder="1" applyAlignment="1">
      <alignment vertical="distributed" wrapText="1"/>
    </xf>
    <xf numFmtId="0" fontId="34" fillId="0" borderId="11" xfId="0" applyFont="1" applyFill="1" applyBorder="1" applyAlignment="1">
      <alignment vertical="center"/>
    </xf>
    <xf numFmtId="0" fontId="22" fillId="0" borderId="0" xfId="0" applyFont="1" applyFill="1" applyBorder="1" applyAlignment="1">
      <alignment horizontal="center" vertical="center" textRotation="90"/>
    </xf>
    <xf numFmtId="0" fontId="31" fillId="0" borderId="13" xfId="0" applyFont="1" applyFill="1" applyBorder="1" applyAlignment="1">
      <alignment horizontal="left"/>
    </xf>
    <xf numFmtId="0" fontId="34" fillId="0" borderId="13" xfId="0" applyFont="1" applyFill="1" applyBorder="1" applyAlignment="1">
      <alignment vertical="center"/>
    </xf>
    <xf numFmtId="0" fontId="22" fillId="0" borderId="12" xfId="0" applyFont="1" applyFill="1" applyBorder="1" applyAlignment="1">
      <alignment horizontal="center" vertical="center" textRotation="90"/>
    </xf>
    <xf numFmtId="0" fontId="0" fillId="0" borderId="12" xfId="0" applyFill="1" applyBorder="1" applyAlignment="1">
      <alignment horizontal="center" wrapText="1"/>
    </xf>
    <xf numFmtId="0" fontId="0" fillId="0" borderId="12" xfId="0" applyFill="1" applyBorder="1"/>
    <xf numFmtId="0" fontId="31" fillId="0" borderId="14" xfId="0" applyFont="1" applyFill="1" applyBorder="1" applyAlignment="1">
      <alignment horizontal="center" vertical="center" textRotation="90"/>
    </xf>
    <xf numFmtId="0" fontId="0" fillId="0" borderId="14" xfId="0" applyFill="1" applyBorder="1"/>
    <xf numFmtId="0" fontId="25" fillId="0" borderId="14" xfId="0" quotePrefix="1" applyFont="1" applyFill="1" applyBorder="1" applyAlignment="1">
      <alignment vertical="distributed"/>
    </xf>
    <xf numFmtId="0" fontId="31" fillId="0" borderId="14" xfId="0" applyFont="1" applyFill="1" applyBorder="1" applyAlignment="1">
      <alignment horizontal="left"/>
    </xf>
    <xf numFmtId="0" fontId="0" fillId="0" borderId="14" xfId="0" applyFill="1" applyBorder="1" applyAlignment="1">
      <alignment horizontal="center"/>
    </xf>
    <xf numFmtId="0" fontId="32" fillId="0" borderId="14" xfId="0" applyFont="1" applyFill="1" applyBorder="1" applyAlignment="1"/>
    <xf numFmtId="0" fontId="0" fillId="0" borderId="14" xfId="0" applyFill="1" applyBorder="1" applyAlignment="1">
      <alignment horizontal="center" wrapText="1"/>
    </xf>
    <xf numFmtId="0" fontId="25" fillId="0" borderId="14" xfId="0" quotePrefix="1" applyFont="1" applyFill="1" applyBorder="1" applyAlignment="1">
      <alignment vertical="distributed" wrapText="1"/>
    </xf>
    <xf numFmtId="0" fontId="33" fillId="0" borderId="0" xfId="0" applyFont="1" applyFill="1"/>
    <xf numFmtId="0" fontId="33" fillId="0" borderId="0" xfId="0" applyFont="1" applyFill="1" applyBorder="1" applyAlignment="1">
      <alignment vertical="distributed"/>
    </xf>
    <xf numFmtId="0" fontId="35" fillId="0" borderId="0" xfId="0" applyFont="1" applyFill="1" applyBorder="1" applyAlignment="1">
      <alignment horizontal="center" vertical="center" textRotation="90" wrapText="1"/>
    </xf>
    <xf numFmtId="0" fontId="0" fillId="0" borderId="0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20" fillId="0" borderId="0" xfId="0" applyFont="1" applyFill="1" applyBorder="1"/>
    <xf numFmtId="0" fontId="22" fillId="0" borderId="0" xfId="0" applyFont="1" applyFill="1" applyBorder="1" applyAlignment="1">
      <alignment vertical="center"/>
    </xf>
    <xf numFmtId="0" fontId="28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horizontal="center" vertical="center"/>
    </xf>
    <xf numFmtId="0" fontId="22" fillId="0" borderId="0" xfId="0" applyFont="1" applyFill="1" applyBorder="1"/>
    <xf numFmtId="0" fontId="35" fillId="0" borderId="21" xfId="0" applyFont="1" applyFill="1" applyBorder="1" applyAlignment="1">
      <alignment horizontal="center" vertical="center" textRotation="90" wrapText="1"/>
    </xf>
    <xf numFmtId="0" fontId="28" fillId="0" borderId="12" xfId="0" applyFont="1" applyFill="1" applyBorder="1" applyAlignment="1">
      <alignment vertical="center"/>
    </xf>
    <xf numFmtId="0" fontId="31" fillId="0" borderId="12" xfId="0" applyFont="1" applyFill="1" applyBorder="1" applyAlignment="1">
      <alignment vertical="center"/>
    </xf>
    <xf numFmtId="0" fontId="20" fillId="0" borderId="12" xfId="0" applyFont="1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22" fillId="0" borderId="12" xfId="0" applyFont="1" applyFill="1" applyBorder="1" applyAlignment="1">
      <alignment horizontal="center" vertical="center"/>
    </xf>
    <xf numFmtId="0" fontId="0" fillId="0" borderId="12" xfId="0" applyFont="1" applyFill="1" applyBorder="1" applyAlignment="1">
      <alignment horizontal="center" vertical="center"/>
    </xf>
    <xf numFmtId="0" fontId="0" fillId="0" borderId="13" xfId="0" applyFill="1" applyBorder="1"/>
    <xf numFmtId="0" fontId="28" fillId="0" borderId="0" xfId="0" applyFont="1" applyFill="1" applyBorder="1" applyAlignment="1">
      <alignment horizontal="center" vertical="top"/>
    </xf>
    <xf numFmtId="0" fontId="20" fillId="0" borderId="0" xfId="0" applyFont="1" applyFill="1" applyBorder="1" applyAlignment="1">
      <alignment horizontal="right" vertical="center"/>
    </xf>
    <xf numFmtId="0" fontId="22" fillId="0" borderId="15" xfId="0" applyFont="1" applyFill="1" applyBorder="1" applyAlignment="1">
      <alignment horizontal="center" vertical="center"/>
    </xf>
    <xf numFmtId="0" fontId="0" fillId="0" borderId="0" xfId="0" applyFill="1" applyBorder="1" applyAlignment="1">
      <alignment vertical="center"/>
    </xf>
    <xf numFmtId="0" fontId="0" fillId="0" borderId="17" xfId="0" applyFill="1" applyBorder="1"/>
    <xf numFmtId="0" fontId="20" fillId="0" borderId="17" xfId="0" applyFont="1" applyFill="1" applyBorder="1" applyAlignment="1">
      <alignment vertical="center"/>
    </xf>
    <xf numFmtId="0" fontId="31" fillId="0" borderId="17" xfId="0" applyFont="1" applyFill="1" applyBorder="1"/>
    <xf numFmtId="0" fontId="26" fillId="0" borderId="17" xfId="0" applyFont="1" applyFill="1" applyBorder="1"/>
    <xf numFmtId="0" fontId="22" fillId="0" borderId="17" xfId="0" applyFont="1" applyFill="1" applyBorder="1" applyAlignment="1">
      <alignment horizontal="center" vertical="top"/>
    </xf>
    <xf numFmtId="0" fontId="31" fillId="0" borderId="17" xfId="0" applyFont="1" applyFill="1" applyBorder="1" applyAlignment="1">
      <alignment vertical="top"/>
    </xf>
    <xf numFmtId="0" fontId="29" fillId="0" borderId="17" xfId="0" applyFont="1" applyFill="1" applyBorder="1" applyAlignment="1">
      <alignment vertical="top"/>
    </xf>
    <xf numFmtId="0" fontId="29" fillId="0" borderId="17" xfId="0" applyFont="1" applyFill="1" applyBorder="1" applyAlignment="1">
      <alignment vertical="center" wrapText="1"/>
    </xf>
    <xf numFmtId="0" fontId="32" fillId="0" borderId="20" xfId="0" applyFont="1" applyFill="1" applyBorder="1"/>
    <xf numFmtId="0" fontId="33" fillId="0" borderId="20" xfId="0" applyFont="1" applyFill="1" applyBorder="1"/>
    <xf numFmtId="0" fontId="28" fillId="0" borderId="0" xfId="0" applyFont="1" applyFill="1" applyBorder="1" applyAlignment="1">
      <alignment horizontal="center" vertical="center"/>
    </xf>
    <xf numFmtId="0" fontId="34" fillId="0" borderId="0" xfId="0" quotePrefix="1" applyFont="1" applyFill="1" applyBorder="1" applyAlignment="1">
      <alignment vertical="distributed" wrapText="1"/>
    </xf>
    <xf numFmtId="0" fontId="28" fillId="0" borderId="10" xfId="0" applyFont="1" applyFill="1" applyBorder="1" applyAlignment="1">
      <alignment vertical="justify" wrapText="1"/>
    </xf>
    <xf numFmtId="0" fontId="34" fillId="0" borderId="0" xfId="0" applyFont="1" applyFill="1"/>
    <xf numFmtId="0" fontId="35" fillId="0" borderId="21" xfId="0" applyFont="1" applyFill="1" applyBorder="1" applyAlignment="1">
      <alignment vertical="center"/>
    </xf>
    <xf numFmtId="0" fontId="21" fillId="0" borderId="14" xfId="0" applyFont="1" applyFill="1" applyBorder="1" applyAlignment="1">
      <alignment horizontal="center" vertical="center"/>
    </xf>
    <xf numFmtId="0" fontId="30" fillId="0" borderId="0" xfId="0" applyFont="1" applyFill="1"/>
    <xf numFmtId="0" fontId="30" fillId="0" borderId="0" xfId="0" applyFont="1" applyFill="1" applyBorder="1" applyAlignment="1">
      <alignment vertical="center"/>
    </xf>
    <xf numFmtId="0" fontId="26" fillId="0" borderId="11" xfId="0" applyFont="1" applyFill="1" applyBorder="1" applyAlignment="1">
      <alignment vertical="center" wrapText="1"/>
    </xf>
    <xf numFmtId="0" fontId="34" fillId="0" borderId="0" xfId="0" applyFont="1" applyFill="1" applyAlignment="1">
      <alignment vertical="center"/>
    </xf>
    <xf numFmtId="0" fontId="35" fillId="0" borderId="0" xfId="0" applyFont="1" applyFill="1" applyBorder="1" applyAlignment="1">
      <alignment vertical="center"/>
    </xf>
    <xf numFmtId="0" fontId="35" fillId="0" borderId="11" xfId="0" applyFont="1" applyFill="1" applyBorder="1" applyAlignment="1">
      <alignment vertical="center"/>
    </xf>
    <xf numFmtId="0" fontId="35" fillId="0" borderId="12" xfId="0" applyFont="1" applyFill="1" applyBorder="1" applyAlignment="1">
      <alignment vertical="center"/>
    </xf>
    <xf numFmtId="0" fontId="35" fillId="0" borderId="13" xfId="0" applyFont="1" applyFill="1" applyBorder="1" applyAlignment="1">
      <alignment vertical="center"/>
    </xf>
    <xf numFmtId="0" fontId="25" fillId="0" borderId="0" xfId="0" quotePrefix="1" applyFont="1" applyFill="1" applyBorder="1" applyAlignment="1">
      <alignment horizontal="center" vertical="distributed"/>
    </xf>
    <xf numFmtId="0" fontId="0" fillId="0" borderId="26" xfId="0" applyFont="1" applyFill="1" applyBorder="1"/>
    <xf numFmtId="0" fontId="22" fillId="0" borderId="14" xfId="0" applyFont="1" applyFill="1" applyBorder="1" applyAlignment="1">
      <alignment vertical="center" wrapText="1"/>
    </xf>
    <xf numFmtId="0" fontId="22" fillId="0" borderId="25" xfId="0" applyFont="1" applyFill="1" applyBorder="1" applyAlignment="1">
      <alignment vertical="center" wrapText="1"/>
    </xf>
    <xf numFmtId="0" fontId="27" fillId="0" borderId="0" xfId="0" quotePrefix="1" applyFont="1" applyFill="1" applyBorder="1" applyAlignment="1">
      <alignment horizontal="center" vertical="distributed" wrapText="1"/>
    </xf>
    <xf numFmtId="0" fontId="27" fillId="0" borderId="11" xfId="0" quotePrefix="1" applyFont="1" applyFill="1" applyBorder="1" applyAlignment="1">
      <alignment horizontal="center" vertical="distributed" wrapText="1"/>
    </xf>
    <xf numFmtId="0" fontId="22" fillId="0" borderId="10" xfId="0" applyFont="1" applyFill="1" applyBorder="1" applyAlignment="1">
      <alignment vertical="center" wrapText="1"/>
    </xf>
    <xf numFmtId="0" fontId="22" fillId="0" borderId="0" xfId="0" applyFont="1" applyFill="1" applyBorder="1" applyAlignment="1">
      <alignment vertical="center" wrapText="1"/>
    </xf>
    <xf numFmtId="0" fontId="22" fillId="0" borderId="11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 wrapText="1"/>
    </xf>
    <xf numFmtId="0" fontId="34" fillId="0" borderId="0" xfId="0" quotePrefix="1" applyFont="1" applyFill="1" applyBorder="1" applyAlignment="1">
      <alignment horizontal="center" wrapText="1"/>
    </xf>
    <xf numFmtId="0" fontId="34" fillId="0" borderId="0" xfId="0" quotePrefix="1" applyFont="1" applyFill="1" applyBorder="1" applyAlignment="1"/>
    <xf numFmtId="0" fontId="0" fillId="0" borderId="0" xfId="0" applyFont="1" applyFill="1" applyAlignment="1">
      <alignment vertical="top"/>
    </xf>
    <xf numFmtId="0" fontId="26" fillId="0" borderId="15" xfId="0" applyFont="1" applyFill="1" applyBorder="1" applyAlignment="1">
      <alignment vertical="center"/>
    </xf>
    <xf numFmtId="0" fontId="34" fillId="0" borderId="0" xfId="0" applyFont="1" applyFill="1" applyBorder="1"/>
    <xf numFmtId="0" fontId="31" fillId="0" borderId="12" xfId="0" applyFont="1" applyFill="1" applyBorder="1" applyAlignment="1">
      <alignment horizontal="center" vertical="center" textRotation="90"/>
    </xf>
    <xf numFmtId="0" fontId="0" fillId="0" borderId="12" xfId="0" applyFont="1" applyFill="1" applyBorder="1"/>
    <xf numFmtId="0" fontId="25" fillId="0" borderId="12" xfId="0" quotePrefix="1" applyFont="1" applyFill="1" applyBorder="1" applyAlignment="1">
      <alignment vertical="distributed"/>
    </xf>
    <xf numFmtId="0" fontId="30" fillId="0" borderId="12" xfId="0" applyFont="1" applyFill="1" applyBorder="1" applyAlignment="1">
      <alignment horizontal="center" vertical="center"/>
    </xf>
    <xf numFmtId="0" fontId="31" fillId="0" borderId="12" xfId="0" applyFont="1" applyFill="1" applyBorder="1" applyAlignment="1">
      <alignment horizontal="left"/>
    </xf>
    <xf numFmtId="0" fontId="22" fillId="0" borderId="21" xfId="0" applyFont="1" applyFill="1" applyBorder="1" applyAlignment="1">
      <alignment vertical="center" wrapText="1"/>
    </xf>
    <xf numFmtId="0" fontId="22" fillId="0" borderId="12" xfId="0" applyFont="1" applyFill="1" applyBorder="1" applyAlignment="1">
      <alignment vertical="center" wrapText="1"/>
    </xf>
    <xf numFmtId="0" fontId="22" fillId="0" borderId="13" xfId="0" applyFont="1" applyFill="1" applyBorder="1" applyAlignment="1">
      <alignment vertical="center" wrapText="1"/>
    </xf>
    <xf numFmtId="0" fontId="31" fillId="0" borderId="21" xfId="0" applyFont="1" applyFill="1" applyBorder="1" applyAlignment="1">
      <alignment horizontal="center" vertical="center" textRotation="90"/>
    </xf>
    <xf numFmtId="0" fontId="25" fillId="0" borderId="12" xfId="0" quotePrefix="1" applyFont="1" applyFill="1" applyBorder="1" applyAlignment="1">
      <alignment vertical="distributed" wrapText="1"/>
    </xf>
    <xf numFmtId="0" fontId="31" fillId="0" borderId="0" xfId="0" applyFont="1" applyFill="1" applyBorder="1" applyAlignment="1">
      <alignment horizontal="left"/>
    </xf>
    <xf numFmtId="0" fontId="39" fillId="0" borderId="0" xfId="0" applyFont="1" applyFill="1" applyBorder="1" applyAlignment="1">
      <alignment horizontal="center" vertical="center" wrapText="1"/>
    </xf>
    <xf numFmtId="0" fontId="35" fillId="0" borderId="0" xfId="0" applyFont="1" applyFill="1" applyBorder="1"/>
    <xf numFmtId="0" fontId="0" fillId="0" borderId="0" xfId="0" applyFont="1" applyFill="1" applyBorder="1" applyAlignment="1">
      <alignment vertical="top" wrapText="1"/>
    </xf>
    <xf numFmtId="0" fontId="22" fillId="0" borderId="0" xfId="0" applyFont="1" applyFill="1" applyBorder="1" applyAlignment="1">
      <alignment vertical="top" wrapText="1"/>
    </xf>
    <xf numFmtId="0" fontId="34" fillId="0" borderId="31" xfId="0" quotePrefix="1" applyFont="1" applyFill="1" applyBorder="1" applyAlignment="1">
      <alignment horizontal="center" vertical="center" wrapText="1"/>
    </xf>
    <xf numFmtId="0" fontId="26" fillId="0" borderId="22" xfId="0" applyFont="1" applyFill="1" applyBorder="1" applyAlignment="1">
      <alignment horizontal="center" vertical="top" wrapText="1"/>
    </xf>
    <xf numFmtId="0" fontId="26" fillId="0" borderId="22" xfId="0" applyFont="1" applyFill="1" applyBorder="1" applyAlignment="1">
      <alignment horizontal="center" vertical="top"/>
    </xf>
    <xf numFmtId="0" fontId="26" fillId="0" borderId="0" xfId="0" applyFont="1" applyFill="1" applyBorder="1"/>
    <xf numFmtId="0" fontId="0" fillId="0" borderId="29" xfId="0" applyFont="1" applyFill="1" applyBorder="1"/>
    <xf numFmtId="0" fontId="34" fillId="0" borderId="20" xfId="0" quotePrefix="1" applyFont="1" applyFill="1" applyBorder="1" applyAlignment="1">
      <alignment vertical="center" wrapText="1"/>
    </xf>
    <xf numFmtId="0" fontId="34" fillId="0" borderId="33" xfId="0" quotePrefix="1" applyFont="1" applyFill="1" applyBorder="1" applyAlignment="1">
      <alignment vertical="center" wrapText="1"/>
    </xf>
    <xf numFmtId="0" fontId="28" fillId="0" borderId="11" xfId="0" applyFont="1" applyBorder="1" applyAlignment="1">
      <alignment horizontal="justify" vertical="center"/>
    </xf>
    <xf numFmtId="0" fontId="28" fillId="0" borderId="25" xfId="0" applyFont="1" applyBorder="1" applyAlignment="1">
      <alignment vertical="center" wrapText="1"/>
    </xf>
    <xf numFmtId="164" fontId="34" fillId="0" borderId="22" xfId="30" applyFont="1" applyBorder="1" applyAlignment="1">
      <alignment wrapText="1"/>
    </xf>
    <xf numFmtId="0" fontId="34" fillId="0" borderId="22" xfId="0" applyFont="1" applyBorder="1" applyAlignment="1">
      <alignment wrapText="1"/>
    </xf>
    <xf numFmtId="0" fontId="55" fillId="0" borderId="0" xfId="0" applyFont="1"/>
    <xf numFmtId="0" fontId="56" fillId="0" borderId="0" xfId="0" applyFont="1"/>
    <xf numFmtId="0" fontId="0" fillId="0" borderId="0" xfId="0" applyAlignment="1">
      <alignment horizontal="center" vertical="center"/>
    </xf>
    <xf numFmtId="0" fontId="54" fillId="0" borderId="15" xfId="0" applyFont="1" applyBorder="1" applyAlignment="1">
      <alignment horizontal="center" vertical="center" wrapText="1"/>
    </xf>
    <xf numFmtId="0" fontId="55" fillId="0" borderId="15" xfId="0" applyFont="1" applyBorder="1" applyAlignment="1">
      <alignment horizontal="center" vertical="center" wrapText="1"/>
    </xf>
    <xf numFmtId="0" fontId="54" fillId="0" borderId="32" xfId="0" applyFont="1" applyBorder="1" applyAlignment="1">
      <alignment horizontal="center" vertical="center" wrapText="1"/>
    </xf>
    <xf numFmtId="0" fontId="54" fillId="0" borderId="32" xfId="0" applyFont="1" applyBorder="1" applyAlignment="1">
      <alignment horizontal="center" vertical="top" wrapText="1"/>
    </xf>
    <xf numFmtId="0" fontId="54" fillId="0" borderId="15" xfId="0" applyFont="1" applyBorder="1" applyAlignment="1">
      <alignment vertical="center" wrapText="1"/>
    </xf>
    <xf numFmtId="0" fontId="0" fillId="0" borderId="0" xfId="0" applyAlignment="1">
      <alignment vertical="center"/>
    </xf>
    <xf numFmtId="0" fontId="58" fillId="0" borderId="0" xfId="0" applyFont="1"/>
    <xf numFmtId="0" fontId="59" fillId="0" borderId="0" xfId="0" applyFont="1" applyAlignment="1">
      <alignment horizontal="left" indent="1"/>
    </xf>
    <xf numFmtId="0" fontId="59" fillId="0" borderId="0" xfId="0" applyFont="1"/>
    <xf numFmtId="0" fontId="59" fillId="0" borderId="0" xfId="0" applyFont="1" applyAlignment="1">
      <alignment horizontal="justify"/>
    </xf>
    <xf numFmtId="0" fontId="60" fillId="0" borderId="0" xfId="0" applyFont="1"/>
    <xf numFmtId="0" fontId="23" fillId="29" borderId="0" xfId="47" applyFont="1" applyFill="1" applyProtection="1">
      <alignment vertical="center"/>
    </xf>
    <xf numFmtId="0" fontId="45" fillId="29" borderId="0" xfId="48" applyFont="1" applyFill="1" applyProtection="1"/>
    <xf numFmtId="0" fontId="40" fillId="30" borderId="0" xfId="47" applyFont="1" applyFill="1" applyBorder="1" applyAlignment="1" applyProtection="1">
      <alignment horizontal="left" vertical="center" wrapText="1"/>
    </xf>
    <xf numFmtId="0" fontId="21" fillId="29" borderId="0" xfId="48" applyFont="1" applyFill="1" applyAlignment="1" applyProtection="1">
      <alignment horizontal="left" vertical="center"/>
    </xf>
    <xf numFmtId="0" fontId="27" fillId="29" borderId="0" xfId="48" applyFont="1" applyFill="1" applyAlignment="1" applyProtection="1">
      <alignment horizontal="left" vertical="center"/>
    </xf>
    <xf numFmtId="0" fontId="22" fillId="29" borderId="0" xfId="48" applyFont="1" applyFill="1" applyBorder="1" applyAlignment="1" applyProtection="1">
      <alignment horizontal="left" vertical="center"/>
    </xf>
    <xf numFmtId="0" fontId="22" fillId="29" borderId="0" xfId="48" applyFont="1" applyFill="1" applyBorder="1" applyAlignment="1" applyProtection="1">
      <alignment vertical="center"/>
    </xf>
    <xf numFmtId="0" fontId="22" fillId="29" borderId="0" xfId="48" applyFont="1" applyFill="1" applyBorder="1" applyAlignment="1" applyProtection="1">
      <alignment horizontal="center" vertical="center"/>
    </xf>
    <xf numFmtId="0" fontId="22" fillId="29" borderId="0" xfId="48" applyFont="1" applyFill="1" applyBorder="1" applyAlignment="1" applyProtection="1">
      <alignment vertical="center" wrapText="1"/>
    </xf>
    <xf numFmtId="167" fontId="39" fillId="31" borderId="48" xfId="45" applyFont="1" applyFill="1" applyBorder="1" applyAlignment="1" applyProtection="1">
      <alignment horizontal="center" vertical="center"/>
      <protection locked="0"/>
    </xf>
    <xf numFmtId="0" fontId="22" fillId="29" borderId="0" xfId="48" applyFont="1" applyFill="1" applyBorder="1" applyAlignment="1" applyProtection="1">
      <alignment vertical="center"/>
      <protection hidden="1"/>
    </xf>
    <xf numFmtId="0" fontId="27" fillId="29" borderId="0" xfId="48" applyFont="1" applyFill="1" applyAlignment="1" applyProtection="1">
      <alignment horizontal="center" vertical="center"/>
    </xf>
    <xf numFmtId="0" fontId="22" fillId="29" borderId="0" xfId="48" quotePrefix="1" applyFont="1" applyFill="1" applyBorder="1" applyAlignment="1" applyProtection="1">
      <alignment horizontal="left" vertical="center"/>
    </xf>
    <xf numFmtId="0" fontId="22" fillId="29" borderId="0" xfId="48" applyFont="1" applyFill="1" applyBorder="1" applyAlignment="1" applyProtection="1">
      <alignment horizontal="left" vertical="center"/>
      <protection hidden="1"/>
    </xf>
    <xf numFmtId="0" fontId="22" fillId="29" borderId="0" xfId="48" applyFont="1" applyFill="1" applyBorder="1" applyProtection="1"/>
    <xf numFmtId="0" fontId="45" fillId="29" borderId="0" xfId="48" applyFont="1" applyFill="1" applyBorder="1" applyProtection="1"/>
    <xf numFmtId="0" fontId="22" fillId="29" borderId="0" xfId="48" applyFont="1" applyFill="1" applyBorder="1" applyAlignment="1" applyProtection="1">
      <alignment horizontal="center"/>
    </xf>
    <xf numFmtId="0" fontId="45" fillId="29" borderId="0" xfId="48" applyFont="1" applyFill="1" applyBorder="1" applyAlignment="1" applyProtection="1">
      <alignment horizontal="center"/>
    </xf>
    <xf numFmtId="0" fontId="45" fillId="29" borderId="0" xfId="48" applyFont="1" applyFill="1" applyAlignment="1" applyProtection="1">
      <alignment horizontal="center"/>
    </xf>
    <xf numFmtId="167" fontId="45" fillId="31" borderId="48" xfId="45" applyFont="1" applyFill="1" applyBorder="1" applyAlignment="1" applyProtection="1">
      <alignment horizontal="center" vertical="center"/>
      <protection locked="0"/>
    </xf>
    <xf numFmtId="49" fontId="45" fillId="29" borderId="0" xfId="48" applyNumberFormat="1" applyFont="1" applyFill="1" applyAlignment="1" applyProtection="1">
      <alignment horizontal="center"/>
    </xf>
    <xf numFmtId="167" fontId="22" fillId="31" borderId="48" xfId="45" applyFont="1" applyFill="1" applyBorder="1" applyAlignment="1" applyProtection="1">
      <alignment horizontal="center" vertical="center"/>
      <protection locked="0"/>
    </xf>
    <xf numFmtId="0" fontId="22" fillId="29" borderId="0" xfId="48" applyFont="1" applyFill="1" applyAlignment="1" applyProtection="1">
      <alignment horizontal="left"/>
    </xf>
    <xf numFmtId="0" fontId="22" fillId="29" borderId="0" xfId="48" applyFont="1" applyFill="1" applyBorder="1" applyAlignment="1" applyProtection="1">
      <alignment horizontal="left" vertical="top" wrapText="1"/>
    </xf>
    <xf numFmtId="0" fontId="22" fillId="29" borderId="0" xfId="48" applyFont="1" applyFill="1" applyAlignment="1" applyProtection="1">
      <alignment horizontal="center"/>
    </xf>
    <xf numFmtId="0" fontId="22" fillId="29" borderId="0" xfId="48" applyFont="1" applyFill="1" applyProtection="1"/>
    <xf numFmtId="0" fontId="45" fillId="29" borderId="0" xfId="48" applyFont="1" applyFill="1" applyProtection="1">
      <protection hidden="1"/>
    </xf>
    <xf numFmtId="0" fontId="45" fillId="29" borderId="0" xfId="49" applyFont="1" applyFill="1" applyProtection="1"/>
    <xf numFmtId="169" fontId="45" fillId="29" borderId="0" xfId="48" applyNumberFormat="1" applyFont="1" applyFill="1" applyProtection="1">
      <protection hidden="1"/>
    </xf>
    <xf numFmtId="0" fontId="22" fillId="29" borderId="0" xfId="48" applyFont="1" applyFill="1" applyBorder="1" applyAlignment="1" applyProtection="1"/>
    <xf numFmtId="49" fontId="45" fillId="31" borderId="48" xfId="45" applyNumberFormat="1" applyFont="1" applyFill="1" applyBorder="1" applyAlignment="1" applyProtection="1">
      <alignment horizontal="center" vertical="center"/>
      <protection locked="0"/>
    </xf>
    <xf numFmtId="171" fontId="45" fillId="29" borderId="0" xfId="48" applyNumberFormat="1" applyFont="1" applyFill="1" applyProtection="1">
      <protection hidden="1"/>
    </xf>
    <xf numFmtId="167" fontId="45" fillId="28" borderId="48" xfId="45" applyFont="1" applyFill="1" applyBorder="1" applyAlignment="1" applyProtection="1">
      <alignment horizontal="center" vertical="center"/>
    </xf>
    <xf numFmtId="0" fontId="22" fillId="29" borderId="0" xfId="48" applyFont="1" applyFill="1" applyBorder="1" applyAlignment="1" applyProtection="1">
      <alignment horizontal="left"/>
    </xf>
    <xf numFmtId="0" fontId="66" fillId="29" borderId="0" xfId="48" applyFont="1" applyFill="1" applyBorder="1" applyProtection="1"/>
    <xf numFmtId="0" fontId="22" fillId="29" borderId="0" xfId="48" applyFont="1" applyFill="1" applyAlignment="1" applyProtection="1">
      <alignment horizontal="left" vertical="top" wrapText="1"/>
    </xf>
    <xf numFmtId="0" fontId="22" fillId="29" borderId="0" xfId="0" applyFont="1" applyFill="1" applyBorder="1" applyAlignment="1" applyProtection="1">
      <alignment horizontal="center"/>
    </xf>
    <xf numFmtId="0" fontId="22" fillId="29" borderId="0" xfId="0" applyFont="1" applyFill="1" applyBorder="1" applyProtection="1"/>
    <xf numFmtId="167" fontId="40" fillId="31" borderId="48" xfId="45" applyFont="1" applyFill="1" applyBorder="1" applyAlignment="1" applyProtection="1">
      <alignment horizontal="center" vertical="center"/>
      <protection locked="0"/>
    </xf>
    <xf numFmtId="0" fontId="28" fillId="29" borderId="0" xfId="0" applyFont="1" applyFill="1" applyBorder="1" applyProtection="1"/>
    <xf numFmtId="0" fontId="22" fillId="29" borderId="63" xfId="48" applyFont="1" applyFill="1" applyBorder="1" applyAlignment="1" applyProtection="1">
      <alignment horizontal="center" vertical="center"/>
    </xf>
    <xf numFmtId="0" fontId="22" fillId="29" borderId="54" xfId="48" applyFont="1" applyFill="1" applyBorder="1" applyAlignment="1" applyProtection="1">
      <alignment vertical="center"/>
    </xf>
    <xf numFmtId="0" fontId="22" fillId="29" borderId="55" xfId="48" applyFont="1" applyFill="1" applyBorder="1" applyAlignment="1" applyProtection="1">
      <alignment vertical="center"/>
    </xf>
    <xf numFmtId="0" fontId="22" fillId="29" borderId="56" xfId="48" applyFont="1" applyFill="1" applyBorder="1" applyAlignment="1" applyProtection="1">
      <alignment vertical="center"/>
    </xf>
    <xf numFmtId="0" fontId="22" fillId="29" borderId="65" xfId="48" applyFont="1" applyFill="1" applyBorder="1" applyAlignment="1" applyProtection="1">
      <alignment horizontal="center"/>
    </xf>
    <xf numFmtId="0" fontId="22" fillId="29" borderId="66" xfId="48" applyFont="1" applyFill="1" applyBorder="1" applyAlignment="1" applyProtection="1">
      <alignment horizontal="center"/>
    </xf>
    <xf numFmtId="0" fontId="22" fillId="29" borderId="60" xfId="48" applyFont="1" applyFill="1" applyBorder="1" applyAlignment="1" applyProtection="1"/>
    <xf numFmtId="0" fontId="22" fillId="29" borderId="47" xfId="48" applyFont="1" applyFill="1" applyBorder="1" applyAlignment="1" applyProtection="1"/>
    <xf numFmtId="0" fontId="22" fillId="29" borderId="61" xfId="48" applyFont="1" applyFill="1" applyBorder="1" applyAlignment="1" applyProtection="1"/>
    <xf numFmtId="0" fontId="22" fillId="29" borderId="0" xfId="0" applyFont="1" applyFill="1" applyBorder="1" applyAlignment="1" applyProtection="1">
      <alignment horizontal="center" vertical="center" wrapText="1"/>
    </xf>
    <xf numFmtId="0" fontId="66" fillId="29" borderId="0" xfId="48" applyFont="1" applyFill="1" applyProtection="1"/>
    <xf numFmtId="0" fontId="22" fillId="29" borderId="0" xfId="48" quotePrefix="1" applyFont="1" applyFill="1" applyAlignment="1" applyProtection="1">
      <alignment horizontal="left"/>
    </xf>
    <xf numFmtId="0" fontId="66" fillId="29" borderId="0" xfId="48" applyFont="1" applyFill="1" applyBorder="1" applyAlignment="1" applyProtection="1">
      <alignment horizontal="center"/>
    </xf>
    <xf numFmtId="0" fontId="45" fillId="29" borderId="0" xfId="48" quotePrefix="1" applyFont="1" applyFill="1" applyBorder="1" applyAlignment="1" applyProtection="1">
      <alignment horizontal="left"/>
    </xf>
    <xf numFmtId="0" fontId="22" fillId="29" borderId="0" xfId="0" applyFont="1" applyFill="1" applyBorder="1" applyAlignment="1" applyProtection="1">
      <alignment horizontal="left"/>
    </xf>
    <xf numFmtId="172" fontId="45" fillId="29" borderId="0" xfId="48" applyNumberFormat="1" applyFont="1" applyFill="1" applyBorder="1" applyAlignment="1" applyProtection="1">
      <alignment horizontal="right"/>
    </xf>
    <xf numFmtId="0" fontId="39" fillId="29" borderId="0" xfId="0" applyFont="1" applyFill="1" applyBorder="1" applyAlignment="1" applyProtection="1"/>
    <xf numFmtId="172" fontId="45" fillId="29" borderId="50" xfId="0" applyNumberFormat="1" applyFont="1" applyFill="1" applyBorder="1" applyAlignment="1" applyProtection="1"/>
    <xf numFmtId="0" fontId="66" fillId="29" borderId="0" xfId="48" quotePrefix="1" applyFont="1" applyFill="1" applyBorder="1" applyAlignment="1" applyProtection="1">
      <alignment horizontal="center"/>
    </xf>
    <xf numFmtId="172" fontId="45" fillId="29" borderId="0" xfId="0" applyNumberFormat="1" applyFont="1" applyFill="1" applyBorder="1" applyAlignment="1" applyProtection="1">
      <alignment horizontal="center"/>
    </xf>
    <xf numFmtId="0" fontId="22" fillId="29" borderId="0" xfId="0" applyFont="1" applyFill="1" applyBorder="1" applyAlignment="1" applyProtection="1"/>
    <xf numFmtId="0" fontId="22" fillId="29" borderId="0" xfId="0" applyFont="1" applyFill="1" applyBorder="1" applyAlignment="1" applyProtection="1">
      <alignment horizontal="center"/>
    </xf>
    <xf numFmtId="0" fontId="22" fillId="29" borderId="0" xfId="0" applyFont="1" applyFill="1" applyBorder="1" applyAlignment="1" applyProtection="1">
      <alignment horizontal="left" vertical="top" wrapText="1"/>
    </xf>
    <xf numFmtId="0" fontId="22" fillId="29" borderId="0" xfId="0" applyFont="1" applyFill="1" applyBorder="1" applyAlignment="1" applyProtection="1">
      <alignment horizontal="left" vertical="center"/>
    </xf>
    <xf numFmtId="0" fontId="45" fillId="29" borderId="0" xfId="0" applyFont="1" applyFill="1" applyBorder="1" applyAlignment="1" applyProtection="1">
      <alignment horizontal="left"/>
    </xf>
    <xf numFmtId="0" fontId="22" fillId="29" borderId="0" xfId="0" applyFont="1" applyFill="1" applyBorder="1" applyAlignment="1" applyProtection="1">
      <alignment horizontal="right"/>
    </xf>
    <xf numFmtId="168" fontId="22" fillId="29" borderId="0" xfId="45" applyNumberFormat="1" applyFont="1" applyFill="1" applyBorder="1" applyProtection="1"/>
    <xf numFmtId="0" fontId="39" fillId="32" borderId="0" xfId="48" applyFont="1" applyFill="1" applyBorder="1" applyAlignment="1" applyProtection="1"/>
    <xf numFmtId="0" fontId="39" fillId="29" borderId="0" xfId="48" applyFont="1" applyFill="1" applyBorder="1" applyAlignment="1" applyProtection="1"/>
    <xf numFmtId="0" fontId="22" fillId="32" borderId="0" xfId="48" applyFont="1" applyFill="1" applyBorder="1" applyProtection="1"/>
    <xf numFmtId="0" fontId="22" fillId="29" borderId="0" xfId="48" applyFont="1" applyFill="1" applyBorder="1" applyAlignment="1" applyProtection="1">
      <alignment horizontal="center" vertical="top"/>
    </xf>
    <xf numFmtId="0" fontId="22" fillId="29" borderId="64" xfId="48" applyFont="1" applyFill="1" applyBorder="1" applyProtection="1"/>
    <xf numFmtId="0" fontId="45" fillId="31" borderId="48" xfId="45" applyNumberFormat="1" applyFont="1" applyFill="1" applyBorder="1" applyAlignment="1" applyProtection="1">
      <alignment horizontal="center" vertical="center"/>
    </xf>
    <xf numFmtId="0" fontId="45" fillId="31" borderId="48" xfId="45" applyNumberFormat="1" applyFont="1" applyFill="1" applyBorder="1" applyAlignment="1" applyProtection="1">
      <alignment horizontal="center" vertical="center"/>
      <protection locked="0"/>
    </xf>
    <xf numFmtId="0" fontId="0" fillId="0" borderId="10" xfId="0" applyBorder="1"/>
    <xf numFmtId="0" fontId="22" fillId="29" borderId="0" xfId="0" applyFont="1" applyFill="1" applyBorder="1" applyAlignment="1" applyProtection="1">
      <alignment horizontal="center"/>
    </xf>
    <xf numFmtId="0" fontId="22" fillId="29" borderId="0" xfId="48" applyFont="1" applyFill="1" applyBorder="1" applyAlignment="1" applyProtection="1">
      <alignment horizontal="left" vertical="center"/>
    </xf>
    <xf numFmtId="0" fontId="22" fillId="29" borderId="0" xfId="48" applyFont="1" applyFill="1" applyBorder="1" applyAlignment="1" applyProtection="1">
      <alignment horizontal="left" vertical="center" wrapText="1"/>
    </xf>
    <xf numFmtId="0" fontId="0" fillId="0" borderId="0" xfId="0" applyBorder="1" applyAlignment="1"/>
    <xf numFmtId="0" fontId="22" fillId="0" borderId="0" xfId="0" applyFont="1" applyFill="1"/>
    <xf numFmtId="0" fontId="22" fillId="0" borderId="0" xfId="0" applyFont="1" applyFill="1" applyBorder="1" applyAlignment="1" applyProtection="1">
      <alignment horizontal="center" vertical="center"/>
    </xf>
    <xf numFmtId="41" fontId="22" fillId="0" borderId="0" xfId="0" applyNumberFormat="1" applyFont="1" applyFill="1" applyBorder="1" applyAlignment="1" applyProtection="1">
      <alignment horizontal="center"/>
    </xf>
    <xf numFmtId="0" fontId="68" fillId="29" borderId="0" xfId="47" applyFont="1" applyFill="1" applyProtection="1">
      <alignment vertical="center"/>
      <protection hidden="1"/>
    </xf>
    <xf numFmtId="0" fontId="22" fillId="29" borderId="0" xfId="50" applyFont="1" applyFill="1" applyProtection="1">
      <protection hidden="1"/>
    </xf>
    <xf numFmtId="0" fontId="45" fillId="29" borderId="0" xfId="50" applyFont="1" applyFill="1" applyProtection="1">
      <protection hidden="1"/>
    </xf>
    <xf numFmtId="0" fontId="70" fillId="29" borderId="0" xfId="51" applyFont="1" applyFill="1" applyAlignment="1" applyProtection="1">
      <protection hidden="1"/>
    </xf>
    <xf numFmtId="0" fontId="22" fillId="32" borderId="0" xfId="50" applyFont="1" applyFill="1" applyProtection="1">
      <protection hidden="1"/>
    </xf>
    <xf numFmtId="0" fontId="45" fillId="32" borderId="0" xfId="50" applyFont="1" applyFill="1" applyProtection="1">
      <protection hidden="1"/>
    </xf>
    <xf numFmtId="0" fontId="22" fillId="34" borderId="0" xfId="50" applyFont="1" applyFill="1" applyProtection="1">
      <protection hidden="1"/>
    </xf>
    <xf numFmtId="0" fontId="45" fillId="34" borderId="0" xfId="50" applyFont="1" applyFill="1" applyProtection="1">
      <protection hidden="1"/>
    </xf>
    <xf numFmtId="43" fontId="45" fillId="34" borderId="0" xfId="52" applyFont="1" applyFill="1" applyAlignment="1" applyProtection="1">
      <protection hidden="1"/>
    </xf>
    <xf numFmtId="0" fontId="45" fillId="29" borderId="63" xfId="50" applyFont="1" applyFill="1" applyBorder="1" applyProtection="1">
      <protection hidden="1"/>
    </xf>
    <xf numFmtId="0" fontId="45" fillId="29" borderId="54" xfId="50" applyFont="1" applyFill="1" applyBorder="1" applyAlignment="1" applyProtection="1">
      <protection hidden="1"/>
    </xf>
    <xf numFmtId="0" fontId="45" fillId="29" borderId="55" xfId="50" applyFont="1" applyFill="1" applyBorder="1" applyAlignment="1" applyProtection="1">
      <protection hidden="1"/>
    </xf>
    <xf numFmtId="0" fontId="45" fillId="29" borderId="56" xfId="50" applyFont="1" applyFill="1" applyBorder="1" applyAlignment="1" applyProtection="1">
      <protection hidden="1"/>
    </xf>
    <xf numFmtId="0" fontId="45" fillId="29" borderId="72" xfId="50" applyFont="1" applyFill="1" applyBorder="1" applyAlignment="1" applyProtection="1">
      <protection hidden="1"/>
    </xf>
    <xf numFmtId="0" fontId="45" fillId="29" borderId="73" xfId="50" applyFont="1" applyFill="1" applyBorder="1" applyAlignment="1" applyProtection="1">
      <protection hidden="1"/>
    </xf>
    <xf numFmtId="0" fontId="45" fillId="29" borderId="74" xfId="50" applyFont="1" applyFill="1" applyBorder="1" applyAlignment="1" applyProtection="1">
      <protection hidden="1"/>
    </xf>
    <xf numFmtId="0" fontId="45" fillId="29" borderId="86" xfId="50" applyFont="1" applyFill="1" applyBorder="1" applyAlignment="1" applyProtection="1">
      <protection hidden="1"/>
    </xf>
    <xf numFmtId="0" fontId="45" fillId="29" borderId="87" xfId="50" applyFont="1" applyFill="1" applyBorder="1" applyAlignment="1" applyProtection="1">
      <alignment horizontal="center"/>
      <protection locked="0"/>
    </xf>
    <xf numFmtId="0" fontId="45" fillId="29" borderId="0" xfId="50" applyFont="1" applyFill="1" applyProtection="1">
      <protection locked="0"/>
    </xf>
    <xf numFmtId="0" fontId="45" fillId="29" borderId="88" xfId="50" applyFont="1" applyFill="1" applyBorder="1" applyProtection="1">
      <protection locked="0"/>
    </xf>
    <xf numFmtId="0" fontId="45" fillId="29" borderId="66" xfId="50" applyFont="1" applyFill="1" applyBorder="1" applyProtection="1">
      <protection hidden="1"/>
    </xf>
    <xf numFmtId="0" fontId="45" fillId="29" borderId="60" xfId="50" applyFont="1" applyFill="1" applyBorder="1" applyAlignment="1" applyProtection="1">
      <protection hidden="1"/>
    </xf>
    <xf numFmtId="0" fontId="45" fillId="29" borderId="47" xfId="50" applyFont="1" applyFill="1" applyBorder="1" applyAlignment="1" applyProtection="1">
      <protection hidden="1"/>
    </xf>
    <xf numFmtId="0" fontId="45" fillId="29" borderId="61" xfId="50" applyFont="1" applyFill="1" applyBorder="1" applyAlignment="1" applyProtection="1">
      <protection hidden="1"/>
    </xf>
    <xf numFmtId="0" fontId="45" fillId="29" borderId="60" xfId="50" applyFont="1" applyFill="1" applyBorder="1" applyAlignment="1" applyProtection="1">
      <alignment horizontal="right"/>
      <protection hidden="1"/>
    </xf>
    <xf numFmtId="0" fontId="45" fillId="29" borderId="47" xfId="50" applyFont="1" applyFill="1" applyBorder="1" applyAlignment="1" applyProtection="1">
      <alignment horizontal="right"/>
      <protection hidden="1"/>
    </xf>
    <xf numFmtId="0" fontId="45" fillId="29" borderId="61" xfId="50" applyFont="1" applyFill="1" applyBorder="1" applyAlignment="1" applyProtection="1">
      <alignment horizontal="right"/>
      <protection hidden="1"/>
    </xf>
    <xf numFmtId="0" fontId="45" fillId="29" borderId="79" xfId="50" applyFont="1" applyFill="1" applyBorder="1" applyAlignment="1" applyProtection="1">
      <alignment horizontal="right"/>
      <protection hidden="1"/>
    </xf>
    <xf numFmtId="0" fontId="45" fillId="29" borderId="80" xfId="50" applyFont="1" applyFill="1" applyBorder="1" applyAlignment="1" applyProtection="1">
      <alignment horizontal="right"/>
      <protection hidden="1"/>
    </xf>
    <xf numFmtId="0" fontId="45" fillId="29" borderId="81" xfId="50" applyFont="1" applyFill="1" applyBorder="1" applyAlignment="1" applyProtection="1">
      <alignment horizontal="right"/>
      <protection hidden="1"/>
    </xf>
    <xf numFmtId="0" fontId="45" fillId="29" borderId="89" xfId="50" applyFont="1" applyFill="1" applyBorder="1" applyAlignment="1" applyProtection="1">
      <alignment horizontal="right"/>
      <protection hidden="1"/>
    </xf>
    <xf numFmtId="0" fontId="45" fillId="29" borderId="0" xfId="50" applyFont="1" applyFill="1" applyAlignment="1" applyProtection="1">
      <alignment horizontal="right"/>
      <protection hidden="1"/>
    </xf>
    <xf numFmtId="0" fontId="45" fillId="29" borderId="79" xfId="50" applyFont="1" applyFill="1" applyBorder="1" applyAlignment="1" applyProtection="1">
      <protection hidden="1"/>
    </xf>
    <xf numFmtId="0" fontId="45" fillId="29" borderId="80" xfId="50" applyFont="1" applyFill="1" applyBorder="1" applyAlignment="1" applyProtection="1">
      <protection hidden="1"/>
    </xf>
    <xf numFmtId="0" fontId="45" fillId="29" borderId="81" xfId="50" applyFont="1" applyFill="1" applyBorder="1" applyAlignment="1" applyProtection="1">
      <protection hidden="1"/>
    </xf>
    <xf numFmtId="0" fontId="45" fillId="34" borderId="0" xfId="50" applyFont="1" applyFill="1" applyAlignment="1" applyProtection="1">
      <protection hidden="1"/>
    </xf>
    <xf numFmtId="0" fontId="45" fillId="29" borderId="90" xfId="50" applyFont="1" applyFill="1" applyBorder="1" applyAlignment="1" applyProtection="1">
      <alignment horizontal="center"/>
      <protection locked="0"/>
    </xf>
    <xf numFmtId="0" fontId="45" fillId="29" borderId="91" xfId="50" applyFont="1" applyFill="1" applyBorder="1" applyAlignment="1" applyProtection="1">
      <alignment horizontal="center"/>
      <protection locked="0"/>
    </xf>
    <xf numFmtId="0" fontId="45" fillId="29" borderId="89" xfId="50" applyFont="1" applyFill="1" applyBorder="1" applyAlignment="1" applyProtection="1">
      <protection hidden="1"/>
    </xf>
    <xf numFmtId="0" fontId="45" fillId="29" borderId="0" xfId="50" applyFont="1" applyFill="1" applyAlignment="1" applyProtection="1">
      <alignment vertical="center" wrapText="1"/>
      <protection hidden="1"/>
    </xf>
    <xf numFmtId="0" fontId="45" fillId="29" borderId="73" xfId="50" applyFont="1" applyFill="1" applyBorder="1" applyAlignment="1" applyProtection="1">
      <alignment horizontal="center"/>
      <protection hidden="1"/>
    </xf>
    <xf numFmtId="0" fontId="45" fillId="29" borderId="76" xfId="50" applyFont="1" applyFill="1" applyBorder="1" applyAlignment="1" applyProtection="1">
      <alignment horizontal="center"/>
      <protection locked="0"/>
    </xf>
    <xf numFmtId="0" fontId="45" fillId="29" borderId="91" xfId="50" applyFont="1" applyFill="1" applyBorder="1" applyAlignment="1" applyProtection="1">
      <alignment horizontal="center"/>
      <protection hidden="1"/>
    </xf>
    <xf numFmtId="0" fontId="45" fillId="29" borderId="80" xfId="50" applyFont="1" applyFill="1" applyBorder="1" applyAlignment="1" applyProtection="1">
      <alignment horizontal="center"/>
      <protection hidden="1"/>
    </xf>
    <xf numFmtId="0" fontId="45" fillId="29" borderId="0" xfId="50" applyFont="1" applyFill="1" applyAlignment="1" applyProtection="1">
      <protection hidden="1"/>
    </xf>
    <xf numFmtId="0" fontId="22" fillId="34" borderId="0" xfId="50" applyFont="1" applyFill="1" applyAlignment="1" applyProtection="1">
      <alignment horizontal="center"/>
      <protection hidden="1"/>
    </xf>
    <xf numFmtId="0" fontId="45" fillId="29" borderId="63" xfId="50" applyFont="1" applyFill="1" applyBorder="1" applyAlignment="1" applyProtection="1">
      <alignment horizontal="center"/>
      <protection locked="0"/>
    </xf>
    <xf numFmtId="0" fontId="45" fillId="29" borderId="66" xfId="50" applyFont="1" applyFill="1" applyBorder="1" applyAlignment="1" applyProtection="1">
      <alignment horizontal="center"/>
      <protection locked="0"/>
    </xf>
    <xf numFmtId="170" fontId="45" fillId="29" borderId="0" xfId="50" applyNumberFormat="1" applyFont="1" applyFill="1" applyProtection="1">
      <protection locked="0"/>
    </xf>
    <xf numFmtId="43" fontId="45" fillId="29" borderId="0" xfId="52" applyFont="1" applyFill="1" applyAlignment="1" applyProtection="1">
      <alignment horizontal="right"/>
      <protection locked="0"/>
    </xf>
    <xf numFmtId="168" fontId="45" fillId="29" borderId="0" xfId="52" applyNumberFormat="1" applyFont="1" applyFill="1" applyProtection="1">
      <protection locked="0"/>
    </xf>
    <xf numFmtId="168" fontId="45" fillId="29" borderId="0" xfId="52" applyNumberFormat="1" applyFont="1" applyFill="1" applyAlignment="1" applyProtection="1">
      <alignment horizontal="right"/>
      <protection hidden="1"/>
    </xf>
    <xf numFmtId="170" fontId="45" fillId="29" borderId="0" xfId="50" applyNumberFormat="1" applyFont="1" applyFill="1" applyProtection="1">
      <protection hidden="1"/>
    </xf>
    <xf numFmtId="168" fontId="45" fillId="29" borderId="0" xfId="52" applyNumberFormat="1" applyFont="1" applyFill="1" applyProtection="1">
      <protection hidden="1"/>
    </xf>
    <xf numFmtId="43" fontId="45" fillId="29" borderId="0" xfId="52" applyFont="1" applyFill="1" applyProtection="1">
      <protection hidden="1"/>
    </xf>
    <xf numFmtId="43" fontId="45" fillId="29" borderId="0" xfId="52" applyFont="1" applyFill="1" applyProtection="1">
      <protection locked="0"/>
    </xf>
    <xf numFmtId="0" fontId="45" fillId="29" borderId="55" xfId="50" applyFont="1" applyFill="1" applyBorder="1" applyProtection="1">
      <protection locked="0"/>
    </xf>
    <xf numFmtId="168" fontId="45" fillId="29" borderId="55" xfId="52" applyNumberFormat="1" applyFont="1" applyFill="1" applyBorder="1" applyProtection="1">
      <protection hidden="1"/>
    </xf>
    <xf numFmtId="0" fontId="22" fillId="29" borderId="0" xfId="50" applyFont="1" applyFill="1" applyProtection="1">
      <protection locked="0"/>
    </xf>
    <xf numFmtId="0" fontId="22" fillId="29" borderId="0" xfId="50" applyFont="1" applyFill="1" applyBorder="1" applyAlignment="1" applyProtection="1">
      <alignment horizontal="center"/>
      <protection locked="0"/>
    </xf>
    <xf numFmtId="168" fontId="22" fillId="29" borderId="0" xfId="50" applyNumberFormat="1" applyFont="1" applyFill="1" applyBorder="1" applyAlignment="1" applyProtection="1">
      <alignment horizontal="right"/>
      <protection locked="0"/>
    </xf>
    <xf numFmtId="0" fontId="45" fillId="29" borderId="0" xfId="50" applyFont="1" applyFill="1" applyBorder="1" applyAlignment="1" applyProtection="1">
      <alignment horizontal="right"/>
      <protection hidden="1"/>
    </xf>
    <xf numFmtId="168" fontId="22" fillId="29" borderId="84" xfId="50" applyNumberFormat="1" applyFont="1" applyFill="1" applyBorder="1" applyAlignment="1" applyProtection="1">
      <alignment horizontal="right"/>
      <protection hidden="1"/>
    </xf>
    <xf numFmtId="168" fontId="22" fillId="29" borderId="0" xfId="50" applyNumberFormat="1" applyFont="1" applyFill="1" applyBorder="1" applyAlignment="1" applyProtection="1">
      <alignment horizontal="right"/>
      <protection hidden="1"/>
    </xf>
    <xf numFmtId="168" fontId="22" fillId="29" borderId="64" xfId="50" applyNumberFormat="1" applyFont="1" applyFill="1" applyBorder="1" applyAlignment="1" applyProtection="1">
      <alignment horizontal="right"/>
      <protection hidden="1"/>
    </xf>
    <xf numFmtId="0" fontId="22" fillId="29" borderId="0" xfId="50" applyFont="1" applyFill="1" applyBorder="1" applyAlignment="1" applyProtection="1">
      <alignment horizontal="left"/>
      <protection locked="0"/>
    </xf>
    <xf numFmtId="168" fontId="22" fillId="29" borderId="0" xfId="50" applyNumberFormat="1" applyFont="1" applyFill="1" applyBorder="1" applyAlignment="1" applyProtection="1">
      <alignment horizontal="center"/>
      <protection locked="0"/>
    </xf>
    <xf numFmtId="168" fontId="22" fillId="29" borderId="0" xfId="52" applyNumberFormat="1" applyFont="1" applyFill="1" applyBorder="1" applyAlignment="1" applyProtection="1">
      <alignment horizontal="center"/>
      <protection locked="0"/>
    </xf>
    <xf numFmtId="0" fontId="22" fillId="34" borderId="0" xfId="50" applyFont="1" applyFill="1" applyBorder="1" applyAlignment="1" applyProtection="1">
      <alignment horizontal="left"/>
      <protection hidden="1"/>
    </xf>
    <xf numFmtId="0" fontId="22" fillId="34" borderId="0" xfId="50" applyFont="1" applyFill="1" applyBorder="1" applyAlignment="1" applyProtection="1">
      <alignment horizontal="center"/>
      <protection hidden="1"/>
    </xf>
    <xf numFmtId="0" fontId="22" fillId="29" borderId="0" xfId="50" applyFont="1" applyFill="1" applyAlignment="1" applyProtection="1">
      <alignment wrapText="1"/>
      <protection hidden="1"/>
    </xf>
    <xf numFmtId="0" fontId="45" fillId="29" borderId="54" xfId="50" applyFont="1" applyFill="1" applyBorder="1" applyProtection="1">
      <protection hidden="1"/>
    </xf>
    <xf numFmtId="0" fontId="45" fillId="29" borderId="55" xfId="50" applyFont="1" applyFill="1" applyBorder="1" applyProtection="1">
      <protection hidden="1"/>
    </xf>
    <xf numFmtId="0" fontId="45" fillId="29" borderId="56" xfId="50" applyFont="1" applyFill="1" applyBorder="1" applyProtection="1">
      <protection hidden="1"/>
    </xf>
    <xf numFmtId="0" fontId="45" fillId="29" borderId="0" xfId="50" applyFont="1" applyFill="1" applyBorder="1" applyProtection="1">
      <protection hidden="1"/>
    </xf>
    <xf numFmtId="0" fontId="45" fillId="29" borderId="64" xfId="50" applyFont="1" applyFill="1" applyBorder="1" applyProtection="1">
      <protection hidden="1"/>
    </xf>
    <xf numFmtId="0" fontId="45" fillId="29" borderId="22" xfId="50" applyFont="1" applyFill="1" applyBorder="1" applyProtection="1">
      <protection hidden="1"/>
    </xf>
    <xf numFmtId="0" fontId="45" fillId="29" borderId="16" xfId="50" applyFont="1" applyFill="1" applyBorder="1" applyProtection="1">
      <protection hidden="1"/>
    </xf>
    <xf numFmtId="0" fontId="22" fillId="29" borderId="0" xfId="50" quotePrefix="1" applyFont="1" applyFill="1" applyProtection="1">
      <protection hidden="1"/>
    </xf>
    <xf numFmtId="0" fontId="45" fillId="29" borderId="80" xfId="50" applyFont="1" applyFill="1" applyBorder="1" applyProtection="1">
      <protection hidden="1"/>
    </xf>
    <xf numFmtId="0" fontId="21" fillId="0" borderId="0" xfId="97" applyFont="1" applyBorder="1" applyAlignment="1"/>
    <xf numFmtId="0" fontId="21" fillId="0" borderId="0" xfId="97" applyFont="1" applyBorder="1" applyAlignment="1">
      <alignment horizontal="left"/>
    </xf>
    <xf numFmtId="4" fontId="45" fillId="0" borderId="0" xfId="103" applyNumberFormat="1" applyFont="1" applyAlignment="1">
      <alignment horizontal="center" vertical="center"/>
    </xf>
    <xf numFmtId="0" fontId="92" fillId="0" borderId="0" xfId="97" applyFont="1" applyFill="1"/>
    <xf numFmtId="0" fontId="93" fillId="0" borderId="0" xfId="97" applyFont="1"/>
    <xf numFmtId="43" fontId="93" fillId="0" borderId="0" xfId="52" applyFont="1"/>
    <xf numFmtId="167" fontId="45" fillId="0" borderId="0" xfId="97" applyNumberFormat="1" applyFont="1" applyFill="1" applyAlignment="1">
      <alignment vertical="center"/>
    </xf>
    <xf numFmtId="167" fontId="45" fillId="0" borderId="0" xfId="97" applyNumberFormat="1" applyFont="1" applyFill="1" applyAlignment="1">
      <alignment horizontal="center" vertical="center"/>
    </xf>
    <xf numFmtId="4" fontId="22" fillId="0" borderId="0" xfId="103" applyNumberFormat="1" applyFont="1" applyAlignment="1">
      <alignment horizontal="center" vertical="center"/>
    </xf>
    <xf numFmtId="0" fontId="92" fillId="0" borderId="0" xfId="97" applyFont="1" applyFill="1" applyAlignment="1">
      <alignment horizontal="center"/>
    </xf>
    <xf numFmtId="0" fontId="92" fillId="0" borderId="0" xfId="97" applyFont="1" applyAlignment="1">
      <alignment horizontal="center" vertical="center"/>
    </xf>
    <xf numFmtId="43" fontId="92" fillId="0" borderId="0" xfId="52" applyFont="1" applyAlignment="1">
      <alignment horizontal="center" vertical="center"/>
    </xf>
    <xf numFmtId="167" fontId="22" fillId="0" borderId="0" xfId="97" applyNumberFormat="1" applyFont="1" applyFill="1" applyAlignment="1">
      <alignment horizontal="center" vertical="center"/>
    </xf>
    <xf numFmtId="0" fontId="92" fillId="0" borderId="0" xfId="97" applyFont="1" applyAlignment="1">
      <alignment horizontal="left"/>
    </xf>
    <xf numFmtId="0" fontId="92" fillId="0" borderId="0" xfId="97" applyFont="1"/>
    <xf numFmtId="0" fontId="93" fillId="0" borderId="0" xfId="97" applyFont="1" applyAlignment="1">
      <alignment horizontal="left"/>
    </xf>
    <xf numFmtId="4" fontId="45" fillId="0" borderId="0" xfId="103" applyNumberFormat="1" applyFont="1" applyBorder="1" applyAlignment="1">
      <alignment horizontal="center" vertical="center"/>
    </xf>
    <xf numFmtId="167" fontId="45" fillId="0" borderId="0" xfId="97" applyNumberFormat="1" applyFont="1" applyFill="1" applyBorder="1" applyAlignment="1">
      <alignment horizontal="center" vertical="center"/>
    </xf>
    <xf numFmtId="15" fontId="45" fillId="0" borderId="0" xfId="103" applyNumberFormat="1" applyFont="1" applyAlignment="1">
      <alignment horizontal="left"/>
    </xf>
    <xf numFmtId="4" fontId="53" fillId="0" borderId="0" xfId="93" applyNumberFormat="1" applyFont="1" applyFill="1" applyBorder="1" applyAlignment="1">
      <alignment vertical="top"/>
    </xf>
    <xf numFmtId="167" fontId="53" fillId="0" borderId="0" xfId="97" applyNumberFormat="1" applyFont="1" applyFill="1" applyBorder="1" applyAlignment="1">
      <alignment horizontal="center" vertical="center"/>
    </xf>
    <xf numFmtId="0" fontId="93" fillId="0" borderId="0" xfId="97" applyNumberFormat="1" applyFont="1" applyAlignment="1">
      <alignment horizontal="left"/>
    </xf>
    <xf numFmtId="4" fontId="93" fillId="0" borderId="0" xfId="97" applyNumberFormat="1" applyFont="1" applyFill="1" applyAlignment="1">
      <alignment horizontal="center"/>
    </xf>
    <xf numFmtId="4" fontId="93" fillId="0" borderId="0" xfId="97" applyNumberFormat="1" applyFont="1"/>
    <xf numFmtId="4" fontId="93" fillId="0" borderId="0" xfId="52" applyNumberFormat="1" applyFont="1"/>
    <xf numFmtId="167" fontId="45" fillId="0" borderId="0" xfId="103" applyNumberFormat="1" applyFont="1" applyBorder="1" applyAlignment="1">
      <alignment horizontal="center" vertical="center"/>
    </xf>
    <xf numFmtId="17" fontId="45" fillId="0" borderId="0" xfId="103" quotePrefix="1" applyNumberFormat="1" applyFont="1" applyAlignment="1">
      <alignment horizontal="left"/>
    </xf>
    <xf numFmtId="4" fontId="45" fillId="0" borderId="0" xfId="52" applyNumberFormat="1" applyFont="1" applyFill="1" applyBorder="1" applyAlignment="1" applyProtection="1">
      <alignment horizontal="center" vertical="center"/>
      <protection hidden="1"/>
    </xf>
    <xf numFmtId="4" fontId="45" fillId="0" borderId="0" xfId="52" applyNumberFormat="1" applyFont="1" applyFill="1" applyBorder="1" applyAlignment="1" applyProtection="1">
      <alignment horizontal="center"/>
      <protection hidden="1"/>
    </xf>
    <xf numFmtId="4" fontId="45" fillId="0" borderId="0" xfId="52" applyNumberFormat="1" applyFont="1" applyFill="1" applyBorder="1" applyAlignment="1" applyProtection="1">
      <alignment horizontal="right"/>
      <protection hidden="1"/>
    </xf>
    <xf numFmtId="4" fontId="45" fillId="0" borderId="0" xfId="97" applyNumberFormat="1" applyFont="1" applyFill="1" applyAlignment="1">
      <alignment horizontal="center"/>
    </xf>
    <xf numFmtId="4" fontId="45" fillId="0" borderId="0" xfId="97" applyNumberFormat="1" applyFont="1"/>
    <xf numFmtId="4" fontId="45" fillId="0" borderId="0" xfId="52" applyNumberFormat="1" applyFont="1"/>
    <xf numFmtId="4" fontId="45" fillId="0" borderId="0" xfId="97" applyNumberFormat="1" applyFont="1" applyBorder="1" applyAlignment="1">
      <alignment horizontal="center" vertical="center"/>
    </xf>
    <xf numFmtId="4" fontId="53" fillId="0" borderId="0" xfId="105" applyNumberFormat="1" applyFont="1" applyFill="1" applyBorder="1" applyAlignment="1">
      <alignment horizontal="center" vertical="center"/>
    </xf>
    <xf numFmtId="167" fontId="53" fillId="0" borderId="0" xfId="105" applyNumberFormat="1" applyFont="1" applyAlignment="1">
      <alignment horizontal="center" vertical="center"/>
    </xf>
    <xf numFmtId="4" fontId="53" fillId="0" borderId="0" xfId="97" applyNumberFormat="1" applyFont="1" applyFill="1" applyBorder="1" applyAlignment="1">
      <alignment horizontal="center" vertical="center"/>
    </xf>
    <xf numFmtId="4" fontId="93" fillId="0" borderId="0" xfId="97" applyNumberFormat="1" applyFont="1" applyFill="1"/>
    <xf numFmtId="4" fontId="53" fillId="0" borderId="0" xfId="97" applyNumberFormat="1" applyFont="1" applyBorder="1" applyAlignment="1">
      <alignment horizontal="center" vertical="center"/>
    </xf>
    <xf numFmtId="15" fontId="93" fillId="0" borderId="0" xfId="97" applyNumberFormat="1" applyFont="1" applyAlignment="1">
      <alignment horizontal="left"/>
    </xf>
    <xf numFmtId="170" fontId="93" fillId="0" borderId="0" xfId="97" quotePrefix="1" applyNumberFormat="1" applyFont="1" applyAlignment="1">
      <alignment horizontal="left"/>
    </xf>
    <xf numFmtId="170" fontId="93" fillId="0" borderId="0" xfId="97" applyNumberFormat="1" applyFont="1" applyAlignment="1">
      <alignment horizontal="left"/>
    </xf>
    <xf numFmtId="4" fontId="45" fillId="0" borderId="0" xfId="103" applyNumberFormat="1" applyFont="1" applyBorder="1" applyAlignment="1">
      <alignment horizontal="right" vertical="center"/>
    </xf>
    <xf numFmtId="0" fontId="33" fillId="0" borderId="15" xfId="0" applyFont="1" applyFill="1" applyBorder="1" applyAlignment="1">
      <alignment horizontal="center" vertical="center"/>
    </xf>
    <xf numFmtId="0" fontId="33" fillId="0" borderId="0" xfId="0" applyFont="1" applyFill="1" applyBorder="1" applyAlignment="1">
      <alignment horizontal="left" vertical="distributed"/>
    </xf>
    <xf numFmtId="0" fontId="21" fillId="0" borderId="0" xfId="0" applyFont="1" applyFill="1" applyBorder="1" applyAlignment="1">
      <alignment horizontal="center" vertical="center"/>
    </xf>
    <xf numFmtId="0" fontId="28" fillId="0" borderId="0" xfId="0" applyFont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distributed" wrapText="1"/>
    </xf>
    <xf numFmtId="0" fontId="31" fillId="0" borderId="0" xfId="0" applyFont="1" applyBorder="1" applyAlignment="1">
      <alignment vertical="top"/>
    </xf>
    <xf numFmtId="0" fontId="31" fillId="0" borderId="0" xfId="0" applyFont="1" applyBorder="1" applyAlignment="1">
      <alignment horizontal="left" vertical="center" wrapText="1"/>
    </xf>
    <xf numFmtId="0" fontId="26" fillId="0" borderId="0" xfId="0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horizontal="left" vertical="center"/>
    </xf>
    <xf numFmtId="0" fontId="33" fillId="0" borderId="0" xfId="0" applyFont="1" applyBorder="1" applyAlignment="1">
      <alignment horizontal="left" vertical="center"/>
    </xf>
    <xf numFmtId="0" fontId="31" fillId="0" borderId="0" xfId="0" applyFont="1" applyBorder="1" applyAlignment="1">
      <alignment vertical="top" wrapText="1"/>
    </xf>
    <xf numFmtId="0" fontId="20" fillId="0" borderId="0" xfId="0" applyFont="1" applyBorder="1" applyAlignment="1">
      <alignment vertical="top"/>
    </xf>
    <xf numFmtId="0" fontId="31" fillId="25" borderId="0" xfId="0" applyFont="1" applyFill="1" applyBorder="1" applyAlignment="1">
      <alignment vertical="top" wrapText="1"/>
    </xf>
    <xf numFmtId="0" fontId="26" fillId="0" borderId="0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 wrapText="1"/>
    </xf>
    <xf numFmtId="0" fontId="34" fillId="0" borderId="27" xfId="0" quotePrefix="1" applyFont="1" applyBorder="1" applyAlignment="1">
      <alignment horizontal="center" vertical="center" wrapText="1"/>
    </xf>
    <xf numFmtId="0" fontId="34" fillId="0" borderId="20" xfId="0" quotePrefix="1" applyFont="1" applyBorder="1" applyAlignment="1">
      <alignment horizontal="center" vertical="center" wrapText="1"/>
    </xf>
    <xf numFmtId="0" fontId="31" fillId="0" borderId="20" xfId="0" applyFont="1" applyBorder="1" applyAlignment="1">
      <alignment horizontal="center" vertical="center"/>
    </xf>
    <xf numFmtId="0" fontId="31" fillId="0" borderId="31" xfId="0" applyFont="1" applyBorder="1" applyAlignment="1">
      <alignment horizontal="center" vertical="center" wrapText="1"/>
    </xf>
    <xf numFmtId="0" fontId="28" fillId="0" borderId="27" xfId="0" applyFont="1" applyBorder="1" applyAlignment="1">
      <alignment horizontal="center" vertical="center"/>
    </xf>
    <xf numFmtId="0" fontId="28" fillId="0" borderId="0" xfId="0" applyFont="1" applyBorder="1" applyAlignment="1">
      <alignment horizontal="center" vertical="center" wrapText="1"/>
    </xf>
    <xf numFmtId="0" fontId="0" fillId="0" borderId="18" xfId="0" applyFont="1" applyBorder="1" applyAlignment="1">
      <alignment horizontal="center" vertical="center" wrapText="1"/>
    </xf>
    <xf numFmtId="0" fontId="0" fillId="0" borderId="20" xfId="0" applyFont="1" applyBorder="1" applyAlignment="1">
      <alignment horizontal="center" vertical="center" wrapText="1"/>
    </xf>
    <xf numFmtId="0" fontId="34" fillId="0" borderId="20" xfId="0" applyFont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 vertical="top" wrapText="1"/>
    </xf>
    <xf numFmtId="0" fontId="34" fillId="0" borderId="27" xfId="0" quotePrefix="1" applyFont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20" fillId="0" borderId="31" xfId="0" applyFont="1" applyBorder="1" applyAlignment="1">
      <alignment horizontal="center" vertical="center" wrapText="1"/>
    </xf>
    <xf numFmtId="0" fontId="31" fillId="0" borderId="18" xfId="0" applyFont="1" applyBorder="1" applyAlignment="1">
      <alignment horizontal="center"/>
    </xf>
    <xf numFmtId="0" fontId="26" fillId="0" borderId="0" xfId="0" applyFont="1" applyBorder="1" applyAlignment="1">
      <alignment horizontal="center" vertical="top"/>
    </xf>
    <xf numFmtId="0" fontId="39" fillId="0" borderId="0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center" vertical="distributed" wrapText="1"/>
    </xf>
    <xf numFmtId="0" fontId="30" fillId="0" borderId="0" xfId="0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 textRotation="90" wrapText="1"/>
    </xf>
    <xf numFmtId="0" fontId="22" fillId="29" borderId="0" xfId="48" applyFont="1" applyFill="1" applyAlignment="1" applyProtection="1">
      <alignment vertical="top"/>
    </xf>
    <xf numFmtId="0" fontId="22" fillId="29" borderId="0" xfId="48" applyFont="1" applyFill="1" applyAlignment="1" applyProtection="1">
      <alignment vertical="center"/>
    </xf>
    <xf numFmtId="0" fontId="22" fillId="29" borderId="0" xfId="48" applyFont="1" applyFill="1" applyAlignment="1" applyProtection="1">
      <alignment horizontal="left" vertical="center" wrapText="1"/>
    </xf>
    <xf numFmtId="0" fontId="22" fillId="0" borderId="0" xfId="48" applyFont="1" applyFill="1" applyBorder="1" applyProtection="1"/>
    <xf numFmtId="0" fontId="22" fillId="29" borderId="0" xfId="48" applyFont="1" applyFill="1" applyAlignment="1" applyProtection="1">
      <alignment horizontal="left" vertical="center"/>
    </xf>
    <xf numFmtId="0" fontId="94" fillId="0" borderId="0" xfId="0" applyFont="1" applyFill="1"/>
    <xf numFmtId="0" fontId="95" fillId="0" borderId="10" xfId="0" applyFont="1" applyFill="1" applyBorder="1" applyAlignment="1">
      <alignment horizontal="center" vertical="center"/>
    </xf>
    <xf numFmtId="0" fontId="96" fillId="0" borderId="0" xfId="0" applyFont="1" applyFill="1" applyBorder="1" applyAlignment="1">
      <alignment horizontal="center" vertical="center"/>
    </xf>
    <xf numFmtId="0" fontId="96" fillId="0" borderId="0" xfId="0" applyFont="1" applyFill="1" applyAlignment="1">
      <alignment vertical="center"/>
    </xf>
    <xf numFmtId="0" fontId="96" fillId="0" borderId="0" xfId="0" applyFont="1" applyFill="1" applyBorder="1" applyAlignment="1">
      <alignment vertical="center"/>
    </xf>
    <xf numFmtId="0" fontId="52" fillId="0" borderId="0" xfId="0" applyFont="1" applyFill="1" applyBorder="1" applyAlignment="1">
      <alignment horizontal="center" vertical="center"/>
    </xf>
    <xf numFmtId="0" fontId="52" fillId="0" borderId="0" xfId="0" applyFont="1" applyFill="1" applyAlignment="1">
      <alignment vertical="center"/>
    </xf>
    <xf numFmtId="0" fontId="51" fillId="0" borderId="0" xfId="0" applyFont="1" applyFill="1" applyBorder="1" applyAlignment="1">
      <alignment vertical="center"/>
    </xf>
    <xf numFmtId="0" fontId="22" fillId="0" borderId="15" xfId="0" applyFont="1" applyFill="1" applyBorder="1" applyAlignment="1" applyProtection="1">
      <alignment horizontal="center" vertical="center"/>
      <protection hidden="1"/>
    </xf>
    <xf numFmtId="0" fontId="0" fillId="0" borderId="15" xfId="0" applyFill="1" applyBorder="1" applyAlignment="1" applyProtection="1">
      <alignment horizontal="center" vertical="center" wrapText="1"/>
      <protection hidden="1"/>
    </xf>
    <xf numFmtId="0" fontId="28" fillId="0" borderId="0" xfId="0" applyFont="1" applyFill="1" applyBorder="1" applyProtection="1">
      <protection hidden="1"/>
    </xf>
    <xf numFmtId="0" fontId="33" fillId="0" borderId="15" xfId="0" applyFont="1" applyFill="1" applyBorder="1" applyAlignment="1" applyProtection="1">
      <alignment horizontal="center" vertical="center"/>
      <protection hidden="1"/>
    </xf>
    <xf numFmtId="0" fontId="22" fillId="0" borderId="15" xfId="0" applyFont="1" applyBorder="1" applyAlignment="1" applyProtection="1">
      <alignment horizontal="center" vertical="center"/>
      <protection hidden="1"/>
    </xf>
    <xf numFmtId="0" fontId="28" fillId="0" borderId="15" xfId="0" applyNumberFormat="1" applyFont="1" applyBorder="1" applyAlignment="1" applyProtection="1">
      <alignment horizontal="center" vertical="center"/>
      <protection hidden="1"/>
    </xf>
    <xf numFmtId="0" fontId="28" fillId="0" borderId="15" xfId="0" applyFont="1" applyBorder="1" applyAlignment="1" applyProtection="1">
      <alignment horizontal="center" vertic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0" fillId="24" borderId="0" xfId="0" applyFill="1" applyProtection="1"/>
    <xf numFmtId="0" fontId="0" fillId="0" borderId="0" xfId="0" applyFill="1" applyProtection="1"/>
    <xf numFmtId="0" fontId="0" fillId="0" borderId="0" xfId="0" applyProtection="1"/>
    <xf numFmtId="0" fontId="21" fillId="0" borderId="0" xfId="0" applyFont="1" applyBorder="1" applyAlignment="1" applyProtection="1">
      <alignment vertical="center"/>
    </xf>
    <xf numFmtId="0" fontId="35" fillId="0" borderId="0" xfId="0" applyFont="1" applyBorder="1" applyAlignment="1" applyProtection="1">
      <alignment vertical="center"/>
    </xf>
    <xf numFmtId="0" fontId="35" fillId="0" borderId="0" xfId="0" applyFont="1" applyBorder="1" applyProtection="1"/>
    <xf numFmtId="0" fontId="35" fillId="0" borderId="0" xfId="0" applyFont="1" applyProtection="1"/>
    <xf numFmtId="0" fontId="0" fillId="0" borderId="0" xfId="0" applyBorder="1" applyProtection="1"/>
    <xf numFmtId="0" fontId="23" fillId="0" borderId="0" xfId="0" applyFont="1" applyFill="1" applyBorder="1" applyAlignment="1" applyProtection="1"/>
    <xf numFmtId="0" fontId="25" fillId="0" borderId="0" xfId="0" quotePrefix="1" applyFont="1" applyFill="1" applyBorder="1" applyAlignment="1" applyProtection="1">
      <alignment vertical="distributed"/>
    </xf>
    <xf numFmtId="0" fontId="26" fillId="0" borderId="0" xfId="0" applyFont="1" applyFill="1" applyBorder="1" applyAlignment="1" applyProtection="1">
      <alignment vertical="center" wrapText="1"/>
    </xf>
    <xf numFmtId="0" fontId="27" fillId="0" borderId="0" xfId="0" quotePrefix="1" applyFont="1" applyFill="1" applyBorder="1" applyAlignment="1" applyProtection="1">
      <alignment vertical="distributed" wrapText="1"/>
    </xf>
    <xf numFmtId="0" fontId="28" fillId="0" borderId="10" xfId="0" applyFont="1" applyFill="1" applyBorder="1" applyAlignment="1" applyProtection="1"/>
    <xf numFmtId="0" fontId="26" fillId="0" borderId="0" xfId="0" quotePrefix="1" applyFont="1" applyFill="1" applyBorder="1" applyAlignment="1" applyProtection="1">
      <alignment horizontal="center" vertical="distributed" wrapText="1"/>
    </xf>
    <xf numFmtId="0" fontId="0" fillId="0" borderId="11" xfId="0" applyFill="1" applyBorder="1" applyProtection="1"/>
    <xf numFmtId="0" fontId="30" fillId="0" borderId="10" xfId="0" applyFont="1" applyFill="1" applyBorder="1" applyAlignment="1" applyProtection="1">
      <alignment horizontal="center" vertical="center"/>
    </xf>
    <xf numFmtId="0" fontId="26" fillId="0" borderId="0" xfId="0" applyFont="1" applyFill="1" applyBorder="1" applyAlignment="1" applyProtection="1">
      <alignment horizontal="left" vertical="center"/>
    </xf>
    <xf numFmtId="0" fontId="26" fillId="0" borderId="0" xfId="0" applyFont="1" applyFill="1" applyBorder="1" applyAlignment="1" applyProtection="1">
      <alignment horizontal="center" vertical="center"/>
    </xf>
    <xf numFmtId="0" fontId="26" fillId="0" borderId="0" xfId="0" applyFont="1" applyFill="1" applyAlignment="1" applyProtection="1">
      <alignment vertical="center"/>
    </xf>
    <xf numFmtId="0" fontId="26" fillId="0" borderId="0" xfId="0" applyFont="1" applyFill="1" applyBorder="1" applyAlignment="1" applyProtection="1">
      <alignment vertical="center"/>
    </xf>
    <xf numFmtId="0" fontId="32" fillId="0" borderId="0" xfId="0" applyFont="1" applyFill="1" applyProtection="1"/>
    <xf numFmtId="0" fontId="28" fillId="0" borderId="0" xfId="0" applyFont="1" applyFill="1" applyAlignment="1" applyProtection="1">
      <alignment vertical="center"/>
    </xf>
    <xf numFmtId="0" fontId="22" fillId="0" borderId="0" xfId="0" applyFont="1" applyFill="1" applyProtection="1"/>
    <xf numFmtId="0" fontId="30" fillId="0" borderId="0" xfId="0" applyFont="1" applyFill="1" applyBorder="1" applyAlignment="1" applyProtection="1">
      <alignment horizontal="center" vertical="center"/>
    </xf>
    <xf numFmtId="0" fontId="31" fillId="0" borderId="11" xfId="0" applyFont="1" applyFill="1" applyBorder="1" applyAlignment="1" applyProtection="1">
      <alignment horizontal="left"/>
    </xf>
    <xf numFmtId="0" fontId="22" fillId="0" borderId="0" xfId="0" applyFont="1" applyFill="1" applyAlignment="1" applyProtection="1">
      <alignment vertical="center"/>
    </xf>
    <xf numFmtId="0" fontId="34" fillId="0" borderId="0" xfId="0" applyFont="1" applyFill="1" applyBorder="1" applyAlignment="1" applyProtection="1">
      <alignment vertical="center"/>
    </xf>
    <xf numFmtId="0" fontId="0" fillId="0" borderId="0" xfId="0" applyFill="1" applyBorder="1" applyAlignment="1" applyProtection="1">
      <alignment horizontal="center" wrapText="1"/>
    </xf>
    <xf numFmtId="0" fontId="0" fillId="0" borderId="0" xfId="0" applyFill="1" applyBorder="1" applyProtection="1"/>
    <xf numFmtId="0" fontId="31" fillId="0" borderId="0" xfId="0" applyFont="1" applyFill="1" applyBorder="1" applyAlignment="1" applyProtection="1">
      <alignment horizontal="center" vertical="center" textRotation="90"/>
    </xf>
    <xf numFmtId="0" fontId="25" fillId="0" borderId="0" xfId="0" quotePrefix="1" applyFont="1" applyFill="1" applyBorder="1" applyAlignment="1" applyProtection="1">
      <alignment vertical="distributed" wrapText="1"/>
    </xf>
    <xf numFmtId="0" fontId="34" fillId="0" borderId="11" xfId="0" applyFont="1" applyFill="1" applyBorder="1" applyAlignment="1" applyProtection="1">
      <alignment vertical="center"/>
    </xf>
    <xf numFmtId="0" fontId="22" fillId="0" borderId="0" xfId="0" applyFont="1" applyFill="1" applyBorder="1" applyAlignment="1" applyProtection="1">
      <alignment horizontal="center" vertical="center" textRotation="90"/>
    </xf>
    <xf numFmtId="0" fontId="31" fillId="0" borderId="13" xfId="0" applyFont="1" applyFill="1" applyBorder="1" applyAlignment="1" applyProtection="1">
      <alignment horizontal="left"/>
    </xf>
    <xf numFmtId="0" fontId="34" fillId="0" borderId="13" xfId="0" applyFont="1" applyFill="1" applyBorder="1" applyAlignment="1" applyProtection="1">
      <alignment vertical="center"/>
    </xf>
    <xf numFmtId="0" fontId="22" fillId="0" borderId="12" xfId="0" applyFont="1" applyFill="1" applyBorder="1" applyAlignment="1" applyProtection="1">
      <alignment horizontal="center" vertical="center" textRotation="90"/>
    </xf>
    <xf numFmtId="0" fontId="0" fillId="0" borderId="12" xfId="0" applyFill="1" applyBorder="1" applyAlignment="1" applyProtection="1">
      <alignment horizontal="center" wrapText="1"/>
    </xf>
    <xf numFmtId="0" fontId="0" fillId="0" borderId="12" xfId="0" applyFill="1" applyBorder="1" applyProtection="1"/>
    <xf numFmtId="0" fontId="31" fillId="0" borderId="14" xfId="0" applyFont="1" applyFill="1" applyBorder="1" applyAlignment="1" applyProtection="1">
      <alignment horizontal="center" vertical="center" textRotation="90"/>
    </xf>
    <xf numFmtId="0" fontId="0" fillId="0" borderId="14" xfId="0" applyFill="1" applyBorder="1" applyProtection="1"/>
    <xf numFmtId="0" fontId="25" fillId="0" borderId="14" xfId="0" quotePrefix="1" applyFont="1" applyFill="1" applyBorder="1" applyAlignment="1" applyProtection="1">
      <alignment vertical="distributed"/>
    </xf>
    <xf numFmtId="0" fontId="30" fillId="0" borderId="14" xfId="0" applyFont="1" applyFill="1" applyBorder="1" applyAlignment="1" applyProtection="1">
      <alignment horizontal="center" vertical="center"/>
    </xf>
    <xf numFmtId="0" fontId="31" fillId="0" borderId="14" xfId="0" applyFont="1" applyFill="1" applyBorder="1" applyAlignment="1" applyProtection="1">
      <alignment horizontal="left"/>
    </xf>
    <xf numFmtId="0" fontId="31" fillId="0" borderId="14" xfId="0" applyFont="1" applyFill="1" applyBorder="1" applyAlignment="1" applyProtection="1"/>
    <xf numFmtId="0" fontId="0" fillId="0" borderId="14" xfId="0" applyFill="1" applyBorder="1" applyAlignment="1" applyProtection="1">
      <alignment horizontal="center"/>
    </xf>
    <xf numFmtId="0" fontId="32" fillId="0" borderId="14" xfId="0" applyFont="1" applyFill="1" applyBorder="1" applyAlignment="1" applyProtection="1"/>
    <xf numFmtId="0" fontId="0" fillId="0" borderId="14" xfId="0" applyFill="1" applyBorder="1" applyAlignment="1" applyProtection="1">
      <alignment horizontal="center" wrapText="1"/>
    </xf>
    <xf numFmtId="0" fontId="25" fillId="0" borderId="14" xfId="0" quotePrefix="1" applyFont="1" applyFill="1" applyBorder="1" applyAlignment="1" applyProtection="1">
      <alignment vertical="distributed" wrapText="1"/>
    </xf>
    <xf numFmtId="0" fontId="33" fillId="0" borderId="0" xfId="0" applyFont="1" applyBorder="1" applyProtection="1"/>
    <xf numFmtId="0" fontId="33" fillId="0" borderId="0" xfId="0" applyFont="1" applyFill="1" applyProtection="1"/>
    <xf numFmtId="0" fontId="30" fillId="0" borderId="0" xfId="0" applyFont="1" applyFill="1" applyBorder="1" applyAlignment="1" applyProtection="1">
      <alignment horizontal="right" vertical="center"/>
    </xf>
    <xf numFmtId="0" fontId="33" fillId="0" borderId="0" xfId="0" applyFont="1" applyFill="1" applyBorder="1" applyAlignment="1" applyProtection="1">
      <alignment vertical="center"/>
    </xf>
    <xf numFmtId="0" fontId="33" fillId="0" borderId="0" xfId="0" applyFont="1" applyProtection="1"/>
    <xf numFmtId="0" fontId="33" fillId="0" borderId="0" xfId="0" applyFont="1" applyFill="1" applyBorder="1" applyAlignment="1" applyProtection="1">
      <alignment vertical="distributed"/>
    </xf>
    <xf numFmtId="0" fontId="31" fillId="0" borderId="0" xfId="0" applyFont="1" applyBorder="1" applyAlignment="1" applyProtection="1">
      <alignment vertical="top"/>
    </xf>
    <xf numFmtId="0" fontId="31" fillId="0" borderId="0" xfId="0" applyFont="1" applyBorder="1" applyProtection="1"/>
    <xf numFmtId="0" fontId="0" fillId="0" borderId="0" xfId="0" applyBorder="1" applyAlignment="1" applyProtection="1">
      <alignment horizontal="center"/>
    </xf>
    <xf numFmtId="0" fontId="32" fillId="0" borderId="0" xfId="0" applyFont="1" applyBorder="1" applyAlignment="1" applyProtection="1"/>
    <xf numFmtId="0" fontId="0" fillId="0" borderId="0" xfId="0" applyBorder="1" applyAlignment="1" applyProtection="1">
      <alignment horizontal="center" wrapText="1"/>
    </xf>
    <xf numFmtId="0" fontId="31" fillId="0" borderId="0" xfId="0" applyFont="1" applyBorder="1" applyAlignment="1" applyProtection="1">
      <alignment horizontal="center" vertical="center" textRotation="90"/>
    </xf>
    <xf numFmtId="0" fontId="0" fillId="0" borderId="0" xfId="0" applyFont="1" applyBorder="1" applyAlignment="1" applyProtection="1">
      <alignment horizontal="center" vertical="center" textRotation="90"/>
    </xf>
    <xf numFmtId="0" fontId="25" fillId="0" borderId="0" xfId="0" quotePrefix="1" applyFont="1" applyBorder="1" applyAlignment="1" applyProtection="1">
      <alignment vertical="distributed" wrapText="1"/>
    </xf>
    <xf numFmtId="0" fontId="33" fillId="0" borderId="0" xfId="0" applyFont="1" applyBorder="1" applyAlignment="1" applyProtection="1">
      <alignment vertical="distributed"/>
    </xf>
    <xf numFmtId="0" fontId="35" fillId="0" borderId="14" xfId="0" applyFont="1" applyBorder="1" applyAlignment="1" applyProtection="1">
      <alignment horizontal="center" vertical="center" textRotation="90" wrapText="1"/>
    </xf>
    <xf numFmtId="0" fontId="35" fillId="0" borderId="14" xfId="0" applyFont="1" applyBorder="1" applyAlignment="1" applyProtection="1"/>
    <xf numFmtId="0" fontId="36" fillId="0" borderId="14" xfId="0" applyFont="1" applyBorder="1" applyAlignment="1" applyProtection="1">
      <alignment vertical="top"/>
    </xf>
    <xf numFmtId="0" fontId="0" fillId="0" borderId="14" xfId="0" applyBorder="1" applyProtection="1"/>
    <xf numFmtId="0" fontId="0" fillId="0" borderId="14" xfId="0" applyBorder="1" applyAlignment="1" applyProtection="1">
      <alignment horizontal="center"/>
    </xf>
    <xf numFmtId="0" fontId="32" fillId="0" borderId="14" xfId="0" applyFont="1" applyBorder="1" applyAlignment="1" applyProtection="1"/>
    <xf numFmtId="0" fontId="0" fillId="0" borderId="14" xfId="0" applyBorder="1" applyAlignment="1" applyProtection="1">
      <alignment horizontal="center" wrapText="1"/>
    </xf>
    <xf numFmtId="0" fontId="31" fillId="0" borderId="14" xfId="0" applyFont="1" applyBorder="1" applyAlignment="1" applyProtection="1">
      <alignment horizontal="center" vertical="center" textRotation="90"/>
    </xf>
    <xf numFmtId="0" fontId="0" fillId="0" borderId="14" xfId="0" applyFont="1" applyBorder="1" applyAlignment="1" applyProtection="1">
      <alignment horizontal="center" vertical="center" textRotation="90"/>
    </xf>
    <xf numFmtId="0" fontId="25" fillId="0" borderId="14" xfId="0" quotePrefix="1" applyFont="1" applyBorder="1" applyAlignment="1" applyProtection="1">
      <alignment vertical="distributed" wrapText="1"/>
    </xf>
    <xf numFmtId="0" fontId="25" fillId="0" borderId="25" xfId="0" quotePrefix="1" applyFont="1" applyBorder="1" applyAlignment="1" applyProtection="1">
      <alignment vertical="distributed" wrapText="1"/>
    </xf>
    <xf numFmtId="0" fontId="35" fillId="0" borderId="0" xfId="0" applyFont="1" applyBorder="1" applyAlignment="1" applyProtection="1">
      <alignment horizontal="center" vertical="center" textRotation="90" wrapText="1"/>
    </xf>
    <xf numFmtId="0" fontId="35" fillId="0" borderId="0" xfId="0" applyFont="1" applyBorder="1" applyAlignment="1" applyProtection="1"/>
    <xf numFmtId="0" fontId="0" fillId="0" borderId="11" xfId="0" applyBorder="1" applyProtection="1"/>
    <xf numFmtId="0" fontId="45" fillId="0" borderId="0" xfId="0" applyFont="1" applyBorder="1" applyAlignment="1" applyProtection="1">
      <alignment vertical="center"/>
    </xf>
    <xf numFmtId="0" fontId="0" fillId="0" borderId="0" xfId="0" applyBorder="1" applyAlignment="1" applyProtection="1">
      <alignment vertical="center"/>
    </xf>
    <xf numFmtId="0" fontId="31" fillId="0" borderId="0" xfId="0" applyFont="1" applyBorder="1" applyAlignment="1" applyProtection="1">
      <alignment vertical="center"/>
    </xf>
    <xf numFmtId="0" fontId="20" fillId="0" borderId="0" xfId="0" applyFont="1" applyBorder="1" applyAlignment="1" applyProtection="1">
      <alignment vertical="center"/>
    </xf>
    <xf numFmtId="0" fontId="22" fillId="0" borderId="0" xfId="0" applyFont="1" applyBorder="1" applyAlignment="1" applyProtection="1">
      <alignment horizontal="center" vertical="center"/>
    </xf>
    <xf numFmtId="0" fontId="0" fillId="25" borderId="0" xfId="0" applyFont="1" applyFill="1" applyBorder="1" applyAlignment="1" applyProtection="1">
      <alignment horizontal="center" vertical="center"/>
    </xf>
    <xf numFmtId="0" fontId="0" fillId="0" borderId="0" xfId="0" applyFont="1" applyBorder="1" applyAlignment="1" applyProtection="1">
      <alignment horizontal="center" vertical="center"/>
    </xf>
    <xf numFmtId="0" fontId="0" fillId="0" borderId="0" xfId="0" applyFont="1" applyFill="1" applyBorder="1" applyAlignment="1" applyProtection="1">
      <alignment horizontal="center" vertical="center"/>
    </xf>
    <xf numFmtId="0" fontId="28" fillId="0" borderId="0" xfId="0" applyFont="1" applyBorder="1" applyAlignment="1" applyProtection="1">
      <alignment vertical="center"/>
    </xf>
    <xf numFmtId="0" fontId="0" fillId="25" borderId="0" xfId="0" applyFill="1" applyBorder="1" applyProtection="1"/>
    <xf numFmtId="0" fontId="0" fillId="25" borderId="11" xfId="0" applyFill="1" applyBorder="1" applyProtection="1"/>
    <xf numFmtId="0" fontId="20" fillId="0" borderId="0" xfId="0" applyFont="1" applyBorder="1" applyAlignment="1" applyProtection="1">
      <alignment horizontal="center" vertical="center"/>
    </xf>
    <xf numFmtId="0" fontId="0" fillId="25" borderId="0" xfId="0" applyFont="1" applyFill="1" applyBorder="1" applyProtection="1"/>
    <xf numFmtId="0" fontId="22" fillId="25" borderId="0" xfId="0" applyFont="1" applyFill="1" applyBorder="1" applyProtection="1"/>
    <xf numFmtId="0" fontId="0" fillId="0" borderId="0" xfId="0" applyFont="1" applyBorder="1" applyAlignment="1" applyProtection="1">
      <alignment vertical="center"/>
    </xf>
    <xf numFmtId="0" fontId="37" fillId="0" borderId="0" xfId="0" applyFont="1" applyBorder="1" applyAlignment="1" applyProtection="1">
      <alignment vertical="center"/>
    </xf>
    <xf numFmtId="0" fontId="38" fillId="0" borderId="0" xfId="0" applyFont="1" applyBorder="1" applyAlignment="1" applyProtection="1">
      <alignment vertical="center"/>
    </xf>
    <xf numFmtId="0" fontId="0" fillId="25" borderId="0" xfId="0" quotePrefix="1" applyFont="1" applyFill="1" applyBorder="1" applyAlignment="1" applyProtection="1">
      <alignment horizontal="center" vertical="center"/>
    </xf>
    <xf numFmtId="0" fontId="0" fillId="25" borderId="0" xfId="0" quotePrefix="1" applyFont="1" applyFill="1" applyBorder="1" applyAlignment="1" applyProtection="1">
      <alignment horizontal="center"/>
    </xf>
    <xf numFmtId="0" fontId="22" fillId="25" borderId="0" xfId="0" quotePrefix="1" applyFont="1" applyFill="1" applyBorder="1" applyAlignment="1" applyProtection="1">
      <alignment horizontal="center"/>
    </xf>
    <xf numFmtId="0" fontId="35" fillId="0" borderId="0" xfId="0" applyFont="1" applyFill="1" applyBorder="1" applyAlignment="1" applyProtection="1">
      <alignment horizontal="center" vertical="center" textRotation="90" wrapText="1"/>
    </xf>
    <xf numFmtId="0" fontId="0" fillId="0" borderId="0" xfId="0" applyFont="1" applyFill="1" applyBorder="1" applyAlignment="1" applyProtection="1">
      <alignment vertical="center"/>
    </xf>
    <xf numFmtId="0" fontId="0" fillId="0" borderId="0" xfId="0" applyFont="1" applyFill="1" applyAlignment="1" applyProtection="1">
      <alignment vertical="center"/>
    </xf>
    <xf numFmtId="0" fontId="0" fillId="0" borderId="0" xfId="0" applyFont="1" applyFill="1" applyBorder="1" applyProtection="1"/>
    <xf numFmtId="0" fontId="20" fillId="0" borderId="0" xfId="0" applyFont="1" applyFill="1" applyBorder="1" applyProtection="1"/>
    <xf numFmtId="0" fontId="22" fillId="0" borderId="0" xfId="0" applyFont="1" applyFill="1" applyBorder="1" applyAlignment="1" applyProtection="1">
      <alignment vertical="center"/>
    </xf>
    <xf numFmtId="0" fontId="0" fillId="0" borderId="10" xfId="0" applyBorder="1" applyProtection="1"/>
    <xf numFmtId="0" fontId="28" fillId="0" borderId="0" xfId="0" applyFont="1" applyFill="1" applyBorder="1" applyAlignment="1" applyProtection="1">
      <alignment vertical="center"/>
    </xf>
    <xf numFmtId="0" fontId="31" fillId="0" borderId="0" xfId="0" applyFont="1" applyFill="1" applyBorder="1" applyAlignment="1" applyProtection="1">
      <alignment vertical="center"/>
    </xf>
    <xf numFmtId="0" fontId="20" fillId="0" borderId="0" xfId="0" applyFont="1" applyFill="1" applyBorder="1" applyAlignment="1" applyProtection="1">
      <alignment vertical="center"/>
    </xf>
    <xf numFmtId="0" fontId="20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Border="1" applyProtection="1"/>
    <xf numFmtId="0" fontId="0" fillId="0" borderId="0" xfId="0" applyFill="1" applyBorder="1" applyAlignment="1" applyProtection="1">
      <alignment vertical="center"/>
    </xf>
    <xf numFmtId="0" fontId="35" fillId="0" borderId="21" xfId="0" applyFont="1" applyFill="1" applyBorder="1" applyAlignment="1" applyProtection="1">
      <alignment horizontal="center" vertical="center" textRotation="90" wrapText="1"/>
    </xf>
    <xf numFmtId="0" fontId="28" fillId="0" borderId="12" xfId="0" applyFont="1" applyFill="1" applyBorder="1" applyAlignment="1" applyProtection="1">
      <alignment vertical="center"/>
    </xf>
    <xf numFmtId="0" fontId="31" fillId="0" borderId="12" xfId="0" applyFont="1" applyFill="1" applyBorder="1" applyAlignment="1" applyProtection="1">
      <alignment vertical="center"/>
    </xf>
    <xf numFmtId="0" fontId="20" fillId="0" borderId="12" xfId="0" applyFont="1" applyFill="1" applyBorder="1" applyAlignment="1" applyProtection="1">
      <alignment vertical="center"/>
    </xf>
    <xf numFmtId="0" fontId="0" fillId="0" borderId="12" xfId="0" applyFill="1" applyBorder="1" applyAlignment="1" applyProtection="1">
      <alignment vertical="center"/>
    </xf>
    <xf numFmtId="0" fontId="22" fillId="0" borderId="12" xfId="0" applyFont="1" applyFill="1" applyBorder="1" applyAlignment="1" applyProtection="1">
      <alignment horizontal="center" vertical="center"/>
    </xf>
    <xf numFmtId="0" fontId="0" fillId="0" borderId="12" xfId="0" applyFont="1" applyFill="1" applyBorder="1" applyAlignment="1" applyProtection="1">
      <alignment horizontal="center" vertical="center"/>
    </xf>
    <xf numFmtId="0" fontId="0" fillId="0" borderId="13" xfId="0" applyFill="1" applyBorder="1" applyProtection="1"/>
    <xf numFmtId="0" fontId="0" fillId="0" borderId="18" xfId="0" applyBorder="1" applyProtection="1"/>
    <xf numFmtId="0" fontId="0" fillId="0" borderId="28" xfId="0" applyBorder="1" applyProtection="1"/>
    <xf numFmtId="0" fontId="39" fillId="0" borderId="0" xfId="0" applyFont="1" applyProtection="1"/>
    <xf numFmtId="0" fontId="26" fillId="25" borderId="0" xfId="0" applyFont="1" applyFill="1" applyBorder="1" applyAlignment="1" applyProtection="1"/>
    <xf numFmtId="0" fontId="34" fillId="0" borderId="22" xfId="0" applyFont="1" applyBorder="1" applyAlignment="1" applyProtection="1">
      <alignment horizontal="left" vertical="center"/>
    </xf>
    <xf numFmtId="0" fontId="34" fillId="0" borderId="0" xfId="0" applyFont="1" applyBorder="1" applyAlignment="1" applyProtection="1">
      <alignment horizontal="left" vertical="center"/>
    </xf>
    <xf numFmtId="0" fontId="26" fillId="25" borderId="20" xfId="0" applyFont="1" applyFill="1" applyBorder="1" applyAlignment="1" applyProtection="1">
      <alignment horizontal="center"/>
    </xf>
    <xf numFmtId="0" fontId="26" fillId="25" borderId="0" xfId="0" applyFont="1" applyFill="1" applyBorder="1" applyAlignment="1" applyProtection="1">
      <alignment horizontal="center"/>
    </xf>
    <xf numFmtId="0" fontId="26" fillId="25" borderId="16" xfId="0" applyFont="1" applyFill="1" applyBorder="1" applyAlignment="1" applyProtection="1">
      <alignment horizontal="center"/>
    </xf>
    <xf numFmtId="0" fontId="28" fillId="0" borderId="0" xfId="0" applyFont="1" applyBorder="1" applyAlignment="1" applyProtection="1">
      <alignment horizontal="center" vertical="top"/>
    </xf>
    <xf numFmtId="0" fontId="32" fillId="0" borderId="16" xfId="0" applyFont="1" applyBorder="1" applyAlignment="1" applyProtection="1">
      <alignment vertical="center" wrapText="1"/>
    </xf>
    <xf numFmtId="0" fontId="22" fillId="0" borderId="0" xfId="0" applyFont="1" applyProtection="1"/>
    <xf numFmtId="0" fontId="28" fillId="0" borderId="0" xfId="0" applyFont="1" applyBorder="1" applyAlignment="1" applyProtection="1">
      <alignment horizontal="center" vertical="top" wrapText="1"/>
    </xf>
    <xf numFmtId="0" fontId="31" fillId="0" borderId="0" xfId="0" applyFont="1" applyBorder="1" applyAlignment="1" applyProtection="1">
      <alignment vertical="center" wrapText="1"/>
    </xf>
    <xf numFmtId="0" fontId="31" fillId="0" borderId="0" xfId="0" applyFont="1" applyBorder="1" applyAlignment="1" applyProtection="1">
      <alignment horizontal="center" vertical="center"/>
    </xf>
    <xf numFmtId="0" fontId="22" fillId="0" borderId="0" xfId="0" applyFont="1" applyAlignment="1" applyProtection="1">
      <alignment vertical="top"/>
    </xf>
    <xf numFmtId="0" fontId="31" fillId="0" borderId="16" xfId="0" applyFont="1" applyBorder="1" applyAlignment="1" applyProtection="1">
      <alignment vertical="center" wrapText="1"/>
    </xf>
    <xf numFmtId="0" fontId="20" fillId="0" borderId="16" xfId="0" applyFont="1" applyBorder="1" applyAlignment="1" applyProtection="1">
      <alignment vertical="top"/>
    </xf>
    <xf numFmtId="0" fontId="0" fillId="0" borderId="0" xfId="0" applyBorder="1" applyAlignment="1" applyProtection="1">
      <alignment vertical="top"/>
    </xf>
    <xf numFmtId="0" fontId="32" fillId="0" borderId="0" xfId="0" applyFont="1" applyBorder="1" applyAlignment="1" applyProtection="1">
      <alignment vertical="top"/>
    </xf>
    <xf numFmtId="0" fontId="45" fillId="0" borderId="0" xfId="0" applyFont="1" applyBorder="1" applyAlignment="1" applyProtection="1">
      <alignment horizontal="center" vertical="center"/>
    </xf>
    <xf numFmtId="0" fontId="26" fillId="0" borderId="0" xfId="0" applyFont="1" applyBorder="1" applyAlignment="1" applyProtection="1">
      <alignment vertical="top"/>
    </xf>
    <xf numFmtId="0" fontId="20" fillId="0" borderId="0" xfId="0" applyFont="1" applyBorder="1" applyAlignment="1" applyProtection="1">
      <alignment vertical="top"/>
    </xf>
    <xf numFmtId="0" fontId="0" fillId="0" borderId="16" xfId="0" applyBorder="1" applyAlignment="1" applyProtection="1">
      <alignment vertical="top"/>
    </xf>
    <xf numFmtId="0" fontId="22" fillId="0" borderId="22" xfId="0" applyFont="1" applyBorder="1" applyAlignment="1" applyProtection="1">
      <alignment horizontal="center" vertical="center" textRotation="90"/>
    </xf>
    <xf numFmtId="0" fontId="22" fillId="0" borderId="0" xfId="0" applyFont="1" applyBorder="1" applyAlignment="1" applyProtection="1">
      <alignment horizontal="center" vertical="center" textRotation="90"/>
    </xf>
    <xf numFmtId="0" fontId="22" fillId="0" borderId="16" xfId="0" applyFont="1" applyBorder="1" applyAlignment="1" applyProtection="1">
      <alignment horizontal="center" vertical="center" textRotation="90"/>
    </xf>
    <xf numFmtId="0" fontId="22" fillId="0" borderId="29" xfId="0" applyFont="1" applyBorder="1" applyAlignment="1" applyProtection="1">
      <alignment horizontal="left" vertical="center" textRotation="90"/>
    </xf>
    <xf numFmtId="0" fontId="22" fillId="0" borderId="17" xfId="0" applyFont="1" applyBorder="1" applyAlignment="1" applyProtection="1">
      <alignment horizontal="left" vertical="center" textRotation="90"/>
    </xf>
    <xf numFmtId="0" fontId="22" fillId="0" borderId="30" xfId="0" applyFont="1" applyBorder="1" applyAlignment="1" applyProtection="1">
      <alignment horizontal="left" vertical="center" textRotation="90"/>
    </xf>
    <xf numFmtId="0" fontId="0" fillId="0" borderId="17" xfId="0" applyBorder="1" applyProtection="1"/>
    <xf numFmtId="0" fontId="28" fillId="0" borderId="17" xfId="0" applyFont="1" applyBorder="1" applyAlignment="1" applyProtection="1">
      <alignment horizontal="center" vertical="top"/>
    </xf>
    <xf numFmtId="0" fontId="20" fillId="0" borderId="17" xfId="0" applyFont="1" applyBorder="1" applyAlignment="1" applyProtection="1">
      <alignment vertical="top"/>
    </xf>
    <xf numFmtId="0" fontId="31" fillId="0" borderId="17" xfId="0" applyFont="1" applyBorder="1" applyProtection="1"/>
    <xf numFmtId="0" fontId="22" fillId="0" borderId="17" xfId="0" applyFont="1" applyBorder="1" applyAlignment="1" applyProtection="1">
      <alignment horizontal="center" vertical="center"/>
    </xf>
    <xf numFmtId="0" fontId="39" fillId="0" borderId="0" xfId="0" applyFont="1" applyAlignment="1" applyProtection="1">
      <alignment horizontal="left"/>
    </xf>
    <xf numFmtId="0" fontId="22" fillId="0" borderId="22" xfId="0" applyFont="1" applyFill="1" applyBorder="1" applyAlignment="1" applyProtection="1"/>
    <xf numFmtId="0" fontId="22" fillId="0" borderId="0" xfId="0" applyFont="1" applyFill="1" applyBorder="1" applyAlignment="1" applyProtection="1"/>
    <xf numFmtId="0" fontId="22" fillId="0" borderId="16" xfId="0" applyFont="1" applyFill="1" applyBorder="1" applyAlignment="1" applyProtection="1"/>
    <xf numFmtId="0" fontId="28" fillId="0" borderId="0" xfId="0" applyFont="1" applyFill="1" applyBorder="1" applyAlignment="1" applyProtection="1">
      <alignment horizontal="center"/>
    </xf>
    <xf numFmtId="0" fontId="0" fillId="0" borderId="0" xfId="0" applyFont="1" applyBorder="1" applyAlignment="1" applyProtection="1">
      <alignment horizontal="center"/>
    </xf>
    <xf numFmtId="0" fontId="45" fillId="0" borderId="17" xfId="0" applyFont="1" applyBorder="1" applyAlignment="1" applyProtection="1">
      <alignment vertical="center"/>
    </xf>
    <xf numFmtId="0" fontId="26" fillId="0" borderId="0" xfId="0" applyFont="1" applyBorder="1" applyAlignment="1" applyProtection="1">
      <alignment vertical="center"/>
    </xf>
    <xf numFmtId="0" fontId="28" fillId="0" borderId="0" xfId="0" applyFont="1" applyFill="1" applyBorder="1" applyAlignment="1" applyProtection="1">
      <alignment horizontal="center" vertical="top"/>
    </xf>
    <xf numFmtId="0" fontId="31" fillId="0" borderId="0" xfId="0" applyFont="1" applyFill="1" applyBorder="1" applyAlignment="1" applyProtection="1">
      <alignment vertical="top"/>
    </xf>
    <xf numFmtId="0" fontId="20" fillId="0" borderId="0" xfId="0" applyFont="1" applyFill="1" applyBorder="1" applyAlignment="1" applyProtection="1">
      <alignment vertical="top"/>
    </xf>
    <xf numFmtId="0" fontId="0" fillId="0" borderId="0" xfId="0" applyFill="1" applyBorder="1" applyAlignment="1" applyProtection="1">
      <alignment vertical="top"/>
    </xf>
    <xf numFmtId="0" fontId="20" fillId="0" borderId="0" xfId="0" applyFont="1" applyFill="1" applyBorder="1" applyAlignment="1" applyProtection="1">
      <alignment horizontal="right" vertical="center"/>
    </xf>
    <xf numFmtId="0" fontId="22" fillId="0" borderId="29" xfId="0" applyFont="1" applyFill="1" applyBorder="1" applyAlignment="1" applyProtection="1">
      <alignment horizontal="center" vertical="center" textRotation="90" wrapText="1"/>
    </xf>
    <xf numFmtId="0" fontId="22" fillId="0" borderId="17" xfId="0" applyFont="1" applyFill="1" applyBorder="1" applyAlignment="1" applyProtection="1">
      <alignment horizontal="center" vertical="center" textRotation="90" wrapText="1"/>
    </xf>
    <xf numFmtId="0" fontId="0" fillId="0" borderId="30" xfId="0" applyBorder="1" applyProtection="1"/>
    <xf numFmtId="0" fontId="28" fillId="0" borderId="17" xfId="0" applyFont="1" applyBorder="1" applyAlignment="1" applyProtection="1">
      <alignment horizontal="center"/>
    </xf>
    <xf numFmtId="0" fontId="20" fillId="0" borderId="17" xfId="0" applyFont="1" applyBorder="1" applyProtection="1"/>
    <xf numFmtId="0" fontId="26" fillId="0" borderId="17" xfId="0" applyFont="1" applyBorder="1" applyProtection="1"/>
    <xf numFmtId="0" fontId="0" fillId="0" borderId="22" xfId="0" applyBorder="1" applyProtection="1"/>
    <xf numFmtId="0" fontId="0" fillId="0" borderId="0" xfId="0" applyFont="1" applyBorder="1" applyProtection="1"/>
    <xf numFmtId="0" fontId="0" fillId="0" borderId="16" xfId="0" applyBorder="1" applyProtection="1"/>
    <xf numFmtId="0" fontId="32" fillId="0" borderId="0" xfId="0" applyFont="1" applyBorder="1" applyProtection="1"/>
    <xf numFmtId="0" fontId="31" fillId="0" borderId="0" xfId="0" applyFont="1" applyBorder="1" applyAlignment="1" applyProtection="1">
      <alignment horizontal="center"/>
    </xf>
    <xf numFmtId="0" fontId="26" fillId="0" borderId="0" xfId="0" applyFont="1" applyBorder="1" applyAlignment="1" applyProtection="1">
      <alignment horizontal="left" vertical="top"/>
    </xf>
    <xf numFmtId="0" fontId="31" fillId="0" borderId="0" xfId="0" applyFont="1" applyProtection="1"/>
    <xf numFmtId="0" fontId="28" fillId="0" borderId="0" xfId="0" applyFont="1" applyBorder="1" applyAlignment="1" applyProtection="1">
      <alignment vertical="top"/>
    </xf>
    <xf numFmtId="0" fontId="22" fillId="0" borderId="29" xfId="0" applyFont="1" applyBorder="1" applyAlignment="1" applyProtection="1">
      <alignment horizontal="center" vertical="center" textRotation="90" wrapText="1"/>
    </xf>
    <xf numFmtId="0" fontId="22" fillId="0" borderId="17" xfId="0" applyFont="1" applyBorder="1" applyAlignment="1" applyProtection="1">
      <alignment horizontal="center" vertical="center" textRotation="90" wrapText="1"/>
    </xf>
    <xf numFmtId="0" fontId="28" fillId="0" borderId="17" xfId="0" applyFont="1" applyBorder="1" applyAlignment="1" applyProtection="1">
      <alignment horizontal="center" vertical="center"/>
    </xf>
    <xf numFmtId="0" fontId="0" fillId="0" borderId="17" xfId="0" applyBorder="1" applyAlignment="1" applyProtection="1">
      <alignment vertical="center"/>
    </xf>
    <xf numFmtId="0" fontId="20" fillId="0" borderId="17" xfId="0" applyFont="1" applyBorder="1" applyAlignment="1" applyProtection="1">
      <alignment vertical="center"/>
    </xf>
    <xf numFmtId="0" fontId="26" fillId="0" borderId="17" xfId="0" applyFont="1" applyBorder="1" applyAlignment="1" applyProtection="1">
      <alignment vertical="center"/>
    </xf>
    <xf numFmtId="0" fontId="31" fillId="0" borderId="17" xfId="0" applyFont="1" applyBorder="1" applyAlignment="1" applyProtection="1">
      <alignment vertical="center"/>
    </xf>
    <xf numFmtId="0" fontId="39" fillId="0" borderId="0" xfId="0" applyFont="1" applyBorder="1" applyProtection="1"/>
    <xf numFmtId="0" fontId="28" fillId="0" borderId="0" xfId="0" applyFont="1" applyBorder="1" applyAlignment="1" applyProtection="1">
      <alignment horizontal="center" vertical="center"/>
    </xf>
    <xf numFmtId="0" fontId="32" fillId="0" borderId="0" xfId="0" applyFont="1" applyBorder="1" applyAlignment="1" applyProtection="1">
      <alignment vertical="center"/>
    </xf>
    <xf numFmtId="0" fontId="45" fillId="0" borderId="17" xfId="0" applyFont="1" applyBorder="1" applyAlignment="1" applyProtection="1">
      <alignment horizontal="center" vertical="center"/>
    </xf>
    <xf numFmtId="0" fontId="32" fillId="0" borderId="16" xfId="0" applyFont="1" applyBorder="1" applyAlignment="1" applyProtection="1">
      <alignment vertical="center"/>
    </xf>
    <xf numFmtId="0" fontId="31" fillId="0" borderId="0" xfId="0" applyFont="1" applyBorder="1" applyAlignment="1" applyProtection="1">
      <alignment horizontal="center" vertical="top"/>
    </xf>
    <xf numFmtId="0" fontId="22" fillId="0" borderId="0" xfId="0" applyFont="1" applyBorder="1" applyAlignment="1" applyProtection="1">
      <alignment vertical="top"/>
    </xf>
    <xf numFmtId="0" fontId="0" fillId="0" borderId="17" xfId="0" applyBorder="1" applyAlignment="1" applyProtection="1">
      <alignment vertical="top"/>
    </xf>
    <xf numFmtId="0" fontId="28" fillId="0" borderId="17" xfId="0" quotePrefix="1" applyFont="1" applyBorder="1" applyAlignment="1" applyProtection="1">
      <alignment vertical="top"/>
    </xf>
    <xf numFmtId="0" fontId="22" fillId="0" borderId="18" xfId="0" applyFont="1" applyBorder="1" applyAlignment="1" applyProtection="1">
      <alignment vertical="top"/>
    </xf>
    <xf numFmtId="0" fontId="28" fillId="0" borderId="0" xfId="0" quotePrefix="1" applyFont="1" applyBorder="1" applyAlignment="1" applyProtection="1">
      <alignment vertical="top"/>
    </xf>
    <xf numFmtId="0" fontId="31" fillId="0" borderId="0" xfId="0" quotePrefix="1" applyFont="1" applyBorder="1" applyAlignment="1" applyProtection="1">
      <alignment horizontal="center" vertical="top"/>
    </xf>
    <xf numFmtId="0" fontId="22" fillId="0" borderId="0" xfId="0" applyFont="1" applyFill="1" applyBorder="1" applyAlignment="1" applyProtection="1">
      <alignment vertical="top"/>
    </xf>
    <xf numFmtId="0" fontId="31" fillId="0" borderId="0" xfId="0" applyFont="1" applyFill="1" applyBorder="1" applyProtection="1"/>
    <xf numFmtId="0" fontId="22" fillId="0" borderId="0" xfId="0" applyFont="1" applyFill="1" applyBorder="1" applyAlignment="1" applyProtection="1">
      <alignment horizontal="center" vertical="top"/>
    </xf>
    <xf numFmtId="0" fontId="22" fillId="0" borderId="29" xfId="0" applyFont="1" applyBorder="1" applyAlignment="1" applyProtection="1">
      <alignment horizontal="left" vertical="center" textRotation="90" wrapText="1"/>
    </xf>
    <xf numFmtId="0" fontId="22" fillId="0" borderId="17" xfId="0" applyFont="1" applyBorder="1" applyAlignment="1" applyProtection="1">
      <alignment horizontal="left" vertical="center" textRotation="90" wrapText="1"/>
    </xf>
    <xf numFmtId="0" fontId="0" fillId="0" borderId="17" xfId="0" applyFill="1" applyBorder="1" applyProtection="1"/>
    <xf numFmtId="0" fontId="20" fillId="0" borderId="17" xfId="0" applyFont="1" applyFill="1" applyBorder="1" applyAlignment="1" applyProtection="1">
      <alignment vertical="center"/>
    </xf>
    <xf numFmtId="0" fontId="31" fillId="0" borderId="17" xfId="0" applyFont="1" applyFill="1" applyBorder="1" applyProtection="1"/>
    <xf numFmtId="0" fontId="26" fillId="0" borderId="17" xfId="0" applyFont="1" applyFill="1" applyBorder="1" applyProtection="1"/>
    <xf numFmtId="0" fontId="22" fillId="0" borderId="17" xfId="0" applyFont="1" applyFill="1" applyBorder="1" applyAlignment="1" applyProtection="1">
      <alignment horizontal="center" vertical="top"/>
    </xf>
    <xf numFmtId="0" fontId="26" fillId="0" borderId="18" xfId="0" applyFont="1" applyBorder="1" applyAlignment="1" applyProtection="1">
      <alignment vertical="center" textRotation="90" wrapText="1"/>
    </xf>
    <xf numFmtId="0" fontId="31" fillId="0" borderId="18" xfId="0" applyFont="1" applyBorder="1" applyAlignment="1" applyProtection="1">
      <alignment horizontal="center"/>
    </xf>
    <xf numFmtId="0" fontId="0" fillId="0" borderId="18" xfId="0" applyFont="1" applyBorder="1" applyProtection="1"/>
    <xf numFmtId="0" fontId="32" fillId="0" borderId="18" xfId="0" applyFont="1" applyBorder="1" applyProtection="1"/>
    <xf numFmtId="0" fontId="45" fillId="0" borderId="20" xfId="0" applyFont="1" applyBorder="1" applyAlignment="1" applyProtection="1">
      <alignment horizontal="center" vertical="top"/>
    </xf>
    <xf numFmtId="0" fontId="31" fillId="0" borderId="19" xfId="0" applyFont="1" applyBorder="1" applyAlignment="1" applyProtection="1">
      <alignment vertical="center"/>
    </xf>
    <xf numFmtId="0" fontId="0" fillId="0" borderId="19" xfId="0" applyBorder="1" applyAlignment="1" applyProtection="1">
      <alignment vertical="center"/>
    </xf>
    <xf numFmtId="0" fontId="41" fillId="0" borderId="0" xfId="0" applyFont="1" applyBorder="1" applyAlignment="1" applyProtection="1">
      <alignment horizontal="center" vertical="center"/>
    </xf>
    <xf numFmtId="0" fontId="26" fillId="0" borderId="0" xfId="0" quotePrefix="1" applyFont="1" applyBorder="1" applyAlignment="1" applyProtection="1">
      <alignment horizontal="center" vertical="center"/>
    </xf>
    <xf numFmtId="0" fontId="26" fillId="0" borderId="0" xfId="0" applyFont="1" applyBorder="1" applyAlignment="1" applyProtection="1">
      <alignment horizontal="center" vertical="top" wrapText="1"/>
    </xf>
    <xf numFmtId="0" fontId="48" fillId="0" borderId="0" xfId="0" applyFont="1" applyBorder="1" applyAlignment="1" applyProtection="1">
      <alignment horizontal="center" vertical="center"/>
    </xf>
    <xf numFmtId="0" fontId="0" fillId="0" borderId="16" xfId="0" applyBorder="1" applyAlignment="1" applyProtection="1">
      <alignment horizontal="center"/>
    </xf>
    <xf numFmtId="0" fontId="34" fillId="0" borderId="22" xfId="0" applyFont="1" applyBorder="1" applyAlignment="1" applyProtection="1">
      <alignment wrapText="1"/>
    </xf>
    <xf numFmtId="0" fontId="22" fillId="0" borderId="0" xfId="0" applyFont="1" applyBorder="1" applyAlignment="1" applyProtection="1">
      <alignment horizontal="right" vertical="center"/>
    </xf>
    <xf numFmtId="0" fontId="34" fillId="0" borderId="0" xfId="0" applyFont="1" applyBorder="1" applyAlignment="1" applyProtection="1">
      <alignment vertical="center"/>
    </xf>
    <xf numFmtId="0" fontId="34" fillId="0" borderId="0" xfId="0" applyFont="1" applyBorder="1" applyAlignment="1" applyProtection="1">
      <alignment horizontal="left" wrapText="1"/>
    </xf>
    <xf numFmtId="0" fontId="22" fillId="0" borderId="0" xfId="0" applyFont="1" applyBorder="1" applyAlignment="1" applyProtection="1">
      <alignment vertical="center" wrapText="1"/>
    </xf>
    <xf numFmtId="0" fontId="29" fillId="0" borderId="0" xfId="0" applyFont="1" applyBorder="1" applyAlignment="1" applyProtection="1">
      <alignment vertical="center" wrapText="1"/>
    </xf>
    <xf numFmtId="0" fontId="32" fillId="0" borderId="16" xfId="0" applyFont="1" applyBorder="1" applyProtection="1"/>
    <xf numFmtId="0" fontId="34" fillId="0" borderId="22" xfId="0" applyFont="1" applyFill="1" applyBorder="1" applyAlignment="1" applyProtection="1">
      <alignment vertical="center"/>
    </xf>
    <xf numFmtId="0" fontId="34" fillId="0" borderId="0" xfId="0" applyFont="1" applyFill="1" applyBorder="1" applyAlignment="1" applyProtection="1">
      <alignment horizontal="left" wrapText="1"/>
    </xf>
    <xf numFmtId="164" fontId="34" fillId="0" borderId="22" xfId="30" applyFont="1" applyBorder="1" applyAlignment="1" applyProtection="1">
      <alignment wrapText="1"/>
    </xf>
    <xf numFmtId="0" fontId="26" fillId="0" borderId="17" xfId="0" applyFont="1" applyBorder="1" applyAlignment="1" applyProtection="1">
      <alignment vertical="center" textRotation="90" wrapText="1"/>
    </xf>
    <xf numFmtId="0" fontId="32" fillId="0" borderId="17" xfId="0" applyFont="1" applyBorder="1" applyAlignment="1" applyProtection="1">
      <alignment vertical="top"/>
    </xf>
    <xf numFmtId="0" fontId="31" fillId="0" borderId="17" xfId="0" applyFont="1" applyBorder="1" applyAlignment="1" applyProtection="1">
      <alignment vertical="top"/>
    </xf>
    <xf numFmtId="0" fontId="29" fillId="0" borderId="17" xfId="0" applyFont="1" applyBorder="1" applyAlignment="1" applyProtection="1">
      <alignment horizontal="left" vertical="top"/>
    </xf>
    <xf numFmtId="0" fontId="31" fillId="0" borderId="17" xfId="0" applyFont="1" applyFill="1" applyBorder="1" applyAlignment="1" applyProtection="1">
      <alignment vertical="top"/>
    </xf>
    <xf numFmtId="0" fontId="29" fillId="0" borderId="17" xfId="0" applyFont="1" applyFill="1" applyBorder="1" applyAlignment="1" applyProtection="1">
      <alignment vertical="top"/>
    </xf>
    <xf numFmtId="0" fontId="29" fillId="0" borderId="17" xfId="0" applyFont="1" applyFill="1" applyBorder="1" applyAlignment="1" applyProtection="1">
      <alignment vertical="center" wrapText="1"/>
    </xf>
    <xf numFmtId="0" fontId="29" fillId="0" borderId="17" xfId="0" applyFont="1" applyBorder="1" applyAlignment="1" applyProtection="1">
      <alignment vertical="center" wrapText="1"/>
    </xf>
    <xf numFmtId="0" fontId="22" fillId="0" borderId="17" xfId="0" applyFont="1" applyBorder="1" applyAlignment="1" applyProtection="1">
      <alignment vertical="center" wrapText="1"/>
    </xf>
    <xf numFmtId="0" fontId="32" fillId="0" borderId="17" xfId="0" applyFont="1" applyBorder="1" applyProtection="1"/>
    <xf numFmtId="0" fontId="32" fillId="0" borderId="30" xfId="0" applyFont="1" applyBorder="1" applyProtection="1"/>
    <xf numFmtId="0" fontId="22" fillId="0" borderId="18" xfId="0" applyFont="1" applyBorder="1" applyProtection="1"/>
    <xf numFmtId="0" fontId="0" fillId="0" borderId="18" xfId="0" applyBorder="1" applyAlignment="1" applyProtection="1">
      <alignment vertical="center"/>
    </xf>
    <xf numFmtId="0" fontId="26" fillId="0" borderId="18" xfId="0" applyFont="1" applyBorder="1" applyAlignment="1" applyProtection="1">
      <alignment vertical="center"/>
    </xf>
    <xf numFmtId="0" fontId="0" fillId="0" borderId="18" xfId="0" applyFont="1" applyBorder="1" applyAlignment="1" applyProtection="1">
      <alignment vertical="center"/>
    </xf>
    <xf numFmtId="0" fontId="32" fillId="0" borderId="18" xfId="0" applyFont="1" applyBorder="1" applyAlignment="1" applyProtection="1">
      <alignment vertical="center"/>
    </xf>
    <xf numFmtId="0" fontId="22" fillId="0" borderId="18" xfId="0" applyFont="1" applyBorder="1" applyAlignment="1" applyProtection="1">
      <alignment horizontal="center" vertical="top"/>
    </xf>
    <xf numFmtId="0" fontId="22" fillId="0" borderId="0" xfId="0" applyFont="1" applyBorder="1" applyProtection="1"/>
    <xf numFmtId="0" fontId="40" fillId="0" borderId="0" xfId="0" applyFont="1" applyProtection="1"/>
    <xf numFmtId="16" fontId="20" fillId="0" borderId="0" xfId="0" applyNumberFormat="1" applyFont="1" applyBorder="1" applyAlignment="1" applyProtection="1">
      <alignment vertical="center"/>
    </xf>
    <xf numFmtId="0" fontId="26" fillId="0" borderId="0" xfId="0" applyFont="1" applyBorder="1" applyAlignment="1" applyProtection="1">
      <alignment horizontal="center" vertical="center"/>
    </xf>
    <xf numFmtId="0" fontId="33" fillId="0" borderId="0" xfId="0" applyFont="1" applyBorder="1" applyAlignment="1" applyProtection="1">
      <alignment vertical="center"/>
    </xf>
    <xf numFmtId="0" fontId="0" fillId="0" borderId="16" xfId="0" applyBorder="1" applyAlignment="1" applyProtection="1">
      <alignment vertical="center"/>
    </xf>
    <xf numFmtId="0" fontId="33" fillId="0" borderId="17" xfId="0" applyFont="1" applyBorder="1" applyProtection="1"/>
    <xf numFmtId="0" fontId="33" fillId="0" borderId="17" xfId="0" applyFont="1" applyBorder="1" applyAlignment="1" applyProtection="1">
      <alignment vertical="center"/>
    </xf>
    <xf numFmtId="0" fontId="32" fillId="0" borderId="17" xfId="0" applyFont="1" applyBorder="1" applyAlignment="1" applyProtection="1">
      <alignment vertical="center"/>
    </xf>
    <xf numFmtId="0" fontId="0" fillId="0" borderId="30" xfId="0" applyBorder="1" applyAlignment="1" applyProtection="1">
      <alignment vertical="center"/>
    </xf>
    <xf numFmtId="0" fontId="34" fillId="0" borderId="22" xfId="0" applyFont="1" applyBorder="1" applyAlignment="1" applyProtection="1">
      <alignment horizontal="center" textRotation="90" wrapText="1"/>
    </xf>
    <xf numFmtId="0" fontId="34" fillId="0" borderId="0" xfId="0" applyFont="1" applyBorder="1" applyAlignment="1" applyProtection="1">
      <alignment horizontal="center" textRotation="90" wrapText="1"/>
    </xf>
    <xf numFmtId="0" fontId="34" fillId="0" borderId="16" xfId="0" applyFont="1" applyBorder="1" applyAlignment="1" applyProtection="1">
      <alignment horizontal="center" textRotation="90" wrapText="1"/>
    </xf>
    <xf numFmtId="0" fontId="0" fillId="0" borderId="0" xfId="0" applyBorder="1" applyAlignment="1" applyProtection="1"/>
    <xf numFmtId="0" fontId="22" fillId="0" borderId="0" xfId="0" applyFont="1" applyBorder="1" applyAlignment="1" applyProtection="1"/>
    <xf numFmtId="0" fontId="26" fillId="0" borderId="0" xfId="0" applyFont="1" applyBorder="1" applyAlignment="1" applyProtection="1">
      <alignment horizontal="center"/>
    </xf>
    <xf numFmtId="0" fontId="33" fillId="0" borderId="16" xfId="0" applyFont="1" applyBorder="1" applyProtection="1"/>
    <xf numFmtId="0" fontId="22" fillId="0" borderId="20" xfId="0" applyFont="1" applyBorder="1" applyAlignment="1" applyProtection="1"/>
    <xf numFmtId="0" fontId="32" fillId="0" borderId="20" xfId="0" applyFont="1" applyFill="1" applyBorder="1" applyProtection="1"/>
    <xf numFmtId="0" fontId="32" fillId="0" borderId="0" xfId="0" applyFont="1" applyProtection="1"/>
    <xf numFmtId="0" fontId="32" fillId="0" borderId="20" xfId="0" applyFont="1" applyBorder="1" applyProtection="1"/>
    <xf numFmtId="0" fontId="33" fillId="0" borderId="20" xfId="0" applyFont="1" applyFill="1" applyBorder="1" applyProtection="1"/>
    <xf numFmtId="0" fontId="28" fillId="0" borderId="0" xfId="0" applyFont="1" applyFill="1" applyBorder="1" applyAlignment="1" applyProtection="1">
      <alignment horizontal="center" vertical="center"/>
    </xf>
    <xf numFmtId="0" fontId="33" fillId="0" borderId="20" xfId="0" applyFont="1" applyBorder="1" applyProtection="1"/>
    <xf numFmtId="0" fontId="33" fillId="0" borderId="0" xfId="0" applyFont="1" applyBorder="1" applyAlignment="1" applyProtection="1">
      <alignment vertical="center" wrapText="1"/>
    </xf>
    <xf numFmtId="0" fontId="26" fillId="0" borderId="16" xfId="0" applyFont="1" applyBorder="1" applyAlignment="1" applyProtection="1">
      <alignment horizontal="center" vertical="center" wrapText="1"/>
    </xf>
    <xf numFmtId="0" fontId="33" fillId="0" borderId="16" xfId="0" applyFont="1" applyFill="1" applyBorder="1" applyAlignment="1" applyProtection="1">
      <alignment wrapText="1"/>
    </xf>
    <xf numFmtId="0" fontId="33" fillId="0" borderId="0" xfId="0" applyFont="1" applyFill="1" applyBorder="1" applyAlignment="1" applyProtection="1">
      <alignment wrapText="1"/>
    </xf>
    <xf numFmtId="0" fontId="33" fillId="0" borderId="0" xfId="0" applyFont="1" applyBorder="1" applyAlignment="1" applyProtection="1">
      <alignment horizontal="left" vertical="center" wrapText="1"/>
    </xf>
    <xf numFmtId="0" fontId="26" fillId="0" borderId="0" xfId="0" applyFont="1" applyBorder="1" applyAlignment="1" applyProtection="1">
      <alignment horizontal="center" vertical="center" wrapText="1"/>
    </xf>
    <xf numFmtId="0" fontId="33" fillId="0" borderId="0" xfId="0" applyFont="1" applyFill="1" applyBorder="1" applyAlignment="1" applyProtection="1">
      <alignment horizontal="left" vertical="center" wrapText="1"/>
    </xf>
    <xf numFmtId="0" fontId="32" fillId="0" borderId="22" xfId="0" applyFont="1" applyBorder="1" applyProtection="1"/>
    <xf numFmtId="0" fontId="33" fillId="0" borderId="0" xfId="0" applyFont="1" applyFill="1" applyBorder="1" applyAlignment="1" applyProtection="1"/>
    <xf numFmtId="0" fontId="33" fillId="0" borderId="16" xfId="0" applyFont="1" applyFill="1" applyBorder="1" applyAlignment="1" applyProtection="1"/>
    <xf numFmtId="0" fontId="29" fillId="0" borderId="0" xfId="0" applyFont="1" applyBorder="1" applyProtection="1"/>
    <xf numFmtId="0" fontId="26" fillId="0" borderId="0" xfId="0" applyFont="1" applyFill="1" applyBorder="1" applyAlignment="1" applyProtection="1"/>
    <xf numFmtId="0" fontId="26" fillId="0" borderId="16" xfId="0" applyFont="1" applyFill="1" applyBorder="1" applyAlignment="1" applyProtection="1"/>
    <xf numFmtId="0" fontId="32" fillId="0" borderId="29" xfId="0" applyFont="1" applyBorder="1" applyProtection="1"/>
    <xf numFmtId="0" fontId="29" fillId="0" borderId="17" xfId="0" applyFont="1" applyBorder="1" applyProtection="1"/>
    <xf numFmtId="0" fontId="26" fillId="0" borderId="17" xfId="0" applyFont="1" applyFill="1" applyBorder="1" applyAlignment="1" applyProtection="1"/>
    <xf numFmtId="0" fontId="26" fillId="0" borderId="30" xfId="0" applyFont="1" applyFill="1" applyBorder="1" applyAlignment="1" applyProtection="1"/>
    <xf numFmtId="0" fontId="34" fillId="0" borderId="0" xfId="0" applyFont="1" applyBorder="1" applyAlignment="1" applyProtection="1">
      <alignment vertical="top" wrapText="1"/>
    </xf>
    <xf numFmtId="0" fontId="34" fillId="0" borderId="16" xfId="0" applyFont="1" applyBorder="1" applyAlignment="1" applyProtection="1">
      <alignment vertical="top" wrapText="1"/>
    </xf>
    <xf numFmtId="0" fontId="29" fillId="0" borderId="16" xfId="0" applyFont="1" applyBorder="1" applyAlignment="1" applyProtection="1">
      <alignment horizontal="left" vertical="top" wrapText="1"/>
    </xf>
    <xf numFmtId="0" fontId="29" fillId="0" borderId="0" xfId="0" applyFont="1" applyBorder="1" applyAlignment="1" applyProtection="1">
      <alignment horizontal="left" vertical="top" wrapText="1"/>
    </xf>
    <xf numFmtId="0" fontId="49" fillId="0" borderId="0" xfId="0" quotePrefix="1" applyFont="1" applyBorder="1" applyAlignment="1" applyProtection="1">
      <alignment horizontal="center" vertical="center"/>
    </xf>
    <xf numFmtId="0" fontId="32" fillId="0" borderId="16" xfId="0" applyFont="1" applyBorder="1" applyAlignment="1" applyProtection="1"/>
    <xf numFmtId="0" fontId="34" fillId="0" borderId="0" xfId="0" applyFont="1" applyBorder="1" applyProtection="1"/>
    <xf numFmtId="0" fontId="32" fillId="0" borderId="22" xfId="0" applyFont="1" applyBorder="1" applyAlignment="1" applyProtection="1">
      <alignment vertical="center"/>
    </xf>
    <xf numFmtId="0" fontId="50" fillId="0" borderId="0" xfId="0" applyFont="1" applyBorder="1" applyProtection="1"/>
    <xf numFmtId="0" fontId="49" fillId="25" borderId="0" xfId="0" applyFont="1" applyFill="1" applyBorder="1" applyAlignment="1" applyProtection="1">
      <alignment horizontal="center" vertical="center"/>
    </xf>
    <xf numFmtId="0" fontId="49" fillId="0" borderId="0" xfId="0" applyFont="1" applyBorder="1" applyAlignment="1" applyProtection="1">
      <alignment horizontal="center" vertical="center"/>
    </xf>
    <xf numFmtId="0" fontId="49" fillId="0" borderId="0" xfId="0" applyFont="1" applyBorder="1" applyProtection="1"/>
    <xf numFmtId="0" fontId="32" fillId="24" borderId="0" xfId="0" applyFont="1" applyFill="1" applyProtection="1"/>
    <xf numFmtId="0" fontId="22" fillId="29" borderId="0" xfId="48" applyFont="1" applyFill="1" applyBorder="1" applyAlignment="1" applyProtection="1">
      <alignment horizontal="left" vertical="top" wrapText="1"/>
    </xf>
    <xf numFmtId="0" fontId="33" fillId="0" borderId="0" xfId="0" applyFont="1" applyBorder="1" applyAlignment="1">
      <alignment horizontal="left" vertical="center"/>
    </xf>
    <xf numFmtId="0" fontId="28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vertical="top" wrapText="1"/>
    </xf>
    <xf numFmtId="0" fontId="31" fillId="0" borderId="0" xfId="0" applyFont="1" applyBorder="1" applyAlignment="1">
      <alignment vertical="top"/>
    </xf>
    <xf numFmtId="0" fontId="20" fillId="0" borderId="0" xfId="0" applyFont="1" applyBorder="1" applyAlignment="1">
      <alignment vertical="top"/>
    </xf>
    <xf numFmtId="0" fontId="31" fillId="0" borderId="0" xfId="0" applyFont="1" applyBorder="1" applyAlignment="1">
      <alignment horizontal="left" vertical="center" wrapText="1"/>
    </xf>
    <xf numFmtId="0" fontId="34" fillId="0" borderId="0" xfId="0" applyFont="1" applyFill="1" applyBorder="1" applyAlignment="1">
      <alignment horizontal="left" vertical="center"/>
    </xf>
    <xf numFmtId="0" fontId="33" fillId="0" borderId="0" xfId="0" applyFont="1" applyFill="1" applyBorder="1" applyAlignment="1">
      <alignment horizontal="left" vertical="distributed"/>
    </xf>
    <xf numFmtId="0" fontId="34" fillId="0" borderId="0" xfId="0" applyFont="1" applyFill="1" applyBorder="1" applyAlignment="1">
      <alignment horizontal="center" vertical="distributed" wrapText="1"/>
    </xf>
    <xf numFmtId="0" fontId="31" fillId="0" borderId="0" xfId="0" applyFont="1" applyBorder="1" applyAlignment="1" applyProtection="1">
      <alignment vertical="top" wrapText="1"/>
    </xf>
    <xf numFmtId="0" fontId="34" fillId="0" borderId="0" xfId="0" applyFont="1" applyFill="1" applyBorder="1" applyAlignment="1" applyProtection="1">
      <alignment horizontal="center" vertical="distributed" wrapText="1"/>
    </xf>
    <xf numFmtId="0" fontId="28" fillId="0" borderId="0" xfId="0" applyFont="1" applyBorder="1" applyAlignment="1" applyProtection="1">
      <alignment horizontal="center" vertical="top"/>
    </xf>
    <xf numFmtId="0" fontId="31" fillId="0" borderId="0" xfId="0" applyFont="1" applyBorder="1" applyAlignment="1" applyProtection="1">
      <alignment horizontal="left" vertical="top"/>
    </xf>
    <xf numFmtId="0" fontId="31" fillId="0" borderId="0" xfId="0" applyFont="1" applyBorder="1" applyAlignment="1" applyProtection="1">
      <alignment vertical="top"/>
    </xf>
    <xf numFmtId="0" fontId="31" fillId="0" borderId="0" xfId="0" applyFont="1" applyBorder="1" applyAlignment="1" applyProtection="1">
      <alignment horizontal="left" vertical="top" wrapText="1"/>
    </xf>
    <xf numFmtId="0" fontId="20" fillId="0" borderId="0" xfId="0" applyFont="1" applyBorder="1" applyAlignment="1" applyProtection="1">
      <alignment vertical="top"/>
    </xf>
    <xf numFmtId="0" fontId="26" fillId="0" borderId="0" xfId="0" applyFont="1" applyFill="1" applyBorder="1" applyAlignment="1" applyProtection="1">
      <alignment horizontal="center" vertical="center"/>
    </xf>
    <xf numFmtId="0" fontId="22" fillId="0" borderId="0" xfId="0" applyFont="1" applyFill="1" applyProtection="1"/>
    <xf numFmtId="0" fontId="28" fillId="0" borderId="0" xfId="0" applyFont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 wrapText="1"/>
    </xf>
    <xf numFmtId="0" fontId="28" fillId="0" borderId="27" xfId="0" applyFont="1" applyBorder="1" applyAlignment="1">
      <alignment horizontal="center" vertical="center"/>
    </xf>
    <xf numFmtId="0" fontId="34" fillId="0" borderId="27" xfId="0" quotePrefix="1" applyFont="1" applyBorder="1" applyAlignment="1">
      <alignment horizontal="center" vertical="center" wrapText="1"/>
    </xf>
    <xf numFmtId="0" fontId="34" fillId="0" borderId="20" xfId="0" quotePrefix="1" applyFont="1" applyBorder="1" applyAlignment="1">
      <alignment horizontal="center" vertical="center" wrapText="1"/>
    </xf>
    <xf numFmtId="0" fontId="0" fillId="0" borderId="18" xfId="0" applyFont="1" applyBorder="1" applyAlignment="1">
      <alignment horizontal="center" vertical="center" wrapText="1"/>
    </xf>
    <xf numFmtId="0" fontId="34" fillId="0" borderId="20" xfId="0" applyFont="1" applyBorder="1" applyAlignment="1">
      <alignment horizontal="center" vertical="center" wrapText="1"/>
    </xf>
    <xf numFmtId="0" fontId="31" fillId="0" borderId="31" xfId="0" applyFont="1" applyBorder="1" applyAlignment="1">
      <alignment horizontal="center" vertical="center" wrapText="1"/>
    </xf>
    <xf numFmtId="0" fontId="0" fillId="0" borderId="20" xfId="0" applyFont="1" applyBorder="1" applyAlignment="1">
      <alignment horizontal="center" vertical="center" wrapText="1"/>
    </xf>
    <xf numFmtId="0" fontId="28" fillId="0" borderId="0" xfId="0" applyFont="1" applyBorder="1" applyAlignment="1">
      <alignment horizontal="center" vertical="center" wrapText="1"/>
    </xf>
    <xf numFmtId="0" fontId="34" fillId="0" borderId="20" xfId="0" applyFont="1" applyBorder="1" applyAlignment="1">
      <alignment horizontal="center"/>
    </xf>
    <xf numFmtId="0" fontId="20" fillId="0" borderId="31" xfId="0" applyFont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 vertical="top" wrapText="1"/>
    </xf>
    <xf numFmtId="0" fontId="34" fillId="0" borderId="0" xfId="0" applyFont="1" applyBorder="1" applyAlignment="1">
      <alignment horizontal="center" vertical="distributed" wrapText="1"/>
    </xf>
    <xf numFmtId="0" fontId="26" fillId="0" borderId="0" xfId="0" applyFont="1" applyBorder="1" applyAlignment="1">
      <alignment horizontal="center" vertical="top"/>
    </xf>
    <xf numFmtId="0" fontId="39" fillId="0" borderId="0" xfId="0" applyFont="1" applyBorder="1" applyAlignment="1">
      <alignment horizontal="center" vertical="center" wrapText="1"/>
    </xf>
    <xf numFmtId="0" fontId="22" fillId="0" borderId="0" xfId="0" applyFont="1" applyAlignment="1">
      <alignment horizontal="center" vertical="center" textRotation="90" wrapText="1"/>
    </xf>
    <xf numFmtId="0" fontId="30" fillId="0" borderId="0" xfId="0" applyFont="1" applyFill="1" applyBorder="1" applyAlignment="1">
      <alignment horizontal="center" vertical="center"/>
    </xf>
    <xf numFmtId="0" fontId="68" fillId="29" borderId="0" xfId="46" applyFont="1" applyFill="1" applyBorder="1" applyAlignment="1" applyProtection="1">
      <alignment horizontal="left" wrapText="1"/>
    </xf>
    <xf numFmtId="0" fontId="23" fillId="29" borderId="0" xfId="47" applyFont="1" applyFill="1" applyBorder="1" applyProtection="1">
      <alignment vertical="center"/>
    </xf>
    <xf numFmtId="0" fontId="23" fillId="29" borderId="0" xfId="47" applyFont="1" applyFill="1" applyAlignment="1" applyProtection="1">
      <alignment horizontal="center" vertical="center"/>
    </xf>
    <xf numFmtId="168" fontId="23" fillId="29" borderId="0" xfId="52" applyNumberFormat="1" applyFont="1" applyFill="1" applyAlignment="1" applyProtection="1">
      <alignment vertical="center"/>
    </xf>
    <xf numFmtId="0" fontId="63" fillId="29" borderId="0" xfId="46" applyFont="1" applyFill="1" applyBorder="1" applyAlignment="1" applyProtection="1">
      <alignment wrapText="1"/>
    </xf>
    <xf numFmtId="0" fontId="99" fillId="29" borderId="0" xfId="89" applyFont="1" applyFill="1" applyAlignment="1" applyProtection="1">
      <alignment vertical="center"/>
    </xf>
    <xf numFmtId="0" fontId="39" fillId="30" borderId="0" xfId="47" applyFont="1" applyFill="1" applyBorder="1" applyAlignment="1" applyProtection="1">
      <alignment horizontal="left" vertical="center"/>
    </xf>
    <xf numFmtId="0" fontId="40" fillId="30" borderId="0" xfId="47" applyFont="1" applyFill="1" applyAlignment="1" applyProtection="1">
      <alignment vertical="center"/>
    </xf>
    <xf numFmtId="0" fontId="40" fillId="30" borderId="0" xfId="47" applyFont="1" applyFill="1" applyBorder="1" applyAlignment="1" applyProtection="1">
      <alignment vertical="center"/>
    </xf>
    <xf numFmtId="0" fontId="39" fillId="30" borderId="47" xfId="47" applyFont="1" applyFill="1" applyBorder="1" applyAlignment="1" applyProtection="1">
      <alignment horizontal="left" vertical="center" wrapText="1"/>
    </xf>
    <xf numFmtId="0" fontId="39" fillId="30" borderId="47" xfId="47" applyFont="1" applyFill="1" applyBorder="1" applyAlignment="1" applyProtection="1">
      <alignment horizontal="center" vertical="center" wrapText="1"/>
    </xf>
    <xf numFmtId="168" fontId="39" fillId="30" borderId="47" xfId="52" applyNumberFormat="1" applyFont="1" applyFill="1" applyBorder="1" applyAlignment="1" applyProtection="1">
      <alignment horizontal="center" vertical="center" wrapText="1"/>
    </xf>
    <xf numFmtId="168" fontId="39" fillId="30" borderId="0" xfId="52" applyNumberFormat="1" applyFont="1" applyFill="1" applyBorder="1" applyAlignment="1" applyProtection="1">
      <alignment horizontal="center" vertical="center" wrapText="1"/>
    </xf>
    <xf numFmtId="0" fontId="40" fillId="29" borderId="0" xfId="47" applyFont="1" applyFill="1" applyAlignment="1" applyProtection="1">
      <alignment vertical="center"/>
    </xf>
    <xf numFmtId="0" fontId="40" fillId="29" borderId="0" xfId="47" applyFont="1" applyFill="1" applyBorder="1" applyAlignment="1" applyProtection="1">
      <alignment horizontal="left" vertical="center"/>
    </xf>
    <xf numFmtId="0" fontId="40" fillId="29" borderId="0" xfId="47" applyFont="1" applyFill="1" applyBorder="1" applyAlignment="1" applyProtection="1">
      <alignment horizontal="left" vertical="center" wrapText="1"/>
    </xf>
    <xf numFmtId="0" fontId="40" fillId="29" borderId="0" xfId="47" applyFont="1" applyFill="1" applyBorder="1" applyAlignment="1" applyProtection="1">
      <alignment vertical="center"/>
    </xf>
    <xf numFmtId="0" fontId="40" fillId="29" borderId="0" xfId="47" applyFont="1" applyFill="1" applyAlignment="1" applyProtection="1">
      <alignment horizontal="center" vertical="center"/>
    </xf>
    <xf numFmtId="168" fontId="40" fillId="29" borderId="0" xfId="52" applyNumberFormat="1" applyFont="1" applyFill="1" applyAlignment="1" applyProtection="1">
      <alignment vertical="center"/>
    </xf>
    <xf numFmtId="0" fontId="40" fillId="29" borderId="0" xfId="47" applyFont="1" applyFill="1" applyAlignment="1" applyProtection="1">
      <alignment vertical="center" wrapText="1"/>
    </xf>
    <xf numFmtId="0" fontId="40" fillId="29" borderId="0" xfId="47" applyFont="1" applyFill="1" applyAlignment="1" applyProtection="1">
      <alignment horizontal="center" vertical="center" wrapText="1"/>
    </xf>
    <xf numFmtId="0" fontId="40" fillId="29" borderId="0" xfId="47" applyFont="1" applyFill="1" applyBorder="1" applyAlignment="1" applyProtection="1">
      <alignment vertical="center" wrapText="1"/>
    </xf>
    <xf numFmtId="168" fontId="40" fillId="29" borderId="0" xfId="52" applyNumberFormat="1" applyFont="1" applyFill="1" applyAlignment="1" applyProtection="1">
      <alignment vertical="center" wrapText="1"/>
    </xf>
    <xf numFmtId="0" fontId="39" fillId="29" borderId="15" xfId="47" applyFont="1" applyFill="1" applyBorder="1" applyAlignment="1" applyProtection="1">
      <alignment horizontal="center" vertical="center" wrapText="1"/>
    </xf>
    <xf numFmtId="0" fontId="40" fillId="29" borderId="26" xfId="47" applyFont="1" applyFill="1" applyBorder="1" applyAlignment="1" applyProtection="1">
      <alignment vertical="center" wrapText="1"/>
    </xf>
    <xf numFmtId="0" fontId="40" fillId="29" borderId="14" xfId="47" quotePrefix="1" applyFont="1" applyFill="1" applyBorder="1" applyAlignment="1" applyProtection="1">
      <alignment vertical="center" wrapText="1"/>
    </xf>
    <xf numFmtId="176" fontId="40" fillId="29" borderId="14" xfId="52" applyNumberFormat="1" applyFont="1" applyFill="1" applyBorder="1" applyAlignment="1" applyProtection="1">
      <alignment vertical="center" wrapText="1"/>
      <protection hidden="1"/>
    </xf>
    <xf numFmtId="0" fontId="40" fillId="29" borderId="0" xfId="47" applyFont="1" applyFill="1" applyAlignment="1" applyProtection="1">
      <alignment horizontal="center" vertical="center" wrapText="1"/>
      <protection hidden="1"/>
    </xf>
    <xf numFmtId="0" fontId="40" fillId="29" borderId="0" xfId="47" applyFont="1" applyFill="1" applyBorder="1" applyAlignment="1" applyProtection="1">
      <alignment vertical="center" wrapText="1"/>
      <protection hidden="1"/>
    </xf>
    <xf numFmtId="176" fontId="40" fillId="29" borderId="0" xfId="52" applyNumberFormat="1" applyFont="1" applyFill="1" applyAlignment="1" applyProtection="1">
      <alignment vertical="center" wrapText="1"/>
      <protection hidden="1"/>
    </xf>
    <xf numFmtId="0" fontId="40" fillId="29" borderId="0" xfId="47" applyFont="1" applyFill="1" applyProtection="1">
      <alignment vertical="center"/>
    </xf>
    <xf numFmtId="0" fontId="40" fillId="29" borderId="10" xfId="47" applyFont="1" applyFill="1" applyBorder="1" applyProtection="1">
      <alignment vertical="center"/>
    </xf>
    <xf numFmtId="0" fontId="40" fillId="29" borderId="0" xfId="47" quotePrefix="1" applyFont="1" applyFill="1" applyBorder="1" applyProtection="1">
      <alignment vertical="center"/>
    </xf>
    <xf numFmtId="176" fontId="40" fillId="29" borderId="0" xfId="47" applyNumberFormat="1" applyFont="1" applyFill="1" applyBorder="1" applyProtection="1">
      <alignment vertical="center"/>
      <protection hidden="1"/>
    </xf>
    <xf numFmtId="0" fontId="40" fillId="29" borderId="0" xfId="47" applyFont="1" applyFill="1" applyAlignment="1" applyProtection="1">
      <alignment horizontal="center" vertical="center"/>
      <protection hidden="1"/>
    </xf>
    <xf numFmtId="0" fontId="40" fillId="29" borderId="0" xfId="47" applyFont="1" applyFill="1" applyBorder="1" applyProtection="1">
      <alignment vertical="center"/>
      <protection hidden="1"/>
    </xf>
    <xf numFmtId="176" fontId="40" fillId="29" borderId="0" xfId="52" applyNumberFormat="1" applyFont="1" applyFill="1" applyAlignment="1" applyProtection="1">
      <alignment vertical="center"/>
      <protection hidden="1"/>
    </xf>
    <xf numFmtId="0" fontId="40" fillId="29" borderId="21" xfId="47" applyFont="1" applyFill="1" applyBorder="1" applyProtection="1">
      <alignment vertical="center"/>
    </xf>
    <xf numFmtId="0" fontId="40" fillId="29" borderId="12" xfId="47" quotePrefix="1" applyFont="1" applyFill="1" applyBorder="1" applyProtection="1">
      <alignment vertical="center"/>
    </xf>
    <xf numFmtId="176" fontId="40" fillId="29" borderId="12" xfId="47" applyNumberFormat="1" applyFont="1" applyFill="1" applyBorder="1" applyProtection="1">
      <alignment vertical="center"/>
      <protection hidden="1"/>
    </xf>
    <xf numFmtId="176" fontId="40" fillId="29" borderId="14" xfId="47" applyNumberFormat="1" applyFont="1" applyFill="1" applyBorder="1" applyProtection="1">
      <alignment vertical="center"/>
      <protection hidden="1"/>
    </xf>
    <xf numFmtId="0" fontId="40" fillId="29" borderId="10" xfId="47" applyFont="1" applyFill="1" applyBorder="1" applyAlignment="1" applyProtection="1">
      <alignment vertical="center" wrapText="1"/>
    </xf>
    <xf numFmtId="0" fontId="40" fillId="29" borderId="0" xfId="47" quotePrefix="1" applyFont="1" applyFill="1" applyBorder="1" applyAlignment="1" applyProtection="1">
      <alignment vertical="center" wrapText="1"/>
    </xf>
    <xf numFmtId="0" fontId="40" fillId="29" borderId="0" xfId="47" quotePrefix="1" applyFont="1" applyFill="1" applyProtection="1">
      <alignment vertical="center"/>
    </xf>
    <xf numFmtId="0" fontId="40" fillId="29" borderId="26" xfId="47" applyFont="1" applyFill="1" applyBorder="1" applyProtection="1">
      <alignment vertical="center"/>
    </xf>
    <xf numFmtId="0" fontId="40" fillId="29" borderId="14" xfId="47" quotePrefix="1" applyFont="1" applyFill="1" applyBorder="1" applyAlignment="1" applyProtection="1">
      <alignment horizontal="left" vertical="center"/>
    </xf>
    <xf numFmtId="0" fontId="40" fillId="29" borderId="0" xfId="47" quotePrefix="1" applyFont="1" applyFill="1" applyBorder="1" applyAlignment="1" applyProtection="1">
      <alignment horizontal="left" vertical="center" wrapText="1"/>
    </xf>
    <xf numFmtId="176" fontId="40" fillId="29" borderId="0" xfId="52" applyNumberFormat="1" applyFont="1" applyFill="1" applyAlignment="1" applyProtection="1">
      <alignment horizontal="center" vertical="center"/>
      <protection hidden="1"/>
    </xf>
    <xf numFmtId="0" fontId="40" fillId="29" borderId="0" xfId="47" quotePrefix="1" applyFont="1" applyFill="1" applyBorder="1" applyAlignment="1" applyProtection="1">
      <alignment horizontal="left" vertical="center"/>
    </xf>
    <xf numFmtId="0" fontId="40" fillId="29" borderId="0" xfId="47" applyFont="1" applyFill="1" applyBorder="1" applyProtection="1">
      <alignment vertical="center"/>
    </xf>
    <xf numFmtId="0" fontId="39" fillId="29" borderId="32" xfId="47" applyFont="1" applyFill="1" applyBorder="1" applyAlignment="1" applyProtection="1">
      <alignment horizontal="center" vertical="center"/>
    </xf>
    <xf numFmtId="0" fontId="40" fillId="29" borderId="12" xfId="47" quotePrefix="1" applyFont="1" applyFill="1" applyBorder="1" applyAlignment="1" applyProtection="1">
      <alignment horizontal="left" vertical="center"/>
    </xf>
    <xf numFmtId="0" fontId="39" fillId="29" borderId="0" xfId="47" applyFont="1" applyFill="1" applyBorder="1" applyAlignment="1" applyProtection="1">
      <alignment horizontal="center" vertical="center"/>
    </xf>
    <xf numFmtId="43" fontId="39" fillId="29" borderId="0" xfId="52" applyFont="1" applyFill="1" applyBorder="1" applyAlignment="1" applyProtection="1">
      <alignment vertical="center"/>
    </xf>
    <xf numFmtId="0" fontId="40" fillId="29" borderId="0" xfId="47" applyFont="1" applyFill="1" applyBorder="1" applyAlignment="1" applyProtection="1">
      <alignment vertical="center"/>
      <protection hidden="1"/>
    </xf>
    <xf numFmtId="0" fontId="39" fillId="29" borderId="0" xfId="47" applyFont="1" applyFill="1" applyBorder="1" applyAlignment="1" applyProtection="1">
      <alignment horizontal="left" vertical="center"/>
    </xf>
    <xf numFmtId="0" fontId="39" fillId="29" borderId="0" xfId="47" applyFont="1" applyFill="1" applyAlignment="1" applyProtection="1">
      <alignment vertical="center" wrapText="1"/>
    </xf>
    <xf numFmtId="168" fontId="40" fillId="29" borderId="0" xfId="52" applyNumberFormat="1" applyFont="1" applyFill="1" applyBorder="1" applyAlignment="1" applyProtection="1">
      <alignment vertical="center"/>
      <protection hidden="1"/>
    </xf>
    <xf numFmtId="168" fontId="40" fillId="29" borderId="0" xfId="52" applyNumberFormat="1" applyFont="1" applyFill="1" applyAlignment="1" applyProtection="1">
      <alignment vertical="center"/>
      <protection hidden="1"/>
    </xf>
    <xf numFmtId="0" fontId="40" fillId="29" borderId="0" xfId="47" applyFont="1" applyFill="1" applyAlignment="1" applyProtection="1">
      <alignment horizontal="left" vertical="center"/>
    </xf>
    <xf numFmtId="168" fontId="39" fillId="29" borderId="0" xfId="52" applyNumberFormat="1" applyFont="1" applyFill="1" applyBorder="1" applyAlignment="1" applyProtection="1">
      <alignment vertical="center"/>
    </xf>
    <xf numFmtId="0" fontId="40" fillId="29" borderId="0" xfId="47" quotePrefix="1" applyFont="1" applyFill="1" applyAlignment="1" applyProtection="1">
      <alignment vertical="center" wrapText="1"/>
    </xf>
    <xf numFmtId="0" fontId="39" fillId="29" borderId="15" xfId="47" applyFont="1" applyFill="1" applyBorder="1" applyAlignment="1" applyProtection="1">
      <alignment horizontal="center" vertical="center"/>
    </xf>
    <xf numFmtId="168" fontId="39" fillId="29" borderId="0" xfId="47" applyNumberFormat="1" applyFont="1" applyFill="1" applyBorder="1" applyProtection="1">
      <alignment vertical="center"/>
    </xf>
    <xf numFmtId="0" fontId="101" fillId="29" borderId="0" xfId="47" applyFont="1" applyFill="1" applyBorder="1" applyAlignment="1" applyProtection="1">
      <alignment horizontal="left" vertical="top" wrapText="1"/>
    </xf>
    <xf numFmtId="43" fontId="39" fillId="29" borderId="0" xfId="47" applyNumberFormat="1" applyFont="1" applyFill="1" applyBorder="1" applyProtection="1">
      <alignment vertical="center"/>
    </xf>
    <xf numFmtId="166" fontId="40" fillId="29" borderId="0" xfId="47" applyNumberFormat="1" applyFont="1" applyFill="1" applyBorder="1" applyAlignment="1" applyProtection="1">
      <alignment horizontal="center" vertical="center"/>
    </xf>
    <xf numFmtId="0" fontId="101" fillId="29" borderId="0" xfId="47" applyFont="1" applyFill="1" applyBorder="1" applyAlignment="1" applyProtection="1">
      <alignment horizontal="left" vertical="center" wrapText="1" indent="2"/>
    </xf>
    <xf numFmtId="8" fontId="40" fillId="29" borderId="0" xfId="47" applyNumberFormat="1" applyFont="1" applyFill="1" applyBorder="1" applyAlignment="1" applyProtection="1">
      <alignment horizontal="left" vertical="center" wrapText="1"/>
    </xf>
    <xf numFmtId="0" fontId="40" fillId="29" borderId="0" xfId="47" quotePrefix="1" applyFont="1" applyFill="1" applyAlignment="1" applyProtection="1">
      <alignment horizontal="center" vertical="center"/>
    </xf>
    <xf numFmtId="0" fontId="40" fillId="29" borderId="0" xfId="47" applyFont="1" applyFill="1" applyBorder="1" applyAlignment="1" applyProtection="1">
      <alignment horizontal="left" vertical="center" wrapText="1" indent="2"/>
    </xf>
    <xf numFmtId="168" fontId="102" fillId="29" borderId="0" xfId="52" applyNumberFormat="1" applyFont="1" applyFill="1" applyBorder="1" applyAlignment="1" applyProtection="1">
      <alignment horizontal="left" vertical="center" wrapText="1"/>
    </xf>
    <xf numFmtId="176" fontId="102" fillId="29" borderId="0" xfId="89" applyNumberFormat="1" applyFont="1" applyFill="1" applyBorder="1" applyAlignment="1" applyProtection="1">
      <alignment horizontal="left" vertical="center" wrapText="1"/>
    </xf>
    <xf numFmtId="0" fontId="23" fillId="29" borderId="0" xfId="47" applyFont="1" applyFill="1" applyBorder="1" applyAlignment="1" applyProtection="1">
      <alignment horizontal="left" vertical="center" wrapText="1" indent="2"/>
    </xf>
    <xf numFmtId="168" fontId="103" fillId="29" borderId="0" xfId="52" applyNumberFormat="1" applyFont="1" applyFill="1" applyBorder="1" applyAlignment="1" applyProtection="1">
      <alignment horizontal="left" vertical="center" wrapText="1"/>
    </xf>
    <xf numFmtId="176" fontId="103" fillId="29" borderId="0" xfId="89" applyNumberFormat="1" applyFont="1" applyFill="1" applyBorder="1" applyAlignment="1" applyProtection="1">
      <alignment horizontal="left" vertical="center" wrapText="1"/>
    </xf>
    <xf numFmtId="43" fontId="23" fillId="29" borderId="0" xfId="52" applyFont="1" applyFill="1" applyAlignment="1" applyProtection="1">
      <alignment vertical="center"/>
    </xf>
    <xf numFmtId="176" fontId="23" fillId="29" borderId="0" xfId="47" applyNumberFormat="1" applyFont="1" applyFill="1" applyProtection="1">
      <alignment vertical="center"/>
    </xf>
    <xf numFmtId="0" fontId="23" fillId="29" borderId="0" xfId="47" quotePrefix="1" applyFont="1" applyFill="1" applyProtection="1">
      <alignment vertical="center"/>
    </xf>
    <xf numFmtId="176" fontId="103" fillId="29" borderId="0" xfId="89" applyNumberFormat="1" applyFont="1" applyFill="1" applyBorder="1" applyAlignment="1" applyProtection="1">
      <alignment horizontal="left" vertical="center"/>
    </xf>
    <xf numFmtId="0" fontId="23" fillId="29" borderId="0" xfId="47" quotePrefix="1" applyFont="1" applyFill="1" applyAlignment="1" applyProtection="1">
      <alignment horizontal="center" vertical="center"/>
    </xf>
    <xf numFmtId="168" fontId="103" fillId="29" borderId="0" xfId="52" applyNumberFormat="1" applyFont="1" applyFill="1" applyBorder="1" applyAlignment="1" applyProtection="1">
      <alignment horizontal="left" vertical="center"/>
    </xf>
    <xf numFmtId="0" fontId="104" fillId="0" borderId="0" xfId="97" applyFont="1"/>
    <xf numFmtId="0" fontId="105" fillId="0" borderId="0" xfId="97" applyFont="1"/>
    <xf numFmtId="0" fontId="105" fillId="0" borderId="0" xfId="97" applyFont="1" applyAlignment="1">
      <alignment horizontal="left"/>
    </xf>
    <xf numFmtId="15" fontId="45" fillId="0" borderId="0" xfId="97" applyNumberFormat="1" applyFont="1" applyAlignment="1">
      <alignment horizontal="left"/>
    </xf>
    <xf numFmtId="4" fontId="53" fillId="0" borderId="0" xfId="0" applyNumberFormat="1" applyFont="1" applyFill="1" applyBorder="1" applyAlignment="1">
      <alignment vertical="top"/>
    </xf>
    <xf numFmtId="4" fontId="45" fillId="0" borderId="0" xfId="97" applyNumberFormat="1" applyFont="1" applyFill="1"/>
    <xf numFmtId="4" fontId="45" fillId="0" borderId="0" xfId="97" applyNumberFormat="1" applyFont="1" applyFill="1" applyAlignment="1">
      <alignment horizontal="center" vertical="center"/>
    </xf>
    <xf numFmtId="4" fontId="45" fillId="0" borderId="0" xfId="97" applyNumberFormat="1" applyFont="1" applyFill="1" applyBorder="1" applyAlignment="1">
      <alignment horizontal="center" vertical="center"/>
    </xf>
    <xf numFmtId="0" fontId="28" fillId="0" borderId="10" xfId="0" applyFont="1" applyFill="1" applyBorder="1" applyAlignment="1"/>
    <xf numFmtId="0" fontId="28" fillId="0" borderId="0" xfId="0" applyFont="1" applyFill="1" applyAlignment="1">
      <alignment vertical="center"/>
    </xf>
    <xf numFmtId="0" fontId="22" fillId="0" borderId="0" xfId="0" applyFont="1" applyFill="1"/>
    <xf numFmtId="0" fontId="0" fillId="0" borderId="0" xfId="0" applyFont="1" applyBorder="1" applyAlignment="1">
      <alignment vertical="top" wrapText="1"/>
    </xf>
    <xf numFmtId="0" fontId="30" fillId="0" borderId="0" xfId="0" applyFont="1" applyFill="1" applyBorder="1" applyAlignment="1">
      <alignment horizontal="left" vertical="center" wrapText="1"/>
    </xf>
    <xf numFmtId="0" fontId="26" fillId="0" borderId="14" xfId="0" applyFont="1" applyFill="1" applyBorder="1" applyAlignment="1">
      <alignment vertical="center"/>
    </xf>
    <xf numFmtId="0" fontId="26" fillId="0" borderId="25" xfId="0" applyFont="1" applyFill="1" applyBorder="1" applyAlignment="1">
      <alignment vertical="center"/>
    </xf>
    <xf numFmtId="0" fontId="26" fillId="0" borderId="11" xfId="0" applyFont="1" applyFill="1" applyBorder="1" applyAlignment="1">
      <alignment vertical="center"/>
    </xf>
    <xf numFmtId="0" fontId="29" fillId="0" borderId="0" xfId="0" applyFont="1" applyFill="1" applyBorder="1" applyAlignment="1">
      <alignment horizontal="left" vertical="center"/>
    </xf>
    <xf numFmtId="0" fontId="22" fillId="0" borderId="0" xfId="0" applyFont="1" applyAlignment="1">
      <alignment vertical="center"/>
    </xf>
    <xf numFmtId="0" fontId="106" fillId="0" borderId="0" xfId="0" applyFont="1" applyFill="1" applyBorder="1" applyAlignment="1">
      <alignment vertical="center"/>
    </xf>
    <xf numFmtId="0" fontId="22" fillId="0" borderId="0" xfId="0" applyFont="1" applyProtection="1">
      <protection hidden="1"/>
    </xf>
    <xf numFmtId="0" fontId="33" fillId="0" borderId="15" xfId="0" applyFont="1" applyBorder="1" applyAlignment="1" applyProtection="1">
      <alignment vertical="distributed"/>
      <protection hidden="1"/>
    </xf>
    <xf numFmtId="0" fontId="0" fillId="24" borderId="0" xfId="0" applyFont="1" applyFill="1" applyBorder="1" applyProtection="1"/>
    <xf numFmtId="0" fontId="0" fillId="0" borderId="0" xfId="0" applyFont="1" applyFill="1" applyProtection="1"/>
    <xf numFmtId="0" fontId="0" fillId="0" borderId="0" xfId="0" applyFont="1" applyProtection="1"/>
    <xf numFmtId="0" fontId="0" fillId="24" borderId="0" xfId="0" applyFont="1" applyFill="1" applyAlignment="1" applyProtection="1"/>
    <xf numFmtId="0" fontId="25" fillId="25" borderId="0" xfId="0" quotePrefix="1" applyFont="1" applyFill="1" applyBorder="1" applyAlignment="1" applyProtection="1">
      <alignment vertical="distributed"/>
    </xf>
    <xf numFmtId="0" fontId="25" fillId="0" borderId="0" xfId="0" quotePrefix="1" applyFont="1" applyBorder="1" applyAlignment="1" applyProtection="1">
      <alignment vertical="distributed"/>
    </xf>
    <xf numFmtId="0" fontId="26" fillId="0" borderId="0" xfId="0" applyFont="1" applyBorder="1" applyAlignment="1" applyProtection="1">
      <alignment vertical="distributed" wrapText="1"/>
    </xf>
    <xf numFmtId="0" fontId="26" fillId="0" borderId="0" xfId="0" quotePrefix="1" applyFont="1" applyBorder="1" applyAlignment="1" applyProtection="1">
      <alignment vertical="distributed" wrapText="1"/>
    </xf>
    <xf numFmtId="0" fontId="25" fillId="25" borderId="0" xfId="0" quotePrefix="1" applyFont="1" applyFill="1" applyBorder="1" applyAlignment="1" applyProtection="1">
      <alignment vertical="distributed" wrapText="1"/>
    </xf>
    <xf numFmtId="0" fontId="34" fillId="0" borderId="0" xfId="0" quotePrefix="1" applyFont="1" applyFill="1" applyBorder="1" applyAlignment="1" applyProtection="1">
      <alignment vertical="distributed" wrapText="1"/>
    </xf>
    <xf numFmtId="0" fontId="28" fillId="0" borderId="10" xfId="0" applyFont="1" applyFill="1" applyBorder="1" applyAlignment="1" applyProtection="1">
      <alignment vertical="justify" wrapText="1"/>
    </xf>
    <xf numFmtId="0" fontId="34" fillId="0" borderId="0" xfId="0" applyFont="1" applyFill="1" applyProtection="1"/>
    <xf numFmtId="0" fontId="31" fillId="0" borderId="12" xfId="0" applyFont="1" applyBorder="1" applyAlignment="1" applyProtection="1">
      <alignment vertical="center" textRotation="90"/>
    </xf>
    <xf numFmtId="0" fontId="0" fillId="0" borderId="12" xfId="0" applyFont="1" applyBorder="1" applyProtection="1"/>
    <xf numFmtId="0" fontId="25" fillId="0" borderId="12" xfId="0" quotePrefix="1" applyFont="1" applyBorder="1" applyAlignment="1" applyProtection="1">
      <alignment vertical="distributed"/>
    </xf>
    <xf numFmtId="0" fontId="30" fillId="0" borderId="12" xfId="0" applyFont="1" applyBorder="1" applyAlignment="1" applyProtection="1">
      <alignment horizontal="center" vertical="center"/>
    </xf>
    <xf numFmtId="0" fontId="31" fillId="0" borderId="13" xfId="0" applyFont="1" applyBorder="1" applyAlignment="1" applyProtection="1">
      <alignment horizontal="left"/>
    </xf>
    <xf numFmtId="0" fontId="35" fillId="0" borderId="21" xfId="0" applyFont="1" applyFill="1" applyBorder="1" applyAlignment="1" applyProtection="1">
      <alignment vertical="center"/>
    </xf>
    <xf numFmtId="0" fontId="0" fillId="0" borderId="14" xfId="0" applyFont="1" applyBorder="1" applyProtection="1"/>
    <xf numFmtId="0" fontId="25" fillId="0" borderId="14" xfId="0" quotePrefix="1" applyFont="1" applyBorder="1" applyAlignment="1" applyProtection="1">
      <alignment vertical="distributed"/>
    </xf>
    <xf numFmtId="0" fontId="30" fillId="0" borderId="14" xfId="0" applyFont="1" applyBorder="1" applyAlignment="1" applyProtection="1">
      <alignment horizontal="center" vertical="center"/>
    </xf>
    <xf numFmtId="0" fontId="31" fillId="0" borderId="14" xfId="0" applyFont="1" applyBorder="1" applyAlignment="1" applyProtection="1">
      <alignment horizontal="left"/>
    </xf>
    <xf numFmtId="0" fontId="0" fillId="0" borderId="14" xfId="0" applyFont="1" applyBorder="1" applyAlignment="1" applyProtection="1">
      <alignment horizontal="center"/>
    </xf>
    <xf numFmtId="0" fontId="0" fillId="0" borderId="14" xfId="0" applyFont="1" applyBorder="1" applyAlignment="1" applyProtection="1">
      <alignment horizontal="center" wrapText="1"/>
    </xf>
    <xf numFmtId="0" fontId="33" fillId="0" borderId="0" xfId="0" applyFont="1" applyBorder="1" applyAlignment="1" applyProtection="1">
      <alignment horizontal="center" vertical="distributed"/>
    </xf>
    <xf numFmtId="0" fontId="0" fillId="0" borderId="0" xfId="0" applyFont="1" applyBorder="1" applyAlignment="1" applyProtection="1">
      <alignment horizontal="center" wrapText="1"/>
    </xf>
    <xf numFmtId="0" fontId="35" fillId="0" borderId="26" xfId="0" applyFont="1" applyBorder="1" applyAlignment="1" applyProtection="1"/>
    <xf numFmtId="0" fontId="22" fillId="0" borderId="14" xfId="0" applyFont="1" applyBorder="1" applyAlignment="1" applyProtection="1">
      <alignment vertical="top"/>
    </xf>
    <xf numFmtId="0" fontId="31" fillId="0" borderId="10" xfId="0" applyFont="1" applyBorder="1" applyAlignment="1" applyProtection="1"/>
    <xf numFmtId="0" fontId="28" fillId="0" borderId="0" xfId="0" applyFont="1" applyBorder="1" applyAlignment="1" applyProtection="1"/>
    <xf numFmtId="0" fontId="31" fillId="0" borderId="0" xfId="0" applyFont="1" applyBorder="1" applyAlignment="1" applyProtection="1"/>
    <xf numFmtId="0" fontId="0" fillId="0" borderId="11" xfId="0" applyFont="1" applyBorder="1" applyProtection="1"/>
    <xf numFmtId="0" fontId="28" fillId="0" borderId="10" xfId="0" applyFont="1" applyBorder="1" applyAlignment="1" applyProtection="1"/>
    <xf numFmtId="0" fontId="20" fillId="0" borderId="0" xfId="0" applyFont="1" applyBorder="1" applyProtection="1"/>
    <xf numFmtId="0" fontId="0" fillId="25" borderId="11" xfId="0" applyFont="1" applyFill="1" applyBorder="1" applyProtection="1"/>
    <xf numFmtId="0" fontId="28" fillId="0" borderId="21" xfId="0" applyFont="1" applyBorder="1" applyAlignment="1" applyProtection="1"/>
    <xf numFmtId="0" fontId="28" fillId="0" borderId="12" xfId="0" applyFont="1" applyBorder="1" applyAlignment="1" applyProtection="1"/>
    <xf numFmtId="0" fontId="31" fillId="0" borderId="12" xfId="0" applyFont="1" applyBorder="1" applyAlignment="1" applyProtection="1"/>
    <xf numFmtId="0" fontId="31" fillId="0" borderId="12" xfId="0" applyFont="1" applyBorder="1" applyProtection="1"/>
    <xf numFmtId="0" fontId="20" fillId="0" borderId="12" xfId="0" applyFont="1" applyBorder="1" applyProtection="1"/>
    <xf numFmtId="0" fontId="20" fillId="0" borderId="12" xfId="0" applyFont="1" applyBorder="1" applyAlignment="1" applyProtection="1">
      <alignment horizontal="center" vertical="center"/>
    </xf>
    <xf numFmtId="0" fontId="22" fillId="0" borderId="12" xfId="0" applyFont="1" applyBorder="1" applyProtection="1"/>
    <xf numFmtId="0" fontId="0" fillId="0" borderId="13" xfId="0" applyFont="1" applyBorder="1" applyProtection="1"/>
    <xf numFmtId="0" fontId="20" fillId="0" borderId="0" xfId="0" applyFont="1" applyFill="1" applyProtection="1"/>
    <xf numFmtId="0" fontId="22" fillId="0" borderId="0" xfId="0" applyFont="1" applyAlignment="1" applyProtection="1"/>
    <xf numFmtId="0" fontId="22" fillId="25" borderId="0" xfId="0" applyFont="1" applyFill="1" applyBorder="1" applyAlignment="1" applyProtection="1">
      <alignment vertical="top" wrapText="1"/>
    </xf>
    <xf numFmtId="0" fontId="35" fillId="25" borderId="0" xfId="0" applyFont="1" applyFill="1" applyBorder="1" applyAlignment="1" applyProtection="1">
      <alignment vertical="top" wrapText="1"/>
    </xf>
    <xf numFmtId="0" fontId="35" fillId="25" borderId="0" xfId="0" applyFont="1" applyFill="1" applyBorder="1" applyAlignment="1" applyProtection="1">
      <alignment horizontal="left" vertical="top" wrapText="1"/>
    </xf>
    <xf numFmtId="0" fontId="0" fillId="0" borderId="31" xfId="0" applyFont="1" applyBorder="1" applyProtection="1"/>
    <xf numFmtId="0" fontId="31" fillId="0" borderId="18" xfId="0" applyFont="1" applyBorder="1" applyProtection="1"/>
    <xf numFmtId="0" fontId="0" fillId="0" borderId="18" xfId="0" applyFont="1" applyFill="1" applyBorder="1" applyProtection="1"/>
    <xf numFmtId="0" fontId="22" fillId="0" borderId="18" xfId="0" applyFont="1" applyFill="1" applyBorder="1" applyProtection="1"/>
    <xf numFmtId="0" fontId="20" fillId="0" borderId="18" xfId="0" applyFont="1" applyFill="1" applyBorder="1" applyProtection="1"/>
    <xf numFmtId="0" fontId="0" fillId="0" borderId="28" xfId="0" applyFont="1" applyFill="1" applyBorder="1" applyProtection="1"/>
    <xf numFmtId="0" fontId="31" fillId="0" borderId="22" xfId="0" applyFont="1" applyBorder="1" applyAlignment="1" applyProtection="1">
      <alignment vertical="top"/>
    </xf>
    <xf numFmtId="0" fontId="28" fillId="0" borderId="15" xfId="0" applyFont="1" applyBorder="1" applyAlignment="1" applyProtection="1">
      <alignment horizontal="center" vertical="center"/>
    </xf>
    <xf numFmtId="0" fontId="31" fillId="0" borderId="16" xfId="0" applyFont="1" applyBorder="1" applyAlignment="1" applyProtection="1">
      <alignment vertical="top"/>
    </xf>
    <xf numFmtId="0" fontId="31" fillId="0" borderId="0" xfId="0" applyFont="1" applyFill="1" applyBorder="1" applyAlignment="1" applyProtection="1">
      <alignment horizontal="center" vertical="top"/>
    </xf>
    <xf numFmtId="0" fontId="31" fillId="0" borderId="0" xfId="0" applyFont="1" applyAlignment="1" applyProtection="1">
      <alignment vertical="top"/>
    </xf>
    <xf numFmtId="0" fontId="31" fillId="0" borderId="22" xfId="0" applyFont="1" applyBorder="1" applyAlignment="1" applyProtection="1">
      <alignment vertical="center"/>
    </xf>
    <xf numFmtId="0" fontId="31" fillId="0" borderId="16" xfId="0" applyFont="1" applyBorder="1" applyAlignment="1" applyProtection="1">
      <alignment horizontal="center" vertical="top"/>
    </xf>
    <xf numFmtId="0" fontId="31" fillId="0" borderId="22" xfId="0" applyFont="1" applyBorder="1" applyAlignment="1" applyProtection="1"/>
    <xf numFmtId="0" fontId="0" fillId="0" borderId="0" xfId="0" applyFont="1" applyBorder="1" applyAlignment="1" applyProtection="1">
      <alignment vertical="top"/>
    </xf>
    <xf numFmtId="0" fontId="0" fillId="0" borderId="0" xfId="0" applyFont="1" applyBorder="1" applyAlignment="1" applyProtection="1">
      <alignment horizontal="left" vertical="top"/>
    </xf>
    <xf numFmtId="0" fontId="22" fillId="0" borderId="0" xfId="0" applyFont="1" applyBorder="1" applyAlignment="1" applyProtection="1">
      <alignment horizontal="center" vertical="top"/>
    </xf>
    <xf numFmtId="0" fontId="22" fillId="25" borderId="0" xfId="0" applyFont="1" applyFill="1" applyBorder="1" applyAlignment="1" applyProtection="1">
      <alignment horizontal="center" vertical="top"/>
    </xf>
    <xf numFmtId="0" fontId="0" fillId="0" borderId="0" xfId="0" applyFont="1" applyAlignment="1" applyProtection="1">
      <alignment vertical="top"/>
    </xf>
    <xf numFmtId="0" fontId="0" fillId="0" borderId="22" xfId="0" applyFont="1" applyBorder="1" applyAlignment="1" applyProtection="1"/>
    <xf numFmtId="0" fontId="22" fillId="25" borderId="0" xfId="0" applyFont="1" applyFill="1" applyBorder="1" applyAlignment="1" applyProtection="1">
      <alignment vertical="top"/>
    </xf>
    <xf numFmtId="0" fontId="22" fillId="25" borderId="16" xfId="0" applyFont="1" applyFill="1" applyBorder="1" applyAlignment="1" applyProtection="1">
      <alignment vertical="top"/>
    </xf>
    <xf numFmtId="0" fontId="31" fillId="0" borderId="29" xfId="0" applyFont="1" applyBorder="1" applyAlignment="1" applyProtection="1">
      <alignment vertical="top"/>
    </xf>
    <xf numFmtId="0" fontId="0" fillId="0" borderId="17" xfId="0" applyFont="1" applyBorder="1" applyAlignment="1" applyProtection="1">
      <alignment horizontal="left" vertical="top"/>
    </xf>
    <xf numFmtId="0" fontId="0" fillId="0" borderId="17" xfId="0" applyFont="1" applyBorder="1" applyAlignment="1" applyProtection="1">
      <alignment vertical="top"/>
    </xf>
    <xf numFmtId="0" fontId="22" fillId="0" borderId="17" xfId="0" applyFont="1" applyBorder="1" applyAlignment="1" applyProtection="1">
      <alignment horizontal="center" vertical="top"/>
    </xf>
    <xf numFmtId="0" fontId="22" fillId="0" borderId="17" xfId="0" applyFont="1" applyBorder="1" applyAlignment="1" applyProtection="1">
      <alignment vertical="center"/>
    </xf>
    <xf numFmtId="0" fontId="22" fillId="25" borderId="17" xfId="0" applyFont="1" applyFill="1" applyBorder="1" applyAlignment="1" applyProtection="1">
      <alignment vertical="top"/>
    </xf>
    <xf numFmtId="0" fontId="22" fillId="25" borderId="30" xfId="0" applyFont="1" applyFill="1" applyBorder="1" applyAlignment="1" applyProtection="1">
      <alignment vertical="top"/>
    </xf>
    <xf numFmtId="0" fontId="22" fillId="0" borderId="0" xfId="0" applyFont="1" applyBorder="1" applyAlignment="1" applyProtection="1">
      <alignment vertical="center"/>
    </xf>
    <xf numFmtId="0" fontId="34" fillId="0" borderId="23" xfId="0" applyFont="1" applyBorder="1" applyAlignment="1" applyProtection="1">
      <alignment vertical="top" wrapText="1"/>
    </xf>
    <xf numFmtId="0" fontId="34" fillId="0" borderId="18" xfId="0" applyFont="1" applyBorder="1" applyAlignment="1" applyProtection="1">
      <alignment vertical="top" wrapText="1"/>
    </xf>
    <xf numFmtId="0" fontId="34" fillId="0" borderId="18" xfId="0" applyFont="1" applyBorder="1" applyAlignment="1" applyProtection="1">
      <alignment vertical="top"/>
    </xf>
    <xf numFmtId="0" fontId="34" fillId="0" borderId="0" xfId="0" applyFont="1" applyBorder="1" applyAlignment="1" applyProtection="1">
      <alignment vertical="top"/>
    </xf>
    <xf numFmtId="0" fontId="34" fillId="0" borderId="24" xfId="0" applyFont="1" applyBorder="1" applyAlignment="1" applyProtection="1">
      <alignment vertical="top" wrapText="1"/>
    </xf>
    <xf numFmtId="0" fontId="39" fillId="0" borderId="0" xfId="0" applyFont="1" applyBorder="1" applyAlignment="1" applyProtection="1">
      <alignment vertical="top" wrapText="1"/>
    </xf>
    <xf numFmtId="0" fontId="34" fillId="0" borderId="0" xfId="0" applyFont="1" applyBorder="1" applyAlignment="1" applyProtection="1">
      <alignment horizontal="center" vertical="top" wrapText="1"/>
    </xf>
    <xf numFmtId="0" fontId="34" fillId="0" borderId="0" xfId="0" applyFont="1" applyBorder="1" applyAlignment="1" applyProtection="1">
      <alignment horizontal="center" vertical="top"/>
    </xf>
    <xf numFmtId="0" fontId="22" fillId="0" borderId="16" xfId="0" applyFont="1" applyBorder="1" applyAlignment="1" applyProtection="1">
      <alignment vertical="center" wrapText="1"/>
    </xf>
    <xf numFmtId="0" fontId="0" fillId="0" borderId="24" xfId="0" applyFont="1" applyBorder="1" applyProtection="1"/>
    <xf numFmtId="0" fontId="22" fillId="0" borderId="0" xfId="0" applyFont="1" applyBorder="1" applyAlignment="1" applyProtection="1">
      <alignment vertical="top" wrapText="1"/>
    </xf>
    <xf numFmtId="0" fontId="31" fillId="0" borderId="16" xfId="0" applyFont="1" applyBorder="1" applyAlignment="1" applyProtection="1">
      <alignment vertical="justify" wrapText="1"/>
    </xf>
    <xf numFmtId="0" fontId="31" fillId="0" borderId="24" xfId="0" applyFont="1" applyBorder="1" applyAlignment="1" applyProtection="1">
      <alignment horizontal="left" vertical="top"/>
    </xf>
    <xf numFmtId="0" fontId="31" fillId="0" borderId="20" xfId="0" applyFont="1" applyBorder="1" applyAlignment="1" applyProtection="1">
      <alignment horizontal="center" vertical="center"/>
    </xf>
    <xf numFmtId="0" fontId="0" fillId="0" borderId="16" xfId="0" applyFont="1" applyBorder="1" applyProtection="1"/>
    <xf numFmtId="0" fontId="32" fillId="0" borderId="24" xfId="0" applyFont="1" applyBorder="1" applyAlignment="1" applyProtection="1">
      <alignment vertical="top" wrapText="1"/>
    </xf>
    <xf numFmtId="0" fontId="32" fillId="0" borderId="0" xfId="0" applyFont="1" applyBorder="1" applyAlignment="1" applyProtection="1">
      <alignment vertical="top" wrapText="1"/>
    </xf>
    <xf numFmtId="0" fontId="31" fillId="0" borderId="16" xfId="0" applyFont="1" applyBorder="1" applyAlignment="1" applyProtection="1">
      <alignment vertical="top" wrapText="1"/>
    </xf>
    <xf numFmtId="0" fontId="31" fillId="0" borderId="24" xfId="0" applyFont="1" applyBorder="1" applyAlignment="1" applyProtection="1">
      <alignment vertical="top" wrapText="1"/>
    </xf>
    <xf numFmtId="0" fontId="28" fillId="0" borderId="20" xfId="0" applyFont="1" applyBorder="1" applyAlignment="1" applyProtection="1">
      <alignment horizontal="center" vertical="center"/>
    </xf>
    <xf numFmtId="0" fontId="0" fillId="0" borderId="0" xfId="0" applyFont="1" applyBorder="1" applyAlignment="1" applyProtection="1"/>
    <xf numFmtId="0" fontId="20" fillId="0" borderId="24" xfId="0" applyFont="1" applyBorder="1" applyAlignment="1" applyProtection="1">
      <alignment vertical="top"/>
    </xf>
    <xf numFmtId="0" fontId="28" fillId="0" borderId="0" xfId="0" applyFont="1" applyBorder="1" applyProtection="1"/>
    <xf numFmtId="0" fontId="31" fillId="0" borderId="24" xfId="0" applyFont="1" applyBorder="1" applyProtection="1"/>
    <xf numFmtId="0" fontId="26" fillId="0" borderId="0" xfId="0" applyFont="1" applyBorder="1" applyProtection="1"/>
    <xf numFmtId="0" fontId="31" fillId="0" borderId="16" xfId="0" applyFont="1" applyFill="1" applyBorder="1" applyAlignment="1" applyProtection="1">
      <alignment vertical="top"/>
    </xf>
    <xf numFmtId="0" fontId="28" fillId="0" borderId="23" xfId="0" applyFont="1" applyBorder="1" applyAlignment="1" applyProtection="1">
      <alignment horizontal="center" vertical="center"/>
    </xf>
    <xf numFmtId="0" fontId="20" fillId="0" borderId="32" xfId="0" applyFont="1" applyBorder="1" applyAlignment="1" applyProtection="1">
      <alignment vertical="top"/>
    </xf>
    <xf numFmtId="0" fontId="22" fillId="0" borderId="17" xfId="0" applyFont="1" applyBorder="1" applyAlignment="1" applyProtection="1">
      <alignment vertical="top"/>
    </xf>
    <xf numFmtId="0" fontId="31" fillId="0" borderId="17" xfId="0" applyFont="1" applyFill="1" applyBorder="1" applyAlignment="1" applyProtection="1">
      <alignment horizontal="left" vertical="top"/>
    </xf>
    <xf numFmtId="0" fontId="0" fillId="0" borderId="17" xfId="0" applyFont="1" applyBorder="1" applyProtection="1"/>
    <xf numFmtId="0" fontId="31" fillId="0" borderId="0" xfId="0" applyFont="1" applyFill="1" applyBorder="1" applyAlignment="1" applyProtection="1">
      <alignment horizontal="left" vertical="top"/>
    </xf>
    <xf numFmtId="0" fontId="28" fillId="0" borderId="24" xfId="0" applyFont="1" applyBorder="1" applyAlignment="1" applyProtection="1">
      <alignment vertical="center" wrapText="1"/>
    </xf>
    <xf numFmtId="0" fontId="39" fillId="0" borderId="0" xfId="0" applyFont="1" applyBorder="1" applyAlignment="1" applyProtection="1">
      <alignment vertical="center" wrapText="1"/>
    </xf>
    <xf numFmtId="0" fontId="31" fillId="0" borderId="16" xfId="0" applyFont="1" applyBorder="1" applyAlignment="1" applyProtection="1">
      <alignment wrapText="1"/>
    </xf>
    <xf numFmtId="0" fontId="28" fillId="0" borderId="15" xfId="0" applyFont="1" applyBorder="1" applyAlignment="1" applyProtection="1">
      <alignment horizontal="center" vertical="center" wrapText="1"/>
    </xf>
    <xf numFmtId="0" fontId="39" fillId="0" borderId="0" xfId="0" applyFont="1" applyBorder="1" applyAlignment="1" applyProtection="1"/>
    <xf numFmtId="0" fontId="39" fillId="0" borderId="24" xfId="0" applyFont="1" applyFill="1" applyBorder="1" applyAlignment="1" applyProtection="1"/>
    <xf numFmtId="0" fontId="39" fillId="0" borderId="0" xfId="0" applyFont="1" applyFill="1" applyBorder="1" applyAlignment="1" applyProtection="1"/>
    <xf numFmtId="0" fontId="28" fillId="0" borderId="0" xfId="0" applyFont="1" applyFill="1" applyBorder="1" applyAlignment="1" applyProtection="1">
      <alignment vertical="top"/>
    </xf>
    <xf numFmtId="0" fontId="31" fillId="25" borderId="16" xfId="0" applyFont="1" applyFill="1" applyBorder="1" applyAlignment="1" applyProtection="1">
      <alignment vertical="top" wrapText="1"/>
    </xf>
    <xf numFmtId="0" fontId="28" fillId="25" borderId="15" xfId="0" applyFont="1" applyFill="1" applyBorder="1" applyAlignment="1" applyProtection="1">
      <alignment horizontal="center" vertical="center" wrapText="1"/>
    </xf>
    <xf numFmtId="0" fontId="31" fillId="25" borderId="0" xfId="0" applyFont="1" applyFill="1" applyBorder="1" applyAlignment="1" applyProtection="1">
      <alignment vertical="top" wrapText="1"/>
    </xf>
    <xf numFmtId="0" fontId="20" fillId="0" borderId="24" xfId="0" applyFont="1" applyBorder="1" applyProtection="1"/>
    <xf numFmtId="0" fontId="31" fillId="25" borderId="16" xfId="0" applyFont="1" applyFill="1" applyBorder="1" applyAlignment="1" applyProtection="1">
      <alignment horizontal="left" vertical="top"/>
    </xf>
    <xf numFmtId="0" fontId="26" fillId="0" borderId="24" xfId="0" applyFont="1" applyBorder="1" applyProtection="1"/>
    <xf numFmtId="0" fontId="0" fillId="0" borderId="16" xfId="0" applyFont="1" applyBorder="1" applyAlignment="1" applyProtection="1">
      <alignment vertical="center" wrapText="1"/>
    </xf>
    <xf numFmtId="0" fontId="39" fillId="0" borderId="24" xfId="0" applyFont="1" applyBorder="1" applyProtection="1"/>
    <xf numFmtId="0" fontId="31" fillId="0" borderId="16" xfId="0" applyFont="1" applyBorder="1" applyProtection="1"/>
    <xf numFmtId="0" fontId="23" fillId="25" borderId="16" xfId="0" applyFont="1" applyFill="1" applyBorder="1" applyAlignment="1" applyProtection="1">
      <alignment vertical="top" wrapText="1"/>
    </xf>
    <xf numFmtId="0" fontId="23" fillId="25" borderId="0" xfId="0" applyFont="1" applyFill="1" applyBorder="1" applyAlignment="1" applyProtection="1">
      <alignment vertical="top" wrapText="1"/>
    </xf>
    <xf numFmtId="0" fontId="28" fillId="25" borderId="17" xfId="0" applyFont="1" applyFill="1" applyBorder="1" applyAlignment="1" applyProtection="1">
      <alignment horizontal="center" vertical="center" wrapText="1"/>
    </xf>
    <xf numFmtId="0" fontId="28" fillId="0" borderId="23" xfId="0" applyFont="1" applyBorder="1" applyAlignment="1" applyProtection="1">
      <alignment horizontal="center" vertical="center" wrapText="1"/>
    </xf>
    <xf numFmtId="0" fontId="0" fillId="0" borderId="0" xfId="0" applyFont="1" applyBorder="1" applyAlignment="1" applyProtection="1">
      <alignment vertical="center" wrapText="1"/>
    </xf>
    <xf numFmtId="0" fontId="28" fillId="0" borderId="24" xfId="0" applyFont="1" applyBorder="1" applyAlignment="1" applyProtection="1">
      <alignment horizontal="center" vertical="center" wrapText="1"/>
    </xf>
    <xf numFmtId="0" fontId="39" fillId="0" borderId="32" xfId="0" applyFont="1" applyBorder="1" applyProtection="1"/>
    <xf numFmtId="0" fontId="39" fillId="0" borderId="17" xfId="0" applyFont="1" applyBorder="1" applyProtection="1"/>
    <xf numFmtId="0" fontId="32" fillId="0" borderId="17" xfId="0" applyFont="1" applyBorder="1" applyAlignment="1" applyProtection="1">
      <alignment horizontal="center"/>
    </xf>
    <xf numFmtId="0" fontId="32" fillId="0" borderId="20" xfId="0" applyFont="1" applyBorder="1" applyAlignment="1" applyProtection="1">
      <alignment vertical="center"/>
    </xf>
    <xf numFmtId="0" fontId="39" fillId="0" borderId="24" xfId="0" applyFont="1" applyBorder="1" applyAlignment="1" applyProtection="1">
      <alignment horizontal="center" vertical="center" wrapText="1"/>
    </xf>
    <xf numFmtId="0" fontId="39" fillId="0" borderId="0" xfId="0" applyFont="1" applyBorder="1" applyAlignment="1" applyProtection="1">
      <alignment horizontal="center" vertical="center" wrapText="1"/>
    </xf>
    <xf numFmtId="0" fontId="22" fillId="0" borderId="0" xfId="0" applyFont="1" applyBorder="1" applyAlignment="1" applyProtection="1">
      <alignment horizontal="left" vertical="top"/>
    </xf>
    <xf numFmtId="0" fontId="42" fillId="0" borderId="0" xfId="0" applyFont="1" applyBorder="1" applyAlignment="1" applyProtection="1">
      <alignment horizontal="left" vertical="top"/>
    </xf>
    <xf numFmtId="0" fontId="0" fillId="0" borderId="16" xfId="0" applyFont="1" applyBorder="1" applyAlignment="1" applyProtection="1">
      <alignment vertical="top"/>
    </xf>
    <xf numFmtId="0" fontId="28" fillId="0" borderId="0" xfId="0" applyFont="1" applyBorder="1" applyAlignment="1" applyProtection="1">
      <alignment horizontal="left" vertical="top"/>
    </xf>
    <xf numFmtId="0" fontId="0" fillId="0" borderId="16" xfId="0" applyFont="1" applyBorder="1" applyAlignment="1" applyProtection="1">
      <alignment vertical="top" wrapText="1"/>
    </xf>
    <xf numFmtId="0" fontId="32" fillId="0" borderId="23" xfId="0" applyFont="1" applyBorder="1" applyProtection="1"/>
    <xf numFmtId="0" fontId="35" fillId="0" borderId="24" xfId="0" applyFont="1" applyBorder="1" applyAlignment="1" applyProtection="1">
      <alignment vertical="center" wrapText="1"/>
    </xf>
    <xf numFmtId="0" fontId="42" fillId="0" borderId="0" xfId="0" applyFont="1" applyBorder="1" applyAlignment="1" applyProtection="1">
      <alignment vertical="center"/>
    </xf>
    <xf numFmtId="0" fontId="22" fillId="0" borderId="16" xfId="0" applyFont="1" applyBorder="1" applyAlignment="1" applyProtection="1">
      <alignment vertical="top" wrapText="1"/>
    </xf>
    <xf numFmtId="0" fontId="32" fillId="0" borderId="32" xfId="0" applyFont="1" applyBorder="1" applyProtection="1"/>
    <xf numFmtId="0" fontId="42" fillId="0" borderId="17" xfId="0" applyFont="1" applyBorder="1" applyAlignment="1" applyProtection="1">
      <alignment vertical="center"/>
    </xf>
    <xf numFmtId="0" fontId="32" fillId="0" borderId="17" xfId="0" applyFont="1" applyBorder="1" applyAlignment="1" applyProtection="1"/>
    <xf numFmtId="0" fontId="32" fillId="0" borderId="30" xfId="0" applyFont="1" applyBorder="1" applyAlignment="1" applyProtection="1"/>
    <xf numFmtId="0" fontId="20" fillId="0" borderId="0" xfId="0" applyFont="1" applyProtection="1"/>
    <xf numFmtId="0" fontId="20" fillId="0" borderId="0" xfId="0" applyFont="1" applyBorder="1" applyAlignment="1" applyProtection="1"/>
    <xf numFmtId="0" fontId="32" fillId="24" borderId="0" xfId="0" applyFont="1" applyFill="1" applyBorder="1" applyProtection="1"/>
    <xf numFmtId="0" fontId="32" fillId="25" borderId="0" xfId="0" applyFont="1" applyFill="1" applyProtection="1"/>
    <xf numFmtId="0" fontId="0" fillId="0" borderId="0" xfId="0" applyFont="1" applyAlignment="1" applyProtection="1">
      <alignment horizontal="center"/>
    </xf>
    <xf numFmtId="0" fontId="0" fillId="24" borderId="0" xfId="0" applyFont="1" applyFill="1" applyProtection="1"/>
    <xf numFmtId="0" fontId="21" fillId="0" borderId="14" xfId="0" applyFont="1" applyFill="1" applyBorder="1" applyAlignment="1" applyProtection="1">
      <alignment horizontal="center" vertical="center"/>
    </xf>
    <xf numFmtId="0" fontId="30" fillId="0" borderId="0" xfId="0" applyFont="1" applyFill="1" applyBorder="1" applyAlignment="1" applyProtection="1">
      <alignment horizontal="left" wrapText="1"/>
    </xf>
    <xf numFmtId="0" fontId="30" fillId="0" borderId="0" xfId="0" applyFont="1" applyFill="1" applyProtection="1"/>
    <xf numFmtId="0" fontId="30" fillId="0" borderId="0" xfId="0" applyFont="1" applyFill="1" applyBorder="1" applyAlignment="1" applyProtection="1">
      <alignment vertical="center"/>
    </xf>
    <xf numFmtId="0" fontId="26" fillId="0" borderId="11" xfId="0" applyFont="1" applyFill="1" applyBorder="1" applyAlignment="1" applyProtection="1">
      <alignment vertical="center" wrapText="1"/>
    </xf>
    <xf numFmtId="0" fontId="34" fillId="0" borderId="0" xfId="0" applyFont="1" applyFill="1" applyAlignment="1" applyProtection="1">
      <alignment vertical="center"/>
    </xf>
    <xf numFmtId="0" fontId="26" fillId="0" borderId="11" xfId="0" applyFont="1" applyBorder="1" applyAlignment="1" applyProtection="1">
      <alignment vertical="center"/>
    </xf>
    <xf numFmtId="0" fontId="35" fillId="0" borderId="0" xfId="0" applyFont="1" applyFill="1" applyBorder="1" applyAlignment="1" applyProtection="1">
      <alignment vertical="center"/>
    </xf>
    <xf numFmtId="0" fontId="35" fillId="0" borderId="11" xfId="0" applyFont="1" applyFill="1" applyBorder="1" applyAlignment="1" applyProtection="1">
      <alignment vertical="center"/>
    </xf>
    <xf numFmtId="0" fontId="35" fillId="0" borderId="12" xfId="0" applyFont="1" applyFill="1" applyBorder="1" applyAlignment="1" applyProtection="1">
      <alignment vertical="center"/>
    </xf>
    <xf numFmtId="0" fontId="35" fillId="0" borderId="13" xfId="0" applyFont="1" applyFill="1" applyBorder="1" applyAlignment="1" applyProtection="1">
      <alignment vertical="center"/>
    </xf>
    <xf numFmtId="0" fontId="33" fillId="0" borderId="15" xfId="0" applyFont="1" applyFill="1" applyBorder="1" applyAlignment="1" applyProtection="1">
      <alignment horizontal="left" vertical="distributed"/>
    </xf>
    <xf numFmtId="0" fontId="31" fillId="0" borderId="10" xfId="0" applyFont="1" applyBorder="1" applyAlignment="1" applyProtection="1">
      <alignment vertical="center"/>
    </xf>
    <xf numFmtId="0" fontId="28" fillId="0" borderId="10" xfId="0" applyFont="1" applyBorder="1" applyAlignment="1" applyProtection="1">
      <alignment vertical="center"/>
    </xf>
    <xf numFmtId="0" fontId="31" fillId="26" borderId="33" xfId="0" applyFont="1" applyFill="1" applyBorder="1" applyAlignment="1" applyProtection="1">
      <alignment vertical="center"/>
    </xf>
    <xf numFmtId="0" fontId="22" fillId="0" borderId="0" xfId="0" applyFont="1" applyFill="1" applyBorder="1" applyAlignment="1" applyProtection="1">
      <alignment horizontal="left" vertical="top"/>
    </xf>
    <xf numFmtId="0" fontId="23" fillId="0" borderId="0" xfId="0" applyFont="1" applyFill="1" applyBorder="1" applyAlignment="1" applyProtection="1">
      <alignment horizontal="left" vertical="center"/>
    </xf>
    <xf numFmtId="0" fontId="0" fillId="0" borderId="0" xfId="0" applyFont="1" applyFill="1" applyBorder="1" applyAlignment="1" applyProtection="1">
      <alignment horizontal="left" vertical="center"/>
    </xf>
    <xf numFmtId="0" fontId="35" fillId="0" borderId="0" xfId="0" applyFont="1" applyAlignment="1" applyProtection="1">
      <alignment vertical="top"/>
    </xf>
    <xf numFmtId="0" fontId="35" fillId="0" borderId="0" xfId="0" applyFont="1" applyFill="1" applyBorder="1" applyAlignment="1" applyProtection="1">
      <alignment horizontal="left" vertical="top"/>
    </xf>
    <xf numFmtId="0" fontId="22" fillId="25" borderId="15" xfId="0" applyFont="1" applyFill="1" applyBorder="1" applyAlignment="1" applyProtection="1">
      <alignment horizontal="center" vertical="center"/>
      <protection hidden="1"/>
    </xf>
    <xf numFmtId="0" fontId="0" fillId="0" borderId="16" xfId="0" applyFont="1" applyBorder="1" applyAlignment="1">
      <alignment horizontal="center" vertical="top"/>
    </xf>
    <xf numFmtId="0" fontId="0" fillId="0" borderId="0" xfId="0" applyFont="1" applyBorder="1" applyAlignment="1">
      <alignment horizontal="center" vertical="top"/>
    </xf>
    <xf numFmtId="0" fontId="0" fillId="25" borderId="0" xfId="0" applyFont="1" applyFill="1" applyBorder="1" applyAlignment="1"/>
    <xf numFmtId="0" fontId="0" fillId="0" borderId="0" xfId="0" applyFont="1" applyBorder="1" applyAlignment="1" applyProtection="1">
      <alignment horizontal="center" vertical="top"/>
    </xf>
    <xf numFmtId="0" fontId="107" fillId="0" borderId="0" xfId="0" applyFont="1" applyProtection="1">
      <protection hidden="1"/>
    </xf>
    <xf numFmtId="0" fontId="0" fillId="0" borderId="0" xfId="0" applyProtection="1">
      <protection hidden="1"/>
    </xf>
    <xf numFmtId="0" fontId="0" fillId="27" borderId="0" xfId="0" applyFill="1" applyProtection="1">
      <protection hidden="1"/>
    </xf>
    <xf numFmtId="0" fontId="108" fillId="65" borderId="0" xfId="0" applyFont="1" applyFill="1" applyProtection="1">
      <protection hidden="1"/>
    </xf>
    <xf numFmtId="0" fontId="0" fillId="65" borderId="0" xfId="0" applyFill="1" applyProtection="1">
      <protection hidden="1"/>
    </xf>
    <xf numFmtId="0" fontId="0" fillId="66" borderId="0" xfId="0" applyFill="1" applyProtection="1">
      <protection hidden="1"/>
    </xf>
    <xf numFmtId="0" fontId="109" fillId="66" borderId="0" xfId="0" applyFont="1" applyFill="1" applyProtection="1">
      <protection hidden="1"/>
    </xf>
    <xf numFmtId="0" fontId="22" fillId="66" borderId="0" xfId="0" applyFont="1" applyFill="1" applyBorder="1" applyProtection="1">
      <protection hidden="1"/>
    </xf>
    <xf numFmtId="0" fontId="45" fillId="66" borderId="0" xfId="0" applyFont="1" applyFill="1" applyBorder="1" applyProtection="1">
      <protection hidden="1"/>
    </xf>
    <xf numFmtId="0" fontId="0" fillId="66" borderId="0" xfId="0" applyFill="1" applyBorder="1" applyProtection="1">
      <protection hidden="1"/>
    </xf>
    <xf numFmtId="0" fontId="45" fillId="66" borderId="0" xfId="0" quotePrefix="1" applyFont="1" applyFill="1" applyBorder="1" applyAlignment="1" applyProtection="1">
      <alignment horizontal="left"/>
      <protection hidden="1"/>
    </xf>
    <xf numFmtId="168" fontId="0" fillId="66" borderId="0" xfId="52" applyNumberFormat="1" applyFont="1" applyFill="1" applyAlignment="1" applyProtection="1">
      <protection hidden="1"/>
    </xf>
    <xf numFmtId="0" fontId="45" fillId="66" borderId="0" xfId="0" applyFont="1" applyFill="1" applyBorder="1" applyAlignment="1" applyProtection="1">
      <alignment horizontal="left"/>
      <protection hidden="1"/>
    </xf>
    <xf numFmtId="168" fontId="0" fillId="66" borderId="0" xfId="52" applyNumberFormat="1" applyFont="1" applyFill="1" applyBorder="1" applyAlignment="1" applyProtection="1">
      <protection hidden="1"/>
    </xf>
    <xf numFmtId="0" fontId="22" fillId="66" borderId="0" xfId="0" applyFont="1" applyFill="1" applyProtection="1">
      <protection hidden="1"/>
    </xf>
    <xf numFmtId="168" fontId="0" fillId="66" borderId="0" xfId="52" applyNumberFormat="1" applyFont="1" applyFill="1" applyAlignment="1" applyProtection="1">
      <alignment horizontal="center"/>
      <protection hidden="1"/>
    </xf>
    <xf numFmtId="177" fontId="110" fillId="0" borderId="0" xfId="0" applyNumberFormat="1" applyFont="1" applyBorder="1" applyProtection="1">
      <protection hidden="1"/>
    </xf>
    <xf numFmtId="0" fontId="45" fillId="0" borderId="0" xfId="0" quotePrefix="1" applyFont="1" applyProtection="1">
      <protection hidden="1"/>
    </xf>
    <xf numFmtId="0" fontId="0" fillId="66" borderId="0" xfId="0" applyFill="1" applyAlignment="1" applyProtection="1">
      <alignment horizontal="center"/>
      <protection hidden="1"/>
    </xf>
    <xf numFmtId="0" fontId="45" fillId="66" borderId="0" xfId="0" applyFont="1" applyFill="1" applyProtection="1">
      <protection hidden="1"/>
    </xf>
    <xf numFmtId="0" fontId="45" fillId="0" borderId="0" xfId="0" applyFont="1" applyProtection="1">
      <protection hidden="1"/>
    </xf>
    <xf numFmtId="0" fontId="0" fillId="66" borderId="0" xfId="0" quotePrefix="1" applyFill="1" applyProtection="1">
      <protection hidden="1"/>
    </xf>
    <xf numFmtId="0" fontId="0" fillId="66" borderId="17" xfId="0" applyFill="1" applyBorder="1" applyProtection="1">
      <protection hidden="1"/>
    </xf>
    <xf numFmtId="0" fontId="111" fillId="66" borderId="0" xfId="0" applyFont="1" applyFill="1" applyProtection="1">
      <protection hidden="1"/>
    </xf>
    <xf numFmtId="0" fontId="0" fillId="68" borderId="0" xfId="0" applyFill="1" applyProtection="1">
      <protection hidden="1"/>
    </xf>
    <xf numFmtId="0" fontId="109" fillId="68" borderId="0" xfId="0" applyFont="1" applyFill="1" applyProtection="1">
      <protection hidden="1"/>
    </xf>
    <xf numFmtId="0" fontId="22" fillId="68" borderId="0" xfId="0" applyFont="1" applyFill="1" applyBorder="1" applyProtection="1">
      <protection hidden="1"/>
    </xf>
    <xf numFmtId="0" fontId="45" fillId="68" borderId="0" xfId="0" applyFont="1" applyFill="1" applyBorder="1" applyProtection="1">
      <protection hidden="1"/>
    </xf>
    <xf numFmtId="0" fontId="0" fillId="68" borderId="0" xfId="0" applyFill="1" applyBorder="1" applyProtection="1">
      <protection hidden="1"/>
    </xf>
    <xf numFmtId="0" fontId="45" fillId="68" borderId="0" xfId="0" quotePrefix="1" applyFont="1" applyFill="1" applyBorder="1" applyAlignment="1" applyProtection="1">
      <alignment horizontal="left"/>
      <protection hidden="1"/>
    </xf>
    <xf numFmtId="168" fontId="0" fillId="68" borderId="0" xfId="52" applyNumberFormat="1" applyFont="1" applyFill="1" applyAlignment="1" applyProtection="1">
      <protection hidden="1"/>
    </xf>
    <xf numFmtId="0" fontId="45" fillId="68" borderId="0" xfId="0" applyFont="1" applyFill="1" applyBorder="1" applyAlignment="1" applyProtection="1">
      <alignment horizontal="left"/>
      <protection hidden="1"/>
    </xf>
    <xf numFmtId="168" fontId="0" fillId="68" borderId="0" xfId="52" applyNumberFormat="1" applyFont="1" applyFill="1" applyBorder="1" applyAlignment="1" applyProtection="1">
      <protection hidden="1"/>
    </xf>
    <xf numFmtId="0" fontId="22" fillId="68" borderId="0" xfId="0" applyFont="1" applyFill="1" applyProtection="1">
      <protection hidden="1"/>
    </xf>
    <xf numFmtId="168" fontId="0" fillId="68" borderId="0" xfId="52" applyNumberFormat="1" applyFont="1" applyFill="1" applyAlignment="1" applyProtection="1">
      <alignment horizontal="center"/>
      <protection hidden="1"/>
    </xf>
    <xf numFmtId="0" fontId="0" fillId="68" borderId="0" xfId="0" applyFill="1" applyAlignment="1" applyProtection="1">
      <alignment horizontal="center"/>
      <protection hidden="1"/>
    </xf>
    <xf numFmtId="0" fontId="45" fillId="68" borderId="0" xfId="0" quotePrefix="1" applyFont="1" applyFill="1" applyProtection="1">
      <protection hidden="1"/>
    </xf>
    <xf numFmtId="0" fontId="0" fillId="68" borderId="0" xfId="0" quotePrefix="1" applyFill="1" applyProtection="1">
      <protection hidden="1"/>
    </xf>
    <xf numFmtId="0" fontId="0" fillId="68" borderId="17" xfId="0" applyFill="1" applyBorder="1" applyProtection="1">
      <protection hidden="1"/>
    </xf>
    <xf numFmtId="0" fontId="111" fillId="68" borderId="0" xfId="0" applyFont="1" applyFill="1" applyProtection="1">
      <protection hidden="1"/>
    </xf>
    <xf numFmtId="0" fontId="0" fillId="25" borderId="0" xfId="0" applyFill="1" applyProtection="1"/>
    <xf numFmtId="0" fontId="107" fillId="25" borderId="0" xfId="0" applyFont="1" applyFill="1" applyProtection="1"/>
    <xf numFmtId="0" fontId="109" fillId="25" borderId="0" xfId="0" applyFont="1" applyFill="1" applyProtection="1">
      <protection hidden="1"/>
    </xf>
    <xf numFmtId="0" fontId="22" fillId="25" borderId="0" xfId="0" applyFont="1" applyFill="1" applyProtection="1"/>
    <xf numFmtId="0" fontId="109" fillId="25" borderId="0" xfId="0" applyFont="1" applyFill="1" applyProtection="1"/>
    <xf numFmtId="0" fontId="0" fillId="27" borderId="0" xfId="0" applyFill="1" applyProtection="1"/>
    <xf numFmtId="0" fontId="0" fillId="25" borderId="0" xfId="0" applyFill="1" applyBorder="1" applyAlignment="1" applyProtection="1">
      <alignment horizontal="center" vertical="center"/>
    </xf>
    <xf numFmtId="0" fontId="45" fillId="25" borderId="0" xfId="0" applyFont="1" applyFill="1" applyBorder="1" applyProtection="1"/>
    <xf numFmtId="0" fontId="45" fillId="25" borderId="0" xfId="0" applyFont="1" applyFill="1" applyProtection="1"/>
    <xf numFmtId="0" fontId="45" fillId="25" borderId="0" xfId="0" quotePrefix="1" applyFont="1" applyFill="1" applyBorder="1" applyAlignment="1" applyProtection="1">
      <alignment horizontal="left"/>
    </xf>
    <xf numFmtId="168" fontId="45" fillId="25" borderId="0" xfId="52" applyNumberFormat="1" applyFont="1" applyFill="1" applyAlignment="1" applyProtection="1">
      <alignment horizontal="center"/>
    </xf>
    <xf numFmtId="168" fontId="45" fillId="25" borderId="0" xfId="52" applyNumberFormat="1" applyFont="1" applyFill="1" applyBorder="1" applyAlignment="1" applyProtection="1">
      <alignment horizontal="center"/>
    </xf>
    <xf numFmtId="0" fontId="45" fillId="25" borderId="0" xfId="0" applyFont="1" applyFill="1" applyBorder="1" applyAlignment="1" applyProtection="1">
      <alignment horizontal="center"/>
    </xf>
    <xf numFmtId="179" fontId="0" fillId="25" borderId="0" xfId="0" applyNumberFormat="1" applyFill="1" applyProtection="1"/>
    <xf numFmtId="168" fontId="45" fillId="25" borderId="17" xfId="52" applyNumberFormat="1" applyFont="1" applyFill="1" applyBorder="1" applyAlignment="1" applyProtection="1">
      <alignment horizontal="center"/>
    </xf>
    <xf numFmtId="10" fontId="0" fillId="25" borderId="0" xfId="110" applyNumberFormat="1" applyFont="1" applyFill="1" applyProtection="1">
      <protection hidden="1"/>
    </xf>
    <xf numFmtId="0" fontId="0" fillId="25" borderId="0" xfId="0" applyFill="1" applyAlignment="1" applyProtection="1">
      <alignment vertical="center"/>
    </xf>
    <xf numFmtId="0" fontId="22" fillId="25" borderId="0" xfId="0" applyFont="1" applyFill="1" applyBorder="1" applyAlignment="1" applyProtection="1">
      <alignment vertical="center"/>
    </xf>
    <xf numFmtId="0" fontId="22" fillId="25" borderId="0" xfId="0" applyFont="1" applyFill="1" applyAlignment="1" applyProtection="1">
      <alignment vertical="center"/>
    </xf>
    <xf numFmtId="0" fontId="22" fillId="25" borderId="0" xfId="0" applyFont="1" applyFill="1" applyAlignment="1" applyProtection="1">
      <alignment vertical="center" wrapText="1"/>
    </xf>
    <xf numFmtId="0" fontId="22" fillId="25" borderId="115" xfId="0" applyFont="1" applyFill="1" applyBorder="1" applyAlignment="1" applyProtection="1">
      <alignment horizontal="center" vertical="center" wrapText="1" shrinkToFit="1"/>
    </xf>
    <xf numFmtId="0" fontId="22" fillId="25" borderId="17" xfId="0" applyFont="1" applyFill="1" applyBorder="1" applyAlignment="1" applyProtection="1">
      <alignment horizontal="center" vertical="center" wrapText="1" shrinkToFit="1"/>
    </xf>
    <xf numFmtId="0" fontId="22" fillId="25" borderId="17" xfId="0" applyFont="1" applyFill="1" applyBorder="1" applyAlignment="1" applyProtection="1">
      <alignment horizontal="center"/>
    </xf>
    <xf numFmtId="0" fontId="22" fillId="25" borderId="116" xfId="0" applyFont="1" applyFill="1" applyBorder="1" applyAlignment="1" applyProtection="1">
      <alignment horizontal="center"/>
    </xf>
    <xf numFmtId="0" fontId="45" fillId="25" borderId="10" xfId="0" applyFont="1" applyFill="1" applyBorder="1" applyAlignment="1" applyProtection="1"/>
    <xf numFmtId="0" fontId="45" fillId="25" borderId="0" xfId="0" applyFont="1" applyFill="1" applyBorder="1" applyAlignment="1" applyProtection="1"/>
    <xf numFmtId="0" fontId="0" fillId="25" borderId="0" xfId="0" applyFill="1" applyBorder="1" applyAlignment="1" applyProtection="1"/>
    <xf numFmtId="0" fontId="0" fillId="25" borderId="11" xfId="0" applyFill="1" applyBorder="1" applyAlignment="1" applyProtection="1"/>
    <xf numFmtId="0" fontId="22" fillId="25" borderId="119" xfId="0" applyFont="1" applyFill="1" applyBorder="1" applyAlignment="1" applyProtection="1"/>
    <xf numFmtId="0" fontId="22" fillId="25" borderId="20" xfId="0" applyFont="1" applyFill="1" applyBorder="1" applyAlignment="1" applyProtection="1"/>
    <xf numFmtId="0" fontId="22" fillId="25" borderId="33" xfId="0" applyFont="1" applyFill="1" applyBorder="1" applyAlignment="1" applyProtection="1"/>
    <xf numFmtId="0" fontId="22" fillId="25" borderId="0" xfId="0" applyFont="1" applyFill="1" applyAlignment="1" applyProtection="1">
      <protection hidden="1"/>
    </xf>
    <xf numFmtId="0" fontId="40" fillId="25" borderId="0" xfId="0" applyFont="1" applyFill="1" applyAlignment="1" applyProtection="1">
      <alignment vertical="center"/>
    </xf>
    <xf numFmtId="0" fontId="45" fillId="25" borderId="20" xfId="0" applyFont="1" applyFill="1" applyBorder="1" applyProtection="1"/>
    <xf numFmtId="0" fontId="23" fillId="25" borderId="115" xfId="0" applyFont="1" applyFill="1" applyBorder="1" applyAlignment="1" applyProtection="1"/>
    <xf numFmtId="0" fontId="23" fillId="25" borderId="17" xfId="0" applyFont="1" applyFill="1" applyBorder="1" applyAlignment="1" applyProtection="1"/>
    <xf numFmtId="0" fontId="23" fillId="25" borderId="20" xfId="0" applyFont="1" applyFill="1" applyBorder="1" applyProtection="1"/>
    <xf numFmtId="0" fontId="22" fillId="25" borderId="121" xfId="0" applyFont="1" applyFill="1" applyBorder="1" applyAlignment="1" applyProtection="1">
      <alignment vertical="center"/>
    </xf>
    <xf numFmtId="0" fontId="35" fillId="25" borderId="107" xfId="0" applyFont="1" applyFill="1" applyBorder="1" applyAlignment="1" applyProtection="1">
      <alignment vertical="center"/>
    </xf>
    <xf numFmtId="0" fontId="22" fillId="25" borderId="107" xfId="0" applyFont="1" applyFill="1" applyBorder="1" applyAlignment="1" applyProtection="1">
      <alignment vertical="center"/>
    </xf>
    <xf numFmtId="0" fontId="22" fillId="25" borderId="0" xfId="0" applyFont="1" applyFill="1" applyAlignment="1" applyProtection="1"/>
    <xf numFmtId="164" fontId="0" fillId="25" borderId="0" xfId="0" applyNumberFormat="1" applyFill="1" applyProtection="1"/>
    <xf numFmtId="176" fontId="0" fillId="25" borderId="0" xfId="0" applyNumberFormat="1" applyFill="1" applyProtection="1"/>
    <xf numFmtId="176" fontId="0" fillId="25" borderId="0" xfId="0" applyNumberFormat="1" applyFill="1" applyBorder="1" applyProtection="1"/>
    <xf numFmtId="0" fontId="111" fillId="25" borderId="0" xfId="0" applyFont="1" applyFill="1" applyProtection="1"/>
    <xf numFmtId="176" fontId="0" fillId="25" borderId="17" xfId="0" applyNumberFormat="1" applyFill="1" applyBorder="1" applyProtection="1"/>
    <xf numFmtId="0" fontId="0" fillId="25" borderId="0" xfId="0" applyFill="1" applyBorder="1" applyAlignment="1" applyProtection="1">
      <alignment vertical="center"/>
    </xf>
    <xf numFmtId="176" fontId="0" fillId="25" borderId="0" xfId="0" applyNumberFormat="1" applyFill="1" applyAlignment="1" applyProtection="1">
      <alignment vertical="center"/>
    </xf>
    <xf numFmtId="177" fontId="111" fillId="25" borderId="0" xfId="0" applyNumberFormat="1" applyFont="1" applyFill="1" applyBorder="1" applyAlignment="1" applyProtection="1">
      <alignment horizontal="left" vertical="center" wrapText="1"/>
    </xf>
    <xf numFmtId="177" fontId="113" fillId="25" borderId="0" xfId="0" applyNumberFormat="1" applyFont="1" applyFill="1" applyBorder="1" applyAlignment="1" applyProtection="1">
      <alignment vertical="center" wrapText="1"/>
    </xf>
    <xf numFmtId="177" fontId="113" fillId="25" borderId="0" xfId="0" applyNumberFormat="1" applyFont="1" applyFill="1" applyAlignment="1" applyProtection="1">
      <alignment vertical="center" wrapText="1"/>
    </xf>
    <xf numFmtId="0" fontId="111" fillId="25" borderId="0" xfId="0" applyFont="1" applyFill="1" applyProtection="1">
      <protection hidden="1"/>
    </xf>
    <xf numFmtId="0" fontId="22" fillId="25" borderId="0" xfId="0" applyFont="1" applyFill="1" applyBorder="1" applyAlignment="1" applyProtection="1">
      <alignment horizontal="center"/>
    </xf>
    <xf numFmtId="168" fontId="22" fillId="25" borderId="0" xfId="0" applyNumberFormat="1" applyFont="1" applyFill="1" applyBorder="1" applyAlignment="1" applyProtection="1">
      <alignment horizontal="center"/>
    </xf>
    <xf numFmtId="0" fontId="109" fillId="25" borderId="0" xfId="0" applyFont="1" applyFill="1" applyAlignment="1" applyProtection="1"/>
    <xf numFmtId="0" fontId="109" fillId="25" borderId="0" xfId="0" applyFont="1" applyFill="1" applyAlignment="1" applyProtection="1">
      <protection hidden="1"/>
    </xf>
    <xf numFmtId="0" fontId="0" fillId="25" borderId="15" xfId="0" applyFill="1" applyBorder="1" applyAlignment="1" applyProtection="1">
      <alignment horizontal="center" vertical="center"/>
    </xf>
    <xf numFmtId="0" fontId="22" fillId="25" borderId="0" xfId="0" applyFont="1" applyFill="1" applyBorder="1" applyAlignment="1" applyProtection="1">
      <alignment horizontal="center" vertical="center"/>
    </xf>
    <xf numFmtId="168" fontId="22" fillId="25" borderId="0" xfId="0" applyNumberFormat="1" applyFont="1" applyFill="1" applyBorder="1" applyAlignment="1" applyProtection="1">
      <alignment horizontal="left" vertical="center"/>
      <protection hidden="1"/>
    </xf>
    <xf numFmtId="167" fontId="0" fillId="31" borderId="48" xfId="45" applyFont="1" applyFill="1" applyBorder="1" applyAlignment="1" applyProtection="1">
      <alignment horizontal="center" vertical="center"/>
      <protection locked="0"/>
    </xf>
    <xf numFmtId="0" fontId="0" fillId="25" borderId="0" xfId="0" applyFill="1" applyAlignment="1" applyProtection="1"/>
    <xf numFmtId="0" fontId="21" fillId="25" borderId="0" xfId="0" applyFont="1" applyFill="1" applyAlignment="1" applyProtection="1">
      <alignment horizontal="right"/>
    </xf>
    <xf numFmtId="0" fontId="112" fillId="25" borderId="0" xfId="0" applyFont="1" applyFill="1" applyBorder="1" applyAlignment="1" applyProtection="1">
      <protection hidden="1"/>
    </xf>
    <xf numFmtId="0" fontId="112" fillId="25" borderId="0" xfId="0" applyFont="1" applyFill="1" applyBorder="1" applyAlignment="1" applyProtection="1"/>
    <xf numFmtId="0" fontId="45" fillId="25" borderId="0" xfId="0" applyFont="1" applyFill="1" applyAlignment="1" applyProtection="1"/>
    <xf numFmtId="0" fontId="21" fillId="25" borderId="0" xfId="0" applyFont="1" applyFill="1" applyAlignment="1" applyProtection="1"/>
    <xf numFmtId="0" fontId="39" fillId="25" borderId="0" xfId="0" applyFont="1" applyFill="1" applyAlignment="1" applyProtection="1">
      <alignment horizontal="right"/>
    </xf>
    <xf numFmtId="0" fontId="58" fillId="25" borderId="0" xfId="0" applyFont="1" applyFill="1" applyAlignment="1" applyProtection="1"/>
    <xf numFmtId="0" fontId="0" fillId="27" borderId="0" xfId="0" applyFill="1" applyBorder="1" applyProtection="1"/>
    <xf numFmtId="0" fontId="0" fillId="27" borderId="0" xfId="0" applyFill="1" applyAlignment="1" applyProtection="1"/>
    <xf numFmtId="0" fontId="21" fillId="27" borderId="0" xfId="0" applyFont="1" applyFill="1" applyAlignment="1" applyProtection="1">
      <alignment horizontal="right"/>
    </xf>
    <xf numFmtId="0" fontId="39" fillId="25" borderId="0" xfId="0" applyFont="1" applyFill="1" applyBorder="1" applyAlignment="1" applyProtection="1">
      <alignment vertical="center"/>
    </xf>
    <xf numFmtId="0" fontId="39" fillId="25" borderId="0" xfId="0" applyFont="1" applyFill="1" applyAlignment="1" applyProtection="1">
      <alignment vertical="center"/>
    </xf>
    <xf numFmtId="179" fontId="39" fillId="25" borderId="0" xfId="52" applyNumberFormat="1" applyFont="1" applyFill="1" applyBorder="1" applyAlignment="1" applyProtection="1">
      <alignment horizontal="center" vertical="center"/>
    </xf>
    <xf numFmtId="168" fontId="22" fillId="25" borderId="0" xfId="0" applyNumberFormat="1" applyFont="1" applyFill="1" applyBorder="1" applyAlignment="1" applyProtection="1">
      <alignment horizontal="center" vertical="center"/>
    </xf>
    <xf numFmtId="0" fontId="22" fillId="25" borderId="0" xfId="0" applyFont="1" applyFill="1" applyBorder="1" applyAlignment="1" applyProtection="1">
      <alignment horizontal="center" vertical="center" wrapText="1" shrinkToFit="1"/>
    </xf>
    <xf numFmtId="179" fontId="0" fillId="25" borderId="0" xfId="52" applyNumberFormat="1" applyFont="1" applyFill="1" applyBorder="1" applyAlignment="1" applyProtection="1"/>
    <xf numFmtId="0" fontId="22" fillId="25" borderId="0" xfId="0" applyFont="1" applyFill="1" applyBorder="1" applyAlignment="1" applyProtection="1"/>
    <xf numFmtId="179" fontId="22" fillId="25" borderId="0" xfId="52" applyNumberFormat="1" applyFont="1" applyFill="1" applyBorder="1" applyAlignment="1" applyProtection="1"/>
    <xf numFmtId="179" fontId="45" fillId="25" borderId="0" xfId="52" applyNumberFormat="1" applyFont="1" applyFill="1" applyAlignment="1" applyProtection="1">
      <alignment horizontal="center"/>
    </xf>
    <xf numFmtId="179" fontId="45" fillId="25" borderId="0" xfId="52" applyNumberFormat="1" applyFont="1" applyFill="1" applyBorder="1" applyAlignment="1" applyProtection="1">
      <alignment horizontal="center"/>
    </xf>
    <xf numFmtId="0" fontId="45" fillId="25" borderId="0" xfId="0" applyFont="1" applyFill="1" applyBorder="1" applyAlignment="1" applyProtection="1">
      <alignment vertical="center"/>
    </xf>
    <xf numFmtId="0" fontId="45" fillId="25" borderId="0" xfId="0" applyFont="1" applyFill="1" applyAlignment="1" applyProtection="1">
      <alignment vertical="center"/>
    </xf>
    <xf numFmtId="179" fontId="22" fillId="25" borderId="0" xfId="52" applyNumberFormat="1" applyFont="1" applyFill="1" applyBorder="1" applyAlignment="1" applyProtection="1">
      <alignment horizontal="center"/>
    </xf>
    <xf numFmtId="179" fontId="0" fillId="25" borderId="0" xfId="0" applyNumberFormat="1" applyFill="1" applyBorder="1" applyAlignment="1" applyProtection="1"/>
    <xf numFmtId="179" fontId="22" fillId="25" borderId="0" xfId="52" applyNumberFormat="1" applyFont="1" applyFill="1" applyBorder="1" applyAlignment="1" applyProtection="1">
      <alignment horizontal="center" vertical="center"/>
    </xf>
    <xf numFmtId="179" fontId="22" fillId="25" borderId="0" xfId="52" applyNumberFormat="1" applyFont="1" applyFill="1" applyBorder="1" applyAlignment="1" applyProtection="1">
      <alignment vertical="center"/>
    </xf>
    <xf numFmtId="0" fontId="0" fillId="0" borderId="0" xfId="0" applyAlignment="1" applyProtection="1">
      <alignment vertical="center"/>
    </xf>
    <xf numFmtId="0" fontId="0" fillId="25" borderId="0" xfId="0" applyFill="1" applyAlignment="1" applyProtection="1">
      <alignment horizontal="center"/>
    </xf>
    <xf numFmtId="177" fontId="111" fillId="25" borderId="0" xfId="0" applyNumberFormat="1" applyFont="1" applyFill="1" applyBorder="1" applyAlignment="1" applyProtection="1">
      <alignment horizontal="center" vertical="center" wrapText="1"/>
    </xf>
    <xf numFmtId="164" fontId="0" fillId="25" borderId="0" xfId="0" applyNumberFormat="1" applyFill="1" applyAlignment="1" applyProtection="1">
      <alignment horizontal="center"/>
    </xf>
    <xf numFmtId="177" fontId="111" fillId="25" borderId="0" xfId="0" applyNumberFormat="1" applyFont="1" applyFill="1" applyBorder="1" applyAlignment="1" applyProtection="1">
      <alignment horizontal="left" vertical="center"/>
    </xf>
    <xf numFmtId="177" fontId="111" fillId="25" borderId="0" xfId="0" applyNumberFormat="1" applyFont="1" applyFill="1" applyBorder="1" applyAlignment="1" applyProtection="1">
      <alignment horizontal="left" vertical="center"/>
      <protection hidden="1"/>
    </xf>
    <xf numFmtId="0" fontId="22" fillId="29" borderId="47" xfId="48" applyFont="1" applyFill="1" applyBorder="1" applyProtection="1"/>
    <xf numFmtId="0" fontId="22" fillId="29" borderId="0" xfId="0" applyFont="1" applyFill="1" applyBorder="1" applyAlignment="1" applyProtection="1">
      <alignment vertical="center"/>
    </xf>
    <xf numFmtId="0" fontId="22" fillId="29" borderId="0" xfId="0" applyFont="1" applyFill="1" applyBorder="1" applyAlignment="1" applyProtection="1">
      <alignment horizontal="center"/>
    </xf>
    <xf numFmtId="0" fontId="26" fillId="0" borderId="0" xfId="0" applyFont="1" applyFill="1" applyBorder="1" applyAlignment="1">
      <alignment horizontal="center" vertical="center"/>
    </xf>
    <xf numFmtId="0" fontId="22" fillId="0" borderId="0" xfId="0" applyFont="1" applyFill="1"/>
    <xf numFmtId="0" fontId="34" fillId="0" borderId="0" xfId="0" applyFont="1" applyFill="1" applyBorder="1" applyAlignment="1">
      <alignment horizontal="center" vertical="distributed" wrapText="1"/>
    </xf>
    <xf numFmtId="0" fontId="33" fillId="0" borderId="0" xfId="0" applyFont="1" applyFill="1" applyBorder="1" applyAlignment="1">
      <alignment horizontal="left" vertical="center" wrapText="1"/>
    </xf>
    <xf numFmtId="0" fontId="0" fillId="25" borderId="0" xfId="0" applyFont="1" applyFill="1" applyBorder="1" applyAlignment="1">
      <alignment horizontal="center" vertical="center"/>
    </xf>
    <xf numFmtId="0" fontId="22" fillId="0" borderId="22" xfId="0" applyFont="1" applyBorder="1" applyAlignment="1">
      <alignment horizontal="center" vertical="center" textRotation="90"/>
    </xf>
    <xf numFmtId="0" fontId="22" fillId="0" borderId="0" xfId="0" applyFont="1" applyBorder="1" applyAlignment="1">
      <alignment horizontal="center" vertical="center" textRotation="90"/>
    </xf>
    <xf numFmtId="0" fontId="22" fillId="0" borderId="16" xfId="0" applyFont="1" applyBorder="1" applyAlignment="1">
      <alignment horizontal="center" vertical="center" textRotation="90"/>
    </xf>
    <xf numFmtId="0" fontId="31" fillId="0" borderId="0" xfId="0" applyFont="1" applyBorder="1" applyAlignment="1">
      <alignment vertical="top"/>
    </xf>
    <xf numFmtId="0" fontId="0" fillId="0" borderId="0" xfId="0" applyFont="1" applyBorder="1" applyAlignment="1">
      <alignment vertical="top"/>
    </xf>
    <xf numFmtId="0" fontId="0" fillId="0" borderId="16" xfId="0" applyFont="1" applyBorder="1" applyAlignment="1">
      <alignment vertical="top"/>
    </xf>
    <xf numFmtId="0" fontId="0" fillId="0" borderId="0" xfId="0" applyBorder="1" applyAlignment="1">
      <alignment vertical="top"/>
    </xf>
    <xf numFmtId="0" fontId="0" fillId="0" borderId="16" xfId="0" applyBorder="1" applyAlignment="1">
      <alignment vertical="top"/>
    </xf>
    <xf numFmtId="0" fontId="20" fillId="0" borderId="0" xfId="0" applyFont="1" applyBorder="1" applyAlignment="1">
      <alignment vertical="top"/>
    </xf>
    <xf numFmtId="0" fontId="31" fillId="0" borderId="0" xfId="0" applyFont="1" applyBorder="1" applyAlignment="1">
      <alignment horizontal="left" vertical="top"/>
    </xf>
    <xf numFmtId="0" fontId="31" fillId="0" borderId="0" xfId="0" applyFont="1" applyBorder="1" applyAlignment="1">
      <alignment horizontal="left" vertical="top" wrapText="1"/>
    </xf>
    <xf numFmtId="0" fontId="0" fillId="0" borderId="16" xfId="0" applyFont="1" applyBorder="1" applyAlignment="1">
      <alignment vertical="top" wrapText="1"/>
    </xf>
    <xf numFmtId="0" fontId="28" fillId="0" borderId="0" xfId="0" applyFont="1" applyBorder="1" applyAlignment="1">
      <alignment horizontal="center" vertical="top"/>
    </xf>
    <xf numFmtId="0" fontId="31" fillId="0" borderId="0" xfId="0" applyFont="1" applyFill="1" applyBorder="1" applyAlignment="1">
      <alignment vertical="top"/>
    </xf>
    <xf numFmtId="0" fontId="0" fillId="0" borderId="0" xfId="0" applyFill="1" applyBorder="1" applyAlignment="1">
      <alignment vertical="top"/>
    </xf>
    <xf numFmtId="0" fontId="28" fillId="0" borderId="0" xfId="0" applyFont="1" applyBorder="1" applyAlignment="1">
      <alignment horizontal="center" vertical="center"/>
    </xf>
    <xf numFmtId="0" fontId="26" fillId="0" borderId="0" xfId="0" quotePrefix="1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top" wrapText="1"/>
    </xf>
    <xf numFmtId="0" fontId="48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vertical="top" wrapText="1"/>
    </xf>
    <xf numFmtId="0" fontId="0" fillId="0" borderId="0" xfId="0" applyBorder="1" applyAlignment="1">
      <alignment horizontal="center"/>
    </xf>
    <xf numFmtId="0" fontId="34" fillId="0" borderId="22" xfId="0" applyFont="1" applyBorder="1" applyAlignment="1">
      <alignment horizontal="left" vertical="center"/>
    </xf>
    <xf numFmtId="0" fontId="34" fillId="0" borderId="0" xfId="0" applyFont="1" applyBorder="1" applyAlignment="1">
      <alignment horizontal="left" vertical="center"/>
    </xf>
    <xf numFmtId="0" fontId="34" fillId="0" borderId="0" xfId="0" applyFont="1" applyBorder="1" applyAlignment="1">
      <alignment horizontal="left" wrapText="1"/>
    </xf>
    <xf numFmtId="0" fontId="33" fillId="0" borderId="0" xfId="0" applyFont="1" applyBorder="1" applyAlignment="1">
      <alignment horizontal="left" vertical="center" wrapText="1"/>
    </xf>
    <xf numFmtId="0" fontId="31" fillId="25" borderId="0" xfId="0" applyFont="1" applyFill="1" applyBorder="1" applyAlignment="1">
      <alignment vertical="top" wrapText="1"/>
    </xf>
    <xf numFmtId="0" fontId="26" fillId="0" borderId="0" xfId="0" applyFont="1" applyBorder="1" applyAlignment="1">
      <alignment horizontal="center"/>
    </xf>
    <xf numFmtId="0" fontId="26" fillId="0" borderId="0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8" fillId="0" borderId="20" xfId="0" applyFont="1" applyBorder="1" applyAlignment="1">
      <alignment horizontal="center" vertical="center"/>
    </xf>
    <xf numFmtId="0" fontId="28" fillId="0" borderId="23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top" wrapText="1"/>
    </xf>
    <xf numFmtId="0" fontId="34" fillId="0" borderId="0" xfId="0" applyFont="1" applyBorder="1" applyAlignment="1">
      <alignment horizontal="center" vertical="top"/>
    </xf>
    <xf numFmtId="0" fontId="26" fillId="0" borderId="0" xfId="0" applyFont="1" applyBorder="1" applyAlignment="1">
      <alignment horizontal="center" vertical="center" wrapText="1"/>
    </xf>
    <xf numFmtId="0" fontId="28" fillId="0" borderId="15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 wrapText="1"/>
    </xf>
    <xf numFmtId="0" fontId="33" fillId="0" borderId="0" xfId="0" applyFont="1" applyBorder="1" applyAlignment="1">
      <alignment horizontal="center" vertical="distributed"/>
    </xf>
    <xf numFmtId="0" fontId="28" fillId="0" borderId="17" xfId="0" applyFont="1" applyBorder="1" applyAlignment="1">
      <alignment horizontal="center" vertical="center"/>
    </xf>
    <xf numFmtId="0" fontId="30" fillId="0" borderId="0" xfId="0" applyFont="1" applyFill="1" applyBorder="1" applyAlignment="1">
      <alignment horizontal="center" vertical="center"/>
    </xf>
    <xf numFmtId="0" fontId="22" fillId="29" borderId="64" xfId="0" applyFont="1" applyFill="1" applyBorder="1" applyProtection="1"/>
    <xf numFmtId="0" fontId="39" fillId="0" borderId="0" xfId="0" applyFont="1" applyFill="1" applyBorder="1" applyAlignment="1" applyProtection="1">
      <alignment horizontal="left" vertical="center"/>
    </xf>
    <xf numFmtId="0" fontId="22" fillId="0" borderId="0" xfId="0" applyFont="1" applyFill="1" applyBorder="1" applyAlignment="1" applyProtection="1">
      <alignment horizontal="left" vertical="center"/>
    </xf>
    <xf numFmtId="9" fontId="22" fillId="0" borderId="50" xfId="0" applyNumberFormat="1" applyFont="1" applyFill="1" applyBorder="1" applyAlignment="1" applyProtection="1">
      <alignment horizontal="center"/>
    </xf>
    <xf numFmtId="0" fontId="0" fillId="66" borderId="0" xfId="0" applyFont="1" applyFill="1" applyBorder="1" applyProtection="1">
      <protection hidden="1"/>
    </xf>
    <xf numFmtId="0" fontId="0" fillId="68" borderId="0" xfId="0" applyFont="1" applyFill="1" applyBorder="1" applyProtection="1">
      <protection hidden="1"/>
    </xf>
    <xf numFmtId="0" fontId="22" fillId="29" borderId="0" xfId="0" applyFont="1" applyFill="1" applyBorder="1" applyProtection="1">
      <protection hidden="1"/>
    </xf>
    <xf numFmtId="0" fontId="35" fillId="29" borderId="0" xfId="89" applyFont="1" applyFill="1" applyAlignment="1" applyProtection="1">
      <alignment vertical="center"/>
    </xf>
    <xf numFmtId="0" fontId="22" fillId="0" borderId="15" xfId="0" applyFont="1" applyFill="1" applyBorder="1" applyAlignment="1" applyProtection="1">
      <alignment horizontal="center" vertical="center" wrapText="1"/>
      <protection hidden="1"/>
    </xf>
    <xf numFmtId="0" fontId="28" fillId="0" borderId="0" xfId="0" applyFont="1" applyFill="1" applyBorder="1" applyAlignment="1" applyProtection="1">
      <alignment horizontal="left" vertical="center"/>
      <protection hidden="1"/>
    </xf>
    <xf numFmtId="0" fontId="22" fillId="0" borderId="0" xfId="0" applyFont="1" applyFill="1" applyBorder="1" applyAlignment="1" applyProtection="1">
      <alignment horizontal="left" vertical="top"/>
      <protection hidden="1"/>
    </xf>
    <xf numFmtId="0" fontId="26" fillId="0" borderId="15" xfId="0" applyFont="1" applyFill="1" applyBorder="1" applyAlignment="1" applyProtection="1">
      <alignment horizontal="center" vertical="center"/>
      <protection hidden="1"/>
    </xf>
    <xf numFmtId="182" fontId="22" fillId="0" borderId="15" xfId="0" applyNumberFormat="1" applyFont="1" applyBorder="1" applyAlignment="1" applyProtection="1">
      <alignment horizontal="center" vertical="center"/>
      <protection hidden="1"/>
    </xf>
    <xf numFmtId="182" fontId="28" fillId="0" borderId="15" xfId="0" applyNumberFormat="1" applyFont="1" applyBorder="1" applyAlignment="1" applyProtection="1">
      <alignment horizontal="center" vertical="center"/>
      <protection hidden="1"/>
    </xf>
    <xf numFmtId="182" fontId="22" fillId="0" borderId="15" xfId="0" applyNumberFormat="1" applyFont="1" applyFill="1" applyBorder="1" applyAlignment="1" applyProtection="1">
      <alignment horizontal="center" vertical="center"/>
      <protection hidden="1"/>
    </xf>
    <xf numFmtId="182" fontId="34" fillId="0" borderId="15" xfId="0" applyNumberFormat="1" applyFont="1" applyBorder="1" applyProtection="1">
      <protection hidden="1"/>
    </xf>
    <xf numFmtId="182" fontId="22" fillId="29" borderId="15" xfId="0" applyNumberFormat="1" applyFont="1" applyFill="1" applyBorder="1" applyAlignment="1" applyProtection="1">
      <alignment horizontal="center" vertical="center"/>
      <protection hidden="1"/>
    </xf>
    <xf numFmtId="0" fontId="22" fillId="31" borderId="48" xfId="0" applyFont="1" applyFill="1" applyBorder="1" applyAlignment="1" applyProtection="1">
      <alignment horizontal="center" vertical="center"/>
      <protection locked="0"/>
    </xf>
    <xf numFmtId="0" fontId="22" fillId="31" borderId="85" xfId="0" applyFont="1" applyFill="1" applyBorder="1" applyAlignment="1" applyProtection="1">
      <alignment horizontal="center" vertical="center"/>
      <protection locked="0"/>
    </xf>
    <xf numFmtId="0" fontId="92" fillId="0" borderId="0" xfId="97" applyFont="1" applyAlignment="1">
      <alignment horizontal="center"/>
    </xf>
    <xf numFmtId="0" fontId="114" fillId="29" borderId="0" xfId="0" applyFont="1" applyFill="1"/>
    <xf numFmtId="0" fontId="114" fillId="0" borderId="0" xfId="0" applyFont="1" applyFill="1"/>
    <xf numFmtId="0" fontId="114" fillId="0" borderId="0" xfId="0" applyFont="1"/>
    <xf numFmtId="0" fontId="115" fillId="0" borderId="0" xfId="0" applyFont="1" applyBorder="1" applyAlignment="1">
      <alignment vertical="center"/>
    </xf>
    <xf numFmtId="0" fontId="116" fillId="0" borderId="0" xfId="0" applyFont="1" applyBorder="1" applyAlignment="1">
      <alignment vertical="center"/>
    </xf>
    <xf numFmtId="0" fontId="116" fillId="0" borderId="0" xfId="0" applyFont="1" applyBorder="1"/>
    <xf numFmtId="0" fontId="116" fillId="0" borderId="0" xfId="0" applyFont="1"/>
    <xf numFmtId="0" fontId="114" fillId="0" borderId="0" xfId="0" applyFont="1" applyBorder="1"/>
    <xf numFmtId="0" fontId="115" fillId="0" borderId="0" xfId="0" applyFont="1" applyBorder="1" applyAlignment="1">
      <alignment vertical="top" wrapText="1"/>
    </xf>
    <xf numFmtId="0" fontId="117" fillId="0" borderId="0" xfId="0" applyFont="1" applyBorder="1" applyAlignment="1">
      <alignment horizontal="center" vertical="top" wrapText="1"/>
    </xf>
    <xf numFmtId="0" fontId="118" fillId="0" borderId="0" xfId="0" quotePrefix="1" applyFont="1" applyBorder="1" applyAlignment="1">
      <alignment vertical="distributed"/>
    </xf>
    <xf numFmtId="0" fontId="119" fillId="0" borderId="0" xfId="0" applyFont="1" applyBorder="1" applyAlignment="1">
      <alignment horizontal="center" vertical="center"/>
    </xf>
    <xf numFmtId="0" fontId="120" fillId="0" borderId="0" xfId="0" applyFont="1" applyBorder="1" applyAlignment="1">
      <alignment horizontal="left"/>
    </xf>
    <xf numFmtId="0" fontId="119" fillId="0" borderId="0" xfId="0" applyFont="1" applyFill="1" applyBorder="1" applyAlignment="1">
      <alignment horizontal="center" vertical="center"/>
    </xf>
    <xf numFmtId="0" fontId="121" fillId="0" borderId="0" xfId="0" applyFont="1" applyFill="1" applyBorder="1" applyAlignment="1">
      <alignment vertical="center"/>
    </xf>
    <xf numFmtId="0" fontId="121" fillId="0" borderId="0" xfId="0" applyFont="1" applyBorder="1" applyAlignment="1">
      <alignment horizontal="center" vertical="center"/>
    </xf>
    <xf numFmtId="0" fontId="36" fillId="0" borderId="0" xfId="0" applyFont="1" applyBorder="1" applyAlignment="1">
      <alignment vertical="center"/>
    </xf>
    <xf numFmtId="0" fontId="122" fillId="0" borderId="0" xfId="0" applyFont="1" applyBorder="1" applyAlignment="1">
      <alignment vertical="center"/>
    </xf>
    <xf numFmtId="0" fontId="36" fillId="0" borderId="0" xfId="0" applyFont="1" applyBorder="1" applyAlignment="1">
      <alignment horizontal="center" vertical="center" textRotation="90"/>
    </xf>
    <xf numFmtId="0" fontId="114" fillId="0" borderId="0" xfId="0" applyFont="1" applyBorder="1" applyAlignment="1">
      <alignment horizontal="center" wrapText="1"/>
    </xf>
    <xf numFmtId="0" fontId="120" fillId="0" borderId="0" xfId="0" applyFont="1" applyBorder="1" applyAlignment="1">
      <alignment horizontal="center" vertical="center" textRotation="90"/>
    </xf>
    <xf numFmtId="0" fontId="118" fillId="0" borderId="0" xfId="0" quotePrefix="1" applyFont="1" applyBorder="1" applyAlignment="1">
      <alignment vertical="distributed" wrapText="1"/>
    </xf>
    <xf numFmtId="0" fontId="120" fillId="0" borderId="0" xfId="0" applyFont="1" applyBorder="1" applyAlignment="1"/>
    <xf numFmtId="0" fontId="123" fillId="0" borderId="0" xfId="0" applyFont="1" applyBorder="1" applyAlignment="1"/>
    <xf numFmtId="0" fontId="120" fillId="0" borderId="0" xfId="0" applyFont="1" applyBorder="1"/>
    <xf numFmtId="0" fontId="36" fillId="0" borderId="0" xfId="0" applyFont="1" applyFill="1" applyBorder="1" applyAlignment="1">
      <alignment horizontal="center" vertical="center"/>
    </xf>
    <xf numFmtId="0" fontId="114" fillId="25" borderId="0" xfId="0" applyFont="1" applyFill="1" applyBorder="1"/>
    <xf numFmtId="0" fontId="117" fillId="25" borderId="0" xfId="0" applyFont="1" applyFill="1" applyBorder="1" applyAlignment="1">
      <alignment horizontal="center" vertical="center"/>
    </xf>
    <xf numFmtId="0" fontId="117" fillId="0" borderId="0" xfId="0" applyFont="1" applyBorder="1" applyAlignment="1">
      <alignment horizontal="center" vertical="center"/>
    </xf>
    <xf numFmtId="0" fontId="117" fillId="0" borderId="0" xfId="0" applyFont="1" applyFill="1" applyBorder="1" applyAlignment="1">
      <alignment horizontal="center" vertical="center"/>
    </xf>
    <xf numFmtId="0" fontId="116" fillId="0" borderId="0" xfId="0" applyFont="1" applyBorder="1" applyAlignment="1">
      <alignment vertical="center" textRotation="90" wrapText="1"/>
    </xf>
    <xf numFmtId="0" fontId="116" fillId="0" borderId="0" xfId="0" applyFont="1" applyBorder="1" applyAlignment="1">
      <alignment horizontal="center" vertical="center" textRotation="90" wrapText="1"/>
    </xf>
    <xf numFmtId="0" fontId="116" fillId="0" borderId="0" xfId="0" applyFont="1" applyBorder="1" applyAlignment="1">
      <alignment wrapText="1"/>
    </xf>
    <xf numFmtId="0" fontId="36" fillId="0" borderId="0" xfId="0" applyFont="1" applyBorder="1" applyAlignment="1">
      <alignment vertical="top" wrapText="1"/>
    </xf>
    <xf numFmtId="0" fontId="114" fillId="0" borderId="0" xfId="0" applyFont="1" applyBorder="1" applyAlignment="1">
      <alignment wrapText="1"/>
    </xf>
    <xf numFmtId="0" fontId="124" fillId="0" borderId="0" xfId="0" applyFont="1" applyBorder="1" applyAlignment="1">
      <alignment wrapText="1"/>
    </xf>
    <xf numFmtId="0" fontId="120" fillId="0" borderId="0" xfId="0" applyFont="1" applyBorder="1" applyAlignment="1">
      <alignment horizontal="center" vertical="center" textRotation="90" wrapText="1"/>
    </xf>
    <xf numFmtId="0" fontId="114" fillId="0" borderId="0" xfId="0" applyFont="1" applyBorder="1" applyAlignment="1">
      <alignment horizontal="center" vertical="center" textRotation="90" wrapText="1"/>
    </xf>
    <xf numFmtId="0" fontId="125" fillId="0" borderId="0" xfId="0" applyFont="1"/>
    <xf numFmtId="0" fontId="125" fillId="0" borderId="0" xfId="0" applyFont="1" applyBorder="1" applyAlignment="1"/>
    <xf numFmtId="0" fontId="117" fillId="0" borderId="0" xfId="0" applyFont="1" applyBorder="1" applyAlignment="1"/>
    <xf numFmtId="0" fontId="125" fillId="0" borderId="0" xfId="0" applyFont="1" applyBorder="1"/>
    <xf numFmtId="0" fontId="117" fillId="0" borderId="0" xfId="0" applyFont="1" applyBorder="1" applyAlignment="1">
      <alignment vertical="center" textRotation="90" wrapText="1"/>
    </xf>
    <xf numFmtId="0" fontId="125" fillId="0" borderId="0" xfId="0" applyFont="1" applyBorder="1" applyAlignment="1">
      <alignment horizontal="center"/>
    </xf>
    <xf numFmtId="0" fontId="117" fillId="25" borderId="15" xfId="0" applyFont="1" applyFill="1" applyBorder="1" applyAlignment="1" applyProtection="1">
      <alignment horizontal="center" vertical="center"/>
      <protection locked="0"/>
    </xf>
    <xf numFmtId="0" fontId="115" fillId="0" borderId="15" xfId="0" applyFont="1" applyBorder="1" applyAlignment="1" applyProtection="1">
      <alignment horizontal="center" vertical="center" wrapText="1"/>
      <protection hidden="1"/>
    </xf>
    <xf numFmtId="0" fontId="117" fillId="25" borderId="15" xfId="0" applyFont="1" applyFill="1" applyBorder="1" applyAlignment="1" applyProtection="1">
      <alignment horizontal="center" vertical="center"/>
      <protection hidden="1"/>
    </xf>
    <xf numFmtId="0" fontId="117" fillId="0" borderId="0" xfId="0" applyFont="1" applyBorder="1" applyAlignment="1">
      <alignment vertical="top" wrapText="1"/>
    </xf>
    <xf numFmtId="0" fontId="117" fillId="25" borderId="15" xfId="0" applyNumberFormat="1" applyFont="1" applyFill="1" applyBorder="1" applyAlignment="1" applyProtection="1">
      <alignment horizontal="center" vertical="center"/>
      <protection locked="0"/>
    </xf>
    <xf numFmtId="0" fontId="22" fillId="25" borderId="0" xfId="0" applyFont="1" applyFill="1" applyBorder="1" applyAlignment="1" applyProtection="1">
      <alignment horizontal="center" vertical="center"/>
    </xf>
    <xf numFmtId="0" fontId="109" fillId="25" borderId="0" xfId="0" applyFont="1" applyFill="1" applyAlignment="1" applyProtection="1">
      <alignment horizontal="center"/>
    </xf>
    <xf numFmtId="176" fontId="40" fillId="29" borderId="0" xfId="52" applyNumberFormat="1" applyFont="1" applyFill="1" applyAlignment="1" applyProtection="1">
      <alignment horizontal="left" vertical="center"/>
      <protection hidden="1"/>
    </xf>
    <xf numFmtId="168" fontId="0" fillId="68" borderId="0" xfId="52" applyNumberFormat="1" applyFont="1" applyFill="1" applyAlignment="1" applyProtection="1">
      <alignment horizontal="center"/>
      <protection hidden="1"/>
    </xf>
    <xf numFmtId="0" fontId="0" fillId="68" borderId="0" xfId="0" quotePrefix="1" applyFill="1" applyAlignment="1" applyProtection="1">
      <alignment horizontal="center"/>
      <protection hidden="1"/>
    </xf>
    <xf numFmtId="168" fontId="0" fillId="66" borderId="0" xfId="52" applyNumberFormat="1" applyFont="1" applyFill="1" applyAlignment="1" applyProtection="1">
      <alignment horizontal="center"/>
      <protection hidden="1"/>
    </xf>
    <xf numFmtId="0" fontId="0" fillId="66" borderId="0" xfId="0" applyFill="1" applyAlignment="1" applyProtection="1">
      <alignment horizontal="center"/>
      <protection hidden="1"/>
    </xf>
    <xf numFmtId="0" fontId="0" fillId="66" borderId="0" xfId="0" quotePrefix="1" applyFill="1" applyAlignment="1" applyProtection="1">
      <alignment horizontal="center"/>
      <protection hidden="1"/>
    </xf>
    <xf numFmtId="0" fontId="22" fillId="31" borderId="48" xfId="48" applyFont="1" applyFill="1" applyBorder="1" applyAlignment="1" applyProtection="1">
      <alignment horizontal="center" vertical="center"/>
      <protection locked="0"/>
    </xf>
    <xf numFmtId="0" fontId="0" fillId="0" borderId="0" xfId="0" quotePrefix="1" applyFont="1"/>
    <xf numFmtId="0" fontId="0" fillId="29" borderId="0" xfId="50" applyFont="1" applyFill="1" applyProtection="1">
      <protection locked="0"/>
    </xf>
    <xf numFmtId="0" fontId="0" fillId="25" borderId="0" xfId="0" applyFont="1" applyFill="1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0" fontId="28" fillId="0" borderId="27" xfId="0" applyFont="1" applyBorder="1" applyAlignment="1">
      <alignment horizontal="center" vertical="center"/>
    </xf>
    <xf numFmtId="0" fontId="28" fillId="0" borderId="22" xfId="0" applyFont="1" applyBorder="1" applyAlignment="1">
      <alignment horizontal="center" vertical="center" wrapText="1"/>
    </xf>
    <xf numFmtId="0" fontId="28" fillId="25" borderId="27" xfId="0" applyFont="1" applyFill="1" applyBorder="1" applyAlignment="1">
      <alignment horizontal="center" vertical="center" wrapText="1"/>
    </xf>
    <xf numFmtId="0" fontId="28" fillId="0" borderId="31" xfId="0" applyFont="1" applyBorder="1" applyAlignment="1">
      <alignment horizontal="center" vertical="center" wrapText="1"/>
    </xf>
    <xf numFmtId="0" fontId="28" fillId="0" borderId="27" xfId="0" applyFont="1" applyBorder="1" applyAlignment="1">
      <alignment horizontal="center" vertical="center" wrapText="1"/>
    </xf>
    <xf numFmtId="0" fontId="22" fillId="25" borderId="15" xfId="0" applyFont="1" applyFill="1" applyBorder="1" applyAlignment="1" applyProtection="1">
      <alignment horizontal="center" vertical="center"/>
    </xf>
    <xf numFmtId="0" fontId="22" fillId="0" borderId="27" xfId="0" applyFont="1" applyBorder="1" applyAlignment="1" applyProtection="1">
      <alignment horizontal="center" vertical="center"/>
    </xf>
    <xf numFmtId="0" fontId="22" fillId="0" borderId="15" xfId="0" applyFont="1" applyFill="1" applyBorder="1" applyAlignment="1" applyProtection="1">
      <alignment horizontal="center" vertical="center"/>
      <protection hidden="1"/>
    </xf>
    <xf numFmtId="0" fontId="22" fillId="25" borderId="15" xfId="0" applyFont="1" applyFill="1" applyBorder="1" applyAlignment="1" applyProtection="1">
      <alignment horizontal="left" vertical="center"/>
      <protection hidden="1"/>
    </xf>
    <xf numFmtId="0" fontId="22" fillId="25" borderId="15" xfId="0" applyFont="1" applyFill="1" applyBorder="1" applyAlignment="1">
      <alignment horizontal="center" vertical="center"/>
    </xf>
    <xf numFmtId="0" fontId="22" fillId="25" borderId="15" xfId="0" applyFont="1" applyFill="1" applyBorder="1"/>
    <xf numFmtId="0" fontId="22" fillId="25" borderId="15" xfId="0" quotePrefix="1" applyFont="1" applyFill="1" applyBorder="1" applyAlignment="1" applyProtection="1">
      <alignment horizontal="center" vertical="center"/>
      <protection hidden="1"/>
    </xf>
    <xf numFmtId="0" fontId="49" fillId="0" borderId="15" xfId="0" applyFont="1" applyBorder="1" applyAlignment="1">
      <alignment horizontal="center" vertical="center"/>
    </xf>
    <xf numFmtId="0" fontId="22" fillId="0" borderId="15" xfId="0" applyFont="1" applyFill="1" applyBorder="1" applyAlignment="1" applyProtection="1">
      <alignment horizontal="left" vertical="center"/>
      <protection hidden="1"/>
    </xf>
    <xf numFmtId="0" fontId="0" fillId="0" borderId="15" xfId="0" applyFont="1" applyFill="1" applyBorder="1" applyAlignment="1">
      <alignment horizontal="center" vertical="center"/>
    </xf>
    <xf numFmtId="0" fontId="32" fillId="0" borderId="15" xfId="0" applyFont="1" applyFill="1" applyBorder="1"/>
    <xf numFmtId="0" fontId="22" fillId="25" borderId="15" xfId="0" applyFont="1" applyFill="1" applyBorder="1" applyAlignment="1" applyProtection="1">
      <alignment vertical="center"/>
      <protection hidden="1"/>
    </xf>
    <xf numFmtId="0" fontId="0" fillId="25" borderId="15" xfId="0" applyFont="1" applyFill="1" applyBorder="1"/>
    <xf numFmtId="0" fontId="22" fillId="0" borderId="15" xfId="0" applyNumberFormat="1" applyFont="1" applyBorder="1" applyAlignment="1" applyProtection="1">
      <alignment horizontal="center" vertical="center"/>
      <protection hidden="1"/>
    </xf>
    <xf numFmtId="0" fontId="0" fillId="0" borderId="15" xfId="0" applyFont="1" applyBorder="1" applyAlignment="1">
      <alignment horizontal="center" vertical="center"/>
    </xf>
    <xf numFmtId="0" fontId="22" fillId="25" borderId="15" xfId="0" applyFont="1" applyFill="1" applyBorder="1" applyAlignment="1">
      <alignment horizontal="left" vertical="center"/>
    </xf>
    <xf numFmtId="0" fontId="20" fillId="0" borderId="15" xfId="0" applyFont="1" applyBorder="1" applyAlignment="1">
      <alignment horizontal="center" vertical="center"/>
    </xf>
    <xf numFmtId="0" fontId="22" fillId="25" borderId="15" xfId="0" applyFont="1" applyFill="1" applyBorder="1" applyProtection="1"/>
    <xf numFmtId="0" fontId="22" fillId="0" borderId="27" xfId="0" applyFont="1" applyFill="1" applyBorder="1" applyAlignment="1" applyProtection="1">
      <alignment horizontal="center" vertical="center"/>
    </xf>
    <xf numFmtId="182" fontId="39" fillId="0" borderId="15" xfId="0" applyNumberFormat="1" applyFont="1" applyFill="1" applyBorder="1" applyAlignment="1" applyProtection="1">
      <alignment horizontal="center" vertical="center"/>
      <protection hidden="1"/>
    </xf>
    <xf numFmtId="182" fontId="26" fillId="0" borderId="15" xfId="0" applyNumberFormat="1" applyFont="1" applyFill="1" applyBorder="1" applyAlignment="1" applyProtection="1">
      <alignment horizontal="center" vertical="center"/>
      <protection hidden="1"/>
    </xf>
    <xf numFmtId="0" fontId="0" fillId="0" borderId="15" xfId="0" applyFont="1" applyFill="1" applyBorder="1" applyAlignment="1" applyProtection="1">
      <alignment horizontal="center" vertical="center"/>
    </xf>
    <xf numFmtId="0" fontId="32" fillId="0" borderId="15" xfId="0" applyFont="1" applyFill="1" applyBorder="1" applyProtection="1"/>
    <xf numFmtId="0" fontId="49" fillId="0" borderId="15" xfId="0" applyFont="1" applyBorder="1" applyAlignment="1" applyProtection="1">
      <alignment horizontal="center" vertical="center"/>
    </xf>
    <xf numFmtId="0" fontId="0" fillId="25" borderId="15" xfId="0" applyFont="1" applyFill="1" applyBorder="1" applyProtection="1"/>
    <xf numFmtId="0" fontId="22" fillId="25" borderId="15" xfId="0" applyFont="1" applyFill="1" applyBorder="1" applyAlignment="1" applyProtection="1">
      <alignment horizontal="left" vertical="center"/>
    </xf>
    <xf numFmtId="0" fontId="0" fillId="0" borderId="15" xfId="0" applyFont="1" applyBorder="1" applyAlignment="1" applyProtection="1">
      <alignment horizontal="center" vertical="center"/>
      <protection hidden="1"/>
    </xf>
    <xf numFmtId="0" fontId="26" fillId="0" borderId="15" xfId="0" applyFont="1" applyBorder="1" applyAlignment="1">
      <alignment horizontal="center" vertical="center"/>
    </xf>
    <xf numFmtId="0" fontId="26" fillId="0" borderId="15" xfId="0" applyFont="1" applyFill="1" applyBorder="1" applyAlignment="1">
      <alignment horizontal="center" vertical="center"/>
    </xf>
    <xf numFmtId="0" fontId="28" fillId="0" borderId="15" xfId="0" applyFont="1" applyBorder="1" applyAlignment="1">
      <alignment horizontal="center" vertical="top" wrapText="1"/>
    </xf>
    <xf numFmtId="0" fontId="20" fillId="0" borderId="15" xfId="0" applyFont="1" applyBorder="1" applyAlignment="1" applyProtection="1">
      <alignment horizontal="center" vertical="center"/>
      <protection hidden="1"/>
    </xf>
    <xf numFmtId="0" fontId="22" fillId="0" borderId="15" xfId="0" applyFont="1" applyFill="1" applyBorder="1" applyAlignment="1" applyProtection="1">
      <alignment horizontal="center" vertical="center"/>
      <protection hidden="1"/>
    </xf>
    <xf numFmtId="0" fontId="28" fillId="0" borderId="15" xfId="0" applyFont="1" applyBorder="1" applyAlignment="1">
      <alignment horizontal="center" vertical="center"/>
    </xf>
    <xf numFmtId="0" fontId="28" fillId="0" borderId="15" xfId="0" applyFont="1" applyBorder="1" applyAlignment="1">
      <alignment horizontal="center" vertical="center" wrapText="1"/>
    </xf>
    <xf numFmtId="0" fontId="39" fillId="0" borderId="15" xfId="0" applyNumberFormat="1" applyFont="1" applyFill="1" applyBorder="1" applyAlignment="1" applyProtection="1">
      <alignment horizontal="center" vertical="center"/>
      <protection hidden="1"/>
    </xf>
    <xf numFmtId="0" fontId="20" fillId="0" borderId="23" xfId="0" applyFont="1" applyBorder="1" applyAlignment="1">
      <alignment vertical="top"/>
    </xf>
    <xf numFmtId="0" fontId="26" fillId="0" borderId="18" xfId="0" applyFont="1" applyBorder="1"/>
    <xf numFmtId="0" fontId="22" fillId="0" borderId="18" xfId="0" applyFont="1" applyBorder="1" applyAlignment="1">
      <alignment vertical="center"/>
    </xf>
    <xf numFmtId="0" fontId="0" fillId="0" borderId="18" xfId="0" applyFont="1" applyFill="1" applyBorder="1" applyAlignment="1">
      <alignment horizontal="left" vertical="center"/>
    </xf>
    <xf numFmtId="0" fontId="26" fillId="0" borderId="15" xfId="0" applyFont="1" applyBorder="1" applyAlignment="1">
      <alignment horizontal="center" vertical="center" wrapText="1"/>
    </xf>
    <xf numFmtId="0" fontId="28" fillId="0" borderId="15" xfId="0" applyFont="1" applyFill="1" applyBorder="1" applyAlignment="1">
      <alignment horizontal="center" vertical="center" wrapText="1"/>
    </xf>
    <xf numFmtId="0" fontId="0" fillId="0" borderId="18" xfId="0" applyFont="1" applyFill="1" applyBorder="1" applyAlignment="1" applyProtection="1">
      <alignment vertical="center"/>
    </xf>
    <xf numFmtId="0" fontId="40" fillId="29" borderId="15" xfId="47" applyFont="1" applyFill="1" applyBorder="1" applyAlignment="1" applyProtection="1">
      <alignment horizontal="center" vertical="center"/>
    </xf>
    <xf numFmtId="0" fontId="40" fillId="29" borderId="15" xfId="47" applyFont="1" applyFill="1" applyBorder="1" applyAlignment="1" applyProtection="1">
      <alignment horizontal="center" vertical="center"/>
      <protection hidden="1"/>
    </xf>
    <xf numFmtId="0" fontId="40" fillId="31" borderId="15" xfId="47" applyFont="1" applyFill="1" applyBorder="1" applyAlignment="1" applyProtection="1">
      <alignment horizontal="left" vertical="center"/>
      <protection locked="0"/>
    </xf>
    <xf numFmtId="0" fontId="40" fillId="31" borderId="15" xfId="47" applyFont="1" applyFill="1" applyBorder="1" applyAlignment="1" applyProtection="1">
      <alignment horizontal="center" vertical="center"/>
      <protection locked="0"/>
    </xf>
    <xf numFmtId="43" fontId="40" fillId="31" borderId="15" xfId="52" applyFont="1" applyFill="1" applyBorder="1" applyAlignment="1" applyProtection="1">
      <alignment horizontal="right" vertical="center"/>
      <protection locked="0"/>
    </xf>
    <xf numFmtId="43" fontId="40" fillId="31" borderId="15" xfId="52" applyFont="1" applyFill="1" applyBorder="1" applyAlignment="1" applyProtection="1">
      <alignment horizontal="right" vertical="center"/>
      <protection locked="0" hidden="1"/>
    </xf>
    <xf numFmtId="168" fontId="40" fillId="29" borderId="15" xfId="52" applyNumberFormat="1" applyFont="1" applyFill="1" applyBorder="1" applyAlignment="1" applyProtection="1">
      <alignment horizontal="right" vertical="center"/>
      <protection hidden="1"/>
    </xf>
    <xf numFmtId="0" fontId="34" fillId="0" borderId="31" xfId="0" quotePrefix="1" applyFont="1" applyBorder="1" applyAlignment="1">
      <alignment horizontal="center"/>
    </xf>
    <xf numFmtId="0" fontId="45" fillId="25" borderId="119" xfId="0" applyFont="1" applyFill="1" applyBorder="1" applyAlignment="1" applyProtection="1"/>
    <xf numFmtId="0" fontId="45" fillId="25" borderId="20" xfId="0" applyFont="1" applyFill="1" applyBorder="1" applyAlignment="1" applyProtection="1"/>
    <xf numFmtId="0" fontId="45" fillId="25" borderId="33" xfId="0" applyFont="1" applyFill="1" applyBorder="1" applyAlignment="1" applyProtection="1"/>
    <xf numFmtId="177" fontId="22" fillId="29" borderId="0" xfId="45" applyNumberFormat="1" applyFont="1" applyFill="1" applyBorder="1" applyAlignment="1" applyProtection="1"/>
    <xf numFmtId="177" fontId="22" fillId="29" borderId="0" xfId="0" applyNumberFormat="1" applyFont="1" applyFill="1" applyBorder="1" applyAlignment="1" applyProtection="1"/>
    <xf numFmtId="168" fontId="39" fillId="29" borderId="32" xfId="52" applyNumberFormat="1" applyFont="1" applyFill="1" applyBorder="1" applyAlignment="1" applyProtection="1">
      <alignment horizontal="right" vertical="center"/>
      <protection hidden="1"/>
    </xf>
    <xf numFmtId="168" fontId="39" fillId="29" borderId="32" xfId="47" applyNumberFormat="1" applyFont="1" applyFill="1" applyBorder="1" applyAlignment="1" applyProtection="1">
      <alignment horizontal="right" vertical="center"/>
      <protection hidden="1"/>
    </xf>
    <xf numFmtId="41" fontId="22" fillId="0" borderId="0" xfId="0" applyNumberFormat="1" applyFont="1" applyFill="1" applyBorder="1" applyAlignment="1" applyProtection="1">
      <alignment horizontal="right"/>
    </xf>
    <xf numFmtId="41" fontId="0" fillId="0" borderId="0" xfId="28" applyFont="1" applyBorder="1" applyAlignment="1">
      <alignment horizontal="right" vertical="center"/>
    </xf>
    <xf numFmtId="41" fontId="0" fillId="0" borderId="16" xfId="28" applyFont="1" applyBorder="1" applyAlignment="1">
      <alignment horizontal="right" vertical="center"/>
    </xf>
    <xf numFmtId="168" fontId="45" fillId="25" borderId="17" xfId="0" applyNumberFormat="1" applyFont="1" applyFill="1" applyBorder="1" applyAlignment="1" applyProtection="1">
      <alignment horizontal="right"/>
    </xf>
    <xf numFmtId="0" fontId="45" fillId="25" borderId="17" xfId="0" applyFont="1" applyFill="1" applyBorder="1" applyAlignment="1" applyProtection="1">
      <alignment horizontal="right"/>
    </xf>
    <xf numFmtId="168" fontId="45" fillId="25" borderId="0" xfId="0" applyNumberFormat="1" applyFont="1" applyFill="1" applyBorder="1" applyAlignment="1" applyProtection="1">
      <alignment horizontal="right"/>
    </xf>
    <xf numFmtId="0" fontId="45" fillId="25" borderId="0" xfId="0" applyFont="1" applyFill="1" applyBorder="1" applyAlignment="1" applyProtection="1">
      <alignment horizontal="right"/>
    </xf>
    <xf numFmtId="168" fontId="45" fillId="25" borderId="17" xfId="52" applyNumberFormat="1" applyFont="1" applyFill="1" applyBorder="1" applyAlignment="1" applyProtection="1">
      <alignment horizontal="right"/>
    </xf>
    <xf numFmtId="0" fontId="45" fillId="25" borderId="0" xfId="0" applyFont="1" applyFill="1" applyAlignment="1" applyProtection="1">
      <alignment horizontal="right"/>
    </xf>
    <xf numFmtId="176" fontId="0" fillId="25" borderId="0" xfId="0" applyNumberFormat="1" applyFill="1" applyAlignment="1" applyProtection="1">
      <alignment horizontal="right"/>
    </xf>
    <xf numFmtId="176" fontId="0" fillId="25" borderId="0" xfId="0" applyNumberFormat="1" applyFill="1" applyBorder="1" applyAlignment="1" applyProtection="1">
      <alignment horizontal="right"/>
    </xf>
    <xf numFmtId="176" fontId="0" fillId="25" borderId="17" xfId="0" applyNumberFormat="1" applyFill="1" applyBorder="1" applyAlignment="1" applyProtection="1">
      <alignment horizontal="right"/>
    </xf>
    <xf numFmtId="179" fontId="45" fillId="25" borderId="0" xfId="52" applyNumberFormat="1" applyFont="1" applyFill="1" applyBorder="1" applyAlignment="1" applyProtection="1">
      <alignment horizontal="right"/>
    </xf>
    <xf numFmtId="0" fontId="22" fillId="29" borderId="95" xfId="50" applyFont="1" applyFill="1" applyBorder="1" applyProtection="1">
      <protection hidden="1"/>
    </xf>
    <xf numFmtId="41" fontId="0" fillId="0" borderId="0" xfId="28" applyFont="1" applyBorder="1" applyAlignment="1">
      <alignment horizontal="right" vertical="center" indent="1"/>
    </xf>
    <xf numFmtId="41" fontId="0" fillId="0" borderId="16" xfId="28" applyFont="1" applyBorder="1" applyAlignment="1">
      <alignment horizontal="right" vertical="center" indent="1"/>
    </xf>
    <xf numFmtId="41" fontId="0" fillId="0" borderId="17" xfId="28" applyFont="1" applyBorder="1" applyAlignment="1">
      <alignment horizontal="right" vertical="center" indent="1"/>
    </xf>
    <xf numFmtId="41" fontId="0" fillId="0" borderId="30" xfId="28" applyFont="1" applyBorder="1" applyAlignment="1">
      <alignment horizontal="right" vertical="center" indent="1"/>
    </xf>
    <xf numFmtId="41" fontId="32" fillId="0" borderId="0" xfId="28" applyFont="1" applyBorder="1" applyAlignment="1">
      <alignment horizontal="right" vertical="center" indent="1"/>
    </xf>
    <xf numFmtId="41" fontId="32" fillId="0" borderId="16" xfId="28" applyFont="1" applyBorder="1" applyAlignment="1">
      <alignment horizontal="right" vertical="center" indent="1"/>
    </xf>
    <xf numFmtId="41" fontId="31" fillId="0" borderId="0" xfId="28" applyFont="1" applyBorder="1" applyAlignment="1">
      <alignment horizontal="right" vertical="center" indent="1"/>
    </xf>
    <xf numFmtId="41" fontId="31" fillId="0" borderId="16" xfId="28" applyFont="1" applyBorder="1" applyAlignment="1">
      <alignment horizontal="right" vertical="center" indent="1"/>
    </xf>
    <xf numFmtId="0" fontId="31" fillId="0" borderId="17" xfId="0" applyFont="1" applyBorder="1" applyAlignment="1">
      <alignment horizontal="right" vertical="center" indent="1"/>
    </xf>
    <xf numFmtId="0" fontId="31" fillId="0" borderId="30" xfId="0" applyFont="1" applyBorder="1" applyAlignment="1">
      <alignment horizontal="right" vertical="center" indent="1"/>
    </xf>
    <xf numFmtId="0" fontId="32" fillId="0" borderId="0" xfId="0" applyFont="1" applyBorder="1" applyAlignment="1">
      <alignment horizontal="right" vertical="center" indent="1"/>
    </xf>
    <xf numFmtId="0" fontId="32" fillId="0" borderId="16" xfId="0" applyFont="1" applyBorder="1" applyAlignment="1">
      <alignment horizontal="right" vertical="center" indent="1"/>
    </xf>
    <xf numFmtId="41" fontId="31" fillId="0" borderId="0" xfId="28" applyFont="1" applyFill="1" applyBorder="1" applyAlignment="1">
      <alignment horizontal="right" vertical="center" indent="1"/>
    </xf>
    <xf numFmtId="41" fontId="31" fillId="0" borderId="16" xfId="28" applyFont="1" applyFill="1" applyBorder="1" applyAlignment="1">
      <alignment horizontal="right" vertical="center" indent="1"/>
    </xf>
    <xf numFmtId="41" fontId="31" fillId="0" borderId="17" xfId="28" applyFont="1" applyFill="1" applyBorder="1" applyAlignment="1">
      <alignment horizontal="right" vertical="center" indent="1"/>
    </xf>
    <xf numFmtId="41" fontId="31" fillId="0" borderId="30" xfId="28" applyFont="1" applyFill="1" applyBorder="1" applyAlignment="1">
      <alignment horizontal="right" vertical="center" indent="1"/>
    </xf>
    <xf numFmtId="41" fontId="32" fillId="0" borderId="18" xfId="28" applyFont="1" applyBorder="1" applyAlignment="1">
      <alignment horizontal="right" vertical="center" indent="1"/>
    </xf>
    <xf numFmtId="41" fontId="32" fillId="0" borderId="28" xfId="28" applyFont="1" applyBorder="1" applyAlignment="1">
      <alignment horizontal="right" vertical="center" indent="1"/>
    </xf>
    <xf numFmtId="0" fontId="0" fillId="0" borderId="0" xfId="0" applyFont="1" applyBorder="1" applyAlignment="1">
      <alignment horizontal="right" vertical="center" indent="1"/>
    </xf>
    <xf numFmtId="0" fontId="0" fillId="0" borderId="16" xfId="0" applyFont="1" applyBorder="1" applyAlignment="1">
      <alignment horizontal="right" vertical="center" indent="1"/>
    </xf>
    <xf numFmtId="0" fontId="0" fillId="0" borderId="17" xfId="0" applyFont="1" applyBorder="1" applyAlignment="1">
      <alignment horizontal="right" vertical="center" indent="1"/>
    </xf>
    <xf numFmtId="0" fontId="0" fillId="0" borderId="30" xfId="0" applyFont="1" applyBorder="1" applyAlignment="1">
      <alignment horizontal="right" vertical="center" indent="1"/>
    </xf>
    <xf numFmtId="0" fontId="0" fillId="0" borderId="18" xfId="0" applyFont="1" applyBorder="1" applyAlignment="1">
      <alignment horizontal="right" vertical="center" indent="1"/>
    </xf>
    <xf numFmtId="0" fontId="0" fillId="0" borderId="28" xfId="0" applyFont="1" applyBorder="1" applyAlignment="1">
      <alignment horizontal="right" vertical="center" indent="1"/>
    </xf>
    <xf numFmtId="0" fontId="31" fillId="0" borderId="0" xfId="0" applyFont="1" applyBorder="1" applyAlignment="1">
      <alignment horizontal="right" vertical="center" indent="1"/>
    </xf>
    <xf numFmtId="0" fontId="31" fillId="0" borderId="16" xfId="0" applyFont="1" applyBorder="1" applyAlignment="1">
      <alignment horizontal="right" vertical="center" indent="1"/>
    </xf>
    <xf numFmtId="0" fontId="23" fillId="25" borderId="0" xfId="0" applyFont="1" applyFill="1" applyBorder="1" applyAlignment="1">
      <alignment horizontal="right" vertical="center" indent="1"/>
    </xf>
    <xf numFmtId="0" fontId="32" fillId="0" borderId="17" xfId="0" applyFont="1" applyBorder="1" applyAlignment="1">
      <alignment horizontal="right" vertical="center" indent="1"/>
    </xf>
    <xf numFmtId="0" fontId="32" fillId="0" borderId="30" xfId="0" applyFont="1" applyBorder="1" applyAlignment="1">
      <alignment horizontal="right" vertical="center" indent="1"/>
    </xf>
    <xf numFmtId="0" fontId="42" fillId="0" borderId="0" xfId="0" applyFont="1" applyBorder="1" applyAlignment="1">
      <alignment horizontal="right" vertical="center" indent="1"/>
    </xf>
    <xf numFmtId="41" fontId="0" fillId="0" borderId="0" xfId="28" applyFont="1" applyBorder="1" applyAlignment="1" applyProtection="1">
      <alignment horizontal="right" vertical="center" indent="1"/>
    </xf>
    <xf numFmtId="41" fontId="0" fillId="0" borderId="16" xfId="28" applyFont="1" applyBorder="1" applyAlignment="1" applyProtection="1">
      <alignment horizontal="right" vertical="center" indent="1"/>
    </xf>
    <xf numFmtId="41" fontId="0" fillId="0" borderId="17" xfId="28" applyFont="1" applyBorder="1" applyAlignment="1" applyProtection="1">
      <alignment horizontal="right" vertical="center" indent="1"/>
    </xf>
    <xf numFmtId="41" fontId="0" fillId="0" borderId="30" xfId="28" applyFont="1" applyBorder="1" applyAlignment="1" applyProtection="1">
      <alignment horizontal="right" vertical="center" indent="1"/>
    </xf>
    <xf numFmtId="41" fontId="32" fillId="0" borderId="0" xfId="28" applyFont="1" applyBorder="1" applyAlignment="1" applyProtection="1">
      <alignment horizontal="right" vertical="center" indent="1"/>
    </xf>
    <xf numFmtId="41" fontId="32" fillId="0" borderId="16" xfId="28" applyFont="1" applyBorder="1" applyAlignment="1" applyProtection="1">
      <alignment horizontal="right" vertical="center" indent="1"/>
    </xf>
    <xf numFmtId="41" fontId="31" fillId="0" borderId="0" xfId="28" applyFont="1" applyBorder="1" applyAlignment="1" applyProtection="1">
      <alignment horizontal="right" vertical="center" indent="1"/>
    </xf>
    <xf numFmtId="41" fontId="31" fillId="0" borderId="16" xfId="28" applyFont="1" applyBorder="1" applyAlignment="1" applyProtection="1">
      <alignment horizontal="right" vertical="center" indent="1"/>
    </xf>
    <xf numFmtId="0" fontId="31" fillId="0" borderId="17" xfId="0" applyFont="1" applyBorder="1" applyAlignment="1" applyProtection="1">
      <alignment horizontal="right" vertical="center" indent="1"/>
    </xf>
    <xf numFmtId="0" fontId="31" fillId="0" borderId="30" xfId="0" applyFont="1" applyBorder="1" applyAlignment="1" applyProtection="1">
      <alignment horizontal="right" vertical="center" indent="1"/>
    </xf>
    <xf numFmtId="0" fontId="32" fillId="0" borderId="0" xfId="0" applyFont="1" applyBorder="1" applyAlignment="1" applyProtection="1">
      <alignment horizontal="right" vertical="center" indent="1"/>
    </xf>
    <xf numFmtId="0" fontId="32" fillId="0" borderId="16" xfId="0" applyFont="1" applyBorder="1" applyAlignment="1" applyProtection="1">
      <alignment horizontal="right" vertical="center" indent="1"/>
    </xf>
    <xf numFmtId="41" fontId="31" fillId="0" borderId="0" xfId="28" applyFont="1" applyFill="1" applyBorder="1" applyAlignment="1" applyProtection="1">
      <alignment horizontal="right" vertical="center" indent="1"/>
    </xf>
    <xf numFmtId="41" fontId="31" fillId="0" borderId="16" xfId="28" applyFont="1" applyFill="1" applyBorder="1" applyAlignment="1" applyProtection="1">
      <alignment horizontal="right" vertical="center" indent="1"/>
    </xf>
    <xf numFmtId="41" fontId="31" fillId="0" borderId="17" xfId="28" applyFont="1" applyFill="1" applyBorder="1" applyAlignment="1" applyProtection="1">
      <alignment horizontal="right" vertical="center" indent="1"/>
    </xf>
    <xf numFmtId="41" fontId="31" fillId="0" borderId="30" xfId="28" applyFont="1" applyFill="1" applyBorder="1" applyAlignment="1" applyProtection="1">
      <alignment horizontal="right" vertical="center" indent="1"/>
    </xf>
    <xf numFmtId="41" fontId="32" fillId="0" borderId="18" xfId="28" applyFont="1" applyBorder="1" applyAlignment="1" applyProtection="1">
      <alignment horizontal="right" vertical="center" indent="1"/>
    </xf>
    <xf numFmtId="41" fontId="32" fillId="0" borderId="28" xfId="28" applyFont="1" applyBorder="1" applyAlignment="1" applyProtection="1">
      <alignment horizontal="right" vertical="center" indent="1"/>
    </xf>
    <xf numFmtId="0" fontId="0" fillId="0" borderId="0" xfId="0" applyFont="1" applyBorder="1" applyAlignment="1" applyProtection="1">
      <alignment horizontal="right" vertical="center" indent="1"/>
    </xf>
    <xf numFmtId="0" fontId="0" fillId="0" borderId="16" xfId="0" applyFont="1" applyBorder="1" applyAlignment="1" applyProtection="1">
      <alignment horizontal="right" vertical="center" indent="1"/>
    </xf>
    <xf numFmtId="0" fontId="0" fillId="0" borderId="17" xfId="0" applyFont="1" applyBorder="1" applyAlignment="1" applyProtection="1">
      <alignment horizontal="right" vertical="center" indent="1"/>
    </xf>
    <xf numFmtId="0" fontId="0" fillId="0" borderId="30" xfId="0" applyFont="1" applyBorder="1" applyAlignment="1" applyProtection="1">
      <alignment horizontal="right" vertical="center" indent="1"/>
    </xf>
    <xf numFmtId="0" fontId="31" fillId="0" borderId="0" xfId="0" applyFont="1" applyBorder="1" applyAlignment="1" applyProtection="1">
      <alignment horizontal="right" vertical="center" indent="1"/>
    </xf>
    <xf numFmtId="0" fontId="31" fillId="0" borderId="16" xfId="0" applyFont="1" applyBorder="1" applyAlignment="1" applyProtection="1">
      <alignment horizontal="right" vertical="center" indent="1"/>
    </xf>
    <xf numFmtId="0" fontId="23" fillId="25" borderId="0" xfId="0" applyFont="1" applyFill="1" applyBorder="1" applyAlignment="1" applyProtection="1">
      <alignment horizontal="right" vertical="center" indent="1"/>
    </xf>
    <xf numFmtId="0" fontId="32" fillId="0" borderId="17" xfId="0" applyFont="1" applyBorder="1" applyAlignment="1" applyProtection="1">
      <alignment horizontal="right" vertical="center" indent="1"/>
    </xf>
    <xf numFmtId="0" fontId="32" fillId="0" borderId="30" xfId="0" applyFont="1" applyBorder="1" applyAlignment="1" applyProtection="1">
      <alignment horizontal="right" vertical="center" indent="1"/>
    </xf>
    <xf numFmtId="0" fontId="32" fillId="0" borderId="18" xfId="0" applyFont="1" applyBorder="1" applyAlignment="1" applyProtection="1">
      <alignment horizontal="right" vertical="center" indent="1"/>
    </xf>
    <xf numFmtId="0" fontId="32" fillId="0" borderId="28" xfId="0" applyFont="1" applyBorder="1" applyAlignment="1" applyProtection="1">
      <alignment horizontal="right" vertical="center" indent="1"/>
    </xf>
    <xf numFmtId="0" fontId="42" fillId="0" borderId="0" xfId="0" applyFont="1" applyBorder="1" applyAlignment="1" applyProtection="1">
      <alignment horizontal="right" vertical="center" indent="1"/>
    </xf>
    <xf numFmtId="0" fontId="22" fillId="0" borderId="33" xfId="0" applyFont="1" applyFill="1" applyBorder="1" applyAlignment="1">
      <alignment horizontal="left" vertical="center"/>
    </xf>
    <xf numFmtId="0" fontId="45" fillId="25" borderId="0" xfId="0" applyFont="1" applyFill="1" applyBorder="1" applyAlignment="1" applyProtection="1">
      <alignment horizontal="right" vertical="center"/>
    </xf>
    <xf numFmtId="0" fontId="45" fillId="25" borderId="11" xfId="0" applyFont="1" applyFill="1" applyBorder="1" applyAlignment="1" applyProtection="1">
      <alignment horizontal="right" vertical="center"/>
    </xf>
    <xf numFmtId="179" fontId="45" fillId="25" borderId="0" xfId="0" applyNumberFormat="1" applyFont="1" applyFill="1" applyBorder="1" applyAlignment="1" applyProtection="1">
      <alignment horizontal="right" vertical="center"/>
    </xf>
    <xf numFmtId="179" fontId="45" fillId="25" borderId="11" xfId="0" applyNumberFormat="1" applyFont="1" applyFill="1" applyBorder="1" applyAlignment="1" applyProtection="1">
      <alignment horizontal="right" vertical="center"/>
    </xf>
    <xf numFmtId="0" fontId="45" fillId="25" borderId="17" xfId="0" applyFont="1" applyFill="1" applyBorder="1" applyAlignment="1" applyProtection="1">
      <alignment horizontal="right" vertical="center"/>
    </xf>
    <xf numFmtId="179" fontId="45" fillId="25" borderId="17" xfId="0" applyNumberFormat="1" applyFont="1" applyFill="1" applyBorder="1" applyAlignment="1" applyProtection="1">
      <alignment horizontal="right" vertical="center"/>
    </xf>
    <xf numFmtId="179" fontId="45" fillId="25" borderId="116" xfId="0" applyNumberFormat="1" applyFont="1" applyFill="1" applyBorder="1" applyAlignment="1" applyProtection="1">
      <alignment horizontal="right" vertical="center"/>
    </xf>
    <xf numFmtId="0" fontId="0" fillId="25" borderId="0" xfId="0" applyFill="1" applyBorder="1" applyAlignment="1" applyProtection="1">
      <alignment horizontal="right" vertical="center"/>
    </xf>
    <xf numFmtId="0" fontId="0" fillId="25" borderId="11" xfId="0" applyFill="1" applyBorder="1" applyAlignment="1" applyProtection="1">
      <alignment horizontal="right" vertical="center"/>
    </xf>
    <xf numFmtId="179" fontId="0" fillId="25" borderId="0" xfId="0" applyNumberFormat="1" applyFill="1" applyBorder="1" applyAlignment="1" applyProtection="1">
      <alignment horizontal="right" vertical="center"/>
    </xf>
    <xf numFmtId="179" fontId="0" fillId="25" borderId="11" xfId="0" applyNumberFormat="1" applyFill="1" applyBorder="1" applyAlignment="1" applyProtection="1">
      <alignment horizontal="right" vertical="center"/>
    </xf>
    <xf numFmtId="0" fontId="0" fillId="25" borderId="17" xfId="0" applyFill="1" applyBorder="1" applyAlignment="1" applyProtection="1">
      <alignment horizontal="right" vertical="center"/>
    </xf>
    <xf numFmtId="179" fontId="0" fillId="25" borderId="17" xfId="0" applyNumberFormat="1" applyFill="1" applyBorder="1" applyAlignment="1" applyProtection="1">
      <alignment horizontal="right" vertical="center"/>
    </xf>
    <xf numFmtId="179" fontId="0" fillId="25" borderId="116" xfId="0" applyNumberFormat="1" applyFill="1" applyBorder="1" applyAlignment="1" applyProtection="1">
      <alignment horizontal="right" vertical="center"/>
    </xf>
    <xf numFmtId="0" fontId="45" fillId="29" borderId="65" xfId="50" applyFont="1" applyFill="1" applyBorder="1" applyAlignment="1" applyProtection="1">
      <alignment horizontal="center"/>
      <protection hidden="1"/>
    </xf>
    <xf numFmtId="0" fontId="45" fillId="29" borderId="87" xfId="50" applyNumberFormat="1" applyFont="1" applyFill="1" applyBorder="1" applyAlignment="1" applyProtection="1">
      <alignment horizontal="center"/>
      <protection locked="0"/>
    </xf>
    <xf numFmtId="0" fontId="45" fillId="29" borderId="65" xfId="50" applyNumberFormat="1" applyFont="1" applyFill="1" applyBorder="1" applyAlignment="1" applyProtection="1">
      <alignment horizontal="center"/>
      <protection hidden="1"/>
    </xf>
    <xf numFmtId="0" fontId="45" fillId="29" borderId="76" xfId="50" applyFont="1" applyFill="1" applyBorder="1" applyAlignment="1" applyProtection="1">
      <alignment horizontal="center"/>
      <protection hidden="1"/>
    </xf>
    <xf numFmtId="184" fontId="23" fillId="29" borderId="0" xfId="47" applyNumberFormat="1" applyFont="1" applyFill="1" applyProtection="1">
      <alignment vertical="center"/>
    </xf>
    <xf numFmtId="184" fontId="40" fillId="30" borderId="0" xfId="47" applyNumberFormat="1" applyFont="1" applyFill="1" applyAlignment="1" applyProtection="1">
      <alignment vertical="center"/>
    </xf>
    <xf numFmtId="184" fontId="40" fillId="29" borderId="0" xfId="47" applyNumberFormat="1" applyFont="1" applyFill="1" applyAlignment="1" applyProtection="1">
      <alignment vertical="center"/>
    </xf>
    <xf numFmtId="184" fontId="40" fillId="31" borderId="15" xfId="47" applyNumberFormat="1" applyFont="1" applyFill="1" applyBorder="1" applyAlignment="1" applyProtection="1">
      <alignment horizontal="center" vertical="center"/>
      <protection locked="0" hidden="1"/>
    </xf>
    <xf numFmtId="184" fontId="40" fillId="29" borderId="0" xfId="47" applyNumberFormat="1" applyFont="1" applyFill="1" applyProtection="1">
      <alignment vertical="center"/>
    </xf>
    <xf numFmtId="184" fontId="40" fillId="31" borderId="15" xfId="47" applyNumberFormat="1" applyFont="1" applyFill="1" applyBorder="1" applyAlignment="1" applyProtection="1">
      <alignment horizontal="center" vertical="center"/>
      <protection locked="0"/>
    </xf>
    <xf numFmtId="0" fontId="127" fillId="25" borderId="0" xfId="0" applyFont="1" applyFill="1" applyProtection="1">
      <protection hidden="1"/>
    </xf>
    <xf numFmtId="0" fontId="129" fillId="69" borderId="15" xfId="0" applyFont="1" applyFill="1" applyBorder="1" applyAlignment="1" applyProtection="1">
      <alignment horizontal="center" vertical="center"/>
      <protection hidden="1"/>
    </xf>
    <xf numFmtId="0" fontId="127" fillId="25" borderId="0" xfId="0" applyFont="1" applyFill="1" applyAlignment="1" applyProtection="1">
      <alignment vertical="center"/>
      <protection hidden="1"/>
    </xf>
    <xf numFmtId="0" fontId="130" fillId="69" borderId="41" xfId="0" quotePrefix="1" applyFont="1" applyFill="1" applyBorder="1" applyAlignment="1" applyProtection="1">
      <alignment horizontal="center" vertical="center"/>
      <protection hidden="1"/>
    </xf>
    <xf numFmtId="0" fontId="131" fillId="25" borderId="0" xfId="0" applyFont="1" applyFill="1" applyAlignment="1" applyProtection="1">
      <alignment vertical="center"/>
      <protection hidden="1"/>
    </xf>
    <xf numFmtId="0" fontId="129" fillId="69" borderId="27" xfId="0" applyFont="1" applyFill="1" applyBorder="1" applyAlignment="1" applyProtection="1">
      <alignment horizontal="center" vertical="center"/>
      <protection hidden="1"/>
    </xf>
    <xf numFmtId="0" fontId="130" fillId="69" borderId="122" xfId="0" quotePrefix="1" applyFont="1" applyFill="1" applyBorder="1" applyAlignment="1" applyProtection="1">
      <alignment horizontal="center" vertical="center"/>
      <protection hidden="1"/>
    </xf>
    <xf numFmtId="0" fontId="126" fillId="25" borderId="0" xfId="0" applyFont="1" applyFill="1" applyAlignment="1" applyProtection="1">
      <alignment horizontal="left" vertical="center"/>
      <protection hidden="1"/>
    </xf>
    <xf numFmtId="0" fontId="127" fillId="25" borderId="0" xfId="0" applyFont="1" applyFill="1" applyAlignment="1" applyProtection="1">
      <alignment horizontal="left" vertical="center"/>
      <protection hidden="1"/>
    </xf>
    <xf numFmtId="0" fontId="128" fillId="25" borderId="0" xfId="0" applyFont="1" applyFill="1" applyAlignment="1" applyProtection="1">
      <alignment horizontal="left" vertical="center"/>
      <protection hidden="1"/>
    </xf>
    <xf numFmtId="0" fontId="127" fillId="25" borderId="0" xfId="0" applyFont="1" applyFill="1" applyAlignment="1" applyProtection="1">
      <alignment horizontal="left"/>
      <protection hidden="1"/>
    </xf>
    <xf numFmtId="0" fontId="127" fillId="25" borderId="157" xfId="0" quotePrefix="1" applyFont="1" applyFill="1" applyBorder="1" applyAlignment="1" applyProtection="1">
      <alignment horizontal="center" vertical="center" wrapText="1"/>
      <protection hidden="1"/>
    </xf>
    <xf numFmtId="0" fontId="127" fillId="25" borderId="158" xfId="0" quotePrefix="1" applyFont="1" applyFill="1" applyBorder="1" applyAlignment="1" applyProtection="1">
      <alignment horizontal="center" vertical="center" wrapText="1"/>
      <protection locked="0" hidden="1"/>
    </xf>
    <xf numFmtId="0" fontId="127" fillId="25" borderId="43" xfId="0" quotePrefix="1" applyFont="1" applyFill="1" applyBorder="1" applyAlignment="1" applyProtection="1">
      <alignment horizontal="center" vertical="center" wrapText="1"/>
      <protection hidden="1"/>
    </xf>
    <xf numFmtId="0" fontId="127" fillId="25" borderId="160" xfId="0" quotePrefix="1" applyFont="1" applyFill="1" applyBorder="1" applyAlignment="1" applyProtection="1">
      <alignment horizontal="center" vertical="center" wrapText="1"/>
      <protection locked="0" hidden="1"/>
    </xf>
    <xf numFmtId="0" fontId="127" fillId="25" borderId="161" xfId="0" quotePrefix="1" applyFont="1" applyFill="1" applyBorder="1" applyAlignment="1" applyProtection="1">
      <alignment horizontal="center" vertical="center" wrapText="1"/>
      <protection hidden="1"/>
    </xf>
    <xf numFmtId="0" fontId="127" fillId="25" borderId="162" xfId="0" quotePrefix="1" applyFont="1" applyFill="1" applyBorder="1" applyAlignment="1" applyProtection="1">
      <alignment horizontal="center" vertical="center" wrapText="1"/>
      <protection locked="0" hidden="1"/>
    </xf>
    <xf numFmtId="0" fontId="127" fillId="25" borderId="158" xfId="0" quotePrefix="1" applyFont="1" applyFill="1" applyBorder="1" applyAlignment="1" applyProtection="1">
      <alignment horizontal="left" vertical="center" wrapText="1"/>
      <protection hidden="1"/>
    </xf>
    <xf numFmtId="0" fontId="127" fillId="25" borderId="160" xfId="0" quotePrefix="1" applyFont="1" applyFill="1" applyBorder="1" applyAlignment="1" applyProtection="1">
      <alignment horizontal="left" vertical="center" wrapText="1"/>
      <protection hidden="1"/>
    </xf>
    <xf numFmtId="0" fontId="127" fillId="25" borderId="162" xfId="0" quotePrefix="1" applyFont="1" applyFill="1" applyBorder="1" applyAlignment="1" applyProtection="1">
      <alignment horizontal="left" vertical="center" wrapText="1"/>
      <protection hidden="1"/>
    </xf>
    <xf numFmtId="168" fontId="127" fillId="25" borderId="157" xfId="45" quotePrefix="1" applyNumberFormat="1" applyFont="1" applyFill="1" applyBorder="1" applyAlignment="1" applyProtection="1">
      <alignment horizontal="left" vertical="center" wrapText="1"/>
      <protection hidden="1"/>
    </xf>
    <xf numFmtId="168" fontId="127" fillId="25" borderId="43" xfId="45" quotePrefix="1" applyNumberFormat="1" applyFont="1" applyFill="1" applyBorder="1" applyAlignment="1" applyProtection="1">
      <alignment horizontal="left" vertical="center" wrapText="1"/>
      <protection hidden="1"/>
    </xf>
    <xf numFmtId="168" fontId="127" fillId="25" borderId="161" xfId="45" quotePrefix="1" applyNumberFormat="1" applyFont="1" applyFill="1" applyBorder="1" applyAlignment="1" applyProtection="1">
      <alignment horizontal="left" vertical="center" wrapText="1"/>
      <protection hidden="1"/>
    </xf>
    <xf numFmtId="168" fontId="127" fillId="25" borderId="158" xfId="45" quotePrefix="1" applyNumberFormat="1" applyFont="1" applyFill="1" applyBorder="1" applyAlignment="1" applyProtection="1">
      <alignment horizontal="right" vertical="center" wrapText="1"/>
      <protection hidden="1"/>
    </xf>
    <xf numFmtId="168" fontId="127" fillId="25" borderId="160" xfId="45" quotePrefix="1" applyNumberFormat="1" applyFont="1" applyFill="1" applyBorder="1" applyAlignment="1" applyProtection="1">
      <alignment horizontal="right" vertical="center" wrapText="1"/>
      <protection hidden="1"/>
    </xf>
    <xf numFmtId="168" fontId="127" fillId="25" borderId="162" xfId="45" quotePrefix="1" applyNumberFormat="1" applyFont="1" applyFill="1" applyBorder="1" applyAlignment="1" applyProtection="1">
      <alignment horizontal="right" vertical="center" wrapText="1"/>
      <protection hidden="1"/>
    </xf>
    <xf numFmtId="0" fontId="27" fillId="29" borderId="55" xfId="48" applyFont="1" applyFill="1" applyBorder="1" applyAlignment="1" applyProtection="1">
      <alignment horizontal="center"/>
    </xf>
    <xf numFmtId="172" fontId="45" fillId="31" borderId="49" xfId="45" applyNumberFormat="1" applyFont="1" applyFill="1" applyBorder="1" applyAlignment="1" applyProtection="1">
      <alignment horizontal="right" vertical="center"/>
      <protection locked="0"/>
    </xf>
    <xf numFmtId="172" fontId="45" fillId="31" borderId="50" xfId="45" applyNumberFormat="1" applyFont="1" applyFill="1" applyBorder="1" applyAlignment="1" applyProtection="1">
      <alignment horizontal="right" vertical="center"/>
      <protection locked="0"/>
    </xf>
    <xf numFmtId="172" fontId="45" fillId="31" borderId="51" xfId="45" applyNumberFormat="1" applyFont="1" applyFill="1" applyBorder="1" applyAlignment="1" applyProtection="1">
      <alignment horizontal="right" vertical="center"/>
      <protection locked="0"/>
    </xf>
    <xf numFmtId="172" fontId="45" fillId="29" borderId="49" xfId="45" applyNumberFormat="1" applyFont="1" applyFill="1" applyBorder="1" applyAlignment="1" applyProtection="1">
      <alignment horizontal="right"/>
      <protection hidden="1"/>
    </xf>
    <xf numFmtId="172" fontId="45" fillId="29" borderId="50" xfId="45" applyNumberFormat="1" applyFont="1" applyFill="1" applyBorder="1" applyAlignment="1" applyProtection="1">
      <alignment horizontal="right"/>
      <protection hidden="1"/>
    </xf>
    <xf numFmtId="172" fontId="45" fillId="29" borderId="51" xfId="45" applyNumberFormat="1" applyFont="1" applyFill="1" applyBorder="1" applyAlignment="1" applyProtection="1">
      <alignment horizontal="right"/>
      <protection hidden="1"/>
    </xf>
    <xf numFmtId="0" fontId="22" fillId="29" borderId="0" xfId="48" applyFont="1" applyFill="1" applyBorder="1" applyAlignment="1" applyProtection="1">
      <alignment horizontal="left" vertical="top" wrapText="1"/>
    </xf>
    <xf numFmtId="172" fontId="45" fillId="31" borderId="83" xfId="45" applyNumberFormat="1" applyFont="1" applyFill="1" applyBorder="1" applyAlignment="1" applyProtection="1">
      <alignment horizontal="right" vertical="center"/>
      <protection locked="0"/>
    </xf>
    <xf numFmtId="172" fontId="45" fillId="31" borderId="55" xfId="45" applyNumberFormat="1" applyFont="1" applyFill="1" applyBorder="1" applyAlignment="1" applyProtection="1">
      <alignment horizontal="right" vertical="center"/>
      <protection locked="0"/>
    </xf>
    <xf numFmtId="172" fontId="45" fillId="31" borderId="57" xfId="45" applyNumberFormat="1" applyFont="1" applyFill="1" applyBorder="1" applyAlignment="1" applyProtection="1">
      <alignment horizontal="right" vertical="center"/>
      <protection locked="0"/>
    </xf>
    <xf numFmtId="172" fontId="45" fillId="31" borderId="48" xfId="45" applyNumberFormat="1" applyFont="1" applyFill="1" applyBorder="1" applyAlignment="1" applyProtection="1">
      <alignment horizontal="right" vertical="center"/>
      <protection locked="0"/>
    </xf>
    <xf numFmtId="172" fontId="22" fillId="29" borderId="49" xfId="48" applyNumberFormat="1" applyFont="1" applyFill="1" applyBorder="1" applyAlignment="1" applyProtection="1">
      <alignment horizontal="right"/>
      <protection hidden="1"/>
    </xf>
    <xf numFmtId="172" fontId="22" fillId="29" borderId="50" xfId="48" applyNumberFormat="1" applyFont="1" applyFill="1" applyBorder="1" applyAlignment="1" applyProtection="1">
      <alignment horizontal="right"/>
      <protection hidden="1"/>
    </xf>
    <xf numFmtId="172" fontId="22" fillId="29" borderId="51" xfId="48" applyNumberFormat="1" applyFont="1" applyFill="1" applyBorder="1" applyAlignment="1" applyProtection="1">
      <alignment horizontal="right"/>
      <protection hidden="1"/>
    </xf>
    <xf numFmtId="0" fontId="39" fillId="32" borderId="0" xfId="48" applyFont="1" applyFill="1" applyBorder="1" applyAlignment="1" applyProtection="1">
      <alignment horizontal="left"/>
    </xf>
    <xf numFmtId="0" fontId="22" fillId="29" borderId="49" xfId="48" applyFont="1" applyFill="1" applyBorder="1" applyAlignment="1" applyProtection="1">
      <alignment horizontal="center" vertical="center" wrapText="1"/>
    </xf>
    <xf numFmtId="0" fontId="22" fillId="29" borderId="50" xfId="48" applyFont="1" applyFill="1" applyBorder="1" applyAlignment="1" applyProtection="1">
      <alignment horizontal="center" vertical="center" wrapText="1"/>
    </xf>
    <xf numFmtId="0" fontId="22" fillId="29" borderId="51" xfId="48" applyFont="1" applyFill="1" applyBorder="1" applyAlignment="1" applyProtection="1">
      <alignment horizontal="center" vertical="center" wrapText="1"/>
    </xf>
    <xf numFmtId="172" fontId="45" fillId="28" borderId="49" xfId="45" applyNumberFormat="1" applyFont="1" applyFill="1" applyBorder="1" applyAlignment="1" applyProtection="1">
      <alignment horizontal="right" vertical="center"/>
    </xf>
    <xf numFmtId="172" fontId="45" fillId="28" borderId="50" xfId="45" applyNumberFormat="1" applyFont="1" applyFill="1" applyBorder="1" applyAlignment="1" applyProtection="1">
      <alignment horizontal="right" vertical="center"/>
    </xf>
    <xf numFmtId="172" fontId="45" fillId="28" borderId="51" xfId="45" applyNumberFormat="1" applyFont="1" applyFill="1" applyBorder="1" applyAlignment="1" applyProtection="1">
      <alignment horizontal="right" vertical="center"/>
    </xf>
    <xf numFmtId="177" fontId="45" fillId="31" borderId="49" xfId="45" applyNumberFormat="1" applyFont="1" applyFill="1" applyBorder="1" applyAlignment="1" applyProtection="1">
      <alignment vertical="center"/>
      <protection locked="0"/>
    </xf>
    <xf numFmtId="177" fontId="45" fillId="31" borderId="50" xfId="45" applyNumberFormat="1" applyFont="1" applyFill="1" applyBorder="1" applyAlignment="1" applyProtection="1">
      <alignment vertical="center"/>
      <protection locked="0"/>
    </xf>
    <xf numFmtId="177" fontId="45" fillId="31" borderId="51" xfId="45" applyNumberFormat="1" applyFont="1" applyFill="1" applyBorder="1" applyAlignment="1" applyProtection="1">
      <alignment vertical="center"/>
      <protection locked="0"/>
    </xf>
    <xf numFmtId="0" fontId="39" fillId="30" borderId="0" xfId="47" applyFont="1" applyFill="1" applyBorder="1" applyAlignment="1" applyProtection="1">
      <alignment horizontal="left" vertical="center" wrapText="1"/>
    </xf>
    <xf numFmtId="0" fontId="22" fillId="29" borderId="48" xfId="48" applyFont="1" applyFill="1" applyBorder="1" applyAlignment="1" applyProtection="1">
      <alignment horizontal="center" vertical="center" wrapText="1"/>
    </xf>
    <xf numFmtId="172" fontId="45" fillId="31" borderId="49" xfId="45" applyNumberFormat="1" applyFont="1" applyFill="1" applyBorder="1" applyAlignment="1" applyProtection="1">
      <alignment horizontal="right" vertical="center"/>
      <protection hidden="1"/>
    </xf>
    <xf numFmtId="172" fontId="45" fillId="31" borderId="50" xfId="45" applyNumberFormat="1" applyFont="1" applyFill="1" applyBorder="1" applyAlignment="1" applyProtection="1">
      <alignment horizontal="right" vertical="center"/>
      <protection hidden="1"/>
    </xf>
    <xf numFmtId="172" fontId="45" fillId="31" borderId="51" xfId="45" applyNumberFormat="1" applyFont="1" applyFill="1" applyBorder="1" applyAlignment="1" applyProtection="1">
      <alignment horizontal="right" vertical="center"/>
      <protection hidden="1"/>
    </xf>
    <xf numFmtId="177" fontId="45" fillId="29" borderId="49" xfId="45" applyNumberFormat="1" applyFont="1" applyFill="1" applyBorder="1" applyAlignment="1" applyProtection="1">
      <alignment horizontal="right" vertical="center"/>
      <protection hidden="1"/>
    </xf>
    <xf numFmtId="177" fontId="45" fillId="29" borderId="50" xfId="45" applyNumberFormat="1" applyFont="1" applyFill="1" applyBorder="1" applyAlignment="1" applyProtection="1">
      <alignment horizontal="right" vertical="center"/>
      <protection hidden="1"/>
    </xf>
    <xf numFmtId="177" fontId="45" fillId="29" borderId="51" xfId="45" applyNumberFormat="1" applyFont="1" applyFill="1" applyBorder="1" applyAlignment="1" applyProtection="1">
      <alignment horizontal="right" vertical="center"/>
      <protection hidden="1"/>
    </xf>
    <xf numFmtId="177" fontId="45" fillId="29" borderId="49" xfId="45" applyNumberFormat="1" applyFont="1" applyFill="1" applyBorder="1" applyAlignment="1" applyProtection="1">
      <protection hidden="1"/>
    </xf>
    <xf numFmtId="177" fontId="45" fillId="29" borderId="50" xfId="45" applyNumberFormat="1" applyFont="1" applyFill="1" applyBorder="1" applyAlignment="1" applyProtection="1">
      <protection hidden="1"/>
    </xf>
    <xf numFmtId="177" fontId="45" fillId="29" borderId="51" xfId="45" applyNumberFormat="1" applyFont="1" applyFill="1" applyBorder="1" applyAlignment="1" applyProtection="1">
      <protection hidden="1"/>
    </xf>
    <xf numFmtId="177" fontId="45" fillId="31" borderId="49" xfId="45" applyNumberFormat="1" applyFont="1" applyFill="1" applyBorder="1" applyAlignment="1" applyProtection="1">
      <alignment horizontal="right" vertical="center"/>
      <protection locked="0"/>
    </xf>
    <xf numFmtId="177" fontId="45" fillId="31" borderId="50" xfId="45" applyNumberFormat="1" applyFont="1" applyFill="1" applyBorder="1" applyAlignment="1" applyProtection="1">
      <alignment horizontal="right" vertical="center"/>
      <protection locked="0"/>
    </xf>
    <xf numFmtId="177" fontId="45" fillId="31" borderId="51" xfId="45" applyNumberFormat="1" applyFont="1" applyFill="1" applyBorder="1" applyAlignment="1" applyProtection="1">
      <alignment horizontal="right" vertical="center"/>
      <protection locked="0"/>
    </xf>
    <xf numFmtId="3" fontId="45" fillId="31" borderId="49" xfId="45" applyNumberFormat="1" applyFont="1" applyFill="1" applyBorder="1" applyAlignment="1" applyProtection="1">
      <alignment horizontal="right" vertical="center"/>
      <protection locked="0"/>
    </xf>
    <xf numFmtId="3" fontId="45" fillId="31" borderId="50" xfId="45" applyNumberFormat="1" applyFont="1" applyFill="1" applyBorder="1" applyAlignment="1" applyProtection="1">
      <alignment horizontal="right" vertical="center"/>
      <protection locked="0"/>
    </xf>
    <xf numFmtId="3" fontId="45" fillId="31" borderId="51" xfId="45" applyNumberFormat="1" applyFont="1" applyFill="1" applyBorder="1" applyAlignment="1" applyProtection="1">
      <alignment horizontal="right" vertical="center"/>
      <protection locked="0"/>
    </xf>
    <xf numFmtId="172" fontId="45" fillId="29" borderId="49" xfId="0" applyNumberFormat="1" applyFont="1" applyFill="1" applyBorder="1" applyAlignment="1" applyProtection="1">
      <alignment horizontal="right"/>
      <protection hidden="1"/>
    </xf>
    <xf numFmtId="172" fontId="45" fillId="29" borderId="50" xfId="0" applyNumberFormat="1" applyFont="1" applyFill="1" applyBorder="1" applyAlignment="1" applyProtection="1">
      <alignment horizontal="right"/>
      <protection hidden="1"/>
    </xf>
    <xf numFmtId="172" fontId="45" fillId="29" borderId="51" xfId="0" applyNumberFormat="1" applyFont="1" applyFill="1" applyBorder="1" applyAlignment="1" applyProtection="1">
      <alignment horizontal="right"/>
      <protection hidden="1"/>
    </xf>
    <xf numFmtId="0" fontId="22" fillId="29" borderId="49" xfId="0" applyFont="1" applyFill="1" applyBorder="1" applyAlignment="1" applyProtection="1">
      <alignment horizontal="center" vertical="center" wrapText="1"/>
    </xf>
    <xf numFmtId="0" fontId="22" fillId="29" borderId="50" xfId="0" applyFont="1" applyFill="1" applyBorder="1" applyAlignment="1" applyProtection="1">
      <alignment horizontal="center" vertical="center" wrapText="1"/>
    </xf>
    <xf numFmtId="0" fontId="22" fillId="29" borderId="51" xfId="0" applyFont="1" applyFill="1" applyBorder="1" applyAlignment="1" applyProtection="1">
      <alignment horizontal="center" vertical="center" wrapText="1"/>
    </xf>
    <xf numFmtId="0" fontId="22" fillId="29" borderId="48" xfId="0" applyFont="1" applyFill="1" applyBorder="1" applyAlignment="1" applyProtection="1">
      <alignment horizontal="center" vertical="center" wrapText="1"/>
    </xf>
    <xf numFmtId="0" fontId="22" fillId="29" borderId="0" xfId="0" applyFont="1" applyFill="1" applyBorder="1" applyAlignment="1" applyProtection="1">
      <alignment horizontal="left" vertical="center" wrapText="1"/>
    </xf>
    <xf numFmtId="0" fontId="22" fillId="29" borderId="64" xfId="0" applyFont="1" applyFill="1" applyBorder="1" applyAlignment="1" applyProtection="1">
      <alignment horizontal="left" vertical="center" wrapText="1"/>
    </xf>
    <xf numFmtId="0" fontId="22" fillId="29" borderId="0" xfId="0" applyFont="1" applyFill="1" applyBorder="1" applyAlignment="1" applyProtection="1">
      <alignment horizontal="left" wrapText="1"/>
    </xf>
    <xf numFmtId="0" fontId="22" fillId="29" borderId="64" xfId="0" applyFont="1" applyFill="1" applyBorder="1" applyAlignment="1" applyProtection="1">
      <alignment horizontal="left" wrapText="1"/>
    </xf>
    <xf numFmtId="0" fontId="22" fillId="29" borderId="0" xfId="0" applyFont="1" applyFill="1" applyBorder="1" applyAlignment="1" applyProtection="1">
      <alignment horizontal="left" vertical="top" wrapText="1"/>
    </xf>
    <xf numFmtId="0" fontId="22" fillId="29" borderId="64" xfId="0" applyFont="1" applyFill="1" applyBorder="1" applyAlignment="1" applyProtection="1">
      <alignment horizontal="left" vertical="top" wrapText="1"/>
    </xf>
    <xf numFmtId="0" fontId="22" fillId="29" borderId="0" xfId="0" applyFont="1" applyFill="1" applyBorder="1" applyAlignment="1" applyProtection="1">
      <alignment horizontal="left" wrapText="1" shrinkToFit="1"/>
    </xf>
    <xf numFmtId="0" fontId="22" fillId="29" borderId="64" xfId="0" applyFont="1" applyFill="1" applyBorder="1" applyAlignment="1" applyProtection="1">
      <alignment horizontal="left" wrapText="1" shrinkToFit="1"/>
    </xf>
    <xf numFmtId="0" fontId="22" fillId="29" borderId="0" xfId="0" applyFont="1" applyFill="1" applyBorder="1" applyAlignment="1" applyProtection="1">
      <alignment horizontal="center"/>
    </xf>
    <xf numFmtId="49" fontId="45" fillId="31" borderId="49" xfId="45" applyNumberFormat="1" applyFont="1" applyFill="1" applyBorder="1" applyAlignment="1" applyProtection="1">
      <alignment horizontal="center" vertical="center"/>
      <protection locked="0"/>
    </xf>
    <xf numFmtId="49" fontId="45" fillId="31" borderId="50" xfId="45" applyNumberFormat="1" applyFont="1" applyFill="1" applyBorder="1" applyAlignment="1" applyProtection="1">
      <alignment horizontal="center" vertical="center"/>
      <protection locked="0"/>
    </xf>
    <xf numFmtId="49" fontId="45" fillId="31" borderId="51" xfId="45" applyNumberFormat="1" applyFont="1" applyFill="1" applyBorder="1" applyAlignment="1" applyProtection="1">
      <alignment horizontal="center" vertical="center"/>
      <protection locked="0"/>
    </xf>
    <xf numFmtId="172" fontId="45" fillId="29" borderId="84" xfId="0" applyNumberFormat="1" applyFont="1" applyFill="1" applyBorder="1" applyAlignment="1" applyProtection="1">
      <alignment horizontal="center"/>
    </xf>
    <xf numFmtId="172" fontId="45" fillId="29" borderId="0" xfId="0" applyNumberFormat="1" applyFont="1" applyFill="1" applyBorder="1" applyAlignment="1" applyProtection="1">
      <alignment horizontal="center"/>
    </xf>
    <xf numFmtId="174" fontId="45" fillId="31" borderId="49" xfId="45" applyNumberFormat="1" applyFont="1" applyFill="1" applyBorder="1" applyAlignment="1" applyProtection="1">
      <alignment horizontal="center" vertical="center"/>
      <protection locked="0"/>
    </xf>
    <xf numFmtId="174" fontId="45" fillId="31" borderId="50" xfId="45" applyNumberFormat="1" applyFont="1" applyFill="1" applyBorder="1" applyAlignment="1" applyProtection="1">
      <alignment horizontal="center" vertical="center"/>
      <protection locked="0"/>
    </xf>
    <xf numFmtId="174" fontId="45" fillId="31" borderId="51" xfId="45" applyNumberFormat="1" applyFont="1" applyFill="1" applyBorder="1" applyAlignment="1" applyProtection="1">
      <alignment horizontal="center" vertical="center"/>
      <protection locked="0"/>
    </xf>
    <xf numFmtId="49" fontId="0" fillId="31" borderId="49" xfId="45" applyNumberFormat="1" applyFont="1" applyFill="1" applyBorder="1" applyAlignment="1" applyProtection="1">
      <alignment horizontal="center" vertical="center" wrapText="1"/>
      <protection locked="0"/>
    </xf>
    <xf numFmtId="49" fontId="45" fillId="31" borderId="50" xfId="45" applyNumberFormat="1" applyFont="1" applyFill="1" applyBorder="1" applyAlignment="1" applyProtection="1">
      <alignment horizontal="center" vertical="center" wrapText="1"/>
      <protection locked="0"/>
    </xf>
    <xf numFmtId="49" fontId="45" fillId="31" borderId="51" xfId="45" applyNumberFormat="1" applyFont="1" applyFill="1" applyBorder="1" applyAlignment="1" applyProtection="1">
      <alignment horizontal="center" vertical="center" wrapText="1"/>
      <protection locked="0"/>
    </xf>
    <xf numFmtId="49" fontId="45" fillId="31" borderId="49" xfId="45" applyNumberFormat="1" applyFont="1" applyFill="1" applyBorder="1" applyAlignment="1" applyProtection="1">
      <alignment horizontal="center" vertical="center" wrapText="1"/>
      <protection locked="0"/>
    </xf>
    <xf numFmtId="172" fontId="45" fillId="29" borderId="83" xfId="0" applyNumberFormat="1" applyFont="1" applyFill="1" applyBorder="1" applyAlignment="1" applyProtection="1">
      <alignment horizontal="center" vertical="center" wrapText="1"/>
    </xf>
    <xf numFmtId="172" fontId="45" fillId="29" borderId="55" xfId="0" applyNumberFormat="1" applyFont="1" applyFill="1" applyBorder="1" applyAlignment="1" applyProtection="1">
      <alignment horizontal="center" vertical="center" wrapText="1"/>
    </xf>
    <xf numFmtId="49" fontId="0" fillId="31" borderId="49" xfId="45" applyNumberFormat="1" applyFont="1" applyFill="1" applyBorder="1" applyAlignment="1" applyProtection="1">
      <alignment horizontal="center" vertical="center"/>
      <protection locked="0"/>
    </xf>
    <xf numFmtId="173" fontId="45" fillId="31" borderId="50" xfId="45" applyNumberFormat="1" applyFont="1" applyFill="1" applyBorder="1" applyAlignment="1" applyProtection="1">
      <alignment horizontal="center" vertical="center"/>
      <protection locked="0"/>
    </xf>
    <xf numFmtId="173" fontId="45" fillId="31" borderId="51" xfId="45" applyNumberFormat="1" applyFont="1" applyFill="1" applyBorder="1" applyAlignment="1" applyProtection="1">
      <alignment horizontal="center" vertical="center"/>
      <protection locked="0"/>
    </xf>
    <xf numFmtId="173" fontId="45" fillId="29" borderId="49" xfId="0" applyNumberFormat="1" applyFont="1" applyFill="1" applyBorder="1" applyAlignment="1" applyProtection="1">
      <alignment horizontal="center"/>
      <protection hidden="1"/>
    </xf>
    <xf numFmtId="173" fontId="45" fillId="29" borderId="50" xfId="0" applyNumberFormat="1" applyFont="1" applyFill="1" applyBorder="1" applyAlignment="1" applyProtection="1">
      <alignment horizontal="center"/>
      <protection hidden="1"/>
    </xf>
    <xf numFmtId="173" fontId="45" fillId="29" borderId="51" xfId="0" applyNumberFormat="1" applyFont="1" applyFill="1" applyBorder="1" applyAlignment="1" applyProtection="1">
      <alignment horizontal="center"/>
      <protection hidden="1"/>
    </xf>
    <xf numFmtId="172" fontId="45" fillId="29" borderId="49" xfId="0" applyNumberFormat="1" applyFont="1" applyFill="1" applyBorder="1" applyAlignment="1" applyProtection="1">
      <alignment horizontal="center"/>
      <protection hidden="1"/>
    </xf>
    <xf numFmtId="172" fontId="45" fillId="29" borderId="50" xfId="0" applyNumberFormat="1" applyFont="1" applyFill="1" applyBorder="1" applyAlignment="1" applyProtection="1">
      <alignment horizontal="center"/>
      <protection hidden="1"/>
    </xf>
    <xf numFmtId="172" fontId="45" fillId="29" borderId="51" xfId="0" applyNumberFormat="1" applyFont="1" applyFill="1" applyBorder="1" applyAlignment="1" applyProtection="1">
      <alignment horizontal="center"/>
      <protection hidden="1"/>
    </xf>
    <xf numFmtId="0" fontId="39" fillId="33" borderId="0" xfId="47" applyFont="1" applyFill="1" applyBorder="1" applyAlignment="1" applyProtection="1">
      <alignment horizontal="left" vertical="center" wrapText="1"/>
    </xf>
    <xf numFmtId="172" fontId="22" fillId="29" borderId="49" xfId="0" applyNumberFormat="1" applyFont="1" applyFill="1" applyBorder="1" applyAlignment="1" applyProtection="1">
      <alignment horizontal="center"/>
    </xf>
    <xf numFmtId="172" fontId="22" fillId="29" borderId="50" xfId="0" applyNumberFormat="1" applyFont="1" applyFill="1" applyBorder="1" applyAlignment="1" applyProtection="1">
      <alignment horizontal="center"/>
    </xf>
    <xf numFmtId="172" fontId="22" fillId="29" borderId="51" xfId="0" applyNumberFormat="1" applyFont="1" applyFill="1" applyBorder="1" applyAlignment="1" applyProtection="1">
      <alignment horizontal="center"/>
    </xf>
    <xf numFmtId="173" fontId="45" fillId="31" borderId="49" xfId="45" applyNumberFormat="1" applyFont="1" applyFill="1" applyBorder="1" applyAlignment="1" applyProtection="1">
      <alignment horizontal="center" vertical="center"/>
      <protection locked="0"/>
    </xf>
    <xf numFmtId="168" fontId="45" fillId="29" borderId="49" xfId="45" applyNumberFormat="1" applyFont="1" applyFill="1" applyBorder="1" applyAlignment="1" applyProtection="1">
      <alignment horizontal="right" vertical="center"/>
      <protection hidden="1"/>
    </xf>
    <xf numFmtId="168" fontId="45" fillId="29" borderId="50" xfId="45" applyNumberFormat="1" applyFont="1" applyFill="1" applyBorder="1" applyAlignment="1" applyProtection="1">
      <alignment horizontal="right" vertical="center"/>
      <protection hidden="1"/>
    </xf>
    <xf numFmtId="168" fontId="45" fillId="29" borderId="51" xfId="45" applyNumberFormat="1" applyFont="1" applyFill="1" applyBorder="1" applyAlignment="1" applyProtection="1">
      <alignment horizontal="right" vertical="center"/>
      <protection hidden="1"/>
    </xf>
    <xf numFmtId="168" fontId="45" fillId="31" borderId="49" xfId="45" applyNumberFormat="1" applyFont="1" applyFill="1" applyBorder="1" applyAlignment="1" applyProtection="1">
      <alignment horizontal="right" vertical="center"/>
      <protection hidden="1"/>
    </xf>
    <xf numFmtId="168" fontId="45" fillId="31" borderId="50" xfId="45" applyNumberFormat="1" applyFont="1" applyFill="1" applyBorder="1" applyAlignment="1" applyProtection="1">
      <alignment horizontal="right" vertical="center"/>
      <protection hidden="1"/>
    </xf>
    <xf numFmtId="168" fontId="45" fillId="31" borderId="51" xfId="45" applyNumberFormat="1" applyFont="1" applyFill="1" applyBorder="1" applyAlignment="1" applyProtection="1">
      <alignment horizontal="right" vertical="center"/>
      <protection hidden="1"/>
    </xf>
    <xf numFmtId="168" fontId="45" fillId="31" borderId="49" xfId="45" applyNumberFormat="1" applyFont="1" applyFill="1" applyBorder="1" applyAlignment="1" applyProtection="1">
      <alignment horizontal="right" vertical="center"/>
      <protection locked="0"/>
    </xf>
    <xf numFmtId="168" fontId="45" fillId="31" borderId="50" xfId="45" applyNumberFormat="1" applyFont="1" applyFill="1" applyBorder="1" applyAlignment="1" applyProtection="1">
      <alignment horizontal="right" vertical="center"/>
      <protection locked="0"/>
    </xf>
    <xf numFmtId="168" fontId="45" fillId="31" borderId="51" xfId="45" applyNumberFormat="1" applyFont="1" applyFill="1" applyBorder="1" applyAlignment="1" applyProtection="1">
      <alignment horizontal="right" vertical="center"/>
      <protection locked="0"/>
    </xf>
    <xf numFmtId="0" fontId="22" fillId="29" borderId="76" xfId="0" applyFont="1" applyFill="1" applyBorder="1" applyAlignment="1" applyProtection="1">
      <alignment horizontal="center" vertical="center" wrapText="1"/>
    </xf>
    <xf numFmtId="0" fontId="22" fillId="29" borderId="15" xfId="0" applyFont="1" applyFill="1" applyBorder="1" applyAlignment="1" applyProtection="1">
      <alignment horizontal="center" vertical="center" wrapText="1"/>
    </xf>
    <xf numFmtId="172" fontId="45" fillId="31" borderId="15" xfId="45" applyNumberFormat="1" applyFont="1" applyFill="1" applyBorder="1" applyAlignment="1" applyProtection="1">
      <alignment horizontal="right" vertical="center"/>
      <protection locked="0"/>
    </xf>
    <xf numFmtId="167" fontId="45" fillId="31" borderId="15" xfId="45" applyFont="1" applyFill="1" applyBorder="1" applyAlignment="1" applyProtection="1">
      <alignment horizontal="center" vertical="center"/>
      <protection locked="0"/>
    </xf>
    <xf numFmtId="172" fontId="45" fillId="29" borderId="15" xfId="45" applyNumberFormat="1" applyFont="1" applyFill="1" applyBorder="1" applyAlignment="1" applyProtection="1">
      <alignment horizontal="right"/>
      <protection hidden="1"/>
    </xf>
    <xf numFmtId="172" fontId="45" fillId="31" borderId="27" xfId="45" applyNumberFormat="1" applyFont="1" applyFill="1" applyBorder="1" applyAlignment="1" applyProtection="1">
      <alignment horizontal="right" vertical="center"/>
      <protection locked="0"/>
    </xf>
    <xf numFmtId="172" fontId="45" fillId="31" borderId="20" xfId="45" applyNumberFormat="1" applyFont="1" applyFill="1" applyBorder="1" applyAlignment="1" applyProtection="1">
      <alignment horizontal="right" vertical="center"/>
      <protection locked="0"/>
    </xf>
    <xf numFmtId="172" fontId="45" fillId="31" borderId="77" xfId="45" applyNumberFormat="1" applyFont="1" applyFill="1" applyBorder="1" applyAlignment="1" applyProtection="1">
      <alignment horizontal="right" vertical="center"/>
      <protection locked="0"/>
    </xf>
    <xf numFmtId="0" fontId="22" fillId="29" borderId="66" xfId="0" applyFont="1" applyFill="1" applyBorder="1" applyAlignment="1" applyProtection="1">
      <alignment horizontal="center" vertical="center" wrapText="1"/>
    </xf>
    <xf numFmtId="0" fontId="22" fillId="29" borderId="78" xfId="0" applyFont="1" applyFill="1" applyBorder="1" applyAlignment="1" applyProtection="1">
      <alignment horizontal="center" vertical="center" wrapText="1"/>
    </xf>
    <xf numFmtId="0" fontId="22" fillId="29" borderId="79" xfId="0" applyFont="1" applyFill="1" applyBorder="1" applyAlignment="1" applyProtection="1">
      <alignment horizontal="center"/>
    </xf>
    <xf numFmtId="0" fontId="22" fillId="29" borderId="80" xfId="0" applyFont="1" applyFill="1" applyBorder="1" applyAlignment="1" applyProtection="1">
      <alignment horizontal="center"/>
    </xf>
    <xf numFmtId="0" fontId="22" fillId="29" borderId="81" xfId="0" applyFont="1" applyFill="1" applyBorder="1" applyAlignment="1" applyProtection="1">
      <alignment horizontal="center"/>
    </xf>
    <xf numFmtId="0" fontId="22" fillId="29" borderId="78" xfId="0" applyFont="1" applyFill="1" applyBorder="1" applyAlignment="1" applyProtection="1">
      <alignment horizontal="center"/>
    </xf>
    <xf numFmtId="0" fontId="22" fillId="29" borderId="82" xfId="0" applyFont="1" applyFill="1" applyBorder="1" applyAlignment="1" applyProtection="1">
      <alignment horizontal="center"/>
    </xf>
    <xf numFmtId="3" fontId="45" fillId="31" borderId="49" xfId="45" applyNumberFormat="1" applyFont="1" applyFill="1" applyBorder="1" applyAlignment="1" applyProtection="1">
      <alignment horizontal="center" vertical="center"/>
      <protection locked="0"/>
    </xf>
    <xf numFmtId="3" fontId="45" fillId="31" borderId="50" xfId="45" applyNumberFormat="1" applyFont="1" applyFill="1" applyBorder="1" applyAlignment="1" applyProtection="1">
      <alignment horizontal="center" vertical="center"/>
      <protection locked="0"/>
    </xf>
    <xf numFmtId="3" fontId="45" fillId="31" borderId="51" xfId="45" applyNumberFormat="1" applyFont="1" applyFill="1" applyBorder="1" applyAlignment="1" applyProtection="1">
      <alignment horizontal="center" vertical="center"/>
      <protection locked="0"/>
    </xf>
    <xf numFmtId="41" fontId="45" fillId="29" borderId="49" xfId="45" applyNumberFormat="1" applyFont="1" applyFill="1" applyBorder="1" applyAlignment="1" applyProtection="1">
      <alignment horizontal="center" vertical="center"/>
      <protection hidden="1"/>
    </xf>
    <xf numFmtId="41" fontId="45" fillId="29" borderId="50" xfId="45" applyNumberFormat="1" applyFont="1" applyFill="1" applyBorder="1" applyAlignment="1" applyProtection="1">
      <alignment horizontal="center" vertical="center"/>
      <protection hidden="1"/>
    </xf>
    <xf numFmtId="41" fontId="45" fillId="29" borderId="51" xfId="45" applyNumberFormat="1" applyFont="1" applyFill="1" applyBorder="1" applyAlignment="1" applyProtection="1">
      <alignment horizontal="center" vertical="center"/>
      <protection hidden="1"/>
    </xf>
    <xf numFmtId="49" fontId="40" fillId="31" borderId="49" xfId="45" applyNumberFormat="1" applyFont="1" applyFill="1" applyBorder="1" applyAlignment="1" applyProtection="1">
      <alignment horizontal="left" vertical="center"/>
      <protection locked="0"/>
    </xf>
    <xf numFmtId="49" fontId="40" fillId="31" borderId="50" xfId="45" applyNumberFormat="1" applyFont="1" applyFill="1" applyBorder="1" applyAlignment="1" applyProtection="1">
      <alignment horizontal="left" vertical="center"/>
      <protection locked="0"/>
    </xf>
    <xf numFmtId="49" fontId="40" fillId="31" borderId="51" xfId="45" applyNumberFormat="1" applyFont="1" applyFill="1" applyBorder="1" applyAlignment="1" applyProtection="1">
      <alignment horizontal="left" vertical="center"/>
      <protection locked="0"/>
    </xf>
    <xf numFmtId="0" fontId="22" fillId="29" borderId="0" xfId="48" applyFont="1" applyFill="1" applyBorder="1" applyAlignment="1" applyProtection="1">
      <alignment horizontal="left" wrapText="1"/>
    </xf>
    <xf numFmtId="0" fontId="67" fillId="29" borderId="47" xfId="48" applyFont="1" applyFill="1" applyBorder="1" applyAlignment="1" applyProtection="1">
      <alignment horizontal="center" vertical="top" wrapText="1"/>
    </xf>
    <xf numFmtId="168" fontId="45" fillId="29" borderId="0" xfId="45" applyNumberFormat="1" applyFont="1" applyFill="1" applyBorder="1" applyAlignment="1" applyProtection="1">
      <alignment horizontal="center"/>
    </xf>
    <xf numFmtId="0" fontId="22" fillId="29" borderId="67" xfId="0" applyFont="1" applyFill="1" applyBorder="1" applyAlignment="1" applyProtection="1">
      <alignment horizontal="center" vertical="center" wrapText="1"/>
    </xf>
    <xf numFmtId="0" fontId="22" fillId="29" borderId="68" xfId="0" applyFont="1" applyFill="1" applyBorder="1" applyAlignment="1" applyProtection="1">
      <alignment horizontal="center" vertical="center" wrapText="1"/>
    </xf>
    <xf numFmtId="0" fontId="22" fillId="29" borderId="69" xfId="0" applyFont="1" applyFill="1" applyBorder="1" applyAlignment="1" applyProtection="1">
      <alignment horizontal="center" vertical="center" wrapText="1"/>
    </xf>
    <xf numFmtId="0" fontId="22" fillId="29" borderId="70" xfId="0" applyFont="1" applyFill="1" applyBorder="1" applyAlignment="1" applyProtection="1">
      <alignment horizontal="center" vertical="center" wrapText="1"/>
    </xf>
    <xf numFmtId="49" fontId="45" fillId="31" borderId="15" xfId="45" applyNumberFormat="1" applyFont="1" applyFill="1" applyBorder="1" applyAlignment="1" applyProtection="1">
      <alignment horizontal="left" vertical="center"/>
      <protection locked="0"/>
    </xf>
    <xf numFmtId="49" fontId="45" fillId="31" borderId="15" xfId="45" applyNumberFormat="1" applyFont="1" applyFill="1" applyBorder="1" applyAlignment="1" applyProtection="1">
      <alignment horizontal="center" vertical="center"/>
      <protection locked="0"/>
    </xf>
    <xf numFmtId="170" fontId="45" fillId="31" borderId="15" xfId="45" applyNumberFormat="1" applyFont="1" applyFill="1" applyBorder="1" applyAlignment="1" applyProtection="1">
      <alignment horizontal="center" vertical="center"/>
      <protection locked="0"/>
    </xf>
    <xf numFmtId="49" fontId="45" fillId="31" borderId="98" xfId="45" applyNumberFormat="1" applyFont="1" applyFill="1" applyBorder="1" applyAlignment="1" applyProtection="1">
      <alignment horizontal="center" vertical="center"/>
      <protection locked="0"/>
    </xf>
    <xf numFmtId="0" fontId="22" fillId="29" borderId="60" xfId="48" applyFont="1" applyFill="1" applyBorder="1" applyAlignment="1" applyProtection="1">
      <alignment horizontal="center"/>
    </xf>
    <xf numFmtId="0" fontId="22" fillId="29" borderId="61" xfId="48" applyFont="1" applyFill="1" applyBorder="1" applyAlignment="1" applyProtection="1">
      <alignment horizontal="center"/>
    </xf>
    <xf numFmtId="0" fontId="22" fillId="29" borderId="59" xfId="48" applyFont="1" applyFill="1" applyBorder="1" applyAlignment="1" applyProtection="1">
      <alignment horizontal="center"/>
    </xf>
    <xf numFmtId="0" fontId="22" fillId="29" borderId="47" xfId="48" applyFont="1" applyFill="1" applyBorder="1" applyAlignment="1" applyProtection="1">
      <alignment horizontal="center"/>
    </xf>
    <xf numFmtId="0" fontId="22" fillId="29" borderId="62" xfId="48" applyFont="1" applyFill="1" applyBorder="1" applyAlignment="1" applyProtection="1">
      <alignment horizontal="center"/>
    </xf>
    <xf numFmtId="0" fontId="22" fillId="29" borderId="54" xfId="48" applyFont="1" applyFill="1" applyBorder="1" applyAlignment="1" applyProtection="1">
      <alignment horizontal="center" vertical="center"/>
    </xf>
    <xf numFmtId="0" fontId="22" fillId="29" borderId="56" xfId="48" applyFont="1" applyFill="1" applyBorder="1" applyAlignment="1" applyProtection="1">
      <alignment horizontal="center" vertical="center"/>
    </xf>
    <xf numFmtId="0" fontId="22" fillId="29" borderId="55" xfId="48" applyFont="1" applyFill="1" applyBorder="1" applyAlignment="1" applyProtection="1">
      <alignment horizontal="center" vertical="center"/>
    </xf>
    <xf numFmtId="0" fontId="22" fillId="29" borderId="22" xfId="48" applyFont="1" applyFill="1" applyBorder="1" applyAlignment="1" applyProtection="1">
      <alignment horizontal="center" vertical="center"/>
    </xf>
    <xf numFmtId="0" fontId="22" fillId="29" borderId="0" xfId="48" applyFont="1" applyFill="1" applyBorder="1" applyAlignment="1" applyProtection="1">
      <alignment horizontal="center" vertical="center"/>
    </xf>
    <xf numFmtId="0" fontId="22" fillId="29" borderId="64" xfId="48" applyFont="1" applyFill="1" applyBorder="1" applyAlignment="1" applyProtection="1">
      <alignment horizontal="center" vertical="center"/>
    </xf>
    <xf numFmtId="0" fontId="22" fillId="29" borderId="54" xfId="48" applyFont="1" applyFill="1" applyBorder="1" applyAlignment="1" applyProtection="1">
      <alignment horizontal="center" vertical="center" wrapText="1"/>
    </xf>
    <xf numFmtId="0" fontId="22" fillId="29" borderId="55" xfId="48" applyFont="1" applyFill="1" applyBorder="1" applyAlignment="1" applyProtection="1">
      <alignment horizontal="center" vertical="center" wrapText="1"/>
    </xf>
    <xf numFmtId="0" fontId="22" fillId="29" borderId="57" xfId="48" applyFont="1" applyFill="1" applyBorder="1" applyAlignment="1" applyProtection="1">
      <alignment horizontal="center" vertical="center" wrapText="1"/>
    </xf>
    <xf numFmtId="0" fontId="22" fillId="29" borderId="60" xfId="48" applyFont="1" applyFill="1" applyBorder="1" applyAlignment="1" applyProtection="1">
      <alignment horizontal="center" vertical="center" wrapText="1"/>
    </xf>
    <xf numFmtId="0" fontId="22" fillId="29" borderId="47" xfId="48" applyFont="1" applyFill="1" applyBorder="1" applyAlignment="1" applyProtection="1">
      <alignment horizontal="center" vertical="center" wrapText="1"/>
    </xf>
    <xf numFmtId="0" fontId="22" fillId="29" borderId="62" xfId="48" applyFont="1" applyFill="1" applyBorder="1" applyAlignment="1" applyProtection="1">
      <alignment horizontal="center" vertical="center" wrapText="1"/>
    </xf>
    <xf numFmtId="0" fontId="22" fillId="29" borderId="84" xfId="48" applyFont="1" applyFill="1" applyBorder="1" applyAlignment="1" applyProtection="1">
      <alignment horizontal="left" vertical="top" wrapText="1"/>
    </xf>
    <xf numFmtId="0" fontId="22" fillId="29" borderId="0" xfId="48" applyFont="1" applyFill="1" applyAlignment="1" applyProtection="1">
      <alignment horizontal="left" vertical="top" wrapText="1"/>
    </xf>
    <xf numFmtId="0" fontId="22" fillId="29" borderId="84" xfId="48" applyFont="1" applyFill="1" applyBorder="1" applyAlignment="1" applyProtection="1">
      <alignment horizontal="left" vertical="center" wrapText="1"/>
    </xf>
    <xf numFmtId="0" fontId="22" fillId="29" borderId="0" xfId="48" applyFont="1" applyFill="1" applyAlignment="1" applyProtection="1">
      <alignment horizontal="left" vertical="center" wrapText="1"/>
    </xf>
    <xf numFmtId="167" fontId="0" fillId="31" borderId="49" xfId="45" applyFont="1" applyFill="1" applyBorder="1" applyAlignment="1" applyProtection="1">
      <alignment horizontal="left" vertical="top" wrapText="1"/>
      <protection locked="0"/>
    </xf>
    <xf numFmtId="167" fontId="45" fillId="31" borderId="50" xfId="45" applyFont="1" applyFill="1" applyBorder="1" applyAlignment="1" applyProtection="1">
      <alignment horizontal="left" vertical="top" wrapText="1"/>
      <protection locked="0"/>
    </xf>
    <xf numFmtId="167" fontId="45" fillId="31" borderId="51" xfId="45" applyFont="1" applyFill="1" applyBorder="1" applyAlignment="1" applyProtection="1">
      <alignment horizontal="left" vertical="top" wrapText="1"/>
      <protection locked="0"/>
    </xf>
    <xf numFmtId="0" fontId="22" fillId="29" borderId="84" xfId="48" applyFont="1" applyFill="1" applyBorder="1" applyAlignment="1" applyProtection="1">
      <alignment horizontal="left" vertical="center"/>
    </xf>
    <xf numFmtId="0" fontId="22" fillId="29" borderId="0" xfId="48" applyFont="1" applyFill="1" applyBorder="1" applyAlignment="1" applyProtection="1">
      <alignment horizontal="left" vertical="center"/>
    </xf>
    <xf numFmtId="167" fontId="45" fillId="31" borderId="49" xfId="45" applyFont="1" applyFill="1" applyBorder="1" applyAlignment="1" applyProtection="1">
      <alignment horizontal="center" vertical="center"/>
      <protection locked="0"/>
    </xf>
    <xf numFmtId="167" fontId="45" fillId="31" borderId="50" xfId="45" applyFont="1" applyFill="1" applyBorder="1" applyAlignment="1" applyProtection="1">
      <alignment horizontal="center" vertical="center"/>
      <protection locked="0"/>
    </xf>
    <xf numFmtId="167" fontId="45" fillId="31" borderId="51" xfId="45" applyFont="1" applyFill="1" applyBorder="1" applyAlignment="1" applyProtection="1">
      <alignment horizontal="center" vertical="center"/>
      <protection locked="0"/>
    </xf>
    <xf numFmtId="0" fontId="63" fillId="29" borderId="47" xfId="46" applyFont="1" applyFill="1" applyBorder="1" applyAlignment="1" applyProtection="1">
      <alignment horizontal="center" wrapText="1"/>
    </xf>
    <xf numFmtId="0" fontId="22" fillId="29" borderId="0" xfId="48" applyFont="1" applyFill="1" applyBorder="1" applyAlignment="1" applyProtection="1">
      <alignment horizontal="left" vertical="center" wrapText="1"/>
    </xf>
    <xf numFmtId="49" fontId="0" fillId="31" borderId="49" xfId="45" applyNumberFormat="1" applyFont="1" applyFill="1" applyBorder="1" applyAlignment="1" applyProtection="1">
      <alignment horizontal="left" vertical="center"/>
      <protection locked="0"/>
    </xf>
    <xf numFmtId="49" fontId="45" fillId="31" borderId="50" xfId="45" applyNumberFormat="1" applyFont="1" applyFill="1" applyBorder="1" applyAlignment="1" applyProtection="1">
      <alignment horizontal="left" vertical="center"/>
      <protection locked="0"/>
    </xf>
    <xf numFmtId="49" fontId="45" fillId="31" borderId="51" xfId="45" applyNumberFormat="1" applyFont="1" applyFill="1" applyBorder="1" applyAlignment="1" applyProtection="1">
      <alignment horizontal="left" vertical="center"/>
      <protection locked="0"/>
    </xf>
    <xf numFmtId="170" fontId="45" fillId="31" borderId="49" xfId="45" applyNumberFormat="1" applyFont="1" applyFill="1" applyBorder="1" applyAlignment="1" applyProtection="1">
      <alignment horizontal="center" vertical="center"/>
      <protection locked="0"/>
    </xf>
    <xf numFmtId="170" fontId="45" fillId="31" borderId="50" xfId="45" applyNumberFormat="1" applyFont="1" applyFill="1" applyBorder="1" applyAlignment="1" applyProtection="1">
      <alignment horizontal="center" vertical="center"/>
      <protection locked="0"/>
    </xf>
    <xf numFmtId="170" fontId="45" fillId="31" borderId="51" xfId="45" applyNumberFormat="1" applyFont="1" applyFill="1" applyBorder="1" applyAlignment="1" applyProtection="1">
      <alignment horizontal="center" vertical="center"/>
      <protection locked="0"/>
    </xf>
    <xf numFmtId="0" fontId="22" fillId="29" borderId="0" xfId="48" applyFont="1" applyFill="1" applyBorder="1" applyAlignment="1" applyProtection="1">
      <alignment horizontal="left"/>
    </xf>
    <xf numFmtId="0" fontId="22" fillId="29" borderId="64" xfId="48" applyFont="1" applyFill="1" applyBorder="1" applyAlignment="1" applyProtection="1">
      <alignment horizontal="left"/>
    </xf>
    <xf numFmtId="49" fontId="22" fillId="31" borderId="49" xfId="0" applyNumberFormat="1" applyFont="1" applyFill="1" applyBorder="1" applyAlignment="1" applyProtection="1">
      <alignment horizontal="left" vertical="center"/>
      <protection locked="0"/>
    </xf>
    <xf numFmtId="49" fontId="22" fillId="31" borderId="50" xfId="0" applyNumberFormat="1" applyFont="1" applyFill="1" applyBorder="1" applyAlignment="1" applyProtection="1">
      <alignment horizontal="left" vertical="center"/>
      <protection locked="0"/>
    </xf>
    <xf numFmtId="49" fontId="22" fillId="31" borderId="51" xfId="0" applyNumberFormat="1" applyFont="1" applyFill="1" applyBorder="1" applyAlignment="1" applyProtection="1">
      <alignment horizontal="left" vertical="center"/>
      <protection locked="0"/>
    </xf>
    <xf numFmtId="0" fontId="22" fillId="29" borderId="52" xfId="48" applyFont="1" applyFill="1" applyBorder="1" applyAlignment="1" applyProtection="1">
      <alignment horizontal="center" vertical="center"/>
    </xf>
    <xf numFmtId="0" fontId="22" fillId="29" borderId="58" xfId="48" applyFont="1" applyFill="1" applyBorder="1" applyAlignment="1" applyProtection="1">
      <alignment horizontal="center" vertical="center"/>
    </xf>
    <xf numFmtId="0" fontId="22" fillId="29" borderId="53" xfId="48" applyFont="1" applyFill="1" applyBorder="1" applyAlignment="1" applyProtection="1">
      <alignment horizontal="center" vertical="center"/>
    </xf>
    <xf numFmtId="0" fontId="22" fillId="29" borderId="59" xfId="48" applyFont="1" applyFill="1" applyBorder="1" applyAlignment="1" applyProtection="1">
      <alignment horizontal="center" vertical="center"/>
    </xf>
    <xf numFmtId="0" fontId="22" fillId="29" borderId="60" xfId="48" applyFont="1" applyFill="1" applyBorder="1" applyAlignment="1" applyProtection="1">
      <alignment horizontal="center" vertical="center"/>
    </xf>
    <xf numFmtId="0" fontId="22" fillId="29" borderId="47" xfId="48" applyFont="1" applyFill="1" applyBorder="1" applyAlignment="1" applyProtection="1">
      <alignment horizontal="center" vertical="center"/>
    </xf>
    <xf numFmtId="0" fontId="22" fillId="29" borderId="61" xfId="48" applyFont="1" applyFill="1" applyBorder="1" applyAlignment="1" applyProtection="1">
      <alignment horizontal="center" vertical="center"/>
    </xf>
    <xf numFmtId="41" fontId="0" fillId="31" borderId="49" xfId="0" applyNumberFormat="1" applyFont="1" applyFill="1" applyBorder="1" applyAlignment="1" applyProtection="1">
      <alignment horizontal="right" vertical="center"/>
      <protection locked="0"/>
    </xf>
    <xf numFmtId="41" fontId="0" fillId="31" borderId="50" xfId="0" applyNumberFormat="1" applyFont="1" applyFill="1" applyBorder="1" applyAlignment="1" applyProtection="1">
      <alignment horizontal="right" vertical="center"/>
      <protection locked="0"/>
    </xf>
    <xf numFmtId="41" fontId="0" fillId="31" borderId="51" xfId="0" applyNumberFormat="1" applyFont="1" applyFill="1" applyBorder="1" applyAlignment="1" applyProtection="1">
      <alignment horizontal="right" vertical="center"/>
      <protection locked="0"/>
    </xf>
    <xf numFmtId="0" fontId="22" fillId="29" borderId="150" xfId="0" applyFont="1" applyFill="1" applyBorder="1" applyAlignment="1" applyProtection="1">
      <alignment horizontal="left" vertical="center" wrapText="1"/>
    </xf>
    <xf numFmtId="0" fontId="22" fillId="29" borderId="47" xfId="0" applyFont="1" applyFill="1" applyBorder="1" applyAlignment="1" applyProtection="1">
      <alignment horizontal="left" vertical="center" wrapText="1"/>
    </xf>
    <xf numFmtId="0" fontId="22" fillId="29" borderId="62" xfId="0" applyFont="1" applyFill="1" applyBorder="1" applyAlignment="1" applyProtection="1">
      <alignment horizontal="left" vertical="center" wrapText="1"/>
    </xf>
    <xf numFmtId="41" fontId="22" fillId="31" borderId="48" xfId="0" applyNumberFormat="1" applyFont="1" applyFill="1" applyBorder="1" applyAlignment="1" applyProtection="1">
      <alignment horizontal="right"/>
      <protection locked="0"/>
    </xf>
    <xf numFmtId="41" fontId="22" fillId="31" borderId="49" xfId="0" applyNumberFormat="1" applyFont="1" applyFill="1" applyBorder="1" applyAlignment="1" applyProtection="1">
      <alignment horizontal="right"/>
      <protection locked="0"/>
    </xf>
    <xf numFmtId="41" fontId="22" fillId="31" borderId="50" xfId="0" applyNumberFormat="1" applyFont="1" applyFill="1" applyBorder="1" applyAlignment="1" applyProtection="1">
      <alignment horizontal="right"/>
      <protection locked="0"/>
    </xf>
    <xf numFmtId="41" fontId="22" fillId="31" borderId="51" xfId="0" applyNumberFormat="1" applyFont="1" applyFill="1" applyBorder="1" applyAlignment="1" applyProtection="1">
      <alignment horizontal="right"/>
      <protection locked="0"/>
    </xf>
    <xf numFmtId="9" fontId="0" fillId="31" borderId="48" xfId="0" applyNumberFormat="1" applyFont="1" applyFill="1" applyBorder="1" applyAlignment="1" applyProtection="1">
      <alignment horizontal="center"/>
      <protection locked="0"/>
    </xf>
    <xf numFmtId="9" fontId="0" fillId="31" borderId="151" xfId="0" applyNumberFormat="1" applyFont="1" applyFill="1" applyBorder="1" applyAlignment="1" applyProtection="1">
      <alignment horizontal="center"/>
      <protection locked="0"/>
    </xf>
    <xf numFmtId="41" fontId="0" fillId="31" borderId="151" xfId="0" applyNumberFormat="1" applyFont="1" applyFill="1" applyBorder="1" applyAlignment="1" applyProtection="1">
      <alignment horizontal="right"/>
      <protection locked="0"/>
    </xf>
    <xf numFmtId="41" fontId="0" fillId="31" borderId="48" xfId="0" applyNumberFormat="1" applyFont="1" applyFill="1" applyBorder="1" applyAlignment="1" applyProtection="1">
      <alignment horizontal="right"/>
      <protection locked="0"/>
    </xf>
    <xf numFmtId="0" fontId="22" fillId="29" borderId="97" xfId="0" applyFont="1" applyFill="1" applyBorder="1" applyAlignment="1" applyProtection="1">
      <alignment horizontal="center"/>
    </xf>
    <xf numFmtId="0" fontId="22" fillId="29" borderId="69" xfId="0" applyFont="1" applyFill="1" applyBorder="1" applyAlignment="1" applyProtection="1">
      <alignment horizontal="center"/>
    </xf>
    <xf numFmtId="0" fontId="22" fillId="29" borderId="70" xfId="0" applyFont="1" applyFill="1" applyBorder="1" applyAlignment="1" applyProtection="1">
      <alignment horizontal="center"/>
    </xf>
    <xf numFmtId="0" fontId="39" fillId="33" borderId="0" xfId="0" applyFont="1" applyFill="1" applyBorder="1" applyAlignment="1" applyProtection="1">
      <alignment horizontal="left" vertical="center"/>
    </xf>
    <xf numFmtId="0" fontId="22" fillId="29" borderId="63" xfId="0" applyFont="1" applyFill="1" applyBorder="1" applyAlignment="1" applyProtection="1">
      <alignment horizontal="center"/>
    </xf>
    <xf numFmtId="0" fontId="22" fillId="29" borderId="71" xfId="0" applyFont="1" applyFill="1" applyBorder="1" applyAlignment="1" applyProtection="1">
      <alignment horizontal="center"/>
    </xf>
    <xf numFmtId="0" fontId="22" fillId="29" borderId="72" xfId="0" applyFont="1" applyFill="1" applyBorder="1" applyAlignment="1" applyProtection="1">
      <alignment horizontal="center"/>
    </xf>
    <xf numFmtId="0" fontId="22" fillId="29" borderId="73" xfId="0" applyFont="1" applyFill="1" applyBorder="1" applyAlignment="1" applyProtection="1">
      <alignment horizontal="center"/>
    </xf>
    <xf numFmtId="0" fontId="22" fillId="29" borderId="74" xfId="0" applyFont="1" applyFill="1" applyBorder="1" applyAlignment="1" applyProtection="1">
      <alignment horizontal="center"/>
    </xf>
    <xf numFmtId="0" fontId="22" fillId="29" borderId="75" xfId="0" applyFont="1" applyFill="1" applyBorder="1" applyAlignment="1" applyProtection="1">
      <alignment horizontal="center"/>
    </xf>
    <xf numFmtId="0" fontId="45" fillId="31" borderId="76" xfId="52" applyNumberFormat="1" applyFont="1" applyFill="1" applyBorder="1" applyAlignment="1" applyProtection="1">
      <alignment horizontal="left" vertical="center"/>
      <protection locked="0"/>
    </xf>
    <xf numFmtId="0" fontId="45" fillId="31" borderId="15" xfId="52" applyNumberFormat="1" applyFont="1" applyFill="1" applyBorder="1" applyAlignment="1" applyProtection="1">
      <alignment horizontal="left" vertical="center"/>
      <protection locked="0"/>
    </xf>
    <xf numFmtId="175" fontId="45" fillId="31" borderId="27" xfId="52" applyNumberFormat="1" applyFont="1" applyFill="1" applyBorder="1" applyAlignment="1" applyProtection="1">
      <alignment horizontal="right" vertical="center"/>
      <protection locked="0"/>
    </xf>
    <xf numFmtId="175" fontId="45" fillId="31" borderId="20" xfId="52" applyNumberFormat="1" applyFont="1" applyFill="1" applyBorder="1" applyAlignment="1" applyProtection="1">
      <alignment horizontal="right" vertical="center"/>
      <protection locked="0"/>
    </xf>
    <xf numFmtId="175" fontId="45" fillId="31" borderId="33" xfId="52" applyNumberFormat="1" applyFont="1" applyFill="1" applyBorder="1" applyAlignment="1" applyProtection="1">
      <alignment horizontal="right" vertical="center"/>
      <protection locked="0"/>
    </xf>
    <xf numFmtId="168" fontId="45" fillId="31" borderId="15" xfId="52" applyNumberFormat="1" applyFont="1" applyFill="1" applyBorder="1" applyAlignment="1" applyProtection="1">
      <alignment horizontal="right" vertical="center"/>
      <protection locked="0"/>
    </xf>
    <xf numFmtId="168" fontId="45" fillId="29" borderId="27" xfId="52" applyNumberFormat="1" applyFont="1" applyFill="1" applyBorder="1" applyAlignment="1" applyProtection="1">
      <alignment horizontal="right"/>
      <protection hidden="1"/>
    </xf>
    <xf numFmtId="168" fontId="45" fillId="29" borderId="20" xfId="52" applyNumberFormat="1" applyFont="1" applyFill="1" applyBorder="1" applyAlignment="1" applyProtection="1">
      <alignment horizontal="right"/>
      <protection hidden="1"/>
    </xf>
    <xf numFmtId="168" fontId="45" fillId="29" borderId="77" xfId="52" applyNumberFormat="1" applyFont="1" applyFill="1" applyBorder="1" applyAlignment="1" applyProtection="1">
      <alignment horizontal="right"/>
      <protection hidden="1"/>
    </xf>
    <xf numFmtId="170" fontId="45" fillId="31" borderId="79" xfId="52" applyNumberFormat="1" applyFont="1" applyFill="1" applyBorder="1" applyAlignment="1" applyProtection="1">
      <alignment horizontal="center" vertical="center"/>
      <protection locked="0"/>
    </xf>
    <xf numFmtId="170" fontId="45" fillId="31" borderId="80" xfId="52" applyNumberFormat="1" applyFont="1" applyFill="1" applyBorder="1" applyAlignment="1" applyProtection="1">
      <alignment horizontal="center" vertical="center"/>
      <protection locked="0"/>
    </xf>
    <xf numFmtId="170" fontId="45" fillId="31" borderId="81" xfId="52" applyNumberFormat="1" applyFont="1" applyFill="1" applyBorder="1" applyAlignment="1" applyProtection="1">
      <alignment horizontal="center" vertical="center"/>
      <protection locked="0"/>
    </xf>
    <xf numFmtId="49" fontId="45" fillId="31" borderId="27" xfId="52" applyNumberFormat="1" applyFont="1" applyFill="1" applyBorder="1" applyAlignment="1" applyProtection="1">
      <alignment horizontal="left" vertical="center"/>
      <protection locked="0"/>
    </xf>
    <xf numFmtId="49" fontId="45" fillId="31" borderId="20" xfId="52" applyNumberFormat="1" applyFont="1" applyFill="1" applyBorder="1" applyAlignment="1" applyProtection="1">
      <alignment horizontal="left" vertical="center"/>
      <protection locked="0"/>
    </xf>
    <xf numFmtId="49" fontId="45" fillId="31" borderId="33" xfId="52" applyNumberFormat="1" applyFont="1" applyFill="1" applyBorder="1" applyAlignment="1" applyProtection="1">
      <alignment horizontal="left" vertical="center"/>
      <protection locked="0"/>
    </xf>
    <xf numFmtId="49" fontId="45" fillId="31" borderId="27" xfId="52" applyNumberFormat="1" applyFont="1" applyFill="1" applyBorder="1" applyAlignment="1" applyProtection="1">
      <alignment horizontal="center" vertical="center"/>
      <protection locked="0"/>
    </xf>
    <xf numFmtId="49" fontId="45" fillId="31" borderId="33" xfId="52" applyNumberFormat="1" applyFont="1" applyFill="1" applyBorder="1" applyAlignment="1" applyProtection="1">
      <alignment horizontal="center" vertical="center"/>
      <protection locked="0"/>
    </xf>
    <xf numFmtId="170" fontId="45" fillId="31" borderId="27" xfId="52" applyNumberFormat="1" applyFont="1" applyFill="1" applyBorder="1" applyAlignment="1" applyProtection="1">
      <alignment horizontal="center" vertical="center"/>
      <protection locked="0"/>
    </xf>
    <xf numFmtId="170" fontId="45" fillId="31" borderId="20" xfId="52" applyNumberFormat="1" applyFont="1" applyFill="1" applyBorder="1" applyAlignment="1" applyProtection="1">
      <alignment horizontal="center" vertical="center"/>
      <protection locked="0"/>
    </xf>
    <xf numFmtId="170" fontId="45" fillId="31" borderId="33" xfId="52" applyNumberFormat="1" applyFont="1" applyFill="1" applyBorder="1" applyAlignment="1" applyProtection="1">
      <alignment horizontal="center" vertical="center"/>
      <protection locked="0"/>
    </xf>
    <xf numFmtId="4" fontId="45" fillId="31" borderId="27" xfId="52" applyNumberFormat="1" applyFont="1" applyFill="1" applyBorder="1" applyAlignment="1" applyProtection="1">
      <alignment horizontal="right" vertical="center"/>
      <protection locked="0"/>
    </xf>
    <xf numFmtId="4" fontId="45" fillId="31" borderId="20" xfId="52" applyNumberFormat="1" applyFont="1" applyFill="1" applyBorder="1" applyAlignment="1" applyProtection="1">
      <alignment horizontal="right" vertical="center"/>
      <protection locked="0"/>
    </xf>
    <xf numFmtId="4" fontId="45" fillId="31" borderId="33" xfId="52" applyNumberFormat="1" applyFont="1" applyFill="1" applyBorder="1" applyAlignment="1" applyProtection="1">
      <alignment horizontal="right" vertical="center"/>
      <protection locked="0"/>
    </xf>
    <xf numFmtId="43" fontId="45" fillId="31" borderId="22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0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16" xfId="52" applyNumberFormat="1" applyFont="1" applyFill="1" applyBorder="1" applyAlignment="1" applyProtection="1">
      <alignment horizontal="right" vertical="center"/>
      <protection locked="0" hidden="1"/>
    </xf>
    <xf numFmtId="4" fontId="45" fillId="31" borderId="79" xfId="52" applyNumberFormat="1" applyFont="1" applyFill="1" applyBorder="1" applyAlignment="1" applyProtection="1">
      <alignment horizontal="right" vertical="center"/>
      <protection locked="0"/>
    </xf>
    <xf numFmtId="4" fontId="45" fillId="31" borderId="80" xfId="52" applyNumberFormat="1" applyFont="1" applyFill="1" applyBorder="1" applyAlignment="1" applyProtection="1">
      <alignment horizontal="right" vertical="center"/>
      <protection locked="0"/>
    </xf>
    <xf numFmtId="4" fontId="45" fillId="31" borderId="81" xfId="52" applyNumberFormat="1" applyFont="1" applyFill="1" applyBorder="1" applyAlignment="1" applyProtection="1">
      <alignment horizontal="right" vertical="center"/>
      <protection locked="0"/>
    </xf>
    <xf numFmtId="43" fontId="45" fillId="31" borderId="31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18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28" xfId="52" applyNumberFormat="1" applyFont="1" applyFill="1" applyBorder="1" applyAlignment="1" applyProtection="1">
      <alignment horizontal="right" vertical="center"/>
      <protection locked="0" hidden="1"/>
    </xf>
    <xf numFmtId="168" fontId="45" fillId="29" borderId="31" xfId="52" applyNumberFormat="1" applyFont="1" applyFill="1" applyBorder="1" applyAlignment="1" applyProtection="1">
      <alignment horizontal="right"/>
      <protection hidden="1"/>
    </xf>
    <xf numFmtId="168" fontId="45" fillId="29" borderId="80" xfId="52" applyNumberFormat="1" applyFont="1" applyFill="1" applyBorder="1" applyAlignment="1" applyProtection="1">
      <alignment horizontal="right"/>
      <protection hidden="1"/>
    </xf>
    <xf numFmtId="168" fontId="45" fillId="29" borderId="89" xfId="52" applyNumberFormat="1" applyFont="1" applyFill="1" applyBorder="1" applyAlignment="1" applyProtection="1">
      <alignment horizontal="right"/>
      <protection hidden="1"/>
    </xf>
    <xf numFmtId="9" fontId="45" fillId="29" borderId="65" xfId="50" applyNumberFormat="1" applyFont="1" applyFill="1" applyBorder="1" applyAlignment="1" applyProtection="1">
      <alignment horizontal="center"/>
      <protection hidden="1"/>
    </xf>
    <xf numFmtId="0" fontId="45" fillId="29" borderId="20" xfId="50" applyFont="1" applyFill="1" applyBorder="1" applyAlignment="1" applyProtection="1">
      <alignment horizontal="center"/>
      <protection hidden="1"/>
    </xf>
    <xf numFmtId="0" fontId="45" fillId="29" borderId="77" xfId="50" applyFont="1" applyFill="1" applyBorder="1" applyAlignment="1" applyProtection="1">
      <alignment horizontal="center"/>
      <protection hidden="1"/>
    </xf>
    <xf numFmtId="43" fontId="45" fillId="29" borderId="95" xfId="52" applyFont="1" applyFill="1" applyBorder="1" applyAlignment="1" applyProtection="1">
      <alignment horizontal="right"/>
      <protection hidden="1"/>
    </xf>
    <xf numFmtId="43" fontId="45" fillId="29" borderId="80" xfId="52" applyFont="1" applyFill="1" applyBorder="1" applyAlignment="1" applyProtection="1">
      <alignment horizontal="right"/>
      <protection hidden="1"/>
    </xf>
    <xf numFmtId="43" fontId="45" fillId="29" borderId="81" xfId="52" applyFont="1" applyFill="1" applyBorder="1" applyAlignment="1" applyProtection="1">
      <alignment horizontal="right"/>
      <protection hidden="1"/>
    </xf>
    <xf numFmtId="4" fontId="45" fillId="31" borderId="69" xfId="52" applyNumberFormat="1" applyFont="1" applyFill="1" applyBorder="1" applyAlignment="1" applyProtection="1">
      <alignment horizontal="right" vertical="center"/>
      <protection locked="0"/>
    </xf>
    <xf numFmtId="43" fontId="45" fillId="29" borderId="68" xfId="50" applyNumberFormat="1" applyFont="1" applyFill="1" applyBorder="1" applyAlignment="1" applyProtection="1">
      <alignment horizontal="right"/>
      <protection hidden="1"/>
    </xf>
    <xf numFmtId="0" fontId="45" fillId="29" borderId="50" xfId="50" applyFont="1" applyFill="1" applyBorder="1" applyAlignment="1" applyProtection="1">
      <alignment horizontal="right"/>
      <protection hidden="1"/>
    </xf>
    <xf numFmtId="0" fontId="45" fillId="29" borderId="51" xfId="50" applyFont="1" applyFill="1" applyBorder="1" applyAlignment="1" applyProtection="1">
      <alignment horizontal="right"/>
      <protection hidden="1"/>
    </xf>
    <xf numFmtId="49" fontId="45" fillId="31" borderId="79" xfId="52" applyNumberFormat="1" applyFont="1" applyFill="1" applyBorder="1" applyAlignment="1" applyProtection="1">
      <alignment horizontal="left" vertical="center"/>
      <protection locked="0"/>
    </xf>
    <xf numFmtId="49" fontId="45" fillId="31" borderId="80" xfId="52" applyNumberFormat="1" applyFont="1" applyFill="1" applyBorder="1" applyAlignment="1" applyProtection="1">
      <alignment horizontal="left" vertical="center"/>
      <protection locked="0"/>
    </xf>
    <xf numFmtId="49" fontId="45" fillId="31" borderId="81" xfId="52" applyNumberFormat="1" applyFont="1" applyFill="1" applyBorder="1" applyAlignment="1" applyProtection="1">
      <alignment horizontal="left" vertical="center"/>
      <protection locked="0"/>
    </xf>
    <xf numFmtId="49" fontId="45" fillId="31" borderId="79" xfId="52" applyNumberFormat="1" applyFont="1" applyFill="1" applyBorder="1" applyAlignment="1" applyProtection="1">
      <alignment horizontal="center" vertical="center"/>
      <protection locked="0"/>
    </xf>
    <xf numFmtId="49" fontId="45" fillId="31" borderId="81" xfId="52" applyNumberFormat="1" applyFont="1" applyFill="1" applyBorder="1" applyAlignment="1" applyProtection="1">
      <alignment horizontal="center" vertical="center"/>
      <protection locked="0"/>
    </xf>
    <xf numFmtId="43" fontId="45" fillId="31" borderId="60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47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61" xfId="52" applyNumberFormat="1" applyFont="1" applyFill="1" applyBorder="1" applyAlignment="1" applyProtection="1">
      <alignment horizontal="right" vertical="center"/>
      <protection locked="0" hidden="1"/>
    </xf>
    <xf numFmtId="168" fontId="45" fillId="29" borderId="79" xfId="52" applyNumberFormat="1" applyFont="1" applyFill="1" applyBorder="1" applyAlignment="1" applyProtection="1">
      <alignment horizontal="right"/>
      <protection hidden="1"/>
    </xf>
    <xf numFmtId="43" fontId="45" fillId="31" borderId="54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55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56" xfId="52" applyNumberFormat="1" applyFont="1" applyFill="1" applyBorder="1" applyAlignment="1" applyProtection="1">
      <alignment horizontal="right" vertical="center"/>
      <protection locked="0" hidden="1"/>
    </xf>
    <xf numFmtId="168" fontId="45" fillId="29" borderId="72" xfId="52" applyNumberFormat="1" applyFont="1" applyFill="1" applyBorder="1" applyAlignment="1" applyProtection="1">
      <alignment horizontal="right"/>
      <protection hidden="1"/>
    </xf>
    <xf numFmtId="168" fontId="45" fillId="29" borderId="73" xfId="52" applyNumberFormat="1" applyFont="1" applyFill="1" applyBorder="1" applyAlignment="1" applyProtection="1">
      <alignment horizontal="right"/>
      <protection hidden="1"/>
    </xf>
    <xf numFmtId="168" fontId="45" fillId="29" borderId="86" xfId="52" applyNumberFormat="1" applyFont="1" applyFill="1" applyBorder="1" applyAlignment="1" applyProtection="1">
      <alignment horizontal="right"/>
      <protection hidden="1"/>
    </xf>
    <xf numFmtId="43" fontId="45" fillId="31" borderId="27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20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33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29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17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30" xfId="52" applyNumberFormat="1" applyFont="1" applyFill="1" applyBorder="1" applyAlignment="1" applyProtection="1">
      <alignment horizontal="right" vertical="center"/>
      <protection locked="0" hidden="1"/>
    </xf>
    <xf numFmtId="49" fontId="45" fillId="31" borderId="27" xfId="52" applyNumberFormat="1" applyFont="1" applyFill="1" applyBorder="1" applyAlignment="1" applyProtection="1">
      <alignment horizontal="left" vertical="center"/>
      <protection hidden="1"/>
    </xf>
    <xf numFmtId="49" fontId="45" fillId="31" borderId="20" xfId="52" applyNumberFormat="1" applyFont="1" applyFill="1" applyBorder="1" applyAlignment="1" applyProtection="1">
      <alignment horizontal="left" vertical="center"/>
      <protection hidden="1"/>
    </xf>
    <xf numFmtId="49" fontId="45" fillId="31" borderId="33" xfId="52" applyNumberFormat="1" applyFont="1" applyFill="1" applyBorder="1" applyAlignment="1" applyProtection="1">
      <alignment horizontal="left" vertical="center"/>
      <protection hidden="1"/>
    </xf>
    <xf numFmtId="49" fontId="45" fillId="31" borderId="15" xfId="52" applyNumberFormat="1" applyFont="1" applyFill="1" applyBorder="1" applyAlignment="1" applyProtection="1">
      <alignment horizontal="center" vertical="center"/>
      <protection hidden="1"/>
    </xf>
    <xf numFmtId="170" fontId="45" fillId="31" borderId="15" xfId="52" applyNumberFormat="1" applyFont="1" applyFill="1" applyBorder="1" applyAlignment="1" applyProtection="1">
      <alignment horizontal="center" vertical="center"/>
      <protection hidden="1"/>
    </xf>
    <xf numFmtId="4" fontId="45" fillId="31" borderId="15" xfId="52" applyNumberFormat="1" applyFont="1" applyFill="1" applyBorder="1" applyAlignment="1" applyProtection="1">
      <alignment horizontal="right" vertical="center"/>
      <protection hidden="1"/>
    </xf>
    <xf numFmtId="43" fontId="45" fillId="29" borderId="27" xfId="50" applyNumberFormat="1" applyFont="1" applyFill="1" applyBorder="1" applyAlignment="1" applyProtection="1">
      <alignment horizontal="right"/>
      <protection hidden="1"/>
    </xf>
    <xf numFmtId="0" fontId="45" fillId="29" borderId="20" xfId="50" applyFont="1" applyFill="1" applyBorder="1" applyAlignment="1" applyProtection="1">
      <alignment horizontal="right"/>
      <protection hidden="1"/>
    </xf>
    <xf numFmtId="0" fontId="45" fillId="29" borderId="33" xfId="50" applyFont="1" applyFill="1" applyBorder="1" applyAlignment="1" applyProtection="1">
      <alignment horizontal="right"/>
      <protection hidden="1"/>
    </xf>
    <xf numFmtId="0" fontId="22" fillId="29" borderId="53" xfId="50" applyFont="1" applyFill="1" applyBorder="1" applyAlignment="1" applyProtection="1">
      <alignment horizontal="center" vertical="center" wrapText="1"/>
      <protection hidden="1"/>
    </xf>
    <xf numFmtId="0" fontId="22" fillId="29" borderId="92" xfId="50" applyFont="1" applyFill="1" applyBorder="1" applyAlignment="1" applyProtection="1">
      <alignment horizontal="center" vertical="center" wrapText="1"/>
      <protection hidden="1"/>
    </xf>
    <xf numFmtId="0" fontId="22" fillId="29" borderId="59" xfId="50" applyFont="1" applyFill="1" applyBorder="1" applyAlignment="1" applyProtection="1">
      <alignment horizontal="center" vertical="center" wrapText="1"/>
      <protection hidden="1"/>
    </xf>
    <xf numFmtId="0" fontId="22" fillId="29" borderId="93" xfId="50" applyFont="1" applyFill="1" applyBorder="1" applyAlignment="1" applyProtection="1">
      <alignment horizontal="center" vertical="center" wrapText="1"/>
      <protection hidden="1"/>
    </xf>
    <xf numFmtId="49" fontId="45" fillId="31" borderId="72" xfId="52" applyNumberFormat="1" applyFont="1" applyFill="1" applyBorder="1" applyAlignment="1" applyProtection="1">
      <alignment horizontal="left" vertical="center"/>
      <protection locked="0"/>
    </xf>
    <xf numFmtId="49" fontId="45" fillId="31" borderId="73" xfId="52" applyNumberFormat="1" applyFont="1" applyFill="1" applyBorder="1" applyAlignment="1" applyProtection="1">
      <alignment horizontal="left" vertical="center"/>
      <protection locked="0"/>
    </xf>
    <xf numFmtId="49" fontId="45" fillId="31" borderId="74" xfId="52" applyNumberFormat="1" applyFont="1" applyFill="1" applyBorder="1" applyAlignment="1" applyProtection="1">
      <alignment horizontal="left" vertical="center"/>
      <protection locked="0"/>
    </xf>
    <xf numFmtId="49" fontId="45" fillId="31" borderId="72" xfId="52" applyNumberFormat="1" applyFont="1" applyFill="1" applyBorder="1" applyAlignment="1" applyProtection="1">
      <alignment horizontal="center" vertical="center"/>
      <protection locked="0"/>
    </xf>
    <xf numFmtId="49" fontId="45" fillId="31" borderId="74" xfId="52" applyNumberFormat="1" applyFont="1" applyFill="1" applyBorder="1" applyAlignment="1" applyProtection="1">
      <alignment horizontal="center" vertical="center"/>
      <protection locked="0"/>
    </xf>
    <xf numFmtId="170" fontId="45" fillId="31" borderId="72" xfId="52" applyNumberFormat="1" applyFont="1" applyFill="1" applyBorder="1" applyAlignment="1" applyProtection="1">
      <alignment horizontal="center" vertical="center"/>
      <protection locked="0"/>
    </xf>
    <xf numFmtId="170" fontId="45" fillId="31" borderId="73" xfId="52" applyNumberFormat="1" applyFont="1" applyFill="1" applyBorder="1" applyAlignment="1" applyProtection="1">
      <alignment horizontal="center" vertical="center"/>
      <protection locked="0"/>
    </xf>
    <xf numFmtId="170" fontId="45" fillId="31" borderId="74" xfId="52" applyNumberFormat="1" applyFont="1" applyFill="1" applyBorder="1" applyAlignment="1" applyProtection="1">
      <alignment horizontal="center" vertical="center"/>
      <protection locked="0"/>
    </xf>
    <xf numFmtId="4" fontId="45" fillId="31" borderId="72" xfId="52" applyNumberFormat="1" applyFont="1" applyFill="1" applyBorder="1" applyAlignment="1" applyProtection="1">
      <alignment horizontal="right" vertical="center"/>
      <protection locked="0"/>
    </xf>
    <xf numFmtId="4" fontId="45" fillId="31" borderId="73" xfId="52" applyNumberFormat="1" applyFont="1" applyFill="1" applyBorder="1" applyAlignment="1" applyProtection="1">
      <alignment horizontal="right" vertical="center"/>
      <protection locked="0"/>
    </xf>
    <xf numFmtId="4" fontId="45" fillId="31" borderId="74" xfId="52" applyNumberFormat="1" applyFont="1" applyFill="1" applyBorder="1" applyAlignment="1" applyProtection="1">
      <alignment horizontal="right" vertical="center"/>
      <protection locked="0"/>
    </xf>
    <xf numFmtId="43" fontId="45" fillId="29" borderId="49" xfId="52" applyFont="1" applyFill="1" applyBorder="1" applyAlignment="1" applyProtection="1">
      <alignment horizontal="right"/>
      <protection hidden="1"/>
    </xf>
    <xf numFmtId="43" fontId="45" fillId="29" borderId="50" xfId="52" applyFont="1" applyFill="1" applyBorder="1" applyAlignment="1" applyProtection="1">
      <alignment horizontal="right"/>
      <protection hidden="1"/>
    </xf>
    <xf numFmtId="43" fontId="45" fillId="29" borderId="51" xfId="52" applyFont="1" applyFill="1" applyBorder="1" applyAlignment="1" applyProtection="1">
      <alignment horizontal="right"/>
      <protection hidden="1"/>
    </xf>
    <xf numFmtId="49" fontId="45" fillId="31" borderId="15" xfId="52" applyNumberFormat="1" applyFont="1" applyFill="1" applyBorder="1" applyAlignment="1" applyProtection="1">
      <alignment horizontal="center" vertical="center"/>
      <protection locked="0"/>
    </xf>
    <xf numFmtId="170" fontId="45" fillId="31" borderId="15" xfId="52" applyNumberFormat="1" applyFont="1" applyFill="1" applyBorder="1" applyAlignment="1" applyProtection="1">
      <alignment horizontal="center" vertical="center"/>
      <protection locked="0"/>
    </xf>
    <xf numFmtId="4" fontId="45" fillId="31" borderId="15" xfId="52" applyNumberFormat="1" applyFont="1" applyFill="1" applyBorder="1" applyAlignment="1" applyProtection="1">
      <alignment horizontal="right" vertical="center"/>
      <protection locked="0"/>
    </xf>
    <xf numFmtId="43" fontId="45" fillId="31" borderId="15" xfId="52" applyNumberFormat="1" applyFont="1" applyFill="1" applyBorder="1" applyAlignment="1" applyProtection="1">
      <alignment horizontal="right" vertical="center"/>
      <protection locked="0" hidden="1"/>
    </xf>
    <xf numFmtId="168" fontId="45" fillId="29" borderId="33" xfId="52" applyNumberFormat="1" applyFont="1" applyFill="1" applyBorder="1" applyAlignment="1" applyProtection="1">
      <alignment horizontal="right"/>
      <protection hidden="1"/>
    </xf>
    <xf numFmtId="0" fontId="22" fillId="29" borderId="52" xfId="50" applyFont="1" applyFill="1" applyBorder="1" applyAlignment="1" applyProtection="1">
      <alignment horizontal="center" vertical="center" wrapText="1"/>
      <protection hidden="1"/>
    </xf>
    <xf numFmtId="0" fontId="22" fillId="29" borderId="58" xfId="50" applyFont="1" applyFill="1" applyBorder="1" applyAlignment="1" applyProtection="1">
      <alignment horizontal="center" vertical="center" wrapText="1"/>
      <protection hidden="1"/>
    </xf>
    <xf numFmtId="4" fontId="45" fillId="31" borderId="27" xfId="52" applyNumberFormat="1" applyFont="1" applyFill="1" applyBorder="1" applyAlignment="1" applyProtection="1">
      <alignment horizontal="right" vertical="center"/>
      <protection hidden="1"/>
    </xf>
    <xf numFmtId="4" fontId="45" fillId="31" borderId="20" xfId="52" applyNumberFormat="1" applyFont="1" applyFill="1" applyBorder="1" applyAlignment="1" applyProtection="1">
      <alignment horizontal="right" vertical="center"/>
      <protection hidden="1"/>
    </xf>
    <xf numFmtId="4" fontId="45" fillId="31" borderId="33" xfId="52" applyNumberFormat="1" applyFont="1" applyFill="1" applyBorder="1" applyAlignment="1" applyProtection="1">
      <alignment horizontal="right" vertical="center"/>
      <protection hidden="1"/>
    </xf>
    <xf numFmtId="0" fontId="45" fillId="29" borderId="79" xfId="50" applyFont="1" applyFill="1" applyBorder="1" applyAlignment="1" applyProtection="1">
      <alignment horizontal="center"/>
      <protection hidden="1"/>
    </xf>
    <xf numFmtId="0" fontId="45" fillId="29" borderId="81" xfId="50" applyFont="1" applyFill="1" applyBorder="1" applyAlignment="1" applyProtection="1">
      <alignment horizontal="center"/>
      <protection hidden="1"/>
    </xf>
    <xf numFmtId="0" fontId="45" fillId="29" borderId="80" xfId="50" applyFont="1" applyFill="1" applyBorder="1" applyAlignment="1" applyProtection="1">
      <alignment horizontal="center"/>
      <protection hidden="1"/>
    </xf>
    <xf numFmtId="0" fontId="45" fillId="29" borderId="79" xfId="50" applyFont="1" applyFill="1" applyBorder="1" applyAlignment="1" applyProtection="1">
      <protection hidden="1"/>
    </xf>
    <xf numFmtId="0" fontId="45" fillId="29" borderId="80" xfId="50" applyFont="1" applyFill="1" applyBorder="1" applyAlignment="1" applyProtection="1">
      <protection hidden="1"/>
    </xf>
    <xf numFmtId="0" fontId="45" fillId="29" borderId="81" xfId="50" applyFont="1" applyFill="1" applyBorder="1" applyAlignment="1" applyProtection="1">
      <protection hidden="1"/>
    </xf>
    <xf numFmtId="0" fontId="45" fillId="29" borderId="79" xfId="50" applyFont="1" applyFill="1" applyBorder="1" applyAlignment="1" applyProtection="1">
      <alignment horizontal="right"/>
      <protection hidden="1"/>
    </xf>
    <xf numFmtId="0" fontId="45" fillId="29" borderId="80" xfId="50" applyFont="1" applyFill="1" applyBorder="1" applyAlignment="1" applyProtection="1">
      <alignment horizontal="right"/>
      <protection hidden="1"/>
    </xf>
    <xf numFmtId="0" fontId="45" fillId="29" borderId="89" xfId="50" applyFont="1" applyFill="1" applyBorder="1" applyAlignment="1" applyProtection="1">
      <alignment horizontal="right"/>
      <protection hidden="1"/>
    </xf>
    <xf numFmtId="0" fontId="45" fillId="29" borderId="47" xfId="50" applyFont="1" applyFill="1" applyBorder="1" applyAlignment="1" applyProtection="1">
      <alignment horizontal="center"/>
      <protection hidden="1"/>
    </xf>
    <xf numFmtId="3" fontId="45" fillId="31" borderId="27" xfId="52" applyNumberFormat="1" applyFont="1" applyFill="1" applyBorder="1" applyAlignment="1" applyProtection="1">
      <alignment horizontal="center" vertical="center"/>
      <protection locked="0"/>
    </xf>
    <xf numFmtId="3" fontId="45" fillId="31" borderId="33" xfId="52" applyNumberFormat="1" applyFont="1" applyFill="1" applyBorder="1" applyAlignment="1" applyProtection="1">
      <alignment horizontal="center" vertical="center"/>
      <protection locked="0"/>
    </xf>
    <xf numFmtId="168" fontId="45" fillId="29" borderId="27" xfId="50" applyNumberFormat="1" applyFont="1" applyFill="1" applyBorder="1" applyAlignment="1" applyProtection="1">
      <alignment horizontal="right"/>
      <protection hidden="1"/>
    </xf>
    <xf numFmtId="168" fontId="45" fillId="29" borderId="20" xfId="50" applyNumberFormat="1" applyFont="1" applyFill="1" applyBorder="1" applyAlignment="1" applyProtection="1">
      <alignment horizontal="right"/>
      <protection hidden="1"/>
    </xf>
    <xf numFmtId="168" fontId="45" fillId="29" borderId="49" xfId="52" applyNumberFormat="1" applyFont="1" applyFill="1" applyBorder="1" applyAlignment="1" applyProtection="1">
      <alignment horizontal="right"/>
      <protection hidden="1"/>
    </xf>
    <xf numFmtId="168" fontId="45" fillId="29" borderId="50" xfId="52" applyNumberFormat="1" applyFont="1" applyFill="1" applyBorder="1" applyAlignment="1" applyProtection="1">
      <alignment horizontal="right"/>
      <protection hidden="1"/>
    </xf>
    <xf numFmtId="168" fontId="45" fillId="29" borderId="51" xfId="52" applyNumberFormat="1" applyFont="1" applyFill="1" applyBorder="1" applyAlignment="1" applyProtection="1">
      <alignment horizontal="right"/>
      <protection hidden="1"/>
    </xf>
    <xf numFmtId="43" fontId="45" fillId="31" borderId="49" xfId="52" applyFont="1" applyFill="1" applyBorder="1" applyAlignment="1" applyProtection="1">
      <alignment horizontal="right" vertical="center"/>
      <protection locked="0"/>
    </xf>
    <xf numFmtId="43" fontId="45" fillId="31" borderId="50" xfId="52" applyFont="1" applyFill="1" applyBorder="1" applyAlignment="1" applyProtection="1">
      <alignment horizontal="right" vertical="center"/>
      <protection locked="0"/>
    </xf>
    <xf numFmtId="168" fontId="45" fillId="29" borderId="69" xfId="52" applyNumberFormat="1" applyFont="1" applyFill="1" applyBorder="1" applyAlignment="1" applyProtection="1">
      <alignment horizontal="right"/>
      <protection hidden="1"/>
    </xf>
    <xf numFmtId="168" fontId="45" fillId="29" borderId="70" xfId="52" applyNumberFormat="1" applyFont="1" applyFill="1" applyBorder="1" applyAlignment="1" applyProtection="1">
      <alignment horizontal="right"/>
      <protection hidden="1"/>
    </xf>
    <xf numFmtId="43" fontId="45" fillId="31" borderId="94" xfId="52" applyFont="1" applyFill="1" applyBorder="1" applyAlignment="1" applyProtection="1">
      <alignment horizontal="center" vertical="center"/>
      <protection locked="0"/>
    </xf>
    <xf numFmtId="43" fontId="45" fillId="31" borderId="73" xfId="52" applyFont="1" applyFill="1" applyBorder="1" applyAlignment="1" applyProtection="1">
      <alignment horizontal="center" vertical="center"/>
      <protection locked="0"/>
    </xf>
    <xf numFmtId="43" fontId="45" fillId="31" borderId="86" xfId="52" applyFont="1" applyFill="1" applyBorder="1" applyAlignment="1" applyProtection="1">
      <alignment horizontal="center" vertical="center"/>
      <protection locked="0"/>
    </xf>
    <xf numFmtId="1" fontId="45" fillId="31" borderId="65" xfId="52" applyNumberFormat="1" applyFont="1" applyFill="1" applyBorder="1" applyAlignment="1" applyProtection="1">
      <alignment horizontal="center" vertical="center"/>
      <protection locked="0"/>
    </xf>
    <xf numFmtId="1" fontId="45" fillId="31" borderId="20" xfId="52" applyNumberFormat="1" applyFont="1" applyFill="1" applyBorder="1" applyAlignment="1" applyProtection="1">
      <alignment horizontal="center" vertical="center"/>
      <protection locked="0"/>
    </xf>
    <xf numFmtId="1" fontId="45" fillId="31" borderId="77" xfId="52" applyNumberFormat="1" applyFont="1" applyFill="1" applyBorder="1" applyAlignment="1" applyProtection="1">
      <alignment horizontal="center" vertical="center"/>
      <protection locked="0"/>
    </xf>
    <xf numFmtId="43" fontId="45" fillId="31" borderId="79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80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81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72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73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74" xfId="52" applyNumberFormat="1" applyFont="1" applyFill="1" applyBorder="1" applyAlignment="1" applyProtection="1">
      <alignment horizontal="right" vertical="center"/>
      <protection locked="0" hidden="1"/>
    </xf>
    <xf numFmtId="43" fontId="45" fillId="31" borderId="49" xfId="52" applyFont="1" applyFill="1" applyBorder="1" applyAlignment="1" applyProtection="1">
      <alignment horizontal="center" vertical="center"/>
      <protection locked="0" hidden="1"/>
    </xf>
    <xf numFmtId="43" fontId="45" fillId="31" borderId="50" xfId="52" applyFont="1" applyFill="1" applyBorder="1" applyAlignment="1" applyProtection="1">
      <alignment horizontal="center" vertical="center"/>
      <protection locked="0" hidden="1"/>
    </xf>
    <xf numFmtId="43" fontId="45" fillId="31" borderId="51" xfId="52" applyFont="1" applyFill="1" applyBorder="1" applyAlignment="1" applyProtection="1">
      <alignment horizontal="center" vertical="center"/>
      <protection locked="0" hidden="1"/>
    </xf>
    <xf numFmtId="0" fontId="63" fillId="29" borderId="47" xfId="46" applyFont="1" applyFill="1" applyBorder="1" applyAlignment="1" applyProtection="1">
      <alignment horizontal="center" wrapText="1"/>
      <protection hidden="1"/>
    </xf>
    <xf numFmtId="0" fontId="45" fillId="29" borderId="58" xfId="50" applyFont="1" applyFill="1" applyBorder="1" applyProtection="1">
      <protection hidden="1"/>
    </xf>
    <xf numFmtId="0" fontId="22" fillId="29" borderId="54" xfId="50" applyFont="1" applyFill="1" applyBorder="1" applyAlignment="1" applyProtection="1">
      <alignment horizontal="center" vertical="center" wrapText="1"/>
      <protection hidden="1"/>
    </xf>
    <xf numFmtId="0" fontId="45" fillId="29" borderId="55" xfId="50" applyFont="1" applyFill="1" applyBorder="1" applyProtection="1">
      <protection hidden="1"/>
    </xf>
    <xf numFmtId="0" fontId="45" fillId="29" borderId="56" xfId="50" applyFont="1" applyFill="1" applyBorder="1" applyProtection="1">
      <protection hidden="1"/>
    </xf>
    <xf numFmtId="0" fontId="45" fillId="29" borderId="60" xfId="50" applyFont="1" applyFill="1" applyBorder="1" applyProtection="1">
      <protection hidden="1"/>
    </xf>
    <xf numFmtId="0" fontId="45" fillId="29" borderId="47" xfId="50" applyFont="1" applyFill="1" applyBorder="1" applyProtection="1">
      <protection hidden="1"/>
    </xf>
    <xf numFmtId="0" fontId="45" fillId="29" borderId="61" xfId="50" applyFont="1" applyFill="1" applyBorder="1" applyProtection="1">
      <protection hidden="1"/>
    </xf>
    <xf numFmtId="0" fontId="22" fillId="29" borderId="56" xfId="50" applyFont="1" applyFill="1" applyBorder="1" applyAlignment="1" applyProtection="1">
      <alignment horizontal="center" vertical="center" wrapText="1"/>
      <protection hidden="1"/>
    </xf>
    <xf numFmtId="0" fontId="22" fillId="29" borderId="60" xfId="50" applyFont="1" applyFill="1" applyBorder="1" applyAlignment="1" applyProtection="1">
      <alignment horizontal="center" vertical="center" wrapText="1"/>
      <protection hidden="1"/>
    </xf>
    <xf numFmtId="0" fontId="22" fillId="29" borderId="61" xfId="50" applyFont="1" applyFill="1" applyBorder="1" applyAlignment="1" applyProtection="1">
      <alignment horizontal="center" vertical="center" wrapText="1"/>
      <protection hidden="1"/>
    </xf>
    <xf numFmtId="0" fontId="22" fillId="29" borderId="68" xfId="50" applyFont="1" applyFill="1" applyBorder="1" applyAlignment="1" applyProtection="1">
      <alignment horizontal="center" vertical="center" wrapText="1"/>
      <protection hidden="1"/>
    </xf>
    <xf numFmtId="0" fontId="22" fillId="29" borderId="50" xfId="50" applyFont="1" applyFill="1" applyBorder="1" applyAlignment="1" applyProtection="1">
      <alignment horizontal="center" vertical="center" wrapText="1"/>
      <protection hidden="1"/>
    </xf>
    <xf numFmtId="0" fontId="22" fillId="29" borderId="67" xfId="50" applyFont="1" applyFill="1" applyBorder="1" applyAlignment="1" applyProtection="1">
      <alignment horizontal="center" vertical="center" wrapText="1"/>
      <protection hidden="1"/>
    </xf>
    <xf numFmtId="0" fontId="22" fillId="29" borderId="55" xfId="50" applyFont="1" applyFill="1" applyBorder="1" applyAlignment="1" applyProtection="1">
      <alignment horizontal="center" vertical="center" wrapText="1"/>
      <protection hidden="1"/>
    </xf>
    <xf numFmtId="0" fontId="22" fillId="29" borderId="47" xfId="50" applyFont="1" applyFill="1" applyBorder="1" applyAlignment="1" applyProtection="1">
      <alignment horizontal="center" vertical="center" wrapText="1"/>
      <protection hidden="1"/>
    </xf>
    <xf numFmtId="0" fontId="22" fillId="29" borderId="57" xfId="50" applyFont="1" applyFill="1" applyBorder="1" applyAlignment="1" applyProtection="1">
      <alignment horizontal="center" vertical="center" wrapText="1"/>
      <protection hidden="1"/>
    </xf>
    <xf numFmtId="0" fontId="22" fillId="29" borderId="62" xfId="50" applyFont="1" applyFill="1" applyBorder="1" applyAlignment="1" applyProtection="1">
      <alignment horizontal="center" vertical="center" wrapText="1"/>
      <protection hidden="1"/>
    </xf>
    <xf numFmtId="3" fontId="45" fillId="29" borderId="72" xfId="52" applyNumberFormat="1" applyFont="1" applyFill="1" applyBorder="1" applyAlignment="1" applyProtection="1">
      <alignment horizontal="center" vertical="center"/>
      <protection hidden="1"/>
    </xf>
    <xf numFmtId="3" fontId="45" fillId="29" borderId="74" xfId="52" applyNumberFormat="1" applyFont="1" applyFill="1" applyBorder="1" applyAlignment="1" applyProtection="1">
      <alignment horizontal="center" vertical="center"/>
      <protection hidden="1"/>
    </xf>
    <xf numFmtId="3" fontId="45" fillId="29" borderId="79" xfId="52" applyNumberFormat="1" applyFont="1" applyFill="1" applyBorder="1" applyAlignment="1" applyProtection="1">
      <alignment horizontal="center" vertical="center"/>
      <protection hidden="1"/>
    </xf>
    <xf numFmtId="3" fontId="45" fillId="29" borderId="81" xfId="52" applyNumberFormat="1" applyFont="1" applyFill="1" applyBorder="1" applyAlignment="1" applyProtection="1">
      <alignment horizontal="center" vertical="center"/>
      <protection hidden="1"/>
    </xf>
    <xf numFmtId="168" fontId="45" fillId="29" borderId="49" xfId="50" applyNumberFormat="1" applyFont="1" applyFill="1" applyBorder="1" applyAlignment="1" applyProtection="1">
      <alignment horizontal="right"/>
      <protection hidden="1"/>
    </xf>
    <xf numFmtId="0" fontId="45" fillId="29" borderId="72" xfId="50" applyFont="1" applyFill="1" applyBorder="1" applyAlignment="1" applyProtection="1">
      <alignment horizontal="center"/>
      <protection hidden="1"/>
    </xf>
    <xf numFmtId="0" fontId="45" fillId="29" borderId="74" xfId="50" applyFont="1" applyFill="1" applyBorder="1" applyAlignment="1" applyProtection="1">
      <alignment horizontal="center"/>
      <protection hidden="1"/>
    </xf>
    <xf numFmtId="0" fontId="45" fillId="29" borderId="73" xfId="50" applyFont="1" applyFill="1" applyBorder="1" applyAlignment="1" applyProtection="1">
      <alignment horizontal="center"/>
      <protection hidden="1"/>
    </xf>
    <xf numFmtId="0" fontId="45" fillId="29" borderId="86" xfId="50" applyFont="1" applyFill="1" applyBorder="1" applyAlignment="1" applyProtection="1">
      <alignment horizontal="center"/>
      <protection hidden="1"/>
    </xf>
    <xf numFmtId="0" fontId="22" fillId="29" borderId="72" xfId="50" applyFont="1" applyFill="1" applyBorder="1" applyAlignment="1" applyProtection="1">
      <alignment horizontal="center" vertical="center" wrapText="1"/>
      <protection hidden="1"/>
    </xf>
    <xf numFmtId="0" fontId="22" fillId="29" borderId="73" xfId="50" applyFont="1" applyFill="1" applyBorder="1" applyAlignment="1" applyProtection="1">
      <alignment horizontal="center" vertical="center" wrapText="1"/>
      <protection hidden="1"/>
    </xf>
    <xf numFmtId="0" fontId="22" fillId="29" borderId="86" xfId="50" applyFont="1" applyFill="1" applyBorder="1" applyAlignment="1" applyProtection="1">
      <alignment horizontal="center" vertical="center" wrapText="1"/>
      <protection hidden="1"/>
    </xf>
    <xf numFmtId="0" fontId="22" fillId="29" borderId="78" xfId="50" applyFont="1" applyFill="1" applyBorder="1" applyAlignment="1" applyProtection="1">
      <alignment horizontal="center" vertical="center" wrapText="1"/>
      <protection hidden="1"/>
    </xf>
    <xf numFmtId="0" fontId="22" fillId="29" borderId="79" xfId="50" applyFont="1" applyFill="1" applyBorder="1" applyAlignment="1" applyProtection="1">
      <alignment horizontal="center" vertical="center" wrapText="1"/>
      <protection hidden="1"/>
    </xf>
    <xf numFmtId="0" fontId="22" fillId="29" borderId="80" xfId="50" applyFont="1" applyFill="1" applyBorder="1" applyAlignment="1" applyProtection="1">
      <alignment horizontal="center" vertical="center" wrapText="1"/>
      <protection hidden="1"/>
    </xf>
    <xf numFmtId="0" fontId="22" fillId="29" borderId="81" xfId="50" applyFont="1" applyFill="1" applyBorder="1" applyAlignment="1" applyProtection="1">
      <alignment horizontal="center" vertical="center" wrapText="1"/>
      <protection hidden="1"/>
    </xf>
    <xf numFmtId="0" fontId="22" fillId="29" borderId="82" xfId="50" applyFont="1" applyFill="1" applyBorder="1" applyAlignment="1" applyProtection="1">
      <alignment horizontal="center" vertical="center" wrapText="1"/>
      <protection hidden="1"/>
    </xf>
    <xf numFmtId="0" fontId="22" fillId="29" borderId="63" xfId="50" applyFont="1" applyFill="1" applyBorder="1" applyAlignment="1" applyProtection="1">
      <alignment horizontal="center" vertical="center" wrapText="1"/>
      <protection hidden="1"/>
    </xf>
    <xf numFmtId="0" fontId="22" fillId="29" borderId="66" xfId="50" applyFont="1" applyFill="1" applyBorder="1" applyAlignment="1" applyProtection="1">
      <alignment horizontal="center" vertical="center" wrapText="1"/>
      <protection hidden="1"/>
    </xf>
    <xf numFmtId="0" fontId="22" fillId="29" borderId="71" xfId="50" applyFont="1" applyFill="1" applyBorder="1" applyAlignment="1" applyProtection="1">
      <alignment horizontal="center" vertical="center" wrapText="1"/>
      <protection hidden="1"/>
    </xf>
    <xf numFmtId="0" fontId="22" fillId="29" borderId="74" xfId="50" applyFont="1" applyFill="1" applyBorder="1" applyAlignment="1" applyProtection="1">
      <alignment horizontal="center" vertical="center" wrapText="1"/>
      <protection hidden="1"/>
    </xf>
    <xf numFmtId="49" fontId="45" fillId="31" borderId="31" xfId="52" applyNumberFormat="1" applyFont="1" applyFill="1" applyBorder="1" applyAlignment="1" applyProtection="1">
      <alignment horizontal="left" vertical="center"/>
      <protection locked="0"/>
    </xf>
    <xf numFmtId="49" fontId="45" fillId="31" borderId="18" xfId="52" applyNumberFormat="1" applyFont="1" applyFill="1" applyBorder="1" applyAlignment="1" applyProtection="1">
      <alignment horizontal="left" vertical="center"/>
      <protection locked="0"/>
    </xf>
    <xf numFmtId="49" fontId="45" fillId="31" borderId="28" xfId="52" applyNumberFormat="1" applyFont="1" applyFill="1" applyBorder="1" applyAlignment="1" applyProtection="1">
      <alignment horizontal="left" vertical="center"/>
      <protection locked="0"/>
    </xf>
    <xf numFmtId="49" fontId="45" fillId="31" borderId="31" xfId="52" applyNumberFormat="1" applyFont="1" applyFill="1" applyBorder="1" applyAlignment="1" applyProtection="1">
      <alignment horizontal="center" vertical="center"/>
      <protection locked="0"/>
    </xf>
    <xf numFmtId="49" fontId="45" fillId="31" borderId="28" xfId="52" applyNumberFormat="1" applyFont="1" applyFill="1" applyBorder="1" applyAlignment="1" applyProtection="1">
      <alignment horizontal="center" vertical="center"/>
      <protection locked="0"/>
    </xf>
    <xf numFmtId="170" fontId="45" fillId="31" borderId="31" xfId="52" applyNumberFormat="1" applyFont="1" applyFill="1" applyBorder="1" applyAlignment="1" applyProtection="1">
      <alignment horizontal="center" vertical="center"/>
      <protection locked="0"/>
    </xf>
    <xf numFmtId="170" fontId="45" fillId="31" borderId="18" xfId="52" applyNumberFormat="1" applyFont="1" applyFill="1" applyBorder="1" applyAlignment="1" applyProtection="1">
      <alignment horizontal="center" vertical="center"/>
      <protection locked="0"/>
    </xf>
    <xf numFmtId="170" fontId="45" fillId="31" borderId="28" xfId="52" applyNumberFormat="1" applyFont="1" applyFill="1" applyBorder="1" applyAlignment="1" applyProtection="1">
      <alignment horizontal="center" vertical="center"/>
      <protection locked="0"/>
    </xf>
    <xf numFmtId="4" fontId="45" fillId="31" borderId="31" xfId="52" applyNumberFormat="1" applyFont="1" applyFill="1" applyBorder="1" applyAlignment="1" applyProtection="1">
      <alignment horizontal="right" vertical="center"/>
      <protection locked="0"/>
    </xf>
    <xf numFmtId="4" fontId="45" fillId="31" borderId="18" xfId="52" applyNumberFormat="1" applyFont="1" applyFill="1" applyBorder="1" applyAlignment="1" applyProtection="1">
      <alignment horizontal="right" vertical="center"/>
      <protection locked="0"/>
    </xf>
    <xf numFmtId="4" fontId="45" fillId="31" borderId="28" xfId="52" applyNumberFormat="1" applyFont="1" applyFill="1" applyBorder="1" applyAlignment="1" applyProtection="1">
      <alignment horizontal="right" vertical="center"/>
      <protection locked="0"/>
    </xf>
    <xf numFmtId="168" fontId="45" fillId="29" borderId="18" xfId="52" applyNumberFormat="1" applyFont="1" applyFill="1" applyBorder="1" applyAlignment="1" applyProtection="1">
      <alignment horizontal="right"/>
      <protection hidden="1"/>
    </xf>
    <xf numFmtId="168" fontId="45" fillId="29" borderId="156" xfId="52" applyNumberFormat="1" applyFont="1" applyFill="1" applyBorder="1" applyAlignment="1" applyProtection="1">
      <alignment horizontal="right"/>
      <protection hidden="1"/>
    </xf>
    <xf numFmtId="168" fontId="22" fillId="29" borderId="68" xfId="50" applyNumberFormat="1" applyFont="1" applyFill="1" applyBorder="1" applyAlignment="1" applyProtection="1">
      <alignment horizontal="center" vertical="center" wrapText="1"/>
      <protection hidden="1"/>
    </xf>
    <xf numFmtId="168" fontId="22" fillId="29" borderId="50" xfId="50" applyNumberFormat="1" applyFont="1" applyFill="1" applyBorder="1" applyAlignment="1" applyProtection="1">
      <alignment horizontal="center" vertical="center" wrapText="1"/>
      <protection hidden="1"/>
    </xf>
    <xf numFmtId="168" fontId="22" fillId="29" borderId="67" xfId="50" applyNumberFormat="1" applyFont="1" applyFill="1" applyBorder="1" applyAlignment="1" applyProtection="1">
      <alignment horizontal="center" vertical="center" wrapText="1"/>
      <protection hidden="1"/>
    </xf>
    <xf numFmtId="0" fontId="22" fillId="29" borderId="69" xfId="50" applyFont="1" applyFill="1" applyBorder="1" applyAlignment="1" applyProtection="1">
      <alignment horizontal="center" vertical="center"/>
      <protection hidden="1"/>
    </xf>
    <xf numFmtId="0" fontId="22" fillId="29" borderId="70" xfId="50" applyFont="1" applyFill="1" applyBorder="1" applyAlignment="1" applyProtection="1">
      <alignment horizontal="center" vertical="center"/>
      <protection hidden="1"/>
    </xf>
    <xf numFmtId="0" fontId="45" fillId="31" borderId="63" xfId="52" applyNumberFormat="1" applyFont="1" applyFill="1" applyBorder="1" applyAlignment="1" applyProtection="1">
      <alignment horizontal="left" vertical="center"/>
      <protection locked="0"/>
    </xf>
    <xf numFmtId="0" fontId="45" fillId="31" borderId="71" xfId="52" applyNumberFormat="1" applyFont="1" applyFill="1" applyBorder="1" applyAlignment="1" applyProtection="1">
      <alignment horizontal="left" vertical="center"/>
      <protection locked="0"/>
    </xf>
    <xf numFmtId="175" fontId="45" fillId="31" borderId="29" xfId="52" applyNumberFormat="1" applyFont="1" applyFill="1" applyBorder="1" applyAlignment="1" applyProtection="1">
      <alignment horizontal="right" vertical="center"/>
      <protection locked="0"/>
    </xf>
    <xf numFmtId="175" fontId="45" fillId="31" borderId="17" xfId="52" applyNumberFormat="1" applyFont="1" applyFill="1" applyBorder="1" applyAlignment="1" applyProtection="1">
      <alignment horizontal="right" vertical="center"/>
      <protection locked="0"/>
    </xf>
    <xf numFmtId="175" fontId="45" fillId="31" borderId="30" xfId="52" applyNumberFormat="1" applyFont="1" applyFill="1" applyBorder="1" applyAlignment="1" applyProtection="1">
      <alignment horizontal="right" vertical="center"/>
      <protection locked="0"/>
    </xf>
    <xf numFmtId="168" fontId="45" fillId="31" borderId="71" xfId="52" applyNumberFormat="1" applyFont="1" applyFill="1" applyBorder="1" applyAlignment="1" applyProtection="1">
      <alignment horizontal="right" vertical="center"/>
      <protection locked="0"/>
    </xf>
    <xf numFmtId="0" fontId="22" fillId="29" borderId="52" xfId="50" applyFont="1" applyFill="1" applyBorder="1" applyAlignment="1" applyProtection="1">
      <alignment horizontal="center" vertical="center"/>
      <protection hidden="1"/>
    </xf>
    <xf numFmtId="0" fontId="22" fillId="29" borderId="53" xfId="50" applyFont="1" applyFill="1" applyBorder="1" applyAlignment="1" applyProtection="1">
      <alignment horizontal="center" vertical="center"/>
      <protection hidden="1"/>
    </xf>
    <xf numFmtId="0" fontId="22" fillId="29" borderId="96" xfId="50" applyFont="1" applyFill="1" applyBorder="1" applyAlignment="1" applyProtection="1">
      <alignment horizontal="center" vertical="center"/>
      <protection hidden="1"/>
    </xf>
    <xf numFmtId="0" fontId="22" fillId="29" borderId="24" xfId="50" applyFont="1" applyFill="1" applyBorder="1" applyAlignment="1" applyProtection="1">
      <alignment horizontal="center" vertical="center"/>
      <protection hidden="1"/>
    </xf>
    <xf numFmtId="0" fontId="22" fillId="29" borderId="58" xfId="50" applyFont="1" applyFill="1" applyBorder="1" applyAlignment="1" applyProtection="1">
      <alignment horizontal="center" vertical="center"/>
      <protection hidden="1"/>
    </xf>
    <xf numFmtId="0" fontId="22" fillId="29" borderId="59" xfId="50" applyFont="1" applyFill="1" applyBorder="1" applyAlignment="1" applyProtection="1">
      <alignment horizontal="center" vertical="center"/>
      <protection hidden="1"/>
    </xf>
    <xf numFmtId="0" fontId="22" fillId="29" borderId="71" xfId="50" applyFont="1" applyFill="1" applyBorder="1" applyAlignment="1" applyProtection="1">
      <alignment horizontal="center"/>
      <protection hidden="1"/>
    </xf>
    <xf numFmtId="0" fontId="22" fillId="29" borderId="75" xfId="50" applyFont="1" applyFill="1" applyBorder="1" applyAlignment="1" applyProtection="1">
      <alignment horizontal="center"/>
      <protection hidden="1"/>
    </xf>
    <xf numFmtId="0" fontId="22" fillId="29" borderId="23" xfId="50" applyFont="1" applyFill="1" applyBorder="1" applyAlignment="1" applyProtection="1">
      <alignment horizontal="center" vertical="center"/>
      <protection hidden="1"/>
    </xf>
    <xf numFmtId="0" fontId="22" fillId="29" borderId="78" xfId="50" applyFont="1" applyFill="1" applyBorder="1" applyAlignment="1" applyProtection="1">
      <alignment horizontal="center"/>
      <protection hidden="1"/>
    </xf>
    <xf numFmtId="0" fontId="22" fillId="29" borderId="82" xfId="50" applyFont="1" applyFill="1" applyBorder="1" applyAlignment="1" applyProtection="1">
      <alignment horizontal="center"/>
      <protection hidden="1"/>
    </xf>
    <xf numFmtId="3" fontId="45" fillId="31" borderId="97" xfId="52" applyNumberFormat="1" applyFont="1" applyFill="1" applyBorder="1" applyAlignment="1" applyProtection="1">
      <alignment horizontal="right" vertical="center"/>
      <protection locked="0"/>
    </xf>
    <xf numFmtId="3" fontId="45" fillId="31" borderId="69" xfId="52" applyNumberFormat="1" applyFont="1" applyFill="1" applyBorder="1" applyAlignment="1" applyProtection="1">
      <alignment horizontal="right" vertical="center"/>
      <protection locked="0"/>
    </xf>
    <xf numFmtId="3" fontId="45" fillId="31" borderId="70" xfId="52" applyNumberFormat="1" applyFont="1" applyFill="1" applyBorder="1" applyAlignment="1" applyProtection="1">
      <alignment horizontal="right" vertical="center"/>
      <protection locked="0"/>
    </xf>
    <xf numFmtId="0" fontId="22" fillId="29" borderId="63" xfId="50" applyFont="1" applyFill="1" applyBorder="1" applyAlignment="1" applyProtection="1">
      <alignment horizontal="center" vertical="center"/>
      <protection hidden="1"/>
    </xf>
    <xf numFmtId="0" fontId="22" fillId="29" borderId="71" xfId="50" applyFont="1" applyFill="1" applyBorder="1" applyAlignment="1" applyProtection="1">
      <alignment horizontal="center" vertical="center"/>
      <protection hidden="1"/>
    </xf>
    <xf numFmtId="0" fontId="22" fillId="29" borderId="66" xfId="50" applyFont="1" applyFill="1" applyBorder="1" applyAlignment="1" applyProtection="1">
      <alignment horizontal="center" vertical="center"/>
      <protection hidden="1"/>
    </xf>
    <xf numFmtId="0" fontId="22" fillId="29" borderId="78" xfId="50" applyFont="1" applyFill="1" applyBorder="1" applyAlignment="1" applyProtection="1">
      <alignment horizontal="center" vertical="center"/>
      <protection hidden="1"/>
    </xf>
    <xf numFmtId="0" fontId="22" fillId="29" borderId="72" xfId="50" applyFont="1" applyFill="1" applyBorder="1" applyAlignment="1" applyProtection="1">
      <alignment horizontal="center"/>
      <protection hidden="1"/>
    </xf>
    <xf numFmtId="0" fontId="22" fillId="29" borderId="73" xfId="50" applyFont="1" applyFill="1" applyBorder="1" applyAlignment="1" applyProtection="1">
      <alignment horizontal="center"/>
      <protection hidden="1"/>
    </xf>
    <xf numFmtId="0" fontId="22" fillId="29" borderId="86" xfId="50" applyFont="1" applyFill="1" applyBorder="1" applyAlignment="1" applyProtection="1">
      <alignment horizontal="center"/>
      <protection hidden="1"/>
    </xf>
    <xf numFmtId="49" fontId="45" fillId="29" borderId="66" xfId="52" applyNumberFormat="1" applyFont="1" applyFill="1" applyBorder="1" applyAlignment="1" applyProtection="1">
      <alignment horizontal="left" vertical="center"/>
    </xf>
    <xf numFmtId="49" fontId="45" fillId="29" borderId="78" xfId="52" applyNumberFormat="1" applyFont="1" applyFill="1" applyBorder="1" applyAlignment="1" applyProtection="1">
      <alignment horizontal="left" vertical="center"/>
    </xf>
    <xf numFmtId="3" fontId="45" fillId="29" borderId="78" xfId="52" applyNumberFormat="1" applyFont="1" applyFill="1" applyBorder="1" applyAlignment="1" applyProtection="1">
      <alignment horizontal="right" vertical="center"/>
    </xf>
    <xf numFmtId="43" fontId="45" fillId="29" borderId="78" xfId="52" applyFont="1" applyFill="1" applyBorder="1" applyAlignment="1" applyProtection="1">
      <alignment horizontal="right" vertical="center"/>
    </xf>
    <xf numFmtId="0" fontId="22" fillId="29" borderId="0" xfId="50" applyFont="1" applyFill="1" applyBorder="1" applyAlignment="1" applyProtection="1">
      <alignment horizontal="left"/>
    </xf>
    <xf numFmtId="0" fontId="22" fillId="29" borderId="64" xfId="50" applyFont="1" applyFill="1" applyBorder="1" applyAlignment="1" applyProtection="1">
      <alignment horizontal="left"/>
    </xf>
    <xf numFmtId="168" fontId="22" fillId="29" borderId="49" xfId="50" applyNumberFormat="1" applyFont="1" applyFill="1" applyBorder="1" applyAlignment="1" applyProtection="1">
      <alignment horizontal="right"/>
      <protection hidden="1"/>
    </xf>
    <xf numFmtId="168" fontId="22" fillId="29" borderId="50" xfId="50" applyNumberFormat="1" applyFont="1" applyFill="1" applyBorder="1" applyAlignment="1" applyProtection="1">
      <alignment horizontal="right"/>
      <protection hidden="1"/>
    </xf>
    <xf numFmtId="168" fontId="22" fillId="29" borderId="51" xfId="50" applyNumberFormat="1" applyFont="1" applyFill="1" applyBorder="1" applyAlignment="1" applyProtection="1">
      <alignment horizontal="right"/>
      <protection hidden="1"/>
    </xf>
    <xf numFmtId="168" fontId="45" fillId="29" borderId="24" xfId="50" applyNumberFormat="1" applyFont="1" applyFill="1" applyBorder="1" applyAlignment="1" applyProtection="1">
      <alignment horizontal="right"/>
      <protection hidden="1"/>
    </xf>
    <xf numFmtId="168" fontId="45" fillId="29" borderId="22" xfId="50" applyNumberFormat="1" applyFont="1" applyFill="1" applyBorder="1" applyAlignment="1" applyProtection="1">
      <alignment horizontal="right"/>
      <protection hidden="1"/>
    </xf>
    <xf numFmtId="0" fontId="45" fillId="29" borderId="22" xfId="50" applyFont="1" applyFill="1" applyBorder="1" applyAlignment="1" applyProtection="1">
      <alignment horizontal="left"/>
      <protection hidden="1"/>
    </xf>
    <xf numFmtId="0" fontId="45" fillId="29" borderId="0" xfId="50" applyFont="1" applyFill="1" applyBorder="1" applyAlignment="1" applyProtection="1">
      <alignment horizontal="left"/>
      <protection hidden="1"/>
    </xf>
    <xf numFmtId="0" fontId="45" fillId="29" borderId="16" xfId="50" applyFont="1" applyFill="1" applyBorder="1" applyAlignment="1" applyProtection="1">
      <alignment horizontal="left"/>
      <protection hidden="1"/>
    </xf>
    <xf numFmtId="0" fontId="45" fillId="29" borderId="83" xfId="50" applyFont="1" applyFill="1" applyBorder="1" applyAlignment="1" applyProtection="1">
      <alignment horizontal="center" vertical="center"/>
      <protection hidden="1"/>
    </xf>
    <xf numFmtId="0" fontId="45" fillId="29" borderId="55" xfId="50" applyFont="1" applyFill="1" applyBorder="1" applyAlignment="1" applyProtection="1">
      <alignment horizontal="center" vertical="center"/>
      <protection hidden="1"/>
    </xf>
    <xf numFmtId="0" fontId="45" fillId="29" borderId="56" xfId="50" applyFont="1" applyFill="1" applyBorder="1" applyAlignment="1" applyProtection="1">
      <alignment horizontal="center" vertical="center"/>
      <protection hidden="1"/>
    </xf>
    <xf numFmtId="0" fontId="45" fillId="29" borderId="84" xfId="50" applyFont="1" applyFill="1" applyBorder="1" applyAlignment="1" applyProtection="1">
      <alignment horizontal="center" vertical="center"/>
      <protection hidden="1"/>
    </xf>
    <xf numFmtId="0" fontId="45" fillId="29" borderId="0" xfId="50" applyFont="1" applyFill="1" applyBorder="1" applyAlignment="1" applyProtection="1">
      <alignment horizontal="center" vertical="center"/>
      <protection hidden="1"/>
    </xf>
    <xf numFmtId="0" fontId="45" fillId="29" borderId="16" xfId="50" applyFont="1" applyFill="1" applyBorder="1" applyAlignment="1" applyProtection="1">
      <alignment horizontal="center" vertical="center"/>
      <protection hidden="1"/>
    </xf>
    <xf numFmtId="0" fontId="45" fillId="29" borderId="87" xfId="50" applyFont="1" applyFill="1" applyBorder="1" applyAlignment="1" applyProtection="1">
      <alignment horizontal="center" vertical="center"/>
      <protection hidden="1"/>
    </xf>
    <xf numFmtId="0" fontId="45" fillId="29" borderId="17" xfId="50" applyFont="1" applyFill="1" applyBorder="1" applyAlignment="1" applyProtection="1">
      <alignment horizontal="center" vertical="center"/>
      <protection hidden="1"/>
    </xf>
    <xf numFmtId="0" fontId="45" fillId="29" borderId="30" xfId="50" applyFont="1" applyFill="1" applyBorder="1" applyAlignment="1" applyProtection="1">
      <alignment horizontal="center" vertical="center"/>
      <protection hidden="1"/>
    </xf>
    <xf numFmtId="168" fontId="22" fillId="29" borderId="15" xfId="50" applyNumberFormat="1" applyFont="1" applyFill="1" applyBorder="1" applyAlignment="1" applyProtection="1">
      <alignment horizontal="right"/>
      <protection hidden="1"/>
    </xf>
    <xf numFmtId="168" fontId="22" fillId="29" borderId="33" xfId="52" applyNumberFormat="1" applyFont="1" applyFill="1" applyBorder="1" applyAlignment="1" applyProtection="1">
      <alignment horizontal="right"/>
      <protection hidden="1"/>
    </xf>
    <xf numFmtId="168" fontId="22" fillId="29" borderId="15" xfId="52" applyNumberFormat="1" applyFont="1" applyFill="1" applyBorder="1" applyAlignment="1" applyProtection="1">
      <alignment horizontal="right"/>
      <protection hidden="1"/>
    </xf>
    <xf numFmtId="168" fontId="22" fillId="29" borderId="98" xfId="52" applyNumberFormat="1" applyFont="1" applyFill="1" applyBorder="1" applyAlignment="1" applyProtection="1">
      <alignment horizontal="right"/>
      <protection hidden="1"/>
    </xf>
    <xf numFmtId="0" fontId="45" fillId="29" borderId="88" xfId="50" applyFont="1" applyFill="1" applyBorder="1" applyAlignment="1" applyProtection="1">
      <alignment horizontal="center" vertical="center"/>
      <protection hidden="1"/>
    </xf>
    <xf numFmtId="0" fontId="45" fillId="29" borderId="18" xfId="50" applyFont="1" applyFill="1" applyBorder="1" applyAlignment="1" applyProtection="1">
      <alignment horizontal="center" vertical="center"/>
      <protection hidden="1"/>
    </xf>
    <xf numFmtId="0" fontId="45" fillId="29" borderId="28" xfId="50" applyFont="1" applyFill="1" applyBorder="1" applyAlignment="1" applyProtection="1">
      <alignment horizontal="center" vertical="center"/>
      <protection hidden="1"/>
    </xf>
    <xf numFmtId="0" fontId="22" fillId="29" borderId="65" xfId="50" applyFont="1" applyFill="1" applyBorder="1" applyAlignment="1" applyProtection="1">
      <alignment horizontal="left"/>
      <protection hidden="1"/>
    </xf>
    <xf numFmtId="0" fontId="22" fillId="29" borderId="20" xfId="50" applyFont="1" applyFill="1" applyBorder="1" applyAlignment="1" applyProtection="1">
      <alignment horizontal="left"/>
      <protection hidden="1"/>
    </xf>
    <xf numFmtId="0" fontId="22" fillId="29" borderId="33" xfId="50" applyFont="1" applyFill="1" applyBorder="1" applyAlignment="1" applyProtection="1">
      <alignment horizontal="left"/>
      <protection hidden="1"/>
    </xf>
    <xf numFmtId="0" fontId="22" fillId="29" borderId="27" xfId="50" applyFont="1" applyFill="1" applyBorder="1" applyAlignment="1" applyProtection="1">
      <alignment horizontal="left"/>
      <protection hidden="1"/>
    </xf>
    <xf numFmtId="168" fontId="22" fillId="29" borderId="27" xfId="50" applyNumberFormat="1" applyFont="1" applyFill="1" applyBorder="1" applyAlignment="1" applyProtection="1">
      <alignment horizontal="right"/>
      <protection hidden="1"/>
    </xf>
    <xf numFmtId="168" fontId="45" fillId="29" borderId="0" xfId="50" applyNumberFormat="1" applyFont="1" applyFill="1" applyBorder="1" applyAlignment="1" applyProtection="1">
      <alignment horizontal="right"/>
      <protection hidden="1"/>
    </xf>
    <xf numFmtId="168" fontId="45" fillId="29" borderId="16" xfId="50" applyNumberFormat="1" applyFont="1" applyFill="1" applyBorder="1" applyAlignment="1" applyProtection="1">
      <alignment horizontal="right"/>
      <protection hidden="1"/>
    </xf>
    <xf numFmtId="168" fontId="45" fillId="29" borderId="29" xfId="50" applyNumberFormat="1" applyFont="1" applyFill="1" applyBorder="1" applyAlignment="1" applyProtection="1">
      <alignment horizontal="right"/>
      <protection hidden="1"/>
    </xf>
    <xf numFmtId="168" fontId="45" fillId="29" borderId="17" xfId="50" applyNumberFormat="1" applyFont="1" applyFill="1" applyBorder="1" applyAlignment="1" applyProtection="1">
      <alignment horizontal="right"/>
      <protection hidden="1"/>
    </xf>
    <xf numFmtId="168" fontId="45" fillId="29" borderId="30" xfId="50" applyNumberFormat="1" applyFont="1" applyFill="1" applyBorder="1" applyAlignment="1" applyProtection="1">
      <alignment horizontal="right"/>
      <protection hidden="1"/>
    </xf>
    <xf numFmtId="168" fontId="22" fillId="29" borderId="78" xfId="50" applyNumberFormat="1" applyFont="1" applyFill="1" applyBorder="1" applyAlignment="1" applyProtection="1">
      <alignment horizontal="right"/>
      <protection hidden="1"/>
    </xf>
    <xf numFmtId="168" fontId="22" fillId="29" borderId="97" xfId="50" applyNumberFormat="1" applyFont="1" applyFill="1" applyBorder="1" applyAlignment="1" applyProtection="1">
      <alignment horizontal="right"/>
      <protection hidden="1"/>
    </xf>
    <xf numFmtId="168" fontId="22" fillId="29" borderId="69" xfId="50" applyNumberFormat="1" applyFont="1" applyFill="1" applyBorder="1" applyAlignment="1" applyProtection="1">
      <alignment horizontal="right"/>
      <protection hidden="1"/>
    </xf>
    <xf numFmtId="168" fontId="22" fillId="29" borderId="70" xfId="50" applyNumberFormat="1" applyFont="1" applyFill="1" applyBorder="1" applyAlignment="1" applyProtection="1">
      <alignment horizontal="right"/>
      <protection hidden="1"/>
    </xf>
    <xf numFmtId="0" fontId="45" fillId="29" borderId="29" xfId="50" applyFont="1" applyFill="1" applyBorder="1" applyAlignment="1" applyProtection="1">
      <alignment horizontal="left"/>
      <protection hidden="1"/>
    </xf>
    <xf numFmtId="0" fontId="45" fillId="29" borderId="17" xfId="50" applyFont="1" applyFill="1" applyBorder="1" applyAlignment="1" applyProtection="1">
      <alignment horizontal="left"/>
      <protection hidden="1"/>
    </xf>
    <xf numFmtId="0" fontId="45" fillId="29" borderId="30" xfId="50" applyFont="1" applyFill="1" applyBorder="1" applyAlignment="1" applyProtection="1">
      <alignment horizontal="left"/>
      <protection hidden="1"/>
    </xf>
    <xf numFmtId="168" fontId="45" fillId="29" borderId="32" xfId="50" applyNumberFormat="1" applyFont="1" applyFill="1" applyBorder="1" applyAlignment="1" applyProtection="1">
      <alignment horizontal="right"/>
      <protection hidden="1"/>
    </xf>
    <xf numFmtId="0" fontId="39" fillId="29" borderId="23" xfId="47" applyFont="1" applyFill="1" applyBorder="1" applyAlignment="1" applyProtection="1">
      <alignment horizontal="center" vertical="center" wrapText="1"/>
    </xf>
    <xf numFmtId="0" fontId="39" fillId="29" borderId="32" xfId="47" applyFont="1" applyFill="1" applyBorder="1" applyAlignment="1" applyProtection="1">
      <alignment horizontal="center" vertical="center" wrapText="1"/>
    </xf>
    <xf numFmtId="0" fontId="39" fillId="29" borderId="15" xfId="47" applyFont="1" applyFill="1" applyBorder="1" applyAlignment="1" applyProtection="1">
      <alignment horizontal="center" vertical="center" wrapText="1"/>
    </xf>
    <xf numFmtId="184" fontId="39" fillId="29" borderId="15" xfId="47" applyNumberFormat="1" applyFont="1" applyFill="1" applyBorder="1" applyAlignment="1" applyProtection="1">
      <alignment horizontal="center" vertical="center" wrapText="1"/>
    </xf>
    <xf numFmtId="0" fontId="100" fillId="29" borderId="12" xfId="47" applyFont="1" applyFill="1" applyBorder="1" applyAlignment="1" applyProtection="1">
      <alignment horizontal="center" vertical="center" wrapText="1"/>
    </xf>
    <xf numFmtId="0" fontId="100" fillId="29" borderId="45" xfId="47" applyFont="1" applyFill="1" applyBorder="1" applyAlignment="1" applyProtection="1">
      <alignment horizontal="center" vertical="center" wrapText="1"/>
    </xf>
    <xf numFmtId="0" fontId="127" fillId="25" borderId="160" xfId="0" quotePrefix="1" applyFont="1" applyFill="1" applyBorder="1" applyAlignment="1" applyProtection="1">
      <alignment horizontal="center" vertical="center" wrapText="1"/>
      <protection hidden="1"/>
    </xf>
    <xf numFmtId="0" fontId="127" fillId="25" borderId="35" xfId="0" quotePrefix="1" applyFont="1" applyFill="1" applyBorder="1" applyAlignment="1" applyProtection="1">
      <alignment horizontal="center" vertical="center" wrapText="1"/>
      <protection hidden="1"/>
    </xf>
    <xf numFmtId="0" fontId="127" fillId="25" borderId="162" xfId="0" quotePrefix="1" applyFont="1" applyFill="1" applyBorder="1" applyAlignment="1" applyProtection="1">
      <alignment horizontal="center" vertical="center" wrapText="1"/>
      <protection hidden="1"/>
    </xf>
    <xf numFmtId="0" fontId="127" fillId="25" borderId="163" xfId="0" quotePrefix="1" applyFont="1" applyFill="1" applyBorder="1" applyAlignment="1" applyProtection="1">
      <alignment horizontal="center" vertical="center" wrapText="1"/>
      <protection hidden="1"/>
    </xf>
    <xf numFmtId="0" fontId="129" fillId="69" borderId="27" xfId="0" applyFont="1" applyFill="1" applyBorder="1" applyAlignment="1" applyProtection="1">
      <alignment horizontal="center" vertical="center"/>
      <protection hidden="1"/>
    </xf>
    <xf numFmtId="0" fontId="129" fillId="69" borderId="33" xfId="0" applyFont="1" applyFill="1" applyBorder="1" applyAlignment="1" applyProtection="1">
      <alignment horizontal="center" vertical="center"/>
      <protection hidden="1"/>
    </xf>
    <xf numFmtId="0" fontId="130" fillId="69" borderId="122" xfId="0" quotePrefix="1" applyFont="1" applyFill="1" applyBorder="1" applyAlignment="1" applyProtection="1">
      <alignment horizontal="center" vertical="center"/>
      <protection hidden="1"/>
    </xf>
    <xf numFmtId="0" fontId="130" fillId="69" borderId="123" xfId="0" quotePrefix="1" applyFont="1" applyFill="1" applyBorder="1" applyAlignment="1" applyProtection="1">
      <alignment horizontal="center" vertical="center"/>
      <protection hidden="1"/>
    </xf>
    <xf numFmtId="0" fontId="127" fillId="25" borderId="158" xfId="0" quotePrefix="1" applyFont="1" applyFill="1" applyBorder="1" applyAlignment="1" applyProtection="1">
      <alignment horizontal="center" vertical="center" wrapText="1"/>
      <protection hidden="1"/>
    </xf>
    <xf numFmtId="0" fontId="127" fillId="25" borderId="159" xfId="0" quotePrefix="1" applyFont="1" applyFill="1" applyBorder="1" applyAlignment="1" applyProtection="1">
      <alignment horizontal="center" vertical="center" wrapText="1"/>
      <protection hidden="1"/>
    </xf>
    <xf numFmtId="0" fontId="34" fillId="0" borderId="22" xfId="0" applyFont="1" applyBorder="1" applyAlignment="1">
      <alignment horizontal="left" vertical="top" wrapText="1"/>
    </xf>
    <xf numFmtId="0" fontId="34" fillId="0" borderId="0" xfId="0" applyFont="1" applyBorder="1" applyAlignment="1">
      <alignment horizontal="left" vertical="top" wrapText="1"/>
    </xf>
    <xf numFmtId="0" fontId="22" fillId="0" borderId="0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28" fillId="0" borderId="0" xfId="0" applyFont="1" applyBorder="1" applyAlignment="1">
      <alignment horizontal="right" vertical="center"/>
    </xf>
    <xf numFmtId="0" fontId="28" fillId="0" borderId="22" xfId="0" applyFont="1" applyBorder="1" applyAlignment="1">
      <alignment horizontal="left" vertical="center"/>
    </xf>
    <xf numFmtId="0" fontId="28" fillId="0" borderId="0" xfId="0" applyFont="1" applyBorder="1" applyAlignment="1">
      <alignment horizontal="left" vertical="center"/>
    </xf>
    <xf numFmtId="0" fontId="22" fillId="0" borderId="16" xfId="0" applyFont="1" applyFill="1" applyBorder="1" applyAlignment="1">
      <alignment horizontal="center" vertical="center"/>
    </xf>
    <xf numFmtId="0" fontId="33" fillId="0" borderId="22" xfId="0" applyFont="1" applyFill="1" applyBorder="1" applyAlignment="1" applyProtection="1">
      <alignment horizontal="left" vertical="center" wrapText="1"/>
      <protection hidden="1"/>
    </xf>
    <xf numFmtId="0" fontId="33" fillId="0" borderId="0" xfId="0" applyFont="1" applyFill="1" applyBorder="1" applyAlignment="1" applyProtection="1">
      <alignment horizontal="left" vertical="center" wrapText="1"/>
      <protection hidden="1"/>
    </xf>
    <xf numFmtId="0" fontId="33" fillId="0" borderId="0" xfId="0" applyFont="1" applyBorder="1" applyAlignment="1">
      <alignment horizontal="left" vertical="center" wrapText="1"/>
    </xf>
    <xf numFmtId="0" fontId="33" fillId="0" borderId="0" xfId="0" applyFont="1" applyBorder="1" applyAlignment="1">
      <alignment horizontal="left" vertical="center"/>
    </xf>
    <xf numFmtId="0" fontId="33" fillId="0" borderId="22" xfId="0" applyFont="1" applyFill="1" applyBorder="1" applyAlignment="1">
      <alignment horizontal="left" vertical="center" wrapText="1"/>
    </xf>
    <xf numFmtId="0" fontId="33" fillId="0" borderId="0" xfId="0" applyFont="1" applyFill="1" applyBorder="1" applyAlignment="1">
      <alignment horizontal="left" vertical="center" wrapText="1"/>
    </xf>
    <xf numFmtId="0" fontId="33" fillId="0" borderId="22" xfId="0" applyFont="1" applyBorder="1" applyAlignment="1">
      <alignment horizontal="left" vertical="center" wrapText="1"/>
    </xf>
    <xf numFmtId="0" fontId="26" fillId="27" borderId="22" xfId="0" applyFont="1" applyFill="1" applyBorder="1" applyAlignment="1">
      <alignment horizontal="center" vertical="top" wrapText="1"/>
    </xf>
    <xf numFmtId="0" fontId="26" fillId="27" borderId="0" xfId="0" applyFont="1" applyFill="1" applyBorder="1" applyAlignment="1">
      <alignment horizontal="center" vertical="top" wrapText="1"/>
    </xf>
    <xf numFmtId="0" fontId="26" fillId="27" borderId="16" xfId="0" applyFont="1" applyFill="1" applyBorder="1" applyAlignment="1">
      <alignment horizontal="center" vertical="top" wrapText="1"/>
    </xf>
    <xf numFmtId="0" fontId="34" fillId="0" borderId="31" xfId="0" applyFont="1" applyBorder="1" applyAlignment="1">
      <alignment horizontal="center" vertical="center" textRotation="90" wrapText="1"/>
    </xf>
    <xf numFmtId="0" fontId="34" fillId="0" borderId="18" xfId="0" applyFont="1" applyBorder="1" applyAlignment="1">
      <alignment horizontal="center" vertical="center" textRotation="90" wrapText="1"/>
    </xf>
    <xf numFmtId="0" fontId="34" fillId="0" borderId="28" xfId="0" applyFont="1" applyBorder="1" applyAlignment="1">
      <alignment horizontal="center" vertical="center" textRotation="90" wrapText="1"/>
    </xf>
    <xf numFmtId="0" fontId="34" fillId="0" borderId="22" xfId="0" applyFont="1" applyBorder="1" applyAlignment="1">
      <alignment horizontal="center" vertical="center" textRotation="90" wrapText="1"/>
    </xf>
    <xf numFmtId="0" fontId="34" fillId="0" borderId="0" xfId="0" applyFont="1" applyBorder="1" applyAlignment="1">
      <alignment horizontal="center" vertical="center" textRotation="90" wrapText="1"/>
    </xf>
    <xf numFmtId="0" fontId="34" fillId="0" borderId="16" xfId="0" applyFont="1" applyBorder="1" applyAlignment="1">
      <alignment horizontal="center" vertical="center" textRotation="90" wrapText="1"/>
    </xf>
    <xf numFmtId="0" fontId="34" fillId="0" borderId="29" xfId="0" applyFont="1" applyBorder="1" applyAlignment="1">
      <alignment horizontal="center" vertical="center" textRotation="90" wrapText="1"/>
    </xf>
    <xf numFmtId="0" fontId="34" fillId="0" borderId="17" xfId="0" applyFont="1" applyBorder="1" applyAlignment="1">
      <alignment horizontal="center" vertical="center" textRotation="90" wrapText="1"/>
    </xf>
    <xf numFmtId="0" fontId="34" fillId="0" borderId="30" xfId="0" applyFont="1" applyBorder="1" applyAlignment="1">
      <alignment horizontal="center" vertical="center" textRotation="90" wrapText="1"/>
    </xf>
    <xf numFmtId="0" fontId="28" fillId="0" borderId="0" xfId="0" applyFont="1" applyBorder="1" applyAlignment="1">
      <alignment horizontal="center" vertical="top"/>
    </xf>
    <xf numFmtId="0" fontId="31" fillId="0" borderId="0" xfId="0" applyFont="1" applyBorder="1" applyAlignment="1">
      <alignment horizontal="left" vertical="top"/>
    </xf>
    <xf numFmtId="0" fontId="0" fillId="0" borderId="0" xfId="0" applyBorder="1" applyAlignment="1">
      <alignment vertical="top"/>
    </xf>
    <xf numFmtId="0" fontId="0" fillId="0" borderId="16" xfId="0" applyBorder="1" applyAlignment="1">
      <alignment vertical="top"/>
    </xf>
    <xf numFmtId="0" fontId="22" fillId="0" borderId="23" xfId="0" applyFont="1" applyBorder="1" applyAlignment="1">
      <alignment horizontal="center" vertical="center"/>
    </xf>
    <xf numFmtId="0" fontId="22" fillId="0" borderId="32" xfId="0" applyFont="1" applyBorder="1" applyAlignment="1">
      <alignment horizontal="center" vertical="center"/>
    </xf>
    <xf numFmtId="41" fontId="22" fillId="0" borderId="15" xfId="28" applyFont="1" applyFill="1" applyBorder="1" applyAlignment="1" applyProtection="1">
      <alignment horizontal="right" vertical="center" indent="1"/>
      <protection hidden="1"/>
    </xf>
    <xf numFmtId="0" fontId="39" fillId="0" borderId="22" xfId="0" applyFont="1" applyBorder="1" applyAlignment="1">
      <alignment horizontal="center" vertical="center" textRotation="90" wrapText="1"/>
    </xf>
    <xf numFmtId="0" fontId="39" fillId="0" borderId="0" xfId="0" applyFont="1" applyBorder="1" applyAlignment="1">
      <alignment horizontal="center" vertical="center" textRotation="90" wrapText="1"/>
    </xf>
    <xf numFmtId="0" fontId="39" fillId="0" borderId="16" xfId="0" applyFont="1" applyBorder="1" applyAlignment="1">
      <alignment horizontal="center" vertical="center" textRotation="90" wrapText="1"/>
    </xf>
    <xf numFmtId="0" fontId="34" fillId="0" borderId="22" xfId="0" applyFont="1" applyFill="1" applyBorder="1" applyAlignment="1">
      <alignment horizontal="left" vertical="center" wrapText="1"/>
    </xf>
    <xf numFmtId="0" fontId="34" fillId="0" borderId="0" xfId="0" applyFont="1" applyFill="1" applyBorder="1" applyAlignment="1">
      <alignment horizontal="left" vertical="center" wrapText="1"/>
    </xf>
    <xf numFmtId="0" fontId="22" fillId="0" borderId="24" xfId="0" applyFont="1" applyBorder="1" applyAlignment="1">
      <alignment horizontal="center" vertical="center"/>
    </xf>
    <xf numFmtId="41" fontId="22" fillId="0" borderId="31" xfId="28" applyFont="1" applyBorder="1" applyAlignment="1" applyProtection="1">
      <alignment horizontal="right" vertical="center" indent="1"/>
      <protection hidden="1"/>
    </xf>
    <xf numFmtId="41" fontId="22" fillId="0" borderId="18" xfId="28" applyFont="1" applyBorder="1" applyAlignment="1" applyProtection="1">
      <alignment horizontal="right" vertical="center" indent="1"/>
      <protection hidden="1"/>
    </xf>
    <xf numFmtId="41" fontId="22" fillId="0" borderId="28" xfId="28" applyFont="1" applyBorder="1" applyAlignment="1" applyProtection="1">
      <alignment horizontal="right" vertical="center" indent="1"/>
      <protection hidden="1"/>
    </xf>
    <xf numFmtId="41" fontId="22" fillId="0" borderId="22" xfId="28" applyFont="1" applyBorder="1" applyAlignment="1" applyProtection="1">
      <alignment horizontal="right" vertical="center" indent="1"/>
      <protection hidden="1"/>
    </xf>
    <xf numFmtId="41" fontId="22" fillId="0" borderId="0" xfId="28" applyFont="1" applyBorder="1" applyAlignment="1" applyProtection="1">
      <alignment horizontal="right" vertical="center" indent="1"/>
      <protection hidden="1"/>
    </xf>
    <xf numFmtId="41" fontId="22" fillId="0" borderId="16" xfId="28" applyFont="1" applyBorder="1" applyAlignment="1" applyProtection="1">
      <alignment horizontal="right" vertical="center" indent="1"/>
      <protection hidden="1"/>
    </xf>
    <xf numFmtId="41" fontId="22" fillId="0" borderId="29" xfId="28" applyFont="1" applyBorder="1" applyAlignment="1" applyProtection="1">
      <alignment horizontal="right" vertical="center" indent="1"/>
      <protection hidden="1"/>
    </xf>
    <xf numFmtId="41" fontId="22" fillId="0" borderId="17" xfId="28" applyFont="1" applyBorder="1" applyAlignment="1" applyProtection="1">
      <alignment horizontal="right" vertical="center" indent="1"/>
      <protection hidden="1"/>
    </xf>
    <xf numFmtId="41" fontId="22" fillId="0" borderId="30" xfId="28" applyFont="1" applyBorder="1" applyAlignment="1" applyProtection="1">
      <alignment horizontal="right" vertical="center" indent="1"/>
      <protection hidden="1"/>
    </xf>
    <xf numFmtId="0" fontId="48" fillId="0" borderId="0" xfId="0" applyFont="1" applyBorder="1" applyAlignment="1">
      <alignment horizontal="center" vertical="center"/>
    </xf>
    <xf numFmtId="0" fontId="22" fillId="0" borderId="22" xfId="0" applyFont="1" applyBorder="1" applyAlignment="1">
      <alignment horizontal="center" vertical="center" textRotation="90" wrapText="1"/>
    </xf>
    <xf numFmtId="0" fontId="22" fillId="0" borderId="0" xfId="0" applyFont="1" applyBorder="1" applyAlignment="1">
      <alignment horizontal="center" vertical="center" textRotation="90" wrapText="1"/>
    </xf>
    <xf numFmtId="0" fontId="22" fillId="0" borderId="16" xfId="0" applyFont="1" applyBorder="1" applyAlignment="1">
      <alignment horizontal="center" vertical="center" textRotation="90" wrapText="1"/>
    </xf>
    <xf numFmtId="0" fontId="31" fillId="0" borderId="0" xfId="0" applyFont="1" applyBorder="1" applyAlignment="1">
      <alignment horizontal="left" vertical="top" wrapText="1"/>
    </xf>
    <xf numFmtId="0" fontId="20" fillId="0" borderId="0" xfId="0" applyFont="1" applyBorder="1" applyAlignment="1">
      <alignment horizontal="left" vertical="top" wrapText="1"/>
    </xf>
    <xf numFmtId="41" fontId="22" fillId="0" borderId="27" xfId="28" applyFont="1" applyBorder="1" applyAlignment="1" applyProtection="1">
      <alignment horizontal="right" vertical="center" indent="1"/>
      <protection hidden="1"/>
    </xf>
    <xf numFmtId="41" fontId="22" fillId="0" borderId="20" xfId="28" applyFont="1" applyBorder="1" applyAlignment="1" applyProtection="1">
      <alignment horizontal="right" vertical="center" indent="1"/>
      <protection hidden="1"/>
    </xf>
    <xf numFmtId="41" fontId="22" fillId="0" borderId="33" xfId="28" applyFont="1" applyBorder="1" applyAlignment="1" applyProtection="1">
      <alignment horizontal="right" vertical="center" indent="1"/>
      <protection hidden="1"/>
    </xf>
    <xf numFmtId="0" fontId="26" fillId="0" borderId="0" xfId="0" quotePrefix="1" applyFont="1" applyBorder="1" applyAlignment="1">
      <alignment horizontal="center" vertical="center"/>
    </xf>
    <xf numFmtId="0" fontId="31" fillId="0" borderId="0" xfId="0" applyFont="1" applyBorder="1" applyAlignment="1">
      <alignment vertical="top" wrapText="1"/>
    </xf>
    <xf numFmtId="0" fontId="31" fillId="0" borderId="0" xfId="0" applyFont="1" applyBorder="1" applyAlignment="1">
      <alignment vertical="top"/>
    </xf>
    <xf numFmtId="0" fontId="31" fillId="0" borderId="0" xfId="0" applyFont="1" applyFill="1" applyBorder="1" applyAlignment="1">
      <alignment vertical="top"/>
    </xf>
    <xf numFmtId="0" fontId="0" fillId="0" borderId="0" xfId="0" applyFill="1" applyBorder="1" applyAlignment="1"/>
    <xf numFmtId="0" fontId="0" fillId="0" borderId="16" xfId="0" applyFill="1" applyBorder="1" applyAlignment="1"/>
    <xf numFmtId="0" fontId="22" fillId="0" borderId="16" xfId="0" applyFont="1" applyBorder="1" applyAlignment="1">
      <alignment horizontal="center" vertical="center"/>
    </xf>
    <xf numFmtId="0" fontId="31" fillId="0" borderId="23" xfId="0" applyNumberFormat="1" applyFont="1" applyBorder="1" applyAlignment="1" applyProtection="1">
      <alignment horizontal="center" vertical="center" wrapText="1"/>
      <protection hidden="1"/>
    </xf>
    <xf numFmtId="0" fontId="31" fillId="0" borderId="32" xfId="0" applyNumberFormat="1" applyFont="1" applyBorder="1" applyAlignment="1" applyProtection="1">
      <alignment horizontal="center" vertical="center" wrapText="1"/>
      <protection hidden="1"/>
    </xf>
    <xf numFmtId="0" fontId="34" fillId="0" borderId="22" xfId="0" applyFont="1" applyBorder="1" applyAlignment="1">
      <alignment horizontal="left" vertical="center"/>
    </xf>
    <xf numFmtId="0" fontId="34" fillId="0" borderId="0" xfId="0" applyFont="1" applyBorder="1" applyAlignment="1">
      <alignment horizontal="left" vertical="center"/>
    </xf>
    <xf numFmtId="0" fontId="34" fillId="0" borderId="23" xfId="0" applyNumberFormat="1" applyFont="1" applyBorder="1" applyAlignment="1" applyProtection="1">
      <alignment horizontal="center" vertical="center" wrapText="1"/>
      <protection hidden="1"/>
    </xf>
    <xf numFmtId="0" fontId="34" fillId="0" borderId="32" xfId="0" applyNumberFormat="1" applyFont="1" applyBorder="1" applyAlignment="1" applyProtection="1">
      <alignment horizontal="center" vertical="center" wrapText="1"/>
      <protection hidden="1"/>
    </xf>
    <xf numFmtId="0" fontId="28" fillId="0" borderId="0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top" wrapText="1"/>
    </xf>
    <xf numFmtId="0" fontId="22" fillId="0" borderId="16" xfId="0" applyFont="1" applyBorder="1" applyAlignment="1">
      <alignment horizontal="center" vertical="center" wrapText="1"/>
    </xf>
    <xf numFmtId="0" fontId="34" fillId="0" borderId="0" xfId="0" applyFont="1" applyBorder="1" applyAlignment="1">
      <alignment horizontal="left" wrapText="1"/>
    </xf>
    <xf numFmtId="0" fontId="34" fillId="0" borderId="16" xfId="0" applyFont="1" applyBorder="1" applyAlignment="1">
      <alignment horizontal="left" wrapText="1"/>
    </xf>
    <xf numFmtId="0" fontId="22" fillId="0" borderId="22" xfId="0" applyFont="1" applyFill="1" applyBorder="1" applyAlignment="1">
      <alignment horizontal="center" vertical="center" textRotation="90" wrapText="1"/>
    </xf>
    <xf numFmtId="0" fontId="22" fillId="0" borderId="0" xfId="0" applyFont="1" applyFill="1" applyBorder="1" applyAlignment="1">
      <alignment horizontal="center" vertical="center" textRotation="90" wrapText="1"/>
    </xf>
    <xf numFmtId="0" fontId="22" fillId="0" borderId="16" xfId="0" applyFont="1" applyFill="1" applyBorder="1" applyAlignment="1">
      <alignment horizontal="center" vertical="center" textRotation="90" wrapText="1"/>
    </xf>
    <xf numFmtId="0" fontId="0" fillId="0" borderId="0" xfId="0" applyFont="1" applyBorder="1" applyAlignment="1">
      <alignment vertical="top"/>
    </xf>
    <xf numFmtId="0" fontId="0" fillId="0" borderId="16" xfId="0" applyFont="1" applyBorder="1" applyAlignment="1">
      <alignment vertical="top"/>
    </xf>
    <xf numFmtId="41" fontId="22" fillId="0" borderId="27" xfId="28" applyNumberFormat="1" applyFont="1" applyBorder="1" applyAlignment="1" applyProtection="1">
      <alignment horizontal="right" vertical="center" indent="1"/>
      <protection hidden="1"/>
    </xf>
    <xf numFmtId="41" fontId="22" fillId="0" borderId="20" xfId="28" applyNumberFormat="1" applyFont="1" applyBorder="1" applyAlignment="1" applyProtection="1">
      <alignment horizontal="right" vertical="center" indent="1"/>
      <protection hidden="1"/>
    </xf>
    <xf numFmtId="41" fontId="22" fillId="0" borderId="33" xfId="28" applyNumberFormat="1" applyFont="1" applyBorder="1" applyAlignment="1" applyProtection="1">
      <alignment horizontal="right" vertical="center" indent="1"/>
      <protection hidden="1"/>
    </xf>
    <xf numFmtId="0" fontId="0" fillId="0" borderId="0" xfId="0" applyFont="1" applyBorder="1" applyAlignment="1">
      <alignment vertical="top" wrapText="1"/>
    </xf>
    <xf numFmtId="0" fontId="0" fillId="0" borderId="16" xfId="0" applyFont="1" applyBorder="1" applyAlignment="1">
      <alignment vertical="top" wrapText="1"/>
    </xf>
    <xf numFmtId="41" fontId="22" fillId="0" borderId="27" xfId="28" applyFont="1" applyFill="1" applyBorder="1" applyAlignment="1" applyProtection="1">
      <alignment horizontal="right" vertical="center" indent="1"/>
      <protection hidden="1"/>
    </xf>
    <xf numFmtId="41" fontId="22" fillId="0" borderId="20" xfId="28" applyFont="1" applyFill="1" applyBorder="1" applyAlignment="1" applyProtection="1">
      <alignment horizontal="right" vertical="center" indent="1"/>
      <protection hidden="1"/>
    </xf>
    <xf numFmtId="41" fontId="22" fillId="0" borderId="33" xfId="28" applyFont="1" applyFill="1" applyBorder="1" applyAlignment="1" applyProtection="1">
      <alignment horizontal="right" vertical="center" indent="1"/>
      <protection hidden="1"/>
    </xf>
    <xf numFmtId="0" fontId="0" fillId="0" borderId="0" xfId="0" applyFill="1" applyBorder="1" applyAlignment="1">
      <alignment vertical="top"/>
    </xf>
    <xf numFmtId="0" fontId="0" fillId="0" borderId="16" xfId="0" applyFill="1" applyBorder="1" applyAlignment="1">
      <alignment vertical="top"/>
    </xf>
    <xf numFmtId="0" fontId="31" fillId="28" borderId="23" xfId="0" applyFont="1" applyFill="1" applyBorder="1" applyAlignment="1">
      <alignment horizontal="center" vertical="center"/>
    </xf>
    <xf numFmtId="0" fontId="31" fillId="28" borderId="32" xfId="0" applyFont="1" applyFill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 wrapText="1"/>
    </xf>
    <xf numFmtId="0" fontId="34" fillId="0" borderId="31" xfId="0" applyFont="1" applyBorder="1" applyAlignment="1">
      <alignment horizontal="left" vertical="center"/>
    </xf>
    <xf numFmtId="0" fontId="34" fillId="0" borderId="18" xfId="0" applyFont="1" applyBorder="1" applyAlignment="1">
      <alignment horizontal="left" vertical="center"/>
    </xf>
    <xf numFmtId="0" fontId="34" fillId="0" borderId="28" xfId="0" applyFont="1" applyBorder="1" applyAlignment="1">
      <alignment horizontal="left" vertical="center"/>
    </xf>
    <xf numFmtId="0" fontId="34" fillId="0" borderId="29" xfId="0" applyFont="1" applyBorder="1" applyAlignment="1">
      <alignment horizontal="left" vertical="center"/>
    </xf>
    <xf numFmtId="0" fontId="34" fillId="0" borderId="17" xfId="0" applyFont="1" applyBorder="1" applyAlignment="1">
      <alignment horizontal="left" vertical="center"/>
    </xf>
    <xf numFmtId="0" fontId="34" fillId="0" borderId="30" xfId="0" applyFont="1" applyBorder="1" applyAlignment="1">
      <alignment horizontal="left" vertical="center"/>
    </xf>
    <xf numFmtId="0" fontId="26" fillId="25" borderId="29" xfId="0" applyFont="1" applyFill="1" applyBorder="1" applyAlignment="1">
      <alignment horizontal="center"/>
    </xf>
    <xf numFmtId="0" fontId="26" fillId="25" borderId="17" xfId="0" applyFont="1" applyFill="1" applyBorder="1" applyAlignment="1">
      <alignment horizontal="center"/>
    </xf>
    <xf numFmtId="0" fontId="26" fillId="25" borderId="30" xfId="0" applyFont="1" applyFill="1" applyBorder="1" applyAlignment="1">
      <alignment horizontal="center"/>
    </xf>
    <xf numFmtId="0" fontId="22" fillId="0" borderId="22" xfId="0" applyFont="1" applyBorder="1" applyAlignment="1">
      <alignment horizontal="center" vertical="center" textRotation="90"/>
    </xf>
    <xf numFmtId="0" fontId="22" fillId="0" borderId="0" xfId="0" applyFont="1" applyBorder="1" applyAlignment="1">
      <alignment horizontal="center" vertical="center" textRotation="90"/>
    </xf>
    <xf numFmtId="0" fontId="22" fillId="0" borderId="16" xfId="0" applyFont="1" applyBorder="1" applyAlignment="1">
      <alignment horizontal="center" vertical="center" textRotation="90"/>
    </xf>
    <xf numFmtId="0" fontId="97" fillId="0" borderId="0" xfId="0" applyFont="1" applyBorder="1" applyAlignment="1">
      <alignment horizontal="left" vertical="center" wrapText="1"/>
    </xf>
    <xf numFmtId="0" fontId="31" fillId="0" borderId="0" xfId="0" applyFont="1" applyBorder="1" applyAlignment="1">
      <alignment horizontal="left" vertical="center" wrapText="1"/>
    </xf>
    <xf numFmtId="0" fontId="31" fillId="0" borderId="16" xfId="0" applyFont="1" applyBorder="1" applyAlignment="1">
      <alignment horizontal="left" vertical="center" wrapText="1"/>
    </xf>
    <xf numFmtId="0" fontId="32" fillId="0" borderId="0" xfId="0" applyFont="1" applyBorder="1" applyAlignment="1">
      <alignment horizontal="left" vertical="center" wrapText="1"/>
    </xf>
    <xf numFmtId="0" fontId="20" fillId="0" borderId="0" xfId="0" applyFont="1" applyBorder="1" applyAlignment="1">
      <alignment vertical="top"/>
    </xf>
    <xf numFmtId="0" fontId="20" fillId="0" borderId="0" xfId="0" applyFont="1" applyBorder="1" applyAlignment="1">
      <alignment horizontal="left" vertical="top"/>
    </xf>
    <xf numFmtId="0" fontId="20" fillId="0" borderId="16" xfId="0" applyFont="1" applyBorder="1" applyAlignment="1">
      <alignment horizontal="left" vertical="top"/>
    </xf>
    <xf numFmtId="0" fontId="35" fillId="0" borderId="26" xfId="0" applyFont="1" applyBorder="1" applyAlignment="1">
      <alignment horizontal="center" vertical="center" textRotation="90" wrapText="1"/>
    </xf>
    <xf numFmtId="0" fontId="35" fillId="0" borderId="25" xfId="0" applyFont="1" applyBorder="1" applyAlignment="1">
      <alignment horizontal="center" vertical="center" textRotation="90" wrapText="1"/>
    </xf>
    <xf numFmtId="0" fontId="35" fillId="0" borderId="10" xfId="0" applyFont="1" applyBorder="1" applyAlignment="1">
      <alignment horizontal="center" vertical="center" textRotation="90" wrapText="1"/>
    </xf>
    <xf numFmtId="0" fontId="35" fillId="0" borderId="11" xfId="0" applyFont="1" applyBorder="1" applyAlignment="1">
      <alignment horizontal="center" vertical="center" textRotation="90" wrapText="1"/>
    </xf>
    <xf numFmtId="0" fontId="35" fillId="0" borderId="21" xfId="0" applyFont="1" applyBorder="1" applyAlignment="1">
      <alignment horizontal="center" vertical="center" textRotation="90" wrapText="1"/>
    </xf>
    <xf numFmtId="0" fontId="35" fillId="0" borderId="13" xfId="0" applyFont="1" applyBorder="1" applyAlignment="1">
      <alignment horizontal="center" vertical="center" textRotation="90" wrapText="1"/>
    </xf>
    <xf numFmtId="0" fontId="0" fillId="25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 wrapText="1"/>
    </xf>
    <xf numFmtId="0" fontId="35" fillId="0" borderId="26" xfId="0" applyFont="1" applyFill="1" applyBorder="1" applyAlignment="1">
      <alignment horizontal="center" vertical="center" wrapText="1"/>
    </xf>
    <xf numFmtId="0" fontId="35" fillId="0" borderId="14" xfId="0" applyFont="1" applyFill="1" applyBorder="1" applyAlignment="1">
      <alignment horizontal="center" vertical="center" wrapText="1"/>
    </xf>
    <xf numFmtId="0" fontId="35" fillId="0" borderId="25" xfId="0" applyFont="1" applyFill="1" applyBorder="1" applyAlignment="1">
      <alignment horizontal="center" vertical="center" wrapText="1"/>
    </xf>
    <xf numFmtId="0" fontId="35" fillId="0" borderId="10" xfId="0" applyFont="1" applyFill="1" applyBorder="1" applyAlignment="1">
      <alignment horizontal="center" vertical="center" wrapText="1"/>
    </xf>
    <xf numFmtId="0" fontId="35" fillId="0" borderId="0" xfId="0" applyFont="1" applyFill="1" applyBorder="1" applyAlignment="1">
      <alignment horizontal="center" vertical="center" wrapText="1"/>
    </xf>
    <xf numFmtId="0" fontId="35" fillId="0" borderId="11" xfId="0" applyFont="1" applyFill="1" applyBorder="1" applyAlignment="1">
      <alignment horizontal="center" vertical="center" wrapText="1"/>
    </xf>
    <xf numFmtId="0" fontId="35" fillId="0" borderId="21" xfId="0" applyFont="1" applyFill="1" applyBorder="1" applyAlignment="1">
      <alignment horizontal="center" vertical="center" wrapText="1"/>
    </xf>
    <xf numFmtId="0" fontId="35" fillId="0" borderId="12" xfId="0" applyFont="1" applyFill="1" applyBorder="1" applyAlignment="1">
      <alignment horizontal="center" vertical="center" wrapText="1"/>
    </xf>
    <xf numFmtId="0" fontId="35" fillId="0" borderId="13" xfId="0" applyFont="1" applyFill="1" applyBorder="1" applyAlignment="1">
      <alignment horizontal="center" vertical="center" wrapText="1"/>
    </xf>
    <xf numFmtId="0" fontId="22" fillId="0" borderId="15" xfId="0" applyFont="1" applyFill="1" applyBorder="1" applyAlignment="1" applyProtection="1">
      <alignment horizontal="center" vertical="center"/>
      <protection hidden="1"/>
    </xf>
    <xf numFmtId="0" fontId="22" fillId="0" borderId="15" xfId="0" quotePrefix="1" applyFont="1" applyFill="1" applyBorder="1" applyAlignment="1" applyProtection="1">
      <alignment horizontal="center" vertical="center" wrapText="1"/>
      <protection hidden="1"/>
    </xf>
    <xf numFmtId="0" fontId="26" fillId="0" borderId="0" xfId="0" applyFont="1" applyFill="1" applyBorder="1" applyAlignment="1">
      <alignment horizontal="center" vertical="center"/>
    </xf>
    <xf numFmtId="0" fontId="26" fillId="0" borderId="11" xfId="0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horizontal="left" vertical="center"/>
    </xf>
    <xf numFmtId="0" fontId="33" fillId="0" borderId="0" xfId="0" applyFont="1" applyFill="1" applyBorder="1" applyAlignment="1">
      <alignment horizontal="left" vertical="distributed"/>
    </xf>
    <xf numFmtId="0" fontId="33" fillId="0" borderId="16" xfId="0" applyFont="1" applyFill="1" applyBorder="1" applyAlignment="1">
      <alignment horizontal="left" vertical="center" wrapText="1"/>
    </xf>
    <xf numFmtId="0" fontId="33" fillId="0" borderId="22" xfId="0" applyFont="1" applyFill="1" applyBorder="1" applyAlignment="1">
      <alignment horizontal="left" vertical="distributed"/>
    </xf>
    <xf numFmtId="0" fontId="26" fillId="0" borderId="0" xfId="0" applyFont="1" applyFill="1" applyAlignment="1">
      <alignment horizontal="center" vertical="center"/>
    </xf>
    <xf numFmtId="0" fontId="25" fillId="0" borderId="15" xfId="0" quotePrefix="1" applyFont="1" applyFill="1" applyBorder="1" applyAlignment="1" applyProtection="1">
      <alignment horizontal="center" vertical="distributed"/>
      <protection hidden="1"/>
    </xf>
    <xf numFmtId="0" fontId="26" fillId="0" borderId="0" xfId="0" applyFont="1" applyFill="1" applyBorder="1" applyAlignment="1">
      <alignment horizontal="center" vertical="distributed" wrapText="1"/>
    </xf>
    <xf numFmtId="0" fontId="24" fillId="0" borderId="0" xfId="0" quotePrefix="1" applyFont="1" applyFill="1" applyBorder="1" applyAlignment="1">
      <alignment horizontal="left" vertical="distributed" wrapText="1"/>
    </xf>
    <xf numFmtId="0" fontId="24" fillId="0" borderId="11" xfId="0" quotePrefix="1" applyFont="1" applyFill="1" applyBorder="1" applyAlignment="1">
      <alignment horizontal="left" vertical="distributed" wrapText="1"/>
    </xf>
    <xf numFmtId="0" fontId="21" fillId="0" borderId="10" xfId="0" applyFont="1" applyFill="1" applyBorder="1" applyAlignment="1">
      <alignment horizontal="center" vertical="center" wrapText="1"/>
    </xf>
    <xf numFmtId="0" fontId="21" fillId="0" borderId="0" xfId="0" applyFont="1" applyFill="1" applyBorder="1" applyAlignment="1">
      <alignment horizontal="center" vertical="center" wrapText="1"/>
    </xf>
    <xf numFmtId="0" fontId="21" fillId="0" borderId="11" xfId="0" applyFont="1" applyFill="1" applyBorder="1" applyAlignment="1">
      <alignment horizontal="center" vertical="center" wrapText="1"/>
    </xf>
    <xf numFmtId="0" fontId="21" fillId="0" borderId="21" xfId="0" applyFont="1" applyFill="1" applyBorder="1" applyAlignment="1">
      <alignment horizontal="center" vertical="center" wrapText="1"/>
    </xf>
    <xf numFmtId="0" fontId="21" fillId="0" borderId="12" xfId="0" applyFont="1" applyFill="1" applyBorder="1" applyAlignment="1">
      <alignment horizontal="center" vertical="center" wrapText="1"/>
    </xf>
    <xf numFmtId="0" fontId="21" fillId="0" borderId="13" xfId="0" applyFont="1" applyFill="1" applyBorder="1" applyAlignment="1">
      <alignment horizontal="center" vertical="center" wrapText="1"/>
    </xf>
    <xf numFmtId="0" fontId="22" fillId="0" borderId="10" xfId="0" applyFont="1" applyFill="1" applyBorder="1" applyAlignment="1">
      <alignment horizontal="center" vertical="center" textRotation="90"/>
    </xf>
    <xf numFmtId="0" fontId="96" fillId="0" borderId="0" xfId="0" applyFont="1" applyFill="1" applyBorder="1" applyAlignment="1">
      <alignment horizontal="left" vertical="center" wrapText="1"/>
    </xf>
    <xf numFmtId="0" fontId="52" fillId="0" borderId="0" xfId="0" applyFont="1" applyFill="1"/>
    <xf numFmtId="0" fontId="52" fillId="0" borderId="11" xfId="0" applyFont="1" applyFill="1" applyBorder="1"/>
    <xf numFmtId="0" fontId="26" fillId="0" borderId="0" xfId="0" applyFont="1" applyFill="1" applyBorder="1" applyAlignment="1">
      <alignment horizontal="left" vertical="center" wrapText="1"/>
    </xf>
    <xf numFmtId="0" fontId="22" fillId="0" borderId="0" xfId="0" applyFont="1" applyFill="1"/>
    <xf numFmtId="0" fontId="22" fillId="0" borderId="11" xfId="0" applyFont="1" applyFill="1" applyBorder="1"/>
    <xf numFmtId="0" fontId="26" fillId="0" borderId="0" xfId="0" applyFont="1" applyFill="1" applyBorder="1" applyAlignment="1">
      <alignment horizontal="center"/>
    </xf>
    <xf numFmtId="0" fontId="26" fillId="0" borderId="11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distributed" wrapText="1"/>
    </xf>
    <xf numFmtId="0" fontId="39" fillId="0" borderId="0" xfId="0" applyFont="1" applyFill="1" applyBorder="1" applyAlignment="1">
      <alignment horizontal="center" vertical="center"/>
    </xf>
    <xf numFmtId="0" fontId="39" fillId="0" borderId="11" xfId="0" applyFont="1" applyFill="1" applyBorder="1" applyAlignment="1">
      <alignment horizontal="center" vertical="center"/>
    </xf>
    <xf numFmtId="0" fontId="22" fillId="0" borderId="21" xfId="0" applyFont="1" applyFill="1" applyBorder="1" applyAlignment="1">
      <alignment horizontal="center" vertical="center" textRotation="90"/>
    </xf>
    <xf numFmtId="0" fontId="26" fillId="0" borderId="0" xfId="0" applyFont="1" applyBorder="1" applyAlignment="1">
      <alignment horizontal="center" vertical="center"/>
    </xf>
    <xf numFmtId="0" fontId="26" fillId="0" borderId="11" xfId="0" applyFont="1" applyBorder="1" applyAlignment="1">
      <alignment horizontal="center" vertical="center"/>
    </xf>
    <xf numFmtId="0" fontId="26" fillId="0" borderId="12" xfId="0" applyFont="1" applyBorder="1" applyAlignment="1">
      <alignment horizontal="center" vertical="center"/>
    </xf>
    <xf numFmtId="0" fontId="26" fillId="0" borderId="13" xfId="0" applyFont="1" applyBorder="1" applyAlignment="1">
      <alignment horizontal="center" vertical="center"/>
    </xf>
    <xf numFmtId="0" fontId="33" fillId="0" borderId="16" xfId="0" applyFont="1" applyBorder="1" applyAlignment="1">
      <alignment horizontal="left" vertical="center" wrapText="1"/>
    </xf>
    <xf numFmtId="0" fontId="33" fillId="0" borderId="22" xfId="0" applyFont="1" applyBorder="1" applyAlignment="1">
      <alignment horizontal="left" vertical="distributed"/>
    </xf>
    <xf numFmtId="0" fontId="33" fillId="0" borderId="0" xfId="0" applyFont="1" applyBorder="1" applyAlignment="1">
      <alignment horizontal="left" vertical="distributed"/>
    </xf>
    <xf numFmtId="0" fontId="22" fillId="0" borderId="0" xfId="0" applyFont="1" applyAlignment="1">
      <alignment horizontal="left"/>
    </xf>
    <xf numFmtId="0" fontId="22" fillId="25" borderId="0" xfId="0" applyFont="1" applyFill="1" applyBorder="1" applyAlignment="1">
      <alignment horizontal="left" vertical="top" wrapText="1"/>
    </xf>
    <xf numFmtId="0" fontId="24" fillId="0" borderId="0" xfId="0" quotePrefix="1" applyFont="1" applyBorder="1" applyAlignment="1">
      <alignment horizontal="center" vertical="distributed" wrapText="1"/>
    </xf>
    <xf numFmtId="0" fontId="24" fillId="0" borderId="11" xfId="0" quotePrefix="1" applyFont="1" applyBorder="1" applyAlignment="1">
      <alignment horizontal="center" vertical="distributed" wrapText="1"/>
    </xf>
    <xf numFmtId="0" fontId="42" fillId="0" borderId="10" xfId="0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horizontal="center" vertical="center"/>
    </xf>
    <xf numFmtId="0" fontId="42" fillId="0" borderId="11" xfId="0" applyFont="1" applyFill="1" applyBorder="1" applyAlignment="1">
      <alignment horizontal="center" vertical="center"/>
    </xf>
    <xf numFmtId="0" fontId="42" fillId="0" borderId="21" xfId="0" applyFont="1" applyFill="1" applyBorder="1" applyAlignment="1">
      <alignment horizontal="center" vertical="center"/>
    </xf>
    <xf numFmtId="0" fontId="42" fillId="0" borderId="12" xfId="0" applyFont="1" applyFill="1" applyBorder="1" applyAlignment="1">
      <alignment horizontal="center" vertical="center"/>
    </xf>
    <xf numFmtId="0" fontId="42" fillId="0" borderId="13" xfId="0" applyFont="1" applyFill="1" applyBorder="1" applyAlignment="1">
      <alignment horizontal="center" vertical="center"/>
    </xf>
    <xf numFmtId="0" fontId="22" fillId="0" borderId="14" xfId="0" applyFont="1" applyFill="1" applyBorder="1" applyAlignment="1">
      <alignment horizontal="center" vertical="center" wrapText="1"/>
    </xf>
    <xf numFmtId="0" fontId="22" fillId="0" borderId="25" xfId="0" applyFont="1" applyFill="1" applyBorder="1" applyAlignment="1">
      <alignment horizontal="center" vertical="center" wrapText="1"/>
    </xf>
    <xf numFmtId="0" fontId="22" fillId="0" borderId="0" xfId="0" applyFont="1" applyFill="1" applyBorder="1" applyAlignment="1">
      <alignment horizontal="center" vertical="center" wrapText="1"/>
    </xf>
    <xf numFmtId="0" fontId="22" fillId="0" borderId="11" xfId="0" applyFont="1" applyFill="1" applyBorder="1" applyAlignment="1">
      <alignment horizontal="center" vertical="center" wrapText="1"/>
    </xf>
    <xf numFmtId="0" fontId="22" fillId="0" borderId="12" xfId="0" applyFont="1" applyFill="1" applyBorder="1" applyAlignment="1">
      <alignment horizontal="center" vertical="center" wrapText="1"/>
    </xf>
    <xf numFmtId="0" fontId="22" fillId="0" borderId="13" xfId="0" applyFont="1" applyFill="1" applyBorder="1" applyAlignment="1">
      <alignment horizontal="center" vertical="center" wrapText="1"/>
    </xf>
    <xf numFmtId="0" fontId="26" fillId="0" borderId="0" xfId="0" applyFont="1" applyBorder="1" applyAlignment="1">
      <alignment horizontal="center"/>
    </xf>
    <xf numFmtId="0" fontId="26" fillId="0" borderId="1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26" fillId="0" borderId="20" xfId="0" applyFont="1" applyBorder="1" applyAlignment="1">
      <alignment horizontal="center" vertical="top"/>
    </xf>
    <xf numFmtId="0" fontId="34" fillId="0" borderId="18" xfId="0" applyFont="1" applyBorder="1" applyAlignment="1">
      <alignment horizontal="center" vertical="center"/>
    </xf>
    <xf numFmtId="0" fontId="34" fillId="0" borderId="28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16" xfId="0" applyFont="1" applyBorder="1" applyAlignment="1">
      <alignment horizontal="center" vertical="center"/>
    </xf>
    <xf numFmtId="0" fontId="28" fillId="0" borderId="24" xfId="0" applyFont="1" applyBorder="1" applyAlignment="1">
      <alignment horizontal="center" vertical="top" wrapText="1"/>
    </xf>
    <xf numFmtId="0" fontId="22" fillId="0" borderId="0" xfId="0" applyFont="1" applyBorder="1" applyAlignment="1">
      <alignment horizontal="left" vertical="top" wrapText="1"/>
    </xf>
    <xf numFmtId="0" fontId="31" fillId="0" borderId="0" xfId="0" applyFont="1" applyBorder="1" applyAlignment="1">
      <alignment horizontal="left" vertical="justify" wrapText="1"/>
    </xf>
    <xf numFmtId="41" fontId="22" fillId="0" borderId="15" xfId="0" applyNumberFormat="1" applyFont="1" applyBorder="1" applyAlignment="1" applyProtection="1">
      <alignment horizontal="right" vertical="center" indent="1"/>
      <protection hidden="1"/>
    </xf>
    <xf numFmtId="0" fontId="31" fillId="0" borderId="16" xfId="0" applyFont="1" applyBorder="1" applyAlignment="1">
      <alignment horizontal="left" vertical="top" wrapText="1"/>
    </xf>
    <xf numFmtId="0" fontId="22" fillId="0" borderId="0" xfId="0" applyFont="1" applyBorder="1" applyAlignment="1">
      <alignment horizontal="left" vertical="center"/>
    </xf>
    <xf numFmtId="0" fontId="31" fillId="25" borderId="0" xfId="0" applyFont="1" applyFill="1" applyBorder="1" applyAlignment="1">
      <alignment vertical="top" wrapText="1"/>
    </xf>
    <xf numFmtId="41" fontId="22" fillId="25" borderId="15" xfId="0" applyNumberFormat="1" applyFont="1" applyFill="1" applyBorder="1" applyAlignment="1" applyProtection="1">
      <alignment horizontal="right" vertical="center" indent="1"/>
      <protection hidden="1"/>
    </xf>
    <xf numFmtId="0" fontId="0" fillId="0" borderId="0" xfId="0" applyBorder="1" applyAlignment="1">
      <alignment vertical="top" wrapText="1"/>
    </xf>
    <xf numFmtId="0" fontId="31" fillId="25" borderId="0" xfId="0" applyFont="1" applyFill="1" applyBorder="1" applyAlignment="1">
      <alignment horizontal="left" vertical="top" wrapText="1"/>
    </xf>
    <xf numFmtId="0" fontId="31" fillId="0" borderId="22" xfId="0" applyFont="1" applyBorder="1" applyAlignment="1">
      <alignment horizontal="left" vertical="center" wrapText="1"/>
    </xf>
    <xf numFmtId="0" fontId="22" fillId="0" borderId="0" xfId="0" applyFont="1" applyBorder="1" applyAlignment="1">
      <alignment horizontal="left" vertical="center" wrapText="1"/>
    </xf>
    <xf numFmtId="0" fontId="28" fillId="0" borderId="24" xfId="0" applyFont="1" applyBorder="1" applyAlignment="1">
      <alignment horizontal="center" vertical="center" wrapText="1"/>
    </xf>
    <xf numFmtId="0" fontId="22" fillId="0" borderId="0" xfId="0" applyFont="1" applyBorder="1" applyAlignment="1">
      <alignment horizontal="center" vertical="top" wrapText="1"/>
    </xf>
    <xf numFmtId="0" fontId="20" fillId="0" borderId="31" xfId="0" applyFont="1" applyBorder="1" applyAlignment="1">
      <alignment horizontal="center" vertical="center" wrapText="1"/>
    </xf>
    <xf numFmtId="0" fontId="20" fillId="0" borderId="22" xfId="0" applyFont="1" applyBorder="1" applyAlignment="1">
      <alignment horizontal="center" vertical="center" wrapText="1"/>
    </xf>
    <xf numFmtId="0" fontId="31" fillId="0" borderId="31" xfId="0" applyFont="1" applyBorder="1" applyAlignment="1">
      <alignment horizontal="center" vertical="center" wrapText="1"/>
    </xf>
    <xf numFmtId="0" fontId="31" fillId="0" borderId="18" xfId="0" applyFont="1" applyBorder="1" applyAlignment="1">
      <alignment horizontal="center" vertical="center" wrapText="1"/>
    </xf>
    <xf numFmtId="0" fontId="31" fillId="0" borderId="28" xfId="0" applyFont="1" applyBorder="1" applyAlignment="1">
      <alignment horizontal="center" vertical="center" wrapText="1"/>
    </xf>
    <xf numFmtId="0" fontId="31" fillId="0" borderId="22" xfId="0" applyFont="1" applyBorder="1" applyAlignment="1">
      <alignment horizontal="center" vertical="center" wrapText="1"/>
    </xf>
    <xf numFmtId="0" fontId="31" fillId="0" borderId="0" xfId="0" applyFont="1" applyBorder="1" applyAlignment="1">
      <alignment horizontal="center" vertical="center" wrapText="1"/>
    </xf>
    <xf numFmtId="0" fontId="31" fillId="0" borderId="16" xfId="0" applyFont="1" applyBorder="1" applyAlignment="1">
      <alignment horizontal="center" vertical="center" wrapText="1"/>
    </xf>
    <xf numFmtId="0" fontId="39" fillId="0" borderId="10" xfId="0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39" fillId="0" borderId="11" xfId="0" applyFont="1" applyBorder="1" applyAlignment="1">
      <alignment horizontal="center" vertical="center"/>
    </xf>
    <xf numFmtId="0" fontId="39" fillId="0" borderId="21" xfId="0" applyFont="1" applyBorder="1" applyAlignment="1">
      <alignment horizontal="center" vertical="center"/>
    </xf>
    <xf numFmtId="0" fontId="39" fillId="0" borderId="12" xfId="0" applyFont="1" applyBorder="1" applyAlignment="1">
      <alignment horizontal="center" vertical="center"/>
    </xf>
    <xf numFmtId="0" fontId="39" fillId="0" borderId="13" xfId="0" applyFont="1" applyBorder="1" applyAlignment="1">
      <alignment horizontal="center" vertical="center"/>
    </xf>
    <xf numFmtId="0" fontId="34" fillId="0" borderId="0" xfId="0" applyFont="1" applyFill="1" applyBorder="1" applyAlignment="1">
      <alignment horizontal="center" vertical="top"/>
    </xf>
    <xf numFmtId="0" fontId="34" fillId="0" borderId="0" xfId="0" applyFont="1" applyFill="1" applyBorder="1" applyAlignment="1">
      <alignment horizontal="center" vertical="top" wrapText="1"/>
    </xf>
    <xf numFmtId="0" fontId="34" fillId="0" borderId="0" xfId="0" quotePrefix="1" applyFont="1" applyFill="1" applyBorder="1" applyAlignment="1">
      <alignment horizontal="center" vertical="top" wrapText="1"/>
    </xf>
    <xf numFmtId="0" fontId="26" fillId="0" borderId="0" xfId="0" applyFont="1" applyFill="1" applyBorder="1" applyAlignment="1">
      <alignment horizontal="center" vertical="center" wrapText="1"/>
    </xf>
    <xf numFmtId="0" fontId="26" fillId="0" borderId="11" xfId="0" applyFont="1" applyFill="1" applyBorder="1" applyAlignment="1">
      <alignment horizontal="center" vertical="center" wrapText="1"/>
    </xf>
    <xf numFmtId="0" fontId="28" fillId="0" borderId="0" xfId="0" applyFont="1" applyFill="1" applyAlignment="1">
      <alignment horizontal="center" vertical="center" textRotation="90" wrapText="1"/>
    </xf>
    <xf numFmtId="0" fontId="46" fillId="0" borderId="0" xfId="0" quotePrefix="1" applyFont="1" applyFill="1" applyBorder="1" applyAlignment="1">
      <alignment horizontal="center" vertical="distributed" wrapText="1"/>
    </xf>
    <xf numFmtId="0" fontId="46" fillId="0" borderId="11" xfId="0" quotePrefix="1" applyFont="1" applyFill="1" applyBorder="1" applyAlignment="1">
      <alignment horizontal="center" vertical="distributed" wrapText="1"/>
    </xf>
    <xf numFmtId="0" fontId="22" fillId="0" borderId="10" xfId="0" applyFont="1" applyFill="1" applyBorder="1" applyAlignment="1">
      <alignment horizontal="center"/>
    </xf>
    <xf numFmtId="0" fontId="22" fillId="0" borderId="0" xfId="0" applyFont="1" applyFill="1" applyAlignment="1">
      <alignment horizontal="center"/>
    </xf>
    <xf numFmtId="0" fontId="22" fillId="0" borderId="11" xfId="0" applyFont="1" applyFill="1" applyBorder="1" applyAlignment="1">
      <alignment horizontal="center"/>
    </xf>
    <xf numFmtId="0" fontId="28" fillId="0" borderId="10" xfId="0" applyFont="1" applyFill="1" applyBorder="1" applyAlignment="1">
      <alignment horizontal="center" vertical="center" textRotation="90" wrapText="1"/>
    </xf>
    <xf numFmtId="0" fontId="31" fillId="0" borderId="31" xfId="0" applyFont="1" applyBorder="1" applyAlignment="1">
      <alignment horizontal="center" vertical="center"/>
    </xf>
    <xf numFmtId="0" fontId="31" fillId="0" borderId="18" xfId="0" applyFont="1" applyBorder="1" applyAlignment="1">
      <alignment horizontal="center" vertical="center"/>
    </xf>
    <xf numFmtId="0" fontId="34" fillId="0" borderId="27" xfId="0" quotePrefix="1" applyFont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34" fillId="0" borderId="33" xfId="0" applyFont="1" applyBorder="1" applyAlignment="1">
      <alignment horizontal="center"/>
    </xf>
    <xf numFmtId="0" fontId="34" fillId="0" borderId="20" xfId="0" quotePrefix="1" applyFont="1" applyBorder="1" applyAlignment="1">
      <alignment horizontal="center" vertical="center" wrapText="1"/>
    </xf>
    <xf numFmtId="0" fontId="34" fillId="0" borderId="20" xfId="0" quotePrefix="1" applyFont="1" applyBorder="1" applyAlignment="1">
      <alignment horizontal="center"/>
    </xf>
    <xf numFmtId="0" fontId="34" fillId="0" borderId="33" xfId="0" quotePrefix="1" applyFont="1" applyBorder="1" applyAlignment="1">
      <alignment horizontal="center"/>
    </xf>
    <xf numFmtId="0" fontId="33" fillId="0" borderId="16" xfId="0" applyFont="1" applyFill="1" applyBorder="1" applyAlignment="1">
      <alignment horizontal="left" vertical="distributed"/>
    </xf>
    <xf numFmtId="0" fontId="22" fillId="0" borderId="15" xfId="0" applyFont="1" applyBorder="1" applyAlignment="1" applyProtection="1">
      <alignment horizontal="center" vertical="center" wrapText="1"/>
      <protection hidden="1"/>
    </xf>
    <xf numFmtId="0" fontId="22" fillId="0" borderId="15" xfId="0" applyFont="1" applyBorder="1" applyAlignment="1" applyProtection="1">
      <alignment horizontal="center" vertical="center"/>
      <protection hidden="1"/>
    </xf>
    <xf numFmtId="170" fontId="22" fillId="0" borderId="15" xfId="0" applyNumberFormat="1" applyFont="1" applyBorder="1" applyAlignment="1" applyProtection="1">
      <alignment horizontal="center" vertical="center" wrapText="1"/>
      <protection hidden="1"/>
    </xf>
    <xf numFmtId="170" fontId="22" fillId="0" borderId="15" xfId="0" applyNumberFormat="1" applyFont="1" applyBorder="1" applyAlignment="1" applyProtection="1">
      <alignment horizontal="center" vertical="center"/>
      <protection hidden="1"/>
    </xf>
    <xf numFmtId="0" fontId="22" fillId="0" borderId="15" xfId="0" applyFont="1" applyBorder="1" applyAlignment="1">
      <alignment horizontal="center" vertical="center" wrapText="1"/>
    </xf>
    <xf numFmtId="170" fontId="22" fillId="0" borderId="15" xfId="0" applyNumberFormat="1" applyFont="1" applyBorder="1" applyAlignment="1">
      <alignment horizontal="center" vertical="center" wrapText="1"/>
    </xf>
    <xf numFmtId="41" fontId="22" fillId="0" borderId="15" xfId="0" applyNumberFormat="1" applyFont="1" applyBorder="1" applyAlignment="1">
      <alignment horizontal="right" vertical="center" indent="1"/>
    </xf>
    <xf numFmtId="0" fontId="22" fillId="0" borderId="15" xfId="0" applyFont="1" applyFill="1" applyBorder="1" applyAlignment="1">
      <alignment horizontal="center" vertical="center"/>
    </xf>
    <xf numFmtId="0" fontId="22" fillId="0" borderId="15" xfId="0" applyFont="1" applyBorder="1" applyAlignment="1">
      <alignment horizontal="center" vertical="center"/>
    </xf>
    <xf numFmtId="170" fontId="22" fillId="0" borderId="15" xfId="0" applyNumberFormat="1" applyFont="1" applyBorder="1" applyAlignment="1">
      <alignment horizontal="center" vertical="center"/>
    </xf>
    <xf numFmtId="41" fontId="22" fillId="0" borderId="15" xfId="0" applyNumberFormat="1" applyFont="1" applyFill="1" applyBorder="1" applyAlignment="1">
      <alignment horizontal="right" vertical="center" indent="1"/>
    </xf>
    <xf numFmtId="0" fontId="0" fillId="0" borderId="0" xfId="0" applyBorder="1" applyAlignment="1">
      <alignment horizontal="center" vertical="center"/>
    </xf>
    <xf numFmtId="0" fontId="28" fillId="0" borderId="15" xfId="0" applyFont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8" fillId="0" borderId="27" xfId="0" applyFont="1" applyBorder="1" applyAlignment="1">
      <alignment horizontal="center" vertical="center"/>
    </xf>
    <xf numFmtId="0" fontId="28" fillId="0" borderId="33" xfId="0" applyFont="1" applyBorder="1" applyAlignment="1">
      <alignment horizontal="center" vertical="center"/>
    </xf>
    <xf numFmtId="41" fontId="22" fillId="0" borderId="27" xfId="0" applyNumberFormat="1" applyFont="1" applyBorder="1" applyAlignment="1" applyProtection="1">
      <alignment horizontal="right" vertical="center" indent="1"/>
      <protection hidden="1"/>
    </xf>
    <xf numFmtId="41" fontId="22" fillId="0" borderId="20" xfId="0" applyNumberFormat="1" applyFont="1" applyBorder="1" applyAlignment="1" applyProtection="1">
      <alignment horizontal="right" vertical="center" indent="1"/>
      <protection hidden="1"/>
    </xf>
    <xf numFmtId="41" fontId="22" fillId="0" borderId="33" xfId="0" applyNumberFormat="1" applyFont="1" applyBorder="1" applyAlignment="1" applyProtection="1">
      <alignment horizontal="right" vertical="center" indent="1"/>
      <protection hidden="1"/>
    </xf>
    <xf numFmtId="0" fontId="20" fillId="0" borderId="0" xfId="0" applyFont="1" applyFill="1" applyBorder="1" applyAlignment="1">
      <alignment horizontal="center" vertical="top" wrapText="1"/>
    </xf>
    <xf numFmtId="0" fontId="27" fillId="0" borderId="0" xfId="0" quotePrefix="1" applyFont="1" applyBorder="1" applyAlignment="1">
      <alignment horizontal="center" vertical="distributed" wrapText="1"/>
    </xf>
    <xf numFmtId="0" fontId="27" fillId="0" borderId="11" xfId="0" quotePrefix="1" applyFont="1" applyBorder="1" applyAlignment="1">
      <alignment horizontal="center" vertical="distributed" wrapText="1"/>
    </xf>
    <xf numFmtId="0" fontId="26" fillId="0" borderId="11" xfId="0" applyFont="1" applyFill="1" applyBorder="1" applyAlignment="1">
      <alignment horizontal="left" vertical="center" wrapText="1"/>
    </xf>
    <xf numFmtId="0" fontId="34" fillId="0" borderId="0" xfId="0" quotePrefix="1" applyFont="1" applyFill="1" applyBorder="1" applyAlignment="1">
      <alignment horizontal="center" vertical="distributed" wrapText="1"/>
    </xf>
    <xf numFmtId="0" fontId="22" fillId="0" borderId="0" xfId="0" applyFont="1" applyAlignment="1">
      <alignment horizontal="center" vertical="center" textRotation="90"/>
    </xf>
    <xf numFmtId="0" fontId="28" fillId="0" borderId="10" xfId="0" applyFont="1" applyFill="1" applyBorder="1" applyAlignment="1">
      <alignment horizontal="center" vertical="center" textRotation="90"/>
    </xf>
    <xf numFmtId="0" fontId="28" fillId="0" borderId="21" xfId="0" applyFont="1" applyFill="1" applyBorder="1" applyAlignment="1">
      <alignment horizontal="center" vertical="center" textRotation="90"/>
    </xf>
    <xf numFmtId="0" fontId="34" fillId="0" borderId="0" xfId="0" applyFont="1" applyBorder="1" applyAlignment="1">
      <alignment horizontal="center" vertical="top" wrapText="1"/>
    </xf>
    <xf numFmtId="0" fontId="34" fillId="0" borderId="0" xfId="0" applyFont="1" applyBorder="1" applyAlignment="1">
      <alignment horizontal="center" vertical="top"/>
    </xf>
    <xf numFmtId="0" fontId="0" fillId="0" borderId="31" xfId="0" applyFont="1" applyBorder="1" applyAlignment="1">
      <alignment horizontal="center" vertical="center" wrapText="1"/>
    </xf>
    <xf numFmtId="0" fontId="0" fillId="0" borderId="18" xfId="0" applyFont="1" applyBorder="1" applyAlignment="1">
      <alignment horizontal="center" vertical="center" wrapText="1"/>
    </xf>
    <xf numFmtId="0" fontId="0" fillId="0" borderId="27" xfId="0" applyFont="1" applyBorder="1" applyAlignment="1">
      <alignment horizontal="center" vertical="center" wrapText="1"/>
    </xf>
    <xf numFmtId="0" fontId="0" fillId="0" borderId="20" xfId="0" applyFont="1" applyBorder="1" applyAlignment="1">
      <alignment horizontal="center" vertical="center" wrapText="1"/>
    </xf>
    <xf numFmtId="0" fontId="0" fillId="0" borderId="33" xfId="0" applyFont="1" applyBorder="1" applyAlignment="1">
      <alignment horizontal="center" vertical="center" wrapText="1"/>
    </xf>
    <xf numFmtId="0" fontId="0" fillId="0" borderId="28" xfId="0" applyFont="1" applyBorder="1" applyAlignment="1">
      <alignment horizontal="center" vertical="center" wrapText="1"/>
    </xf>
    <xf numFmtId="0" fontId="26" fillId="0" borderId="0" xfId="0" applyFont="1" applyBorder="1" applyAlignment="1">
      <alignment horizontal="center" vertical="center" wrapText="1"/>
    </xf>
    <xf numFmtId="0" fontId="26" fillId="0" borderId="11" xfId="0" applyFont="1" applyBorder="1" applyAlignment="1">
      <alignment horizontal="center" vertical="center" wrapText="1"/>
    </xf>
    <xf numFmtId="0" fontId="33" fillId="0" borderId="16" xfId="0" applyFont="1" applyBorder="1" applyAlignment="1">
      <alignment horizontal="left" vertical="distributed"/>
    </xf>
    <xf numFmtId="0" fontId="34" fillId="0" borderId="27" xfId="0" quotePrefix="1" applyFont="1" applyBorder="1" applyAlignment="1">
      <alignment horizontal="center" vertical="center" wrapText="1"/>
    </xf>
    <xf numFmtId="0" fontId="34" fillId="0" borderId="20" xfId="0" applyFont="1" applyBorder="1" applyAlignment="1">
      <alignment horizontal="center" vertical="center" wrapText="1"/>
    </xf>
    <xf numFmtId="0" fontId="34" fillId="0" borderId="33" xfId="0" quotePrefix="1" applyFont="1" applyBorder="1" applyAlignment="1">
      <alignment horizontal="center" vertical="center" wrapText="1"/>
    </xf>
    <xf numFmtId="0" fontId="31" fillId="0" borderId="15" xfId="0" applyFont="1" applyBorder="1" applyAlignment="1">
      <alignment horizontal="left" vertical="center"/>
    </xf>
    <xf numFmtId="9" fontId="22" fillId="0" borderId="15" xfId="0" applyNumberFormat="1" applyFont="1" applyBorder="1" applyAlignment="1" applyProtection="1">
      <alignment horizontal="center" vertical="center" wrapText="1"/>
      <protection hidden="1"/>
    </xf>
    <xf numFmtId="0" fontId="28" fillId="0" borderId="15" xfId="0" applyFont="1" applyBorder="1" applyAlignment="1">
      <alignment horizontal="center" vertical="center" wrapText="1"/>
    </xf>
    <xf numFmtId="0" fontId="31" fillId="0" borderId="15" xfId="0" applyFont="1" applyBorder="1" applyAlignment="1">
      <alignment horizontal="left" vertical="center" wrapText="1"/>
    </xf>
    <xf numFmtId="0" fontId="31" fillId="0" borderId="15" xfId="0" applyFont="1" applyFill="1" applyBorder="1" applyAlignment="1">
      <alignment horizontal="left" vertical="center" wrapText="1"/>
    </xf>
    <xf numFmtId="0" fontId="31" fillId="0" borderId="29" xfId="0" applyFont="1" applyBorder="1" applyAlignment="1">
      <alignment horizontal="center" vertical="center" wrapText="1"/>
    </xf>
    <xf numFmtId="0" fontId="31" fillId="0" borderId="17" xfId="0" applyFont="1" applyBorder="1" applyAlignment="1">
      <alignment horizontal="center" vertical="center" wrapText="1"/>
    </xf>
    <xf numFmtId="0" fontId="31" fillId="0" borderId="30" xfId="0" applyFont="1" applyBorder="1" applyAlignment="1">
      <alignment horizontal="center" vertical="center" wrapText="1"/>
    </xf>
    <xf numFmtId="0" fontId="28" fillId="0" borderId="20" xfId="0" applyFont="1" applyBorder="1" applyAlignment="1">
      <alignment horizontal="center" vertical="center"/>
    </xf>
    <xf numFmtId="41" fontId="28" fillId="0" borderId="27" xfId="0" applyNumberFormat="1" applyFont="1" applyBorder="1" applyAlignment="1">
      <alignment horizontal="center" vertical="center"/>
    </xf>
    <xf numFmtId="0" fontId="28" fillId="0" borderId="27" xfId="0" applyFont="1" applyFill="1" applyBorder="1" applyAlignment="1">
      <alignment horizontal="center" vertical="center"/>
    </xf>
    <xf numFmtId="0" fontId="28" fillId="0" borderId="33" xfId="0" applyFont="1" applyFill="1" applyBorder="1" applyAlignment="1">
      <alignment horizontal="center" vertical="center"/>
    </xf>
    <xf numFmtId="41" fontId="22" fillId="25" borderId="27" xfId="0" applyNumberFormat="1" applyFont="1" applyFill="1" applyBorder="1" applyAlignment="1" applyProtection="1">
      <alignment horizontal="right" vertical="center" indent="1"/>
      <protection hidden="1"/>
    </xf>
    <xf numFmtId="0" fontId="22" fillId="25" borderId="20" xfId="0" applyFont="1" applyFill="1" applyBorder="1" applyAlignment="1" applyProtection="1">
      <alignment horizontal="right" vertical="center" indent="1"/>
      <protection hidden="1"/>
    </xf>
    <xf numFmtId="0" fontId="22" fillId="25" borderId="33" xfId="0" applyFont="1" applyFill="1" applyBorder="1" applyAlignment="1" applyProtection="1">
      <alignment horizontal="right" vertical="center" indent="1"/>
      <protection hidden="1"/>
    </xf>
    <xf numFmtId="0" fontId="28" fillId="0" borderId="31" xfId="0" quotePrefix="1" applyFont="1" applyBorder="1" applyAlignment="1">
      <alignment horizontal="center" vertical="center" wrapText="1"/>
    </xf>
    <xf numFmtId="0" fontId="28" fillId="0" borderId="28" xfId="0" quotePrefix="1" applyFont="1" applyBorder="1" applyAlignment="1">
      <alignment horizontal="center" vertical="center" wrapText="1"/>
    </xf>
    <xf numFmtId="0" fontId="28" fillId="0" borderId="29" xfId="0" quotePrefix="1" applyFont="1" applyBorder="1" applyAlignment="1">
      <alignment horizontal="center" vertical="center" wrapText="1"/>
    </xf>
    <xf numFmtId="0" fontId="28" fillId="0" borderId="30" xfId="0" quotePrefix="1" applyFont="1" applyBorder="1" applyAlignment="1">
      <alignment horizontal="center" vertical="center" wrapText="1"/>
    </xf>
    <xf numFmtId="0" fontId="22" fillId="0" borderId="27" xfId="0" quotePrefix="1" applyFont="1" applyBorder="1" applyAlignment="1" applyProtection="1">
      <alignment horizontal="center" vertical="center" wrapText="1"/>
      <protection hidden="1"/>
    </xf>
    <xf numFmtId="0" fontId="22" fillId="0" borderId="20" xfId="0" quotePrefix="1" applyFont="1" applyBorder="1" applyAlignment="1" applyProtection="1">
      <alignment horizontal="center" vertical="center" wrapText="1"/>
      <protection hidden="1"/>
    </xf>
    <xf numFmtId="0" fontId="22" fillId="0" borderId="33" xfId="0" quotePrefix="1" applyFont="1" applyBorder="1" applyAlignment="1" applyProtection="1">
      <alignment horizontal="center" vertical="center" wrapText="1"/>
      <protection hidden="1"/>
    </xf>
    <xf numFmtId="41" fontId="22" fillId="0" borderId="31" xfId="0" quotePrefix="1" applyNumberFormat="1" applyFont="1" applyBorder="1" applyAlignment="1" applyProtection="1">
      <alignment horizontal="right" vertical="center" indent="1"/>
      <protection hidden="1"/>
    </xf>
    <xf numFmtId="41" fontId="22" fillId="0" borderId="18" xfId="0" quotePrefix="1" applyNumberFormat="1" applyFont="1" applyBorder="1" applyAlignment="1" applyProtection="1">
      <alignment horizontal="right" vertical="center" indent="1"/>
      <protection hidden="1"/>
    </xf>
    <xf numFmtId="41" fontId="22" fillId="0" borderId="28" xfId="0" quotePrefix="1" applyNumberFormat="1" applyFont="1" applyBorder="1" applyAlignment="1" applyProtection="1">
      <alignment horizontal="right" vertical="center" indent="1"/>
      <protection hidden="1"/>
    </xf>
    <xf numFmtId="41" fontId="22" fillId="0" borderId="29" xfId="0" quotePrefix="1" applyNumberFormat="1" applyFont="1" applyBorder="1" applyAlignment="1" applyProtection="1">
      <alignment horizontal="right" vertical="center" indent="1"/>
      <protection hidden="1"/>
    </xf>
    <xf numFmtId="41" fontId="22" fillId="0" borderId="17" xfId="0" quotePrefix="1" applyNumberFormat="1" applyFont="1" applyBorder="1" applyAlignment="1" applyProtection="1">
      <alignment horizontal="right" vertical="center" indent="1"/>
      <protection hidden="1"/>
    </xf>
    <xf numFmtId="41" fontId="22" fillId="0" borderId="30" xfId="0" quotePrefix="1" applyNumberFormat="1" applyFont="1" applyBorder="1" applyAlignment="1" applyProtection="1">
      <alignment horizontal="right" vertical="center" indent="1"/>
      <protection hidden="1"/>
    </xf>
    <xf numFmtId="0" fontId="22" fillId="0" borderId="27" xfId="0" quotePrefix="1" applyNumberFormat="1" applyFont="1" applyBorder="1" applyAlignment="1" applyProtection="1">
      <alignment horizontal="center" vertical="center" wrapText="1"/>
      <protection hidden="1"/>
    </xf>
    <xf numFmtId="0" fontId="22" fillId="0" borderId="20" xfId="0" quotePrefix="1" applyNumberFormat="1" applyFont="1" applyBorder="1" applyAlignment="1" applyProtection="1">
      <alignment horizontal="center" vertical="center" wrapText="1"/>
      <protection hidden="1"/>
    </xf>
    <xf numFmtId="0" fontId="22" fillId="0" borderId="33" xfId="0" quotePrefix="1" applyNumberFormat="1" applyFont="1" applyBorder="1" applyAlignment="1" applyProtection="1">
      <alignment horizontal="center" vertical="center" wrapText="1"/>
      <protection hidden="1"/>
    </xf>
    <xf numFmtId="0" fontId="22" fillId="0" borderId="27" xfId="0" quotePrefix="1" applyFont="1" applyBorder="1" applyAlignment="1">
      <alignment horizontal="center" vertical="center" wrapText="1"/>
    </xf>
    <xf numFmtId="0" fontId="22" fillId="0" borderId="20" xfId="0" quotePrefix="1" applyFont="1" applyBorder="1" applyAlignment="1">
      <alignment horizontal="center" vertical="center" wrapText="1"/>
    </xf>
    <xf numFmtId="0" fontId="22" fillId="0" borderId="33" xfId="0" quotePrefix="1" applyFont="1" applyBorder="1" applyAlignment="1">
      <alignment horizontal="center" vertical="center" wrapText="1"/>
    </xf>
    <xf numFmtId="41" fontId="22" fillId="0" borderId="31" xfId="0" quotePrefix="1" applyNumberFormat="1" applyFont="1" applyBorder="1" applyAlignment="1">
      <alignment horizontal="right" vertical="center" indent="1"/>
    </xf>
    <xf numFmtId="41" fontId="22" fillId="0" borderId="18" xfId="0" quotePrefix="1" applyNumberFormat="1" applyFont="1" applyBorder="1" applyAlignment="1">
      <alignment horizontal="right" vertical="center" indent="1"/>
    </xf>
    <xf numFmtId="41" fontId="22" fillId="0" borderId="28" xfId="0" quotePrefix="1" applyNumberFormat="1" applyFont="1" applyBorder="1" applyAlignment="1">
      <alignment horizontal="right" vertical="center" indent="1"/>
    </xf>
    <xf numFmtId="41" fontId="22" fillId="0" borderId="29" xfId="0" quotePrefix="1" applyNumberFormat="1" applyFont="1" applyBorder="1" applyAlignment="1">
      <alignment horizontal="right" vertical="center" indent="1"/>
    </xf>
    <xf numFmtId="41" fontId="22" fillId="0" borderId="17" xfId="0" quotePrefix="1" applyNumberFormat="1" applyFont="1" applyBorder="1" applyAlignment="1">
      <alignment horizontal="right" vertical="center" indent="1"/>
    </xf>
    <xf numFmtId="41" fontId="22" fillId="0" borderId="30" xfId="0" quotePrefix="1" applyNumberFormat="1" applyFont="1" applyBorder="1" applyAlignment="1">
      <alignment horizontal="right" vertical="center" indent="1"/>
    </xf>
    <xf numFmtId="0" fontId="28" fillId="0" borderId="31" xfId="0" applyFont="1" applyBorder="1" applyAlignment="1">
      <alignment horizontal="center" vertical="center" wrapText="1"/>
    </xf>
    <xf numFmtId="0" fontId="28" fillId="0" borderId="28" xfId="0" applyFont="1" applyBorder="1" applyAlignment="1">
      <alignment horizontal="center" vertical="center" wrapText="1"/>
    </xf>
    <xf numFmtId="0" fontId="28" fillId="0" borderId="29" xfId="0" applyFont="1" applyBorder="1" applyAlignment="1">
      <alignment horizontal="center" vertical="center" wrapText="1"/>
    </xf>
    <xf numFmtId="0" fontId="28" fillId="0" borderId="30" xfId="0" applyFont="1" applyBorder="1" applyAlignment="1">
      <alignment horizontal="center" vertical="center" wrapText="1"/>
    </xf>
    <xf numFmtId="41" fontId="22" fillId="0" borderId="31" xfId="0" applyNumberFormat="1" applyFont="1" applyBorder="1" applyAlignment="1">
      <alignment horizontal="right" vertical="center" indent="1"/>
    </xf>
    <xf numFmtId="41" fontId="22" fillId="0" borderId="18" xfId="0" applyNumberFormat="1" applyFont="1" applyBorder="1" applyAlignment="1">
      <alignment horizontal="right" vertical="center" indent="1"/>
    </xf>
    <xf numFmtId="41" fontId="22" fillId="0" borderId="28" xfId="0" applyNumberFormat="1" applyFont="1" applyBorder="1" applyAlignment="1">
      <alignment horizontal="right" vertical="center" indent="1"/>
    </xf>
    <xf numFmtId="41" fontId="22" fillId="0" borderId="29" xfId="0" applyNumberFormat="1" applyFont="1" applyBorder="1" applyAlignment="1">
      <alignment horizontal="right" vertical="center" indent="1"/>
    </xf>
    <xf numFmtId="41" fontId="22" fillId="0" borderId="17" xfId="0" applyNumberFormat="1" applyFont="1" applyBorder="1" applyAlignment="1">
      <alignment horizontal="right" vertical="center" indent="1"/>
    </xf>
    <xf numFmtId="41" fontId="22" fillId="0" borderId="30" xfId="0" applyNumberFormat="1" applyFont="1" applyBorder="1" applyAlignment="1">
      <alignment horizontal="right" vertical="center" indent="1"/>
    </xf>
    <xf numFmtId="0" fontId="28" fillId="0" borderId="31" xfId="0" applyFont="1" applyBorder="1" applyAlignment="1">
      <alignment horizontal="center" vertical="center"/>
    </xf>
    <xf numFmtId="0" fontId="28" fillId="0" borderId="28" xfId="0" applyFont="1" applyBorder="1" applyAlignment="1">
      <alignment horizontal="center" vertical="center"/>
    </xf>
    <xf numFmtId="0" fontId="28" fillId="0" borderId="29" xfId="0" applyFont="1" applyBorder="1" applyAlignment="1">
      <alignment horizontal="center" vertical="center"/>
    </xf>
    <xf numFmtId="0" fontId="28" fillId="0" borderId="30" xfId="0" applyFont="1" applyBorder="1" applyAlignment="1">
      <alignment horizontal="center" vertical="center"/>
    </xf>
    <xf numFmtId="0" fontId="0" fillId="0" borderId="27" xfId="0" applyFont="1" applyBorder="1" applyAlignment="1">
      <alignment horizontal="center" vertical="center"/>
    </xf>
    <xf numFmtId="0" fontId="0" fillId="0" borderId="20" xfId="0" applyFont="1" applyBorder="1" applyAlignment="1">
      <alignment horizontal="center" vertical="center"/>
    </xf>
    <xf numFmtId="0" fontId="0" fillId="0" borderId="33" xfId="0" applyFont="1" applyBorder="1" applyAlignment="1">
      <alignment horizontal="center" vertical="center"/>
    </xf>
    <xf numFmtId="0" fontId="28" fillId="26" borderId="27" xfId="0" applyFont="1" applyFill="1" applyBorder="1" applyAlignment="1">
      <alignment horizontal="center" vertical="center"/>
    </xf>
    <xf numFmtId="0" fontId="28" fillId="26" borderId="20" xfId="0" applyFont="1" applyFill="1" applyBorder="1" applyAlignment="1">
      <alignment horizontal="center" vertical="center"/>
    </xf>
    <xf numFmtId="0" fontId="28" fillId="26" borderId="33" xfId="0" applyFont="1" applyFill="1" applyBorder="1" applyAlignment="1">
      <alignment horizontal="center" vertical="center"/>
    </xf>
    <xf numFmtId="0" fontId="22" fillId="0" borderId="33" xfId="0" applyFont="1" applyBorder="1" applyAlignment="1">
      <alignment horizontal="center" vertical="center"/>
    </xf>
    <xf numFmtId="165" fontId="22" fillId="0" borderId="27" xfId="0" applyNumberFormat="1" applyFont="1" applyBorder="1" applyAlignment="1" applyProtection="1">
      <alignment horizontal="right" vertical="center" indent="1"/>
      <protection hidden="1"/>
    </xf>
    <xf numFmtId="165" fontId="22" fillId="0" borderId="20" xfId="0" applyNumberFormat="1" applyFont="1" applyBorder="1" applyAlignment="1" applyProtection="1">
      <alignment horizontal="right" vertical="center" indent="1"/>
      <protection hidden="1"/>
    </xf>
    <xf numFmtId="165" fontId="22" fillId="0" borderId="33" xfId="0" applyNumberFormat="1" applyFont="1" applyBorder="1" applyAlignment="1" applyProtection="1">
      <alignment horizontal="right" vertical="center" indent="1"/>
      <protection hidden="1"/>
    </xf>
    <xf numFmtId="0" fontId="0" fillId="0" borderId="27" xfId="0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31" fillId="0" borderId="27" xfId="0" applyFont="1" applyBorder="1" applyAlignment="1">
      <alignment horizontal="left" vertical="center"/>
    </xf>
    <xf numFmtId="0" fontId="31" fillId="0" borderId="20" xfId="0" applyFont="1" applyBorder="1" applyAlignment="1">
      <alignment horizontal="left" vertical="center"/>
    </xf>
    <xf numFmtId="0" fontId="31" fillId="0" borderId="33" xfId="0" applyFont="1" applyBorder="1" applyAlignment="1">
      <alignment horizontal="left" vertical="center"/>
    </xf>
    <xf numFmtId="0" fontId="31" fillId="0" borderId="27" xfId="0" applyFont="1" applyBorder="1" applyAlignment="1">
      <alignment horizontal="left" vertical="center" wrapText="1"/>
    </xf>
    <xf numFmtId="0" fontId="31" fillId="0" borderId="20" xfId="0" applyFont="1" applyBorder="1" applyAlignment="1">
      <alignment horizontal="left" vertical="center" wrapText="1"/>
    </xf>
    <xf numFmtId="0" fontId="31" fillId="0" borderId="33" xfId="0" applyFont="1" applyBorder="1" applyAlignment="1">
      <alignment horizontal="left" vertical="center" wrapText="1"/>
    </xf>
    <xf numFmtId="0" fontId="26" fillId="0" borderId="37" xfId="0" applyFont="1" applyBorder="1" applyAlignment="1">
      <alignment horizontal="center" vertical="center"/>
    </xf>
    <xf numFmtId="0" fontId="26" fillId="0" borderId="38" xfId="0" applyFont="1" applyBorder="1" applyAlignment="1">
      <alignment horizontal="center" vertical="center"/>
    </xf>
    <xf numFmtId="0" fontId="26" fillId="0" borderId="39" xfId="0" applyFont="1" applyBorder="1" applyAlignment="1">
      <alignment horizontal="center" vertical="center"/>
    </xf>
    <xf numFmtId="0" fontId="26" fillId="0" borderId="40" xfId="0" applyFont="1" applyBorder="1" applyAlignment="1">
      <alignment horizontal="center" vertical="center"/>
    </xf>
    <xf numFmtId="0" fontId="26" fillId="0" borderId="41" xfId="0" applyFont="1" applyBorder="1" applyAlignment="1">
      <alignment horizontal="center" vertical="center"/>
    </xf>
    <xf numFmtId="0" fontId="26" fillId="0" borderId="42" xfId="0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20" fillId="0" borderId="23" xfId="0" applyFont="1" applyBorder="1" applyAlignment="1">
      <alignment horizontal="center" vertical="center"/>
    </xf>
    <xf numFmtId="0" fontId="20" fillId="0" borderId="32" xfId="0" applyFont="1" applyBorder="1" applyAlignment="1">
      <alignment horizontal="center" vertical="center"/>
    </xf>
    <xf numFmtId="0" fontId="20" fillId="0" borderId="24" xfId="0" applyFont="1" applyBorder="1" applyAlignment="1">
      <alignment horizontal="center" vertical="center"/>
    </xf>
    <xf numFmtId="0" fontId="20" fillId="0" borderId="22" xfId="0" applyFont="1" applyBorder="1" applyAlignment="1">
      <alignment horizontal="center" vertical="center"/>
    </xf>
    <xf numFmtId="0" fontId="28" fillId="25" borderId="27" xfId="0" applyFont="1" applyFill="1" applyBorder="1" applyAlignment="1">
      <alignment horizontal="center" vertical="center" wrapText="1"/>
    </xf>
    <xf numFmtId="0" fontId="28" fillId="25" borderId="33" xfId="0" applyFont="1" applyFill="1" applyBorder="1" applyAlignment="1">
      <alignment horizontal="center" vertical="center" wrapText="1"/>
    </xf>
    <xf numFmtId="41" fontId="22" fillId="25" borderId="27" xfId="28" applyFont="1" applyFill="1" applyBorder="1" applyAlignment="1" applyProtection="1">
      <alignment horizontal="right" vertical="center" indent="1"/>
      <protection hidden="1"/>
    </xf>
    <xf numFmtId="41" fontId="22" fillId="25" borderId="20" xfId="28" applyFont="1" applyFill="1" applyBorder="1" applyAlignment="1" applyProtection="1">
      <alignment horizontal="right" vertical="center" indent="1"/>
      <protection hidden="1"/>
    </xf>
    <xf numFmtId="41" fontId="22" fillId="25" borderId="33" xfId="28" applyFont="1" applyFill="1" applyBorder="1" applyAlignment="1" applyProtection="1">
      <alignment horizontal="right" vertical="center" indent="1"/>
      <protection hidden="1"/>
    </xf>
    <xf numFmtId="0" fontId="22" fillId="0" borderId="10" xfId="0" applyFont="1" applyBorder="1" applyAlignment="1">
      <alignment vertical="center" textRotation="90"/>
    </xf>
    <xf numFmtId="0" fontId="25" fillId="25" borderId="15" xfId="0" quotePrefix="1" applyFont="1" applyFill="1" applyBorder="1" applyAlignment="1" applyProtection="1">
      <alignment horizontal="center" vertical="distributed"/>
      <protection hidden="1"/>
    </xf>
    <xf numFmtId="0" fontId="28" fillId="0" borderId="0" xfId="0" applyFont="1" applyAlignment="1">
      <alignment horizontal="justify" vertical="center" wrapText="1"/>
    </xf>
    <xf numFmtId="0" fontId="42" fillId="0" borderId="10" xfId="0" applyFont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42" fillId="0" borderId="11" xfId="0" applyFont="1" applyBorder="1" applyAlignment="1">
      <alignment horizontal="center" vertical="center"/>
    </xf>
    <xf numFmtId="0" fontId="42" fillId="0" borderId="21" xfId="0" applyFont="1" applyBorder="1" applyAlignment="1">
      <alignment horizontal="center" vertical="center"/>
    </xf>
    <xf numFmtId="0" fontId="42" fillId="0" borderId="12" xfId="0" applyFont="1" applyBorder="1" applyAlignment="1">
      <alignment horizontal="center" vertical="center"/>
    </xf>
    <xf numFmtId="0" fontId="42" fillId="0" borderId="13" xfId="0" applyFont="1" applyBorder="1" applyAlignment="1">
      <alignment horizontal="center" vertical="center"/>
    </xf>
    <xf numFmtId="0" fontId="28" fillId="0" borderId="14" xfId="0" applyFont="1" applyBorder="1" applyAlignment="1">
      <alignment horizontal="justify" vertical="center" wrapText="1"/>
    </xf>
    <xf numFmtId="0" fontId="28" fillId="0" borderId="0" xfId="0" applyFont="1" applyAlignment="1">
      <alignment horizontal="justify" vertical="center"/>
    </xf>
    <xf numFmtId="0" fontId="34" fillId="0" borderId="0" xfId="0" applyFont="1" applyBorder="1" applyAlignment="1">
      <alignment horizontal="center" vertical="distributed" wrapText="1"/>
    </xf>
    <xf numFmtId="0" fontId="34" fillId="0" borderId="0" xfId="0" quotePrefix="1" applyFont="1" applyBorder="1" applyAlignment="1">
      <alignment horizontal="center" vertical="distributed" wrapText="1"/>
    </xf>
    <xf numFmtId="0" fontId="22" fillId="0" borderId="0" xfId="0" applyFont="1" applyAlignment="1">
      <alignment horizontal="left" vertical="center" textRotation="90" wrapText="1"/>
    </xf>
    <xf numFmtId="0" fontId="46" fillId="0" borderId="0" xfId="0" applyFont="1" applyBorder="1" applyAlignment="1">
      <alignment horizontal="center" vertical="distributed" wrapText="1"/>
    </xf>
    <xf numFmtId="0" fontId="46" fillId="0" borderId="11" xfId="0" applyFont="1" applyBorder="1" applyAlignment="1">
      <alignment horizontal="center" vertical="distributed" wrapText="1"/>
    </xf>
    <xf numFmtId="0" fontId="22" fillId="0" borderId="10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2" fillId="0" borderId="11" xfId="0" applyFont="1" applyBorder="1" applyAlignment="1">
      <alignment horizontal="center"/>
    </xf>
    <xf numFmtId="0" fontId="33" fillId="0" borderId="0" xfId="0" applyFont="1" applyBorder="1" applyAlignment="1">
      <alignment horizontal="center" vertical="distributed"/>
    </xf>
    <xf numFmtId="0" fontId="33" fillId="0" borderId="16" xfId="0" applyFont="1" applyBorder="1" applyAlignment="1">
      <alignment horizontal="center" vertical="distributed"/>
    </xf>
    <xf numFmtId="0" fontId="33" fillId="0" borderId="22" xfId="0" applyFont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 wrapText="1"/>
    </xf>
    <xf numFmtId="0" fontId="34" fillId="0" borderId="27" xfId="0" quotePrefix="1" applyFont="1" applyBorder="1" applyAlignment="1">
      <alignment horizontal="center" vertical="top" wrapText="1"/>
    </xf>
    <xf numFmtId="0" fontId="34" fillId="0" borderId="20" xfId="0" quotePrefix="1" applyFont="1" applyBorder="1" applyAlignment="1">
      <alignment horizontal="center" vertical="top" wrapText="1"/>
    </xf>
    <xf numFmtId="0" fontId="34" fillId="0" borderId="33" xfId="0" quotePrefix="1" applyFont="1" applyBorder="1" applyAlignment="1">
      <alignment horizontal="center" vertical="top" wrapText="1"/>
    </xf>
    <xf numFmtId="0" fontId="20" fillId="0" borderId="15" xfId="0" applyFont="1" applyBorder="1" applyAlignment="1" applyProtection="1">
      <alignment horizontal="left" vertical="center" wrapText="1"/>
      <protection hidden="1"/>
    </xf>
    <xf numFmtId="41" fontId="22" fillId="0" borderId="15" xfId="0" applyNumberFormat="1" applyFont="1" applyFill="1" applyBorder="1" applyAlignment="1" applyProtection="1">
      <alignment horizontal="right" vertical="center" indent="1"/>
      <protection hidden="1"/>
    </xf>
    <xf numFmtId="0" fontId="20" fillId="0" borderId="27" xfId="0" applyFont="1" applyBorder="1" applyAlignment="1" applyProtection="1">
      <alignment horizontal="left" vertical="center" wrapText="1"/>
      <protection hidden="1"/>
    </xf>
    <xf numFmtId="0" fontId="20" fillId="0" borderId="20" xfId="0" applyFont="1" applyBorder="1" applyAlignment="1" applyProtection="1">
      <alignment horizontal="left" vertical="center" wrapText="1"/>
      <protection hidden="1"/>
    </xf>
    <xf numFmtId="0" fontId="20" fillId="0" borderId="33" xfId="0" applyFont="1" applyBorder="1" applyAlignment="1" applyProtection="1">
      <alignment horizontal="left" vertical="center" wrapText="1"/>
      <protection hidden="1"/>
    </xf>
    <xf numFmtId="0" fontId="20" fillId="0" borderId="27" xfId="0" applyFont="1" applyBorder="1" applyAlignment="1">
      <alignment horizontal="left" vertical="center" wrapText="1"/>
    </xf>
    <xf numFmtId="0" fontId="20" fillId="0" borderId="20" xfId="0" applyFont="1" applyBorder="1" applyAlignment="1">
      <alignment horizontal="left" vertical="center" wrapText="1"/>
    </xf>
    <xf numFmtId="0" fontId="20" fillId="0" borderId="33" xfId="0" applyFont="1" applyBorder="1" applyAlignment="1">
      <alignment horizontal="left" vertical="center" wrapText="1"/>
    </xf>
    <xf numFmtId="0" fontId="20" fillId="0" borderId="27" xfId="0" applyFont="1" applyBorder="1" applyAlignment="1">
      <alignment horizontal="left" vertical="center"/>
    </xf>
    <xf numFmtId="0" fontId="20" fillId="0" borderId="20" xfId="0" applyFont="1" applyBorder="1" applyAlignment="1">
      <alignment horizontal="left" vertical="center"/>
    </xf>
    <xf numFmtId="0" fontId="20" fillId="0" borderId="33" xfId="0" applyFont="1" applyBorder="1" applyAlignment="1">
      <alignment horizontal="left" vertical="center"/>
    </xf>
    <xf numFmtId="0" fontId="22" fillId="26" borderId="15" xfId="0" applyFont="1" applyFill="1" applyBorder="1" applyAlignment="1">
      <alignment horizontal="right" vertical="center" indent="1"/>
    </xf>
    <xf numFmtId="0" fontId="20" fillId="0" borderId="27" xfId="0" applyFont="1" applyBorder="1" applyAlignment="1" applyProtection="1">
      <alignment horizontal="left" vertical="center"/>
      <protection hidden="1"/>
    </xf>
    <xf numFmtId="0" fontId="20" fillId="0" borderId="20" xfId="0" applyFont="1" applyBorder="1" applyAlignment="1" applyProtection="1">
      <alignment horizontal="left" vertical="center"/>
      <protection hidden="1"/>
    </xf>
    <xf numFmtId="0" fontId="20" fillId="0" borderId="33" xfId="0" applyFont="1" applyBorder="1" applyAlignment="1" applyProtection="1">
      <alignment horizontal="left" vertical="center"/>
      <protection hidden="1"/>
    </xf>
    <xf numFmtId="0" fontId="20" fillId="0" borderId="27" xfId="0" applyFont="1" applyFill="1" applyBorder="1" applyAlignment="1" applyProtection="1">
      <alignment horizontal="left" vertical="center" wrapText="1"/>
      <protection hidden="1"/>
    </xf>
    <xf numFmtId="0" fontId="20" fillId="0" borderId="20" xfId="0" applyFont="1" applyFill="1" applyBorder="1" applyAlignment="1" applyProtection="1">
      <alignment horizontal="left" vertical="center" wrapText="1"/>
      <protection hidden="1"/>
    </xf>
    <xf numFmtId="0" fontId="20" fillId="0" borderId="33" xfId="0" applyFont="1" applyFill="1" applyBorder="1" applyAlignment="1" applyProtection="1">
      <alignment horizontal="left" vertical="center" wrapText="1"/>
      <protection hidden="1"/>
    </xf>
    <xf numFmtId="0" fontId="20" fillId="0" borderId="15" xfId="0" applyFont="1" applyBorder="1" applyAlignment="1">
      <alignment horizontal="left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28" xfId="0" applyBorder="1" applyAlignment="1">
      <alignment horizontal="center" vertical="center" wrapText="1"/>
    </xf>
    <xf numFmtId="0" fontId="22" fillId="26" borderId="27" xfId="0" applyFont="1" applyFill="1" applyBorder="1" applyAlignment="1">
      <alignment horizontal="right" vertical="center" indent="1"/>
    </xf>
    <xf numFmtId="0" fontId="22" fillId="26" borderId="20" xfId="0" applyFont="1" applyFill="1" applyBorder="1" applyAlignment="1">
      <alignment horizontal="right" vertical="center" indent="1"/>
    </xf>
    <xf numFmtId="0" fontId="22" fillId="26" borderId="33" xfId="0" applyFont="1" applyFill="1" applyBorder="1" applyAlignment="1">
      <alignment horizontal="right" vertical="center" indent="1"/>
    </xf>
    <xf numFmtId="0" fontId="31" fillId="0" borderId="27" xfId="0" applyFont="1" applyBorder="1" applyAlignment="1" applyProtection="1">
      <alignment horizontal="left" vertical="center" wrapText="1"/>
      <protection hidden="1"/>
    </xf>
    <xf numFmtId="0" fontId="31" fillId="0" borderId="20" xfId="0" applyFont="1" applyBorder="1" applyAlignment="1" applyProtection="1">
      <alignment horizontal="left" vertical="center" wrapText="1"/>
      <protection hidden="1"/>
    </xf>
    <xf numFmtId="0" fontId="31" fillId="0" borderId="33" xfId="0" applyFont="1" applyBorder="1" applyAlignment="1" applyProtection="1">
      <alignment horizontal="left" vertical="center" wrapText="1"/>
      <protection hidden="1"/>
    </xf>
    <xf numFmtId="0" fontId="31" fillId="0" borderId="18" xfId="0" applyFont="1" applyFill="1" applyBorder="1" applyAlignment="1">
      <alignment horizontal="left" vertical="center"/>
    </xf>
    <xf numFmtId="0" fontId="31" fillId="0" borderId="28" xfId="0" applyFont="1" applyFill="1" applyBorder="1" applyAlignment="1">
      <alignment horizontal="left" vertical="center"/>
    </xf>
    <xf numFmtId="0" fontId="31" fillId="0" borderId="0" xfId="0" applyFont="1" applyFill="1" applyBorder="1" applyAlignment="1">
      <alignment horizontal="left" vertical="center"/>
    </xf>
    <xf numFmtId="0" fontId="31" fillId="0" borderId="16" xfId="0" applyFont="1" applyFill="1" applyBorder="1" applyAlignment="1">
      <alignment horizontal="left" vertical="center"/>
    </xf>
    <xf numFmtId="0" fontId="31" fillId="0" borderId="17" xfId="0" applyFont="1" applyFill="1" applyBorder="1" applyAlignment="1">
      <alignment horizontal="left" vertical="center"/>
    </xf>
    <xf numFmtId="0" fontId="31" fillId="0" borderId="30" xfId="0" applyFont="1" applyFill="1" applyBorder="1" applyAlignment="1">
      <alignment horizontal="left" vertical="center"/>
    </xf>
    <xf numFmtId="0" fontId="20" fillId="0" borderId="31" xfId="0" applyFont="1" applyBorder="1" applyAlignment="1">
      <alignment horizontal="center" vertical="top"/>
    </xf>
    <xf numFmtId="0" fontId="20" fillId="0" borderId="18" xfId="0" applyFont="1" applyBorder="1" applyAlignment="1">
      <alignment horizontal="center" vertical="top"/>
    </xf>
    <xf numFmtId="0" fontId="20" fillId="0" borderId="28" xfId="0" applyFont="1" applyBorder="1" applyAlignment="1">
      <alignment horizontal="center" vertical="top"/>
    </xf>
    <xf numFmtId="0" fontId="20" fillId="0" borderId="29" xfId="0" applyFont="1" applyBorder="1" applyAlignment="1">
      <alignment horizontal="center" vertical="top"/>
    </xf>
    <xf numFmtId="0" fontId="20" fillId="0" borderId="17" xfId="0" applyFont="1" applyBorder="1" applyAlignment="1">
      <alignment horizontal="center" vertical="top"/>
    </xf>
    <xf numFmtId="0" fontId="20" fillId="0" borderId="30" xfId="0" applyFont="1" applyBorder="1" applyAlignment="1">
      <alignment horizontal="center" vertical="top"/>
    </xf>
    <xf numFmtId="41" fontId="22" fillId="0" borderId="31" xfId="0" applyNumberFormat="1" applyFont="1" applyBorder="1" applyAlignment="1" applyProtection="1">
      <alignment horizontal="right" vertical="center" indent="1"/>
      <protection hidden="1"/>
    </xf>
    <xf numFmtId="41" fontId="22" fillId="0" borderId="18" xfId="0" applyNumberFormat="1" applyFont="1" applyBorder="1" applyAlignment="1" applyProtection="1">
      <alignment horizontal="right" vertical="center" indent="1"/>
      <protection hidden="1"/>
    </xf>
    <xf numFmtId="41" fontId="22" fillId="0" borderId="28" xfId="0" applyNumberFormat="1" applyFont="1" applyBorder="1" applyAlignment="1" applyProtection="1">
      <alignment horizontal="right" vertical="center" indent="1"/>
      <protection hidden="1"/>
    </xf>
    <xf numFmtId="41" fontId="22" fillId="0" borderId="29" xfId="0" applyNumberFormat="1" applyFont="1" applyBorder="1" applyAlignment="1" applyProtection="1">
      <alignment horizontal="right" vertical="center" indent="1"/>
      <protection hidden="1"/>
    </xf>
    <xf numFmtId="41" fontId="22" fillId="0" borderId="17" xfId="0" applyNumberFormat="1" applyFont="1" applyBorder="1" applyAlignment="1" applyProtection="1">
      <alignment horizontal="right" vertical="center" indent="1"/>
      <protection hidden="1"/>
    </xf>
    <xf numFmtId="41" fontId="22" fillId="0" borderId="30" xfId="0" applyNumberFormat="1" applyFont="1" applyBorder="1" applyAlignment="1" applyProtection="1">
      <alignment horizontal="right" vertical="center" indent="1"/>
      <protection hidden="1"/>
    </xf>
    <xf numFmtId="0" fontId="28" fillId="0" borderId="27" xfId="0" applyFont="1" applyBorder="1" applyAlignment="1">
      <alignment horizontal="center" vertical="center" wrapText="1"/>
    </xf>
    <xf numFmtId="0" fontId="28" fillId="0" borderId="20" xfId="0" applyFont="1" applyBorder="1" applyAlignment="1">
      <alignment horizontal="center" vertical="center" wrapText="1"/>
    </xf>
    <xf numFmtId="0" fontId="28" fillId="0" borderId="33" xfId="0" applyFont="1" applyBorder="1" applyAlignment="1">
      <alignment horizontal="center" vertical="center" wrapText="1"/>
    </xf>
    <xf numFmtId="0" fontId="31" fillId="0" borderId="27" xfId="0" applyFont="1" applyBorder="1" applyAlignment="1" applyProtection="1">
      <alignment horizontal="left" vertical="center"/>
      <protection hidden="1"/>
    </xf>
    <xf numFmtId="0" fontId="31" fillId="0" borderId="20" xfId="0" applyFont="1" applyBorder="1" applyAlignment="1" applyProtection="1">
      <alignment horizontal="left" vertical="center"/>
      <protection hidden="1"/>
    </xf>
    <xf numFmtId="0" fontId="31" fillId="0" borderId="33" xfId="0" applyFont="1" applyBorder="1" applyAlignment="1" applyProtection="1">
      <alignment horizontal="left" vertical="center"/>
      <protection hidden="1"/>
    </xf>
    <xf numFmtId="0" fontId="22" fillId="0" borderId="15" xfId="0" applyFont="1" applyFill="1" applyBorder="1" applyAlignment="1" applyProtection="1">
      <alignment horizontal="center" vertical="center"/>
      <protection locked="0"/>
    </xf>
    <xf numFmtId="0" fontId="22" fillId="0" borderId="15" xfId="0" applyFont="1" applyFill="1" applyBorder="1" applyAlignment="1" applyProtection="1">
      <alignment horizontal="left" vertical="center"/>
      <protection locked="0"/>
    </xf>
    <xf numFmtId="0" fontId="22" fillId="0" borderId="15" xfId="0" applyFont="1" applyFill="1" applyBorder="1" applyAlignment="1" applyProtection="1">
      <alignment horizontal="left" vertical="center" wrapText="1"/>
      <protection locked="0"/>
    </xf>
    <xf numFmtId="0" fontId="22" fillId="0" borderId="15" xfId="0" applyFont="1" applyFill="1" applyBorder="1" applyAlignment="1" applyProtection="1">
      <alignment horizontal="left" vertical="center" wrapText="1"/>
      <protection hidden="1"/>
    </xf>
    <xf numFmtId="0" fontId="22" fillId="0" borderId="15" xfId="0" applyFont="1" applyFill="1" applyBorder="1" applyAlignment="1" applyProtection="1">
      <alignment vertical="center" wrapText="1"/>
      <protection hidden="1"/>
    </xf>
    <xf numFmtId="0" fontId="22" fillId="0" borderId="15" xfId="0" applyFont="1" applyFill="1" applyBorder="1" applyAlignment="1">
      <alignment horizontal="left" vertical="center"/>
    </xf>
    <xf numFmtId="0" fontId="22" fillId="0" borderId="27" xfId="0" applyFont="1" applyFill="1" applyBorder="1" applyAlignment="1">
      <alignment horizontal="left" vertical="center"/>
    </xf>
    <xf numFmtId="0" fontId="22" fillId="0" borderId="15" xfId="0" applyFont="1" applyFill="1" applyBorder="1" applyAlignment="1" applyProtection="1">
      <alignment horizontal="left" vertical="center"/>
      <protection hidden="1"/>
    </xf>
    <xf numFmtId="0" fontId="22" fillId="0" borderId="27" xfId="0" applyFont="1" applyFill="1" applyBorder="1" applyAlignment="1" applyProtection="1">
      <alignment horizontal="left" vertical="center"/>
      <protection hidden="1"/>
    </xf>
    <xf numFmtId="41" fontId="22" fillId="0" borderId="15" xfId="28" applyNumberFormat="1" applyFont="1" applyFill="1" applyBorder="1" applyAlignment="1" applyProtection="1">
      <alignment horizontal="right" vertical="center" indent="1"/>
      <protection hidden="1"/>
    </xf>
    <xf numFmtId="0" fontId="22" fillId="0" borderId="14" xfId="0" applyFont="1" applyBorder="1" applyAlignment="1">
      <alignment horizontal="left" vertical="center" wrapText="1"/>
    </xf>
    <xf numFmtId="0" fontId="30" fillId="0" borderId="0" xfId="0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 textRotation="90" wrapText="1"/>
    </xf>
    <xf numFmtId="0" fontId="47" fillId="0" borderId="0" xfId="0" quotePrefix="1" applyFont="1" applyBorder="1" applyAlignment="1">
      <alignment horizontal="left" vertical="distributed" wrapText="1"/>
    </xf>
    <xf numFmtId="0" fontId="47" fillId="0" borderId="11" xfId="0" quotePrefix="1" applyFont="1" applyBorder="1" applyAlignment="1">
      <alignment horizontal="left" vertical="distributed" wrapText="1"/>
    </xf>
    <xf numFmtId="0" fontId="22" fillId="0" borderId="10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2" fillId="0" borderId="11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 textRotation="90"/>
    </xf>
    <xf numFmtId="0" fontId="28" fillId="0" borderId="21" xfId="0" applyFont="1" applyBorder="1" applyAlignment="1">
      <alignment horizontal="center" vertical="center" textRotation="90"/>
    </xf>
    <xf numFmtId="0" fontId="22" fillId="0" borderId="11" xfId="0" applyFont="1" applyBorder="1" applyAlignment="1">
      <alignment horizontal="left" vertical="center" wrapText="1"/>
    </xf>
    <xf numFmtId="0" fontId="35" fillId="25" borderId="0" xfId="0" applyFont="1" applyFill="1" applyBorder="1" applyAlignment="1">
      <alignment horizontal="left" wrapText="1"/>
    </xf>
    <xf numFmtId="0" fontId="22" fillId="0" borderId="27" xfId="0" applyFont="1" applyFill="1" applyBorder="1" applyAlignment="1">
      <alignment horizontal="center" vertical="center" wrapText="1"/>
    </xf>
    <xf numFmtId="0" fontId="22" fillId="0" borderId="33" xfId="0" applyFont="1" applyFill="1" applyBorder="1" applyAlignment="1">
      <alignment horizontal="center" vertical="center" wrapText="1"/>
    </xf>
    <xf numFmtId="0" fontId="0" fillId="0" borderId="27" xfId="0" applyFill="1" applyBorder="1" applyAlignment="1">
      <alignment horizontal="center" vertical="center" wrapText="1"/>
    </xf>
    <xf numFmtId="0" fontId="0" fillId="0" borderId="20" xfId="0" applyFont="1" applyFill="1" applyBorder="1" applyAlignment="1">
      <alignment horizontal="center" vertical="center" wrapText="1"/>
    </xf>
    <xf numFmtId="0" fontId="0" fillId="0" borderId="33" xfId="0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22" fillId="0" borderId="15" xfId="0" applyFont="1" applyFill="1" applyBorder="1" applyAlignment="1" applyProtection="1">
      <alignment horizontal="center" vertical="center" wrapText="1"/>
      <protection hidden="1"/>
    </xf>
    <xf numFmtId="0" fontId="34" fillId="0" borderId="27" xfId="0" quotePrefix="1" applyFont="1" applyFill="1" applyBorder="1" applyAlignment="1">
      <alignment horizontal="center" vertical="center" wrapText="1"/>
    </xf>
    <xf numFmtId="0" fontId="34" fillId="0" borderId="33" xfId="0" quotePrefix="1" applyFont="1" applyFill="1" applyBorder="1" applyAlignment="1">
      <alignment horizontal="center" vertical="center" wrapText="1"/>
    </xf>
    <xf numFmtId="0" fontId="34" fillId="0" borderId="20" xfId="0" applyFont="1" applyFill="1" applyBorder="1" applyAlignment="1">
      <alignment horizontal="center" vertical="center" wrapText="1"/>
    </xf>
    <xf numFmtId="0" fontId="34" fillId="0" borderId="33" xfId="0" applyFont="1" applyFill="1" applyBorder="1" applyAlignment="1">
      <alignment horizontal="center" vertical="center" wrapText="1"/>
    </xf>
    <xf numFmtId="0" fontId="34" fillId="0" borderId="33" xfId="0" applyFont="1" applyBorder="1" applyAlignment="1">
      <alignment horizontal="center" vertical="center" wrapText="1"/>
    </xf>
    <xf numFmtId="0" fontId="0" fillId="0" borderId="20" xfId="0" applyFill="1" applyBorder="1" applyAlignment="1">
      <alignment horizontal="center" vertical="center" wrapText="1"/>
    </xf>
    <xf numFmtId="0" fontId="0" fillId="0" borderId="33" xfId="0" applyFill="1" applyBorder="1" applyAlignment="1">
      <alignment horizontal="center" vertical="center" wrapText="1"/>
    </xf>
    <xf numFmtId="0" fontId="22" fillId="0" borderId="29" xfId="0" applyFont="1" applyBorder="1" applyAlignment="1">
      <alignment horizontal="center" vertical="center"/>
    </xf>
    <xf numFmtId="0" fontId="22" fillId="0" borderId="17" xfId="0" applyFont="1" applyBorder="1" applyAlignment="1">
      <alignment horizontal="center" vertical="center"/>
    </xf>
    <xf numFmtId="0" fontId="22" fillId="0" borderId="30" xfId="0" applyFont="1" applyBorder="1" applyAlignment="1">
      <alignment horizontal="center" vertical="center"/>
    </xf>
    <xf numFmtId="0" fontId="0" fillId="26" borderId="29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26" borderId="30" xfId="0" applyFill="1" applyBorder="1" applyAlignment="1">
      <alignment horizontal="center" vertical="center"/>
    </xf>
    <xf numFmtId="0" fontId="22" fillId="0" borderId="29" xfId="0" applyFont="1" applyFill="1" applyBorder="1" applyAlignment="1">
      <alignment horizontal="center" vertical="center"/>
    </xf>
    <xf numFmtId="0" fontId="22" fillId="0" borderId="30" xfId="0" applyFont="1" applyFill="1" applyBorder="1" applyAlignment="1">
      <alignment horizontal="center" vertical="center"/>
    </xf>
    <xf numFmtId="0" fontId="0" fillId="26" borderId="22" xfId="0" applyFont="1" applyFill="1" applyBorder="1" applyAlignment="1">
      <alignment horizontal="center" vertical="top"/>
    </xf>
    <xf numFmtId="0" fontId="0" fillId="26" borderId="0" xfId="0" applyFont="1" applyFill="1" applyBorder="1" applyAlignment="1">
      <alignment horizontal="center" vertical="top"/>
    </xf>
    <xf numFmtId="0" fontId="0" fillId="26" borderId="16" xfId="0" applyFont="1" applyFill="1" applyBorder="1" applyAlignment="1">
      <alignment horizontal="center" vertical="top"/>
    </xf>
    <xf numFmtId="41" fontId="22" fillId="0" borderId="15" xfId="0" applyNumberFormat="1" applyFont="1" applyFill="1" applyBorder="1" applyAlignment="1" applyProtection="1">
      <alignment horizontal="right" vertical="center" indent="1"/>
      <protection locked="0"/>
    </xf>
    <xf numFmtId="0" fontId="22" fillId="0" borderId="15" xfId="0" applyFont="1" applyFill="1" applyBorder="1" applyAlignment="1" applyProtection="1">
      <alignment horizontal="center" vertical="center" wrapText="1"/>
      <protection locked="0"/>
    </xf>
    <xf numFmtId="0" fontId="0" fillId="26" borderId="20" xfId="0" applyFont="1" applyFill="1" applyBorder="1" applyAlignment="1">
      <alignment horizontal="center" vertical="center"/>
    </xf>
    <xf numFmtId="0" fontId="0" fillId="26" borderId="33" xfId="0" applyFont="1" applyFill="1" applyBorder="1" applyAlignment="1">
      <alignment horizontal="center" vertical="center"/>
    </xf>
    <xf numFmtId="0" fontId="34" fillId="0" borderId="29" xfId="0" quotePrefix="1" applyFont="1" applyBorder="1" applyAlignment="1">
      <alignment horizontal="center" vertical="center" wrapText="1"/>
    </xf>
    <xf numFmtId="0" fontId="34" fillId="0" borderId="17" xfId="0" quotePrefix="1" applyFont="1" applyBorder="1" applyAlignment="1">
      <alignment horizontal="center" vertical="center" wrapText="1"/>
    </xf>
    <xf numFmtId="0" fontId="34" fillId="0" borderId="30" xfId="0" quotePrefix="1" applyFont="1" applyBorder="1" applyAlignment="1">
      <alignment horizontal="center" vertical="center" wrapText="1"/>
    </xf>
    <xf numFmtId="182" fontId="22" fillId="0" borderId="15" xfId="0" applyNumberFormat="1" applyFont="1" applyFill="1" applyBorder="1" applyAlignment="1" applyProtection="1">
      <alignment horizontal="left" vertical="center" wrapText="1"/>
      <protection hidden="1"/>
    </xf>
    <xf numFmtId="182" fontId="22" fillId="0" borderId="15" xfId="0" applyNumberFormat="1" applyFont="1" applyFill="1" applyBorder="1" applyAlignment="1" applyProtection="1">
      <alignment horizontal="center" vertical="center"/>
      <protection hidden="1"/>
    </xf>
    <xf numFmtId="0" fontId="28" fillId="0" borderId="44" xfId="0" applyFont="1" applyBorder="1" applyAlignment="1">
      <alignment horizontal="center"/>
    </xf>
    <xf numFmtId="0" fontId="28" fillId="0" borderId="45" xfId="0" applyFont="1" applyBorder="1" applyAlignment="1">
      <alignment horizontal="center"/>
    </xf>
    <xf numFmtId="0" fontId="28" fillId="0" borderId="46" xfId="0" applyFont="1" applyBorder="1" applyAlignment="1">
      <alignment horizontal="center"/>
    </xf>
    <xf numFmtId="0" fontId="22" fillId="25" borderId="27" xfId="0" applyFont="1" applyFill="1" applyBorder="1" applyAlignment="1" applyProtection="1">
      <alignment horizontal="center" vertical="center"/>
    </xf>
    <xf numFmtId="0" fontId="22" fillId="25" borderId="20" xfId="0" applyFont="1" applyFill="1" applyBorder="1" applyAlignment="1" applyProtection="1">
      <alignment horizontal="center" vertical="center"/>
    </xf>
    <xf numFmtId="0" fontId="22" fillId="25" borderId="33" xfId="0" applyFont="1" applyFill="1" applyBorder="1" applyAlignment="1" applyProtection="1">
      <alignment horizontal="center" vertical="center"/>
    </xf>
    <xf numFmtId="168" fontId="22" fillId="25" borderId="15" xfId="0" applyNumberFormat="1" applyFont="1" applyFill="1" applyBorder="1" applyAlignment="1" applyProtection="1">
      <alignment horizontal="right" vertical="center"/>
      <protection hidden="1"/>
    </xf>
    <xf numFmtId="182" fontId="0" fillId="25" borderId="15" xfId="0" applyNumberFormat="1" applyFill="1" applyBorder="1" applyAlignment="1" applyProtection="1">
      <alignment horizontal="left" vertical="center" wrapText="1"/>
      <protection hidden="1"/>
    </xf>
    <xf numFmtId="15" fontId="0" fillId="25" borderId="15" xfId="0" applyNumberFormat="1" applyFill="1" applyBorder="1" applyAlignment="1" applyProtection="1">
      <alignment horizontal="center" vertical="center"/>
      <protection hidden="1"/>
    </xf>
    <xf numFmtId="182" fontId="0" fillId="25" borderId="15" xfId="0" applyNumberFormat="1" applyFill="1" applyBorder="1" applyAlignment="1" applyProtection="1">
      <alignment horizontal="center" vertical="center"/>
      <protection hidden="1"/>
    </xf>
    <xf numFmtId="168" fontId="0" fillId="25" borderId="15" xfId="0" applyNumberFormat="1" applyFill="1" applyBorder="1" applyAlignment="1" applyProtection="1">
      <alignment horizontal="right" vertical="center"/>
      <protection hidden="1"/>
    </xf>
    <xf numFmtId="43" fontId="0" fillId="25" borderId="15" xfId="0" applyNumberFormat="1" applyFill="1" applyBorder="1" applyAlignment="1" applyProtection="1">
      <alignment horizontal="right" vertical="center"/>
      <protection hidden="1"/>
    </xf>
    <xf numFmtId="0" fontId="22" fillId="25" borderId="15" xfId="0" applyFont="1" applyFill="1" applyBorder="1" applyAlignment="1" applyProtection="1">
      <alignment horizontal="center" vertical="center"/>
    </xf>
    <xf numFmtId="0" fontId="22" fillId="25" borderId="15" xfId="0" applyFont="1" applyFill="1" applyBorder="1" applyAlignment="1" applyProtection="1">
      <alignment horizontal="center" vertical="center" wrapText="1"/>
    </xf>
    <xf numFmtId="0" fontId="22" fillId="25" borderId="23" xfId="0" applyFont="1" applyFill="1" applyBorder="1" applyAlignment="1" applyProtection="1">
      <alignment horizontal="center" vertical="center" wrapText="1"/>
    </xf>
    <xf numFmtId="0" fontId="22" fillId="25" borderId="18" xfId="0" applyFont="1" applyFill="1" applyBorder="1" applyAlignment="1" applyProtection="1">
      <alignment horizontal="center" vertical="center"/>
    </xf>
    <xf numFmtId="0" fontId="22" fillId="25" borderId="28" xfId="0" applyFont="1" applyFill="1" applyBorder="1" applyAlignment="1" applyProtection="1">
      <alignment horizontal="center" vertical="center"/>
    </xf>
    <xf numFmtId="0" fontId="22" fillId="25" borderId="0" xfId="0" applyFont="1" applyFill="1" applyBorder="1" applyAlignment="1" applyProtection="1">
      <alignment horizontal="center" vertical="center"/>
    </xf>
    <xf numFmtId="0" fontId="22" fillId="25" borderId="16" xfId="0" applyFont="1" applyFill="1" applyBorder="1" applyAlignment="1" applyProtection="1">
      <alignment horizontal="center" vertical="center"/>
    </xf>
    <xf numFmtId="0" fontId="22" fillId="25" borderId="31" xfId="0" applyFont="1" applyFill="1" applyBorder="1" applyAlignment="1" applyProtection="1">
      <alignment horizontal="center" vertical="center" wrapText="1"/>
    </xf>
    <xf numFmtId="0" fontId="22" fillId="25" borderId="18" xfId="0" applyFont="1" applyFill="1" applyBorder="1" applyAlignment="1" applyProtection="1">
      <alignment horizontal="center" vertical="center" wrapText="1"/>
    </xf>
    <xf numFmtId="0" fontId="22" fillId="25" borderId="28" xfId="0" applyFont="1" applyFill="1" applyBorder="1" applyAlignment="1" applyProtection="1">
      <alignment horizontal="center" vertical="center" wrapText="1"/>
    </xf>
    <xf numFmtId="0" fontId="22" fillId="25" borderId="29" xfId="0" applyFont="1" applyFill="1" applyBorder="1" applyAlignment="1" applyProtection="1">
      <alignment horizontal="center" vertical="center" wrapText="1"/>
    </xf>
    <xf numFmtId="0" fontId="22" fillId="25" borderId="17" xfId="0" applyFont="1" applyFill="1" applyBorder="1" applyAlignment="1" applyProtection="1">
      <alignment horizontal="center" vertical="center" wrapText="1"/>
    </xf>
    <xf numFmtId="0" fontId="22" fillId="25" borderId="30" xfId="0" applyFont="1" applyFill="1" applyBorder="1" applyAlignment="1" applyProtection="1">
      <alignment horizontal="center" vertical="center" wrapText="1"/>
    </xf>
    <xf numFmtId="0" fontId="109" fillId="25" borderId="0" xfId="0" applyFont="1" applyFill="1" applyAlignment="1" applyProtection="1">
      <alignment horizontal="center"/>
    </xf>
    <xf numFmtId="182" fontId="0" fillId="25" borderId="27" xfId="0" applyNumberFormat="1" applyFill="1" applyBorder="1" applyAlignment="1" applyProtection="1">
      <alignment horizontal="left" vertical="center" wrapText="1"/>
      <protection hidden="1"/>
    </xf>
    <xf numFmtId="182" fontId="0" fillId="25" borderId="20" xfId="0" applyNumberFormat="1" applyFill="1" applyBorder="1" applyAlignment="1" applyProtection="1">
      <alignment horizontal="left" vertical="center" wrapText="1"/>
      <protection hidden="1"/>
    </xf>
    <xf numFmtId="182" fontId="0" fillId="25" borderId="33" xfId="0" applyNumberFormat="1" applyFill="1" applyBorder="1" applyAlignment="1" applyProtection="1">
      <alignment horizontal="left" vertical="center" wrapText="1"/>
      <protection hidden="1"/>
    </xf>
    <xf numFmtId="182" fontId="0" fillId="25" borderId="27" xfId="0" applyNumberFormat="1" applyFill="1" applyBorder="1" applyAlignment="1" applyProtection="1">
      <alignment horizontal="center" vertical="center"/>
      <protection hidden="1"/>
    </xf>
    <xf numFmtId="182" fontId="0" fillId="25" borderId="33" xfId="0" applyNumberFormat="1" applyFill="1" applyBorder="1" applyAlignment="1" applyProtection="1">
      <alignment horizontal="center" vertical="center"/>
      <protection hidden="1"/>
    </xf>
    <xf numFmtId="15" fontId="0" fillId="25" borderId="27" xfId="0" applyNumberFormat="1" applyFill="1" applyBorder="1" applyAlignment="1" applyProtection="1">
      <alignment horizontal="center" vertical="center"/>
      <protection hidden="1"/>
    </xf>
    <xf numFmtId="15" fontId="0" fillId="25" borderId="20" xfId="0" applyNumberFormat="1" applyFill="1" applyBorder="1" applyAlignment="1" applyProtection="1">
      <alignment horizontal="center" vertical="center"/>
      <protection hidden="1"/>
    </xf>
    <xf numFmtId="15" fontId="0" fillId="25" borderId="33" xfId="0" applyNumberFormat="1" applyFill="1" applyBorder="1" applyAlignment="1" applyProtection="1">
      <alignment horizontal="center" vertical="center"/>
      <protection hidden="1"/>
    </xf>
    <xf numFmtId="43" fontId="0" fillId="25" borderId="27" xfId="0" applyNumberFormat="1" applyFill="1" applyBorder="1" applyAlignment="1" applyProtection="1">
      <alignment horizontal="right" vertical="center"/>
      <protection hidden="1"/>
    </xf>
    <xf numFmtId="43" fontId="0" fillId="25" borderId="20" xfId="0" applyNumberFormat="1" applyFill="1" applyBorder="1" applyAlignment="1" applyProtection="1">
      <alignment horizontal="right" vertical="center"/>
      <protection hidden="1"/>
    </xf>
    <xf numFmtId="43" fontId="0" fillId="25" borderId="33" xfId="0" applyNumberFormat="1" applyFill="1" applyBorder="1" applyAlignment="1" applyProtection="1">
      <alignment horizontal="right" vertical="center"/>
      <protection hidden="1"/>
    </xf>
    <xf numFmtId="168" fontId="0" fillId="25" borderId="27" xfId="0" applyNumberFormat="1" applyFill="1" applyBorder="1" applyAlignment="1" applyProtection="1">
      <alignment horizontal="right" vertical="center"/>
      <protection hidden="1"/>
    </xf>
    <xf numFmtId="168" fontId="0" fillId="25" borderId="20" xfId="0" applyNumberFormat="1" applyFill="1" applyBorder="1" applyAlignment="1" applyProtection="1">
      <alignment horizontal="right" vertical="center"/>
      <protection hidden="1"/>
    </xf>
    <xf numFmtId="168" fontId="0" fillId="25" borderId="33" xfId="0" applyNumberFormat="1" applyFill="1" applyBorder="1" applyAlignment="1" applyProtection="1">
      <alignment horizontal="right" vertical="center"/>
      <protection hidden="1"/>
    </xf>
    <xf numFmtId="182" fontId="45" fillId="25" borderId="15" xfId="0" quotePrefix="1" applyNumberFormat="1" applyFont="1" applyFill="1" applyBorder="1" applyAlignment="1" applyProtection="1">
      <alignment horizontal="center" vertical="center"/>
      <protection hidden="1"/>
    </xf>
    <xf numFmtId="182" fontId="45" fillId="25" borderId="15" xfId="0" applyNumberFormat="1" applyFont="1" applyFill="1" applyBorder="1" applyAlignment="1" applyProtection="1">
      <alignment horizontal="left" vertical="center" wrapText="1"/>
      <protection hidden="1"/>
    </xf>
    <xf numFmtId="0" fontId="22" fillId="25" borderId="143" xfId="0" applyFont="1" applyFill="1" applyBorder="1" applyAlignment="1" applyProtection="1">
      <alignment horizontal="center" vertical="center"/>
    </xf>
    <xf numFmtId="179" fontId="22" fillId="25" borderId="15" xfId="0" applyNumberFormat="1" applyFont="1" applyFill="1" applyBorder="1" applyAlignment="1" applyProtection="1">
      <alignment horizontal="right" vertical="center"/>
      <protection hidden="1"/>
    </xf>
    <xf numFmtId="179" fontId="22" fillId="25" borderId="144" xfId="0" applyNumberFormat="1" applyFont="1" applyFill="1" applyBorder="1" applyAlignment="1" applyProtection="1">
      <alignment horizontal="right" vertical="center"/>
      <protection hidden="1"/>
    </xf>
    <xf numFmtId="0" fontId="22" fillId="25" borderId="121" xfId="0" applyFont="1" applyFill="1" applyBorder="1" applyAlignment="1" applyProtection="1">
      <alignment horizontal="center" vertical="center"/>
    </xf>
    <xf numFmtId="0" fontId="22" fillId="25" borderId="107" xfId="0" applyFont="1" applyFill="1" applyBorder="1" applyAlignment="1" applyProtection="1">
      <alignment horizontal="center" vertical="center"/>
    </xf>
    <xf numFmtId="0" fontId="22" fillId="25" borderId="123" xfId="0" applyFont="1" applyFill="1" applyBorder="1" applyAlignment="1" applyProtection="1">
      <alignment horizontal="center" vertical="center"/>
    </xf>
    <xf numFmtId="179" fontId="22" fillId="25" borderId="122" xfId="0" applyNumberFormat="1" applyFont="1" applyFill="1" applyBorder="1" applyAlignment="1" applyProtection="1">
      <alignment horizontal="right" vertical="center"/>
      <protection hidden="1"/>
    </xf>
    <xf numFmtId="179" fontId="22" fillId="25" borderId="107" xfId="0" applyNumberFormat="1" applyFont="1" applyFill="1" applyBorder="1" applyAlignment="1" applyProtection="1">
      <alignment horizontal="right" vertical="center"/>
      <protection hidden="1"/>
    </xf>
    <xf numFmtId="179" fontId="22" fillId="25" borderId="124" xfId="0" applyNumberFormat="1" applyFont="1" applyFill="1" applyBorder="1" applyAlignment="1" applyProtection="1">
      <alignment horizontal="right" vertical="center"/>
      <protection hidden="1"/>
    </xf>
    <xf numFmtId="0" fontId="22" fillId="25" borderId="23" xfId="0" applyFont="1" applyFill="1" applyBorder="1" applyAlignment="1" applyProtection="1">
      <alignment horizontal="center" vertical="center"/>
    </xf>
    <xf numFmtId="0" fontId="45" fillId="25" borderId="143" xfId="0" applyFont="1" applyFill="1" applyBorder="1" applyAlignment="1" applyProtection="1">
      <alignment horizontal="left"/>
    </xf>
    <xf numFmtId="0" fontId="45" fillId="25" borderId="15" xfId="0" applyFont="1" applyFill="1" applyBorder="1" applyAlignment="1" applyProtection="1">
      <alignment horizontal="left"/>
    </xf>
    <xf numFmtId="179" fontId="45" fillId="25" borderId="15" xfId="0" applyNumberFormat="1" applyFont="1" applyFill="1" applyBorder="1" applyAlignment="1" applyProtection="1">
      <alignment horizontal="right" vertical="center"/>
      <protection hidden="1"/>
    </xf>
    <xf numFmtId="179" fontId="45" fillId="25" borderId="144" xfId="0" applyNumberFormat="1" applyFont="1" applyFill="1" applyBorder="1" applyAlignment="1" applyProtection="1">
      <alignment horizontal="right" vertical="center"/>
      <protection hidden="1"/>
    </xf>
    <xf numFmtId="0" fontId="45" fillId="25" borderId="143" xfId="0" applyFont="1" applyFill="1" applyBorder="1" applyAlignment="1" applyProtection="1">
      <alignment horizontal="center"/>
    </xf>
    <xf numFmtId="0" fontId="45" fillId="25" borderId="15" xfId="0" applyFont="1" applyFill="1" applyBorder="1" applyAlignment="1" applyProtection="1">
      <alignment horizontal="center"/>
    </xf>
    <xf numFmtId="179" fontId="45" fillId="25" borderId="15" xfId="0" applyNumberFormat="1" applyFont="1" applyFill="1" applyBorder="1" applyAlignment="1" applyProtection="1">
      <alignment horizontal="right" vertical="center"/>
    </xf>
    <xf numFmtId="179" fontId="45" fillId="25" borderId="144" xfId="0" applyNumberFormat="1" applyFont="1" applyFill="1" applyBorder="1" applyAlignment="1" applyProtection="1">
      <alignment horizontal="right" vertical="center"/>
    </xf>
    <xf numFmtId="0" fontId="0" fillId="25" borderId="0" xfId="0" applyFill="1" applyBorder="1" applyAlignment="1" applyProtection="1">
      <alignment horizontal="center" vertical="center"/>
    </xf>
    <xf numFmtId="0" fontId="39" fillId="25" borderId="140" xfId="0" applyFont="1" applyFill="1" applyBorder="1" applyAlignment="1" applyProtection="1">
      <alignment horizontal="center" vertical="center"/>
    </xf>
    <xf numFmtId="0" fontId="39" fillId="25" borderId="141" xfId="0" applyFont="1" applyFill="1" applyBorder="1" applyAlignment="1" applyProtection="1">
      <alignment horizontal="center" vertical="center"/>
    </xf>
    <xf numFmtId="0" fontId="39" fillId="25" borderId="142" xfId="0" applyFont="1" applyFill="1" applyBorder="1" applyAlignment="1" applyProtection="1">
      <alignment horizontal="center" vertical="center"/>
    </xf>
    <xf numFmtId="0" fontId="0" fillId="25" borderId="152" xfId="0" applyFill="1" applyBorder="1" applyAlignment="1" applyProtection="1">
      <alignment horizontal="center"/>
    </xf>
    <xf numFmtId="0" fontId="0" fillId="25" borderId="73" xfId="0" applyFill="1" applyBorder="1" applyAlignment="1" applyProtection="1">
      <alignment horizontal="center"/>
    </xf>
    <xf numFmtId="0" fontId="0" fillId="25" borderId="74" xfId="0" applyFill="1" applyBorder="1" applyAlignment="1" applyProtection="1">
      <alignment horizontal="center"/>
    </xf>
    <xf numFmtId="0" fontId="0" fillId="25" borderId="72" xfId="0" applyFill="1" applyBorder="1" applyAlignment="1" applyProtection="1">
      <alignment horizontal="center"/>
    </xf>
    <xf numFmtId="0" fontId="0" fillId="25" borderId="153" xfId="0" applyFill="1" applyBorder="1" applyAlignment="1" applyProtection="1">
      <alignment horizontal="center"/>
    </xf>
    <xf numFmtId="182" fontId="45" fillId="25" borderId="154" xfId="0" applyNumberFormat="1" applyFont="1" applyFill="1" applyBorder="1" applyAlignment="1" applyProtection="1">
      <alignment horizontal="left"/>
      <protection hidden="1"/>
    </xf>
    <xf numFmtId="182" fontId="45" fillId="25" borderId="80" xfId="0" applyNumberFormat="1" applyFont="1" applyFill="1" applyBorder="1" applyAlignment="1" applyProtection="1">
      <alignment horizontal="left"/>
      <protection hidden="1"/>
    </xf>
    <xf numFmtId="182" fontId="45" fillId="25" borderId="81" xfId="0" applyNumberFormat="1" applyFont="1" applyFill="1" applyBorder="1" applyAlignment="1" applyProtection="1">
      <alignment horizontal="left"/>
      <protection hidden="1"/>
    </xf>
    <xf numFmtId="179" fontId="45" fillId="25" borderId="78" xfId="52" applyNumberFormat="1" applyFont="1" applyFill="1" applyBorder="1" applyAlignment="1" applyProtection="1">
      <alignment horizontal="right" vertical="center"/>
      <protection hidden="1"/>
    </xf>
    <xf numFmtId="179" fontId="45" fillId="25" borderId="155" xfId="52" applyNumberFormat="1" applyFont="1" applyFill="1" applyBorder="1" applyAlignment="1" applyProtection="1">
      <alignment horizontal="right" vertical="center"/>
      <protection hidden="1"/>
    </xf>
    <xf numFmtId="0" fontId="22" fillId="25" borderId="135" xfId="0" applyFont="1" applyFill="1" applyBorder="1" applyAlignment="1" applyProtection="1">
      <alignment horizontal="right" vertical="center"/>
    </xf>
    <xf numFmtId="0" fontId="22" fillId="25" borderId="136" xfId="0" applyFont="1" applyFill="1" applyBorder="1" applyAlignment="1" applyProtection="1">
      <alignment horizontal="right" vertical="center"/>
    </xf>
    <xf numFmtId="0" fontId="22" fillId="25" borderId="137" xfId="0" applyFont="1" applyFill="1" applyBorder="1" applyAlignment="1" applyProtection="1">
      <alignment horizontal="right" vertical="center"/>
    </xf>
    <xf numFmtId="179" fontId="22" fillId="25" borderId="138" xfId="52" applyNumberFormat="1" applyFont="1" applyFill="1" applyBorder="1" applyAlignment="1" applyProtection="1">
      <alignment horizontal="right" vertical="center"/>
      <protection hidden="1"/>
    </xf>
    <xf numFmtId="179" fontId="22" fillId="25" borderId="139" xfId="52" applyNumberFormat="1" applyFont="1" applyFill="1" applyBorder="1" applyAlignment="1" applyProtection="1">
      <alignment horizontal="right" vertical="center"/>
      <protection hidden="1"/>
    </xf>
    <xf numFmtId="179" fontId="22" fillId="25" borderId="12" xfId="52" applyNumberFormat="1" applyFont="1" applyFill="1" applyBorder="1" applyAlignment="1" applyProtection="1">
      <alignment horizontal="right" vertical="center"/>
      <protection hidden="1"/>
    </xf>
    <xf numFmtId="179" fontId="22" fillId="25" borderId="13" xfId="52" applyNumberFormat="1" applyFont="1" applyFill="1" applyBorder="1" applyAlignment="1" applyProtection="1">
      <alignment horizontal="right" vertical="center"/>
      <protection hidden="1"/>
    </xf>
    <xf numFmtId="182" fontId="45" fillId="25" borderId="119" xfId="0" applyNumberFormat="1" applyFont="1" applyFill="1" applyBorder="1" applyAlignment="1" applyProtection="1">
      <alignment horizontal="left"/>
      <protection hidden="1"/>
    </xf>
    <xf numFmtId="182" fontId="45" fillId="25" borderId="20" xfId="0" applyNumberFormat="1" applyFont="1" applyFill="1" applyBorder="1" applyAlignment="1" applyProtection="1">
      <alignment horizontal="left"/>
      <protection hidden="1"/>
    </xf>
    <xf numFmtId="182" fontId="45" fillId="25" borderId="33" xfId="0" applyNumberFormat="1" applyFont="1" applyFill="1" applyBorder="1" applyAlignment="1" applyProtection="1">
      <alignment horizontal="left"/>
      <protection hidden="1"/>
    </xf>
    <xf numFmtId="179" fontId="45" fillId="25" borderId="15" xfId="52" applyNumberFormat="1" applyFont="1" applyFill="1" applyBorder="1" applyAlignment="1" applyProtection="1">
      <alignment horizontal="right" vertical="center"/>
      <protection hidden="1"/>
    </xf>
    <xf numFmtId="179" fontId="45" fillId="25" borderId="144" xfId="52" applyNumberFormat="1" applyFont="1" applyFill="1" applyBorder="1" applyAlignment="1" applyProtection="1">
      <alignment horizontal="right" vertical="center"/>
      <protection hidden="1"/>
    </xf>
    <xf numFmtId="168" fontId="22" fillId="25" borderId="79" xfId="0" applyNumberFormat="1" applyFont="1" applyFill="1" applyBorder="1" applyAlignment="1" applyProtection="1">
      <alignment horizontal="center" vertical="center" wrapText="1"/>
    </xf>
    <xf numFmtId="168" fontId="22" fillId="25" borderId="80" xfId="0" applyNumberFormat="1" applyFont="1" applyFill="1" applyBorder="1" applyAlignment="1" applyProtection="1">
      <alignment horizontal="center" vertical="center" wrapText="1"/>
    </xf>
    <xf numFmtId="168" fontId="22" fillId="25" borderId="81" xfId="0" applyNumberFormat="1" applyFont="1" applyFill="1" applyBorder="1" applyAlignment="1" applyProtection="1">
      <alignment horizontal="center" vertical="center" wrapText="1"/>
    </xf>
    <xf numFmtId="0" fontId="22" fillId="25" borderId="59" xfId="0" applyFont="1" applyFill="1" applyBorder="1" applyAlignment="1" applyProtection="1">
      <alignment horizontal="center" vertical="center"/>
    </xf>
    <xf numFmtId="0" fontId="22" fillId="25" borderId="125" xfId="0" applyFont="1" applyFill="1" applyBorder="1" applyAlignment="1" applyProtection="1">
      <alignment horizontal="center" vertical="center"/>
    </xf>
    <xf numFmtId="182" fontId="45" fillId="25" borderId="152" xfId="0" applyNumberFormat="1" applyFont="1" applyFill="1" applyBorder="1" applyAlignment="1" applyProtection="1">
      <alignment horizontal="left"/>
      <protection hidden="1"/>
    </xf>
    <xf numFmtId="182" fontId="45" fillId="25" borderId="73" xfId="0" applyNumberFormat="1" applyFont="1" applyFill="1" applyBorder="1" applyAlignment="1" applyProtection="1">
      <alignment horizontal="left"/>
      <protection hidden="1"/>
    </xf>
    <xf numFmtId="182" fontId="45" fillId="25" borderId="74" xfId="0" applyNumberFormat="1" applyFont="1" applyFill="1" applyBorder="1" applyAlignment="1" applyProtection="1">
      <alignment horizontal="left"/>
      <protection hidden="1"/>
    </xf>
    <xf numFmtId="176" fontId="45" fillId="25" borderId="71" xfId="52" applyNumberFormat="1" applyFont="1" applyFill="1" applyBorder="1" applyAlignment="1" applyProtection="1">
      <alignment horizontal="center"/>
      <protection hidden="1"/>
    </xf>
    <xf numFmtId="176" fontId="45" fillId="25" borderId="72" xfId="52" applyNumberFormat="1" applyFont="1" applyFill="1" applyBorder="1" applyAlignment="1" applyProtection="1">
      <alignment horizontal="center"/>
      <protection hidden="1"/>
    </xf>
    <xf numFmtId="176" fontId="45" fillId="25" borderId="73" xfId="52" applyNumberFormat="1" applyFont="1" applyFill="1" applyBorder="1" applyAlignment="1" applyProtection="1">
      <alignment horizontal="center"/>
      <protection hidden="1"/>
    </xf>
    <xf numFmtId="176" fontId="45" fillId="25" borderId="153" xfId="52" applyNumberFormat="1" applyFont="1" applyFill="1" applyBorder="1" applyAlignment="1" applyProtection="1">
      <alignment horizontal="center"/>
      <protection hidden="1"/>
    </xf>
    <xf numFmtId="176" fontId="0" fillId="25" borderId="0" xfId="52" applyNumberFormat="1" applyFont="1" applyFill="1" applyAlignment="1" applyProtection="1">
      <alignment horizontal="right"/>
      <protection hidden="1"/>
    </xf>
    <xf numFmtId="176" fontId="22" fillId="25" borderId="18" xfId="0" applyNumberFormat="1" applyFont="1" applyFill="1" applyBorder="1" applyAlignment="1" applyProtection="1">
      <alignment horizontal="right"/>
      <protection hidden="1"/>
    </xf>
    <xf numFmtId="181" fontId="0" fillId="25" borderId="0" xfId="52" applyNumberFormat="1" applyFont="1" applyFill="1" applyAlignment="1" applyProtection="1">
      <alignment horizontal="right"/>
      <protection hidden="1"/>
    </xf>
    <xf numFmtId="176" fontId="22" fillId="25" borderId="27" xfId="52" applyNumberFormat="1" applyFont="1" applyFill="1" applyBorder="1" applyAlignment="1" applyProtection="1">
      <alignment horizontal="right" vertical="center"/>
      <protection hidden="1"/>
    </xf>
    <xf numFmtId="176" fontId="22" fillId="25" borderId="20" xfId="52" applyNumberFormat="1" applyFont="1" applyFill="1" applyBorder="1" applyAlignment="1" applyProtection="1">
      <alignment horizontal="right" vertical="center"/>
      <protection hidden="1"/>
    </xf>
    <xf numFmtId="176" fontId="22" fillId="25" borderId="33" xfId="52" applyNumberFormat="1" applyFont="1" applyFill="1" applyBorder="1" applyAlignment="1" applyProtection="1">
      <alignment horizontal="right" vertical="center"/>
      <protection hidden="1"/>
    </xf>
    <xf numFmtId="177" fontId="111" fillId="25" borderId="0" xfId="0" applyNumberFormat="1" applyFont="1" applyFill="1" applyBorder="1" applyAlignment="1" applyProtection="1">
      <alignment horizontal="left" vertical="center" wrapText="1"/>
      <protection hidden="1"/>
    </xf>
    <xf numFmtId="0" fontId="22" fillId="25" borderId="26" xfId="0" applyFont="1" applyFill="1" applyBorder="1" applyAlignment="1" applyProtection="1">
      <alignment horizontal="center" vertical="center"/>
    </xf>
    <xf numFmtId="0" fontId="22" fillId="25" borderId="14" xfId="0" applyFont="1" applyFill="1" applyBorder="1" applyAlignment="1" applyProtection="1">
      <alignment horizontal="center" vertical="center"/>
    </xf>
    <xf numFmtId="0" fontId="22" fillId="25" borderId="108" xfId="0" applyFont="1" applyFill="1" applyBorder="1" applyAlignment="1" applyProtection="1">
      <alignment horizontal="center" vertical="center"/>
    </xf>
    <xf numFmtId="0" fontId="22" fillId="25" borderId="10" xfId="0" applyFont="1" applyFill="1" applyBorder="1" applyAlignment="1" applyProtection="1">
      <alignment horizontal="center" vertical="center"/>
    </xf>
    <xf numFmtId="0" fontId="22" fillId="25" borderId="113" xfId="0" applyFont="1" applyFill="1" applyBorder="1" applyAlignment="1" applyProtection="1">
      <alignment horizontal="center" vertical="center"/>
    </xf>
    <xf numFmtId="0" fontId="22" fillId="25" borderId="47" xfId="0" applyFont="1" applyFill="1" applyBorder="1" applyAlignment="1" applyProtection="1">
      <alignment horizontal="center" vertical="center"/>
    </xf>
    <xf numFmtId="0" fontId="22" fillId="25" borderId="61" xfId="0" applyFont="1" applyFill="1" applyBorder="1" applyAlignment="1" applyProtection="1">
      <alignment horizontal="center" vertical="center"/>
    </xf>
    <xf numFmtId="0" fontId="22" fillId="25" borderId="38" xfId="0" applyFont="1" applyFill="1" applyBorder="1" applyAlignment="1" applyProtection="1">
      <alignment horizontal="center"/>
    </xf>
    <xf numFmtId="0" fontId="22" fillId="25" borderId="39" xfId="0" applyFont="1" applyFill="1" applyBorder="1" applyAlignment="1" applyProtection="1">
      <alignment horizontal="center"/>
    </xf>
    <xf numFmtId="0" fontId="22" fillId="25" borderId="120" xfId="0" applyFont="1" applyFill="1" applyBorder="1" applyAlignment="1" applyProtection="1">
      <alignment horizontal="center" vertical="center"/>
    </xf>
    <xf numFmtId="179" fontId="45" fillId="25" borderId="0" xfId="52" applyNumberFormat="1" applyFont="1" applyFill="1" applyBorder="1" applyAlignment="1" applyProtection="1">
      <alignment horizontal="right"/>
      <protection hidden="1"/>
    </xf>
    <xf numFmtId="179" fontId="0" fillId="25" borderId="0" xfId="52" applyNumberFormat="1" applyFont="1" applyFill="1" applyAlignment="1" applyProtection="1">
      <alignment horizontal="center"/>
      <protection hidden="1"/>
    </xf>
    <xf numFmtId="176" fontId="22" fillId="25" borderId="0" xfId="52" quotePrefix="1" applyNumberFormat="1" applyFont="1" applyFill="1" applyAlignment="1" applyProtection="1">
      <alignment horizontal="right"/>
      <protection hidden="1"/>
    </xf>
    <xf numFmtId="176" fontId="22" fillId="25" borderId="0" xfId="52" applyNumberFormat="1" applyFont="1" applyFill="1" applyAlignment="1" applyProtection="1">
      <alignment horizontal="right"/>
      <protection hidden="1"/>
    </xf>
    <xf numFmtId="176" fontId="0" fillId="25" borderId="0" xfId="52" quotePrefix="1" applyNumberFormat="1" applyFont="1" applyFill="1" applyAlignment="1" applyProtection="1">
      <alignment horizontal="right"/>
      <protection hidden="1"/>
    </xf>
    <xf numFmtId="176" fontId="0" fillId="25" borderId="17" xfId="52" applyNumberFormat="1" applyFont="1" applyFill="1" applyBorder="1" applyAlignment="1" applyProtection="1">
      <alignment horizontal="right"/>
      <protection hidden="1"/>
    </xf>
    <xf numFmtId="176" fontId="0" fillId="25" borderId="0" xfId="52" applyNumberFormat="1" applyFont="1" applyFill="1" applyBorder="1" applyAlignment="1" applyProtection="1">
      <alignment horizontal="center"/>
    </xf>
    <xf numFmtId="176" fontId="0" fillId="25" borderId="17" xfId="52" quotePrefix="1" applyNumberFormat="1" applyFont="1" applyFill="1" applyBorder="1" applyAlignment="1" applyProtection="1">
      <alignment horizontal="right"/>
      <protection hidden="1"/>
    </xf>
    <xf numFmtId="0" fontId="109" fillId="25" borderId="0" xfId="0" applyFont="1" applyFill="1" applyAlignment="1" applyProtection="1">
      <alignment horizontal="center"/>
      <protection hidden="1"/>
    </xf>
    <xf numFmtId="176" fontId="0" fillId="25" borderId="0" xfId="52" applyNumberFormat="1" applyFont="1" applyFill="1" applyBorder="1" applyAlignment="1" applyProtection="1">
      <alignment horizontal="right"/>
      <protection hidden="1"/>
    </xf>
    <xf numFmtId="43" fontId="22" fillId="25" borderId="122" xfId="0" applyNumberFormat="1" applyFont="1" applyFill="1" applyBorder="1" applyAlignment="1" applyProtection="1">
      <alignment horizontal="right" vertical="center"/>
      <protection hidden="1"/>
    </xf>
    <xf numFmtId="0" fontId="22" fillId="25" borderId="107" xfId="0" applyFont="1" applyFill="1" applyBorder="1" applyAlignment="1" applyProtection="1">
      <alignment horizontal="right" vertical="center"/>
      <protection hidden="1"/>
    </xf>
    <xf numFmtId="0" fontId="22" fillId="25" borderId="123" xfId="0" applyFont="1" applyFill="1" applyBorder="1" applyAlignment="1" applyProtection="1">
      <alignment horizontal="right" vertical="center"/>
      <protection hidden="1"/>
    </xf>
    <xf numFmtId="179" fontId="22" fillId="25" borderId="122" xfId="52" applyNumberFormat="1" applyFont="1" applyFill="1" applyBorder="1" applyAlignment="1" applyProtection="1">
      <alignment horizontal="right" vertical="center"/>
      <protection hidden="1"/>
    </xf>
    <xf numFmtId="179" fontId="22" fillId="25" borderId="107" xfId="52" applyNumberFormat="1" applyFont="1" applyFill="1" applyBorder="1" applyAlignment="1" applyProtection="1">
      <alignment horizontal="right" vertical="center"/>
      <protection hidden="1"/>
    </xf>
    <xf numFmtId="179" fontId="22" fillId="25" borderId="123" xfId="52" applyNumberFormat="1" applyFont="1" applyFill="1" applyBorder="1" applyAlignment="1" applyProtection="1">
      <alignment horizontal="right" vertical="center"/>
      <protection hidden="1"/>
    </xf>
    <xf numFmtId="179" fontId="22" fillId="25" borderId="123" xfId="0" applyNumberFormat="1" applyFont="1" applyFill="1" applyBorder="1" applyAlignment="1" applyProtection="1">
      <alignment horizontal="right" vertical="center"/>
      <protection hidden="1"/>
    </xf>
    <xf numFmtId="179" fontId="22" fillId="25" borderId="124" xfId="52" applyNumberFormat="1" applyFont="1" applyFill="1" applyBorder="1" applyAlignment="1" applyProtection="1">
      <alignment horizontal="right" vertical="center"/>
      <protection hidden="1"/>
    </xf>
    <xf numFmtId="43" fontId="22" fillId="25" borderId="27" xfId="52" applyFont="1" applyFill="1" applyBorder="1" applyAlignment="1" applyProtection="1">
      <alignment horizontal="right" vertical="center"/>
      <protection hidden="1"/>
    </xf>
    <xf numFmtId="43" fontId="22" fillId="25" borderId="20" xfId="52" applyFont="1" applyFill="1" applyBorder="1" applyAlignment="1" applyProtection="1">
      <alignment horizontal="right" vertical="center"/>
      <protection hidden="1"/>
    </xf>
    <xf numFmtId="43" fontId="22" fillId="25" borderId="33" xfId="52" applyFont="1" applyFill="1" applyBorder="1" applyAlignment="1" applyProtection="1">
      <alignment horizontal="right" vertical="center"/>
      <protection hidden="1"/>
    </xf>
    <xf numFmtId="179" fontId="22" fillId="25" borderId="27" xfId="52" applyNumberFormat="1" applyFont="1" applyFill="1" applyBorder="1" applyAlignment="1" applyProtection="1">
      <alignment horizontal="right" vertical="center"/>
      <protection hidden="1"/>
    </xf>
    <xf numFmtId="179" fontId="22" fillId="25" borderId="20" xfId="52" applyNumberFormat="1" applyFont="1" applyFill="1" applyBorder="1" applyAlignment="1" applyProtection="1">
      <alignment horizontal="right" vertical="center"/>
      <protection hidden="1"/>
    </xf>
    <xf numFmtId="179" fontId="22" fillId="25" borderId="33" xfId="52" applyNumberFormat="1" applyFont="1" applyFill="1" applyBorder="1" applyAlignment="1" applyProtection="1">
      <alignment horizontal="right" vertical="center"/>
      <protection hidden="1"/>
    </xf>
    <xf numFmtId="179" fontId="22" fillId="25" borderId="120" xfId="52" applyNumberFormat="1" applyFont="1" applyFill="1" applyBorder="1" applyAlignment="1" applyProtection="1">
      <alignment horizontal="right" vertical="center"/>
      <protection hidden="1"/>
    </xf>
    <xf numFmtId="43" fontId="45" fillId="25" borderId="27" xfId="52" applyFont="1" applyFill="1" applyBorder="1" applyAlignment="1" applyProtection="1">
      <alignment horizontal="right" vertical="center"/>
      <protection hidden="1"/>
    </xf>
    <xf numFmtId="43" fontId="45" fillId="25" borderId="20" xfId="52" applyFont="1" applyFill="1" applyBorder="1" applyAlignment="1" applyProtection="1">
      <alignment horizontal="right" vertical="center"/>
      <protection hidden="1"/>
    </xf>
    <xf numFmtId="43" fontId="45" fillId="25" borderId="33" xfId="52" applyFont="1" applyFill="1" applyBorder="1" applyAlignment="1" applyProtection="1">
      <alignment horizontal="right" vertical="center"/>
      <protection hidden="1"/>
    </xf>
    <xf numFmtId="179" fontId="45" fillId="25" borderId="27" xfId="52" applyNumberFormat="1" applyFont="1" applyFill="1" applyBorder="1" applyAlignment="1" applyProtection="1">
      <alignment horizontal="right" vertical="center"/>
      <protection hidden="1"/>
    </xf>
    <xf numFmtId="179" fontId="45" fillId="25" borderId="20" xfId="52" applyNumberFormat="1" applyFont="1" applyFill="1" applyBorder="1" applyAlignment="1" applyProtection="1">
      <alignment horizontal="right" vertical="center"/>
      <protection hidden="1"/>
    </xf>
    <xf numFmtId="179" fontId="45" fillId="25" borderId="33" xfId="52" applyNumberFormat="1" applyFont="1" applyFill="1" applyBorder="1" applyAlignment="1" applyProtection="1">
      <alignment horizontal="right" vertical="center"/>
      <protection hidden="1"/>
    </xf>
    <xf numFmtId="179" fontId="45" fillId="25" borderId="29" xfId="52" applyNumberFormat="1" applyFont="1" applyFill="1" applyBorder="1" applyAlignment="1" applyProtection="1">
      <alignment horizontal="right" vertical="center"/>
    </xf>
    <xf numFmtId="179" fontId="45" fillId="25" borderId="17" xfId="52" applyNumberFormat="1" applyFont="1" applyFill="1" applyBorder="1" applyAlignment="1" applyProtection="1">
      <alignment horizontal="right" vertical="center"/>
    </xf>
    <xf numFmtId="179" fontId="45" fillId="25" borderId="116" xfId="52" applyNumberFormat="1" applyFont="1" applyFill="1" applyBorder="1" applyAlignment="1" applyProtection="1">
      <alignment horizontal="right" vertical="center"/>
    </xf>
    <xf numFmtId="179" fontId="45" fillId="25" borderId="22" xfId="52" applyNumberFormat="1" applyFont="1" applyFill="1" applyBorder="1" applyAlignment="1" applyProtection="1">
      <alignment horizontal="right" vertical="center"/>
    </xf>
    <xf numFmtId="179" fontId="45" fillId="25" borderId="0" xfId="52" applyNumberFormat="1" applyFont="1" applyFill="1" applyBorder="1" applyAlignment="1" applyProtection="1">
      <alignment horizontal="right" vertical="center"/>
    </xf>
    <xf numFmtId="179" fontId="45" fillId="25" borderId="11" xfId="52" applyNumberFormat="1" applyFont="1" applyFill="1" applyBorder="1" applyAlignment="1" applyProtection="1">
      <alignment horizontal="right" vertical="center"/>
    </xf>
    <xf numFmtId="179" fontId="45" fillId="25" borderId="31" xfId="52" applyNumberFormat="1" applyFont="1" applyFill="1" applyBorder="1" applyAlignment="1" applyProtection="1">
      <alignment horizontal="right" vertical="center"/>
    </xf>
    <xf numFmtId="179" fontId="45" fillId="25" borderId="18" xfId="52" applyNumberFormat="1" applyFont="1" applyFill="1" applyBorder="1" applyAlignment="1" applyProtection="1">
      <alignment horizontal="right" vertical="center"/>
    </xf>
    <xf numFmtId="179" fontId="45" fillId="25" borderId="117" xfId="52" applyNumberFormat="1" applyFont="1" applyFill="1" applyBorder="1" applyAlignment="1" applyProtection="1">
      <alignment horizontal="right" vertical="center"/>
    </xf>
    <xf numFmtId="0" fontId="45" fillId="25" borderId="119" xfId="0" applyFont="1" applyFill="1" applyBorder="1" applyAlignment="1" applyProtection="1">
      <alignment horizontal="left"/>
    </xf>
    <xf numFmtId="0" fontId="45" fillId="25" borderId="20" xfId="0" applyFont="1" applyFill="1" applyBorder="1" applyAlignment="1" applyProtection="1">
      <alignment horizontal="left"/>
    </xf>
    <xf numFmtId="0" fontId="45" fillId="25" borderId="33" xfId="0" applyFont="1" applyFill="1" applyBorder="1" applyAlignment="1" applyProtection="1">
      <alignment horizontal="left"/>
    </xf>
    <xf numFmtId="0" fontId="35" fillId="25" borderId="26" xfId="0" applyFont="1" applyFill="1" applyBorder="1" applyAlignment="1" applyProtection="1">
      <alignment horizontal="center" vertical="center" wrapText="1" shrinkToFit="1"/>
    </xf>
    <xf numFmtId="0" fontId="35" fillId="25" borderId="14" xfId="0" applyFont="1" applyFill="1" applyBorder="1" applyAlignment="1" applyProtection="1">
      <alignment horizontal="center" vertical="center" wrapText="1" shrinkToFit="1"/>
    </xf>
    <xf numFmtId="0" fontId="35" fillId="25" borderId="108" xfId="0" applyFont="1" applyFill="1" applyBorder="1" applyAlignment="1" applyProtection="1">
      <alignment horizontal="center" vertical="center" wrapText="1" shrinkToFit="1"/>
    </xf>
    <xf numFmtId="0" fontId="35" fillId="25" borderId="113" xfId="0" applyFont="1" applyFill="1" applyBorder="1" applyAlignment="1" applyProtection="1">
      <alignment horizontal="center" vertical="center" wrapText="1" shrinkToFit="1"/>
    </xf>
    <xf numFmtId="0" fontId="35" fillId="25" borderId="47" xfId="0" applyFont="1" applyFill="1" applyBorder="1" applyAlignment="1" applyProtection="1">
      <alignment horizontal="center" vertical="center" wrapText="1" shrinkToFit="1"/>
    </xf>
    <xf numFmtId="0" fontId="35" fillId="25" borderId="61" xfId="0" applyFont="1" applyFill="1" applyBorder="1" applyAlignment="1" applyProtection="1">
      <alignment horizontal="center" vertical="center" wrapText="1" shrinkToFit="1"/>
    </xf>
    <xf numFmtId="0" fontId="35" fillId="25" borderId="109" xfId="0" applyFont="1" applyFill="1" applyBorder="1" applyAlignment="1" applyProtection="1">
      <alignment horizontal="center" vertical="center" wrapText="1" shrinkToFit="1"/>
    </xf>
    <xf numFmtId="0" fontId="35" fillId="25" borderId="110" xfId="0" applyFont="1" applyFill="1" applyBorder="1" applyAlignment="1" applyProtection="1">
      <alignment horizontal="center" vertical="center" wrapText="1" shrinkToFit="1"/>
    </xf>
    <xf numFmtId="0" fontId="35" fillId="25" borderId="111" xfId="0" applyFont="1" applyFill="1" applyBorder="1" applyAlignment="1" applyProtection="1">
      <alignment horizontal="center" vertical="center" wrapText="1" shrinkToFit="1"/>
    </xf>
    <xf numFmtId="0" fontId="35" fillId="25" borderId="112" xfId="0" applyFont="1" applyFill="1" applyBorder="1" applyAlignment="1" applyProtection="1">
      <alignment horizontal="center" vertical="center" wrapText="1" shrinkToFit="1"/>
    </xf>
    <xf numFmtId="0" fontId="35" fillId="25" borderId="60" xfId="0" applyFont="1" applyFill="1" applyBorder="1" applyAlignment="1" applyProtection="1">
      <alignment horizontal="center"/>
    </xf>
    <xf numFmtId="0" fontId="35" fillId="25" borderId="47" xfId="0" applyFont="1" applyFill="1" applyBorder="1" applyAlignment="1" applyProtection="1">
      <alignment horizontal="center"/>
    </xf>
    <xf numFmtId="0" fontId="35" fillId="25" borderId="61" xfId="0" applyFont="1" applyFill="1" applyBorder="1" applyAlignment="1" applyProtection="1">
      <alignment horizontal="center"/>
    </xf>
    <xf numFmtId="0" fontId="35" fillId="25" borderId="114" xfId="0" applyFont="1" applyFill="1" applyBorder="1" applyAlignment="1" applyProtection="1">
      <alignment horizontal="center"/>
    </xf>
    <xf numFmtId="179" fontId="45" fillId="25" borderId="0" xfId="52" applyNumberFormat="1" applyFont="1" applyFill="1" applyAlignment="1" applyProtection="1">
      <alignment horizontal="right"/>
      <protection hidden="1"/>
    </xf>
    <xf numFmtId="179" fontId="22" fillId="25" borderId="27" xfId="0" applyNumberFormat="1" applyFont="1" applyFill="1" applyBorder="1" applyAlignment="1" applyProtection="1">
      <alignment horizontal="right" vertical="center"/>
      <protection hidden="1"/>
    </xf>
    <xf numFmtId="179" fontId="22" fillId="25" borderId="20" xfId="0" applyNumberFormat="1" applyFont="1" applyFill="1" applyBorder="1" applyAlignment="1" applyProtection="1">
      <alignment horizontal="right" vertical="center"/>
      <protection hidden="1"/>
    </xf>
    <xf numFmtId="179" fontId="22" fillId="25" borderId="33" xfId="0" applyNumberFormat="1" applyFont="1" applyFill="1" applyBorder="1" applyAlignment="1" applyProtection="1">
      <alignment horizontal="right" vertical="center"/>
      <protection hidden="1"/>
    </xf>
    <xf numFmtId="179" fontId="45" fillId="25" borderId="0" xfId="52" applyNumberFormat="1" applyFont="1" applyFill="1" applyAlignment="1" applyProtection="1">
      <alignment horizontal="right"/>
    </xf>
    <xf numFmtId="179" fontId="22" fillId="25" borderId="0" xfId="52" applyNumberFormat="1" applyFont="1" applyFill="1" applyAlignment="1" applyProtection="1">
      <alignment horizontal="right"/>
      <protection hidden="1"/>
    </xf>
    <xf numFmtId="0" fontId="112" fillId="25" borderId="0" xfId="0" applyFont="1" applyFill="1" applyAlignment="1" applyProtection="1">
      <alignment horizontal="left"/>
    </xf>
    <xf numFmtId="179" fontId="45" fillId="25" borderId="17" xfId="52" applyNumberFormat="1" applyFont="1" applyFill="1" applyBorder="1" applyAlignment="1" applyProtection="1">
      <alignment horizontal="right"/>
      <protection hidden="1"/>
    </xf>
    <xf numFmtId="180" fontId="0" fillId="25" borderId="0" xfId="110" applyNumberFormat="1" applyFont="1" applyFill="1" applyAlignment="1" applyProtection="1">
      <alignment horizontal="center"/>
    </xf>
    <xf numFmtId="0" fontId="22" fillId="25" borderId="20" xfId="0" applyFont="1" applyFill="1" applyBorder="1" applyAlignment="1" applyProtection="1">
      <alignment horizontal="left" vertical="center"/>
      <protection hidden="1"/>
    </xf>
    <xf numFmtId="0" fontId="115" fillId="0" borderId="0" xfId="0" applyFont="1" applyBorder="1" applyAlignment="1">
      <alignment horizontal="center" vertical="center" wrapText="1"/>
    </xf>
    <xf numFmtId="0" fontId="117" fillId="0" borderId="12" xfId="0" applyFont="1" applyBorder="1" applyAlignment="1">
      <alignment horizontal="center" vertical="center" wrapText="1"/>
    </xf>
    <xf numFmtId="0" fontId="125" fillId="25" borderId="0" xfId="0" applyFont="1" applyFill="1" applyBorder="1" applyAlignment="1">
      <alignment horizontal="center" vertical="center"/>
    </xf>
    <xf numFmtId="0" fontId="117" fillId="0" borderId="0" xfId="0" applyFont="1" applyBorder="1" applyAlignment="1" applyProtection="1">
      <alignment horizontal="center" vertical="center"/>
      <protection hidden="1"/>
    </xf>
    <xf numFmtId="0" fontId="125" fillId="0" borderId="15" xfId="0" applyFont="1" applyBorder="1" applyAlignment="1">
      <alignment horizontal="center"/>
    </xf>
    <xf numFmtId="41" fontId="125" fillId="0" borderId="15" xfId="0" quotePrefix="1" applyNumberFormat="1" applyFont="1" applyBorder="1" applyAlignment="1" applyProtection="1">
      <alignment horizontal="center" vertical="center"/>
      <protection locked="0"/>
    </xf>
    <xf numFmtId="41" fontId="125" fillId="0" borderId="15" xfId="0" applyNumberFormat="1" applyFont="1" applyBorder="1" applyAlignment="1" applyProtection="1">
      <alignment horizontal="center" vertical="center"/>
      <protection locked="0"/>
    </xf>
    <xf numFmtId="0" fontId="125" fillId="0" borderId="15" xfId="0" applyNumberFormat="1" applyFont="1" applyBorder="1" applyAlignment="1" applyProtection="1">
      <alignment horizontal="center" vertical="center"/>
      <protection locked="0"/>
    </xf>
    <xf numFmtId="0" fontId="117" fillId="0" borderId="15" xfId="0" applyFont="1" applyBorder="1" applyAlignment="1">
      <alignment horizontal="center"/>
    </xf>
    <xf numFmtId="0" fontId="22" fillId="0" borderId="22" xfId="0" applyFont="1" applyBorder="1" applyAlignment="1" applyProtection="1">
      <alignment horizontal="center" vertical="center" textRotation="90" wrapText="1"/>
    </xf>
    <xf numFmtId="0" fontId="22" fillId="0" borderId="0" xfId="0" applyFont="1" applyBorder="1" applyAlignment="1" applyProtection="1">
      <alignment horizontal="center" vertical="center" textRotation="90" wrapText="1"/>
    </xf>
    <xf numFmtId="0" fontId="22" fillId="0" borderId="16" xfId="0" applyFont="1" applyBorder="1" applyAlignment="1" applyProtection="1">
      <alignment horizontal="center" vertical="center" textRotation="90" wrapText="1"/>
    </xf>
    <xf numFmtId="0" fontId="31" fillId="0" borderId="0" xfId="0" applyFont="1" applyBorder="1" applyAlignment="1" applyProtection="1">
      <alignment vertical="top" wrapText="1"/>
    </xf>
    <xf numFmtId="0" fontId="26" fillId="0" borderId="0" xfId="0" applyFont="1" applyFill="1" applyBorder="1" applyAlignment="1" applyProtection="1">
      <alignment horizontal="center" vertical="distributed" wrapText="1"/>
    </xf>
    <xf numFmtId="0" fontId="0" fillId="0" borderId="0" xfId="0" applyFill="1" applyBorder="1" applyAlignment="1" applyProtection="1">
      <alignment horizontal="left" vertical="center" wrapText="1"/>
    </xf>
    <xf numFmtId="0" fontId="0" fillId="0" borderId="0" xfId="0" applyFont="1" applyFill="1" applyBorder="1" applyAlignment="1" applyProtection="1">
      <alignment horizontal="left" vertical="center" wrapText="1"/>
    </xf>
    <xf numFmtId="0" fontId="34" fillId="0" borderId="0" xfId="0" applyFont="1" applyFill="1" applyBorder="1" applyAlignment="1" applyProtection="1">
      <alignment horizontal="center" vertical="distributed" wrapText="1"/>
    </xf>
    <xf numFmtId="0" fontId="28" fillId="0" borderId="0" xfId="0" applyFont="1" applyBorder="1" applyAlignment="1" applyProtection="1">
      <alignment horizontal="center" vertical="top"/>
    </xf>
    <xf numFmtId="0" fontId="31" fillId="0" borderId="0" xfId="0" applyFont="1" applyBorder="1" applyAlignment="1" applyProtection="1">
      <alignment horizontal="left" vertical="top"/>
    </xf>
    <xf numFmtId="0" fontId="0" fillId="0" borderId="0" xfId="0" applyBorder="1" applyAlignment="1" applyProtection="1">
      <alignment vertical="top"/>
    </xf>
    <xf numFmtId="0" fontId="0" fillId="0" borderId="16" xfId="0" applyBorder="1" applyAlignment="1" applyProtection="1">
      <alignment vertical="top"/>
    </xf>
    <xf numFmtId="0" fontId="31" fillId="0" borderId="0" xfId="0" applyFont="1" applyBorder="1" applyAlignment="1" applyProtection="1">
      <alignment vertical="top"/>
    </xf>
    <xf numFmtId="0" fontId="20" fillId="0" borderId="0" xfId="0" applyFont="1" applyBorder="1" applyAlignment="1" applyProtection="1">
      <alignment horizontal="left" vertical="top"/>
    </xf>
    <xf numFmtId="0" fontId="20" fillId="0" borderId="16" xfId="0" applyFont="1" applyBorder="1" applyAlignment="1" applyProtection="1">
      <alignment horizontal="left" vertical="top"/>
    </xf>
    <xf numFmtId="0" fontId="34" fillId="0" borderId="31" xfId="0" applyFont="1" applyBorder="1" applyAlignment="1" applyProtection="1">
      <alignment horizontal="left" vertical="center"/>
    </xf>
    <xf numFmtId="0" fontId="34" fillId="0" borderId="18" xfId="0" applyFont="1" applyBorder="1" applyAlignment="1" applyProtection="1">
      <alignment horizontal="left" vertical="center"/>
    </xf>
    <xf numFmtId="0" fontId="34" fillId="0" borderId="28" xfId="0" applyFont="1" applyBorder="1" applyAlignment="1" applyProtection="1">
      <alignment horizontal="left" vertical="center"/>
    </xf>
    <xf numFmtId="0" fontId="34" fillId="0" borderId="29" xfId="0" applyFont="1" applyBorder="1" applyAlignment="1" applyProtection="1">
      <alignment horizontal="left" vertical="center"/>
    </xf>
    <xf numFmtId="0" fontId="34" fillId="0" borderId="17" xfId="0" applyFont="1" applyBorder="1" applyAlignment="1" applyProtection="1">
      <alignment horizontal="left" vertical="center"/>
    </xf>
    <xf numFmtId="0" fontId="34" fillId="0" borderId="30" xfId="0" applyFont="1" applyBorder="1" applyAlignment="1" applyProtection="1">
      <alignment horizontal="left" vertical="center"/>
    </xf>
    <xf numFmtId="0" fontId="31" fillId="0" borderId="0" xfId="0" applyFont="1" applyBorder="1" applyAlignment="1" applyProtection="1">
      <alignment horizontal="left" vertical="center" wrapText="1"/>
    </xf>
    <xf numFmtId="0" fontId="31" fillId="0" borderId="0" xfId="0" applyFont="1" applyBorder="1" applyAlignment="1" applyProtection="1">
      <alignment horizontal="left" vertical="top" wrapText="1"/>
    </xf>
    <xf numFmtId="0" fontId="0" fillId="0" borderId="0" xfId="0" applyBorder="1" applyAlignment="1" applyProtection="1">
      <alignment vertical="top" wrapText="1"/>
    </xf>
    <xf numFmtId="0" fontId="0" fillId="0" borderId="16" xfId="0" applyBorder="1" applyAlignment="1" applyProtection="1">
      <alignment vertical="top" wrapText="1"/>
    </xf>
    <xf numFmtId="0" fontId="22" fillId="0" borderId="22" xfId="0" applyFont="1" applyFill="1" applyBorder="1" applyAlignment="1" applyProtection="1">
      <alignment horizontal="center" vertical="center" textRotation="90" wrapText="1"/>
    </xf>
    <xf numFmtId="0" fontId="22" fillId="0" borderId="0" xfId="0" applyFont="1" applyFill="1" applyBorder="1" applyAlignment="1" applyProtection="1">
      <alignment horizontal="center" vertical="center" textRotation="90" wrapText="1"/>
    </xf>
    <xf numFmtId="0" fontId="22" fillId="0" borderId="16" xfId="0" applyFont="1" applyFill="1" applyBorder="1" applyAlignment="1" applyProtection="1">
      <alignment horizontal="center" vertical="center" textRotation="90" wrapText="1"/>
    </xf>
    <xf numFmtId="0" fontId="0" fillId="0" borderId="0" xfId="0" applyBorder="1" applyAlignment="1" applyProtection="1"/>
    <xf numFmtId="0" fontId="0" fillId="0" borderId="16" xfId="0" applyBorder="1" applyAlignment="1" applyProtection="1"/>
    <xf numFmtId="0" fontId="31" fillId="0" borderId="0" xfId="0" applyFont="1" applyFill="1" applyBorder="1" applyAlignment="1" applyProtection="1">
      <alignment vertical="top"/>
    </xf>
    <xf numFmtId="0" fontId="0" fillId="0" borderId="0" xfId="0" applyFill="1" applyBorder="1" applyAlignment="1" applyProtection="1">
      <alignment vertical="top"/>
    </xf>
    <xf numFmtId="0" fontId="0" fillId="0" borderId="16" xfId="0" applyFill="1" applyBorder="1" applyAlignment="1" applyProtection="1">
      <alignment vertical="top"/>
    </xf>
    <xf numFmtId="0" fontId="20" fillId="0" borderId="0" xfId="0" applyFont="1" applyBorder="1" applyAlignment="1" applyProtection="1">
      <alignment vertical="top"/>
    </xf>
    <xf numFmtId="0" fontId="0" fillId="0" borderId="0" xfId="0" applyFill="1" applyBorder="1" applyAlignment="1" applyProtection="1"/>
    <xf numFmtId="0" fontId="0" fillId="0" borderId="16" xfId="0" applyFill="1" applyBorder="1" applyAlignment="1" applyProtection="1"/>
    <xf numFmtId="0" fontId="22" fillId="0" borderId="31" xfId="0" applyFont="1" applyBorder="1" applyAlignment="1" applyProtection="1">
      <alignment horizontal="center" vertical="center"/>
    </xf>
    <xf numFmtId="0" fontId="22" fillId="0" borderId="22" xfId="0" applyFont="1" applyBorder="1" applyAlignment="1" applyProtection="1">
      <alignment horizontal="center" vertical="center"/>
    </xf>
    <xf numFmtId="0" fontId="22" fillId="0" borderId="29" xfId="0" applyFont="1" applyBorder="1" applyAlignment="1" applyProtection="1">
      <alignment horizontal="center" vertical="center"/>
    </xf>
    <xf numFmtId="0" fontId="26" fillId="0" borderId="0" xfId="0" quotePrefix="1" applyFont="1" applyBorder="1" applyAlignment="1" applyProtection="1">
      <alignment horizontal="center" vertical="center"/>
    </xf>
    <xf numFmtId="41" fontId="22" fillId="0" borderId="15" xfId="28" applyFont="1" applyBorder="1" applyAlignment="1" applyProtection="1">
      <alignment horizontal="right" vertical="center" indent="1"/>
      <protection hidden="1"/>
    </xf>
    <xf numFmtId="0" fontId="22" fillId="0" borderId="16" xfId="0" applyFont="1" applyBorder="1" applyAlignment="1" applyProtection="1">
      <alignment horizontal="center" vertical="center" wrapText="1"/>
    </xf>
    <xf numFmtId="0" fontId="33" fillId="0" borderId="22" xfId="0" applyFont="1" applyBorder="1" applyAlignment="1" applyProtection="1">
      <alignment horizontal="left" vertical="center" wrapText="1"/>
    </xf>
    <xf numFmtId="0" fontId="33" fillId="0" borderId="0" xfId="0" applyFont="1" applyBorder="1" applyAlignment="1" applyProtection="1">
      <alignment horizontal="left" vertical="center" wrapText="1"/>
    </xf>
    <xf numFmtId="0" fontId="22" fillId="0" borderId="16" xfId="0" applyFont="1" applyBorder="1" applyAlignment="1" applyProtection="1">
      <alignment horizontal="center" vertical="center"/>
    </xf>
    <xf numFmtId="0" fontId="34" fillId="0" borderId="0" xfId="0" applyFont="1" applyBorder="1" applyAlignment="1" applyProtection="1">
      <alignment horizontal="left" wrapText="1"/>
    </xf>
    <xf numFmtId="0" fontId="34" fillId="0" borderId="16" xfId="0" applyFont="1" applyBorder="1" applyAlignment="1" applyProtection="1">
      <alignment horizontal="left" wrapText="1"/>
    </xf>
    <xf numFmtId="0" fontId="33" fillId="0" borderId="22" xfId="0" applyFont="1" applyFill="1" applyBorder="1" applyAlignment="1" applyProtection="1">
      <alignment horizontal="left" vertical="center" wrapText="1"/>
    </xf>
    <xf numFmtId="0" fontId="33" fillId="0" borderId="0" xfId="0" applyFont="1" applyFill="1" applyBorder="1" applyAlignment="1" applyProtection="1">
      <alignment horizontal="left" vertical="center" wrapText="1"/>
    </xf>
    <xf numFmtId="0" fontId="33" fillId="0" borderId="0" xfId="0" applyFont="1" applyBorder="1" applyAlignment="1" applyProtection="1">
      <alignment horizontal="left" vertical="center"/>
    </xf>
    <xf numFmtId="182" fontId="31" fillId="0" borderId="23" xfId="0" applyNumberFormat="1" applyFont="1" applyBorder="1" applyAlignment="1" applyProtection="1">
      <alignment horizontal="center" vertical="center" wrapText="1"/>
      <protection hidden="1"/>
    </xf>
    <xf numFmtId="182" fontId="31" fillId="0" borderId="32" xfId="0" applyNumberFormat="1" applyFont="1" applyBorder="1" applyAlignment="1" applyProtection="1">
      <alignment horizontal="center" vertical="center" wrapText="1"/>
      <protection hidden="1"/>
    </xf>
    <xf numFmtId="0" fontId="34" fillId="0" borderId="22" xfId="0" applyFont="1" applyBorder="1" applyAlignment="1" applyProtection="1">
      <alignment horizontal="left" vertical="center"/>
    </xf>
    <xf numFmtId="0" fontId="34" fillId="0" borderId="0" xfId="0" applyFont="1" applyBorder="1" applyAlignment="1" applyProtection="1">
      <alignment horizontal="left" vertical="center"/>
    </xf>
    <xf numFmtId="0" fontId="26" fillId="0" borderId="0" xfId="0" applyFont="1" applyFill="1" applyBorder="1" applyAlignment="1" applyProtection="1">
      <alignment horizontal="center" vertical="center"/>
    </xf>
    <xf numFmtId="0" fontId="26" fillId="0" borderId="11" xfId="0" applyFont="1" applyFill="1" applyBorder="1" applyAlignment="1" applyProtection="1">
      <alignment horizontal="center" vertical="center"/>
    </xf>
    <xf numFmtId="0" fontId="35" fillId="0" borderId="26" xfId="0" applyFont="1" applyBorder="1" applyAlignment="1" applyProtection="1">
      <alignment horizontal="center" vertical="center" textRotation="90" wrapText="1"/>
    </xf>
    <xf numFmtId="0" fontId="35" fillId="0" borderId="25" xfId="0" applyFont="1" applyBorder="1" applyAlignment="1" applyProtection="1">
      <alignment horizontal="center" vertical="center" textRotation="90" wrapText="1"/>
    </xf>
    <xf numFmtId="0" fontId="35" fillId="0" borderId="10" xfId="0" applyFont="1" applyBorder="1" applyAlignment="1" applyProtection="1">
      <alignment horizontal="center" vertical="center" textRotation="90" wrapText="1"/>
    </xf>
    <xf numFmtId="0" fontId="35" fillId="0" borderId="11" xfId="0" applyFont="1" applyBorder="1" applyAlignment="1" applyProtection="1">
      <alignment horizontal="center" vertical="center" textRotation="90" wrapText="1"/>
    </xf>
    <xf numFmtId="0" fontId="35" fillId="0" borderId="21" xfId="0" applyFont="1" applyBorder="1" applyAlignment="1" applyProtection="1">
      <alignment horizontal="center" vertical="center" textRotation="90" wrapText="1"/>
    </xf>
    <xf numFmtId="0" fontId="35" fillId="0" borderId="13" xfId="0" applyFont="1" applyBorder="1" applyAlignment="1" applyProtection="1">
      <alignment horizontal="center" vertical="center" textRotation="90" wrapText="1"/>
    </xf>
    <xf numFmtId="0" fontId="26" fillId="0" borderId="0" xfId="0" applyFont="1" applyFill="1" applyBorder="1" applyAlignment="1" applyProtection="1">
      <alignment horizontal="left" vertical="center" wrapText="1"/>
    </xf>
    <xf numFmtId="0" fontId="22" fillId="0" borderId="0" xfId="0" applyFont="1" applyFill="1" applyProtection="1"/>
    <xf numFmtId="0" fontId="22" fillId="0" borderId="11" xfId="0" applyFont="1" applyFill="1" applyBorder="1" applyProtection="1"/>
    <xf numFmtId="0" fontId="34" fillId="0" borderId="0" xfId="0" applyFont="1" applyFill="1" applyBorder="1" applyAlignment="1" applyProtection="1">
      <alignment horizontal="left" vertical="center"/>
    </xf>
    <xf numFmtId="0" fontId="33" fillId="0" borderId="0" xfId="0" applyFont="1" applyFill="1" applyBorder="1" applyAlignment="1" applyProtection="1">
      <alignment horizontal="left" vertical="distributed"/>
    </xf>
    <xf numFmtId="0" fontId="20" fillId="0" borderId="0" xfId="0" applyFont="1" applyBorder="1" applyAlignment="1" applyProtection="1">
      <alignment horizontal="left" vertical="top" wrapText="1"/>
    </xf>
    <xf numFmtId="0" fontId="32" fillId="0" borderId="0" xfId="0" applyFont="1" applyBorder="1" applyAlignment="1" applyProtection="1">
      <alignment horizontal="left" vertical="center" wrapText="1"/>
    </xf>
    <xf numFmtId="0" fontId="31" fillId="0" borderId="16" xfId="0" applyFont="1" applyBorder="1" applyAlignment="1" applyProtection="1">
      <alignment horizontal="left" vertical="center" wrapText="1"/>
    </xf>
    <xf numFmtId="0" fontId="34" fillId="0" borderId="0" xfId="0" applyFont="1" applyFill="1" applyBorder="1" applyAlignment="1" applyProtection="1">
      <alignment horizontal="center" vertical="center"/>
    </xf>
    <xf numFmtId="0" fontId="26" fillId="0" borderId="0" xfId="0" applyFont="1" applyFill="1" applyBorder="1" applyAlignment="1" applyProtection="1">
      <alignment horizontal="center"/>
    </xf>
    <xf numFmtId="0" fontId="26" fillId="0" borderId="11" xfId="0" applyFont="1" applyFill="1" applyBorder="1" applyAlignment="1" applyProtection="1">
      <alignment horizontal="center"/>
    </xf>
    <xf numFmtId="0" fontId="22" fillId="0" borderId="22" xfId="0" applyFont="1" applyBorder="1" applyAlignment="1" applyProtection="1">
      <alignment horizontal="center" vertical="center" textRotation="90"/>
    </xf>
    <xf numFmtId="0" fontId="22" fillId="0" borderId="0" xfId="0" applyFont="1" applyBorder="1" applyAlignment="1" applyProtection="1">
      <alignment horizontal="center" vertical="center" textRotation="90"/>
    </xf>
    <xf numFmtId="0" fontId="22" fillId="0" borderId="16" xfId="0" applyFont="1" applyBorder="1" applyAlignment="1" applyProtection="1">
      <alignment horizontal="center" vertical="center" textRotation="90"/>
    </xf>
    <xf numFmtId="0" fontId="35" fillId="0" borderId="26" xfId="0" applyFont="1" applyFill="1" applyBorder="1" applyAlignment="1" applyProtection="1">
      <alignment horizontal="center" vertical="center" wrapText="1"/>
    </xf>
    <xf numFmtId="0" fontId="35" fillId="0" borderId="14" xfId="0" applyFont="1" applyFill="1" applyBorder="1" applyAlignment="1" applyProtection="1">
      <alignment horizontal="center" vertical="center" wrapText="1"/>
    </xf>
    <xf numFmtId="0" fontId="35" fillId="0" borderId="25" xfId="0" applyFont="1" applyFill="1" applyBorder="1" applyAlignment="1" applyProtection="1">
      <alignment horizontal="center" vertical="center" wrapText="1"/>
    </xf>
    <xf numFmtId="0" fontId="35" fillId="0" borderId="10" xfId="0" applyFont="1" applyFill="1" applyBorder="1" applyAlignment="1" applyProtection="1">
      <alignment horizontal="center" vertical="center" wrapText="1"/>
    </xf>
    <xf numFmtId="0" fontId="35" fillId="0" borderId="0" xfId="0" applyFont="1" applyFill="1" applyBorder="1" applyAlignment="1" applyProtection="1">
      <alignment horizontal="center" vertical="center" wrapText="1"/>
    </xf>
    <xf numFmtId="0" fontId="35" fillId="0" borderId="11" xfId="0" applyFont="1" applyFill="1" applyBorder="1" applyAlignment="1" applyProtection="1">
      <alignment horizontal="center" vertical="center" wrapText="1"/>
    </xf>
    <xf numFmtId="0" fontId="35" fillId="0" borderId="21" xfId="0" applyFont="1" applyFill="1" applyBorder="1" applyAlignment="1" applyProtection="1">
      <alignment horizontal="center" vertical="center" wrapText="1"/>
    </xf>
    <xf numFmtId="0" fontId="35" fillId="0" borderId="12" xfId="0" applyFont="1" applyFill="1" applyBorder="1" applyAlignment="1" applyProtection="1">
      <alignment horizontal="center" vertical="center" wrapText="1"/>
    </xf>
    <xf numFmtId="0" fontId="35" fillId="0" borderId="13" xfId="0" applyFont="1" applyFill="1" applyBorder="1" applyAlignment="1" applyProtection="1">
      <alignment horizontal="center" vertical="center" wrapText="1"/>
    </xf>
    <xf numFmtId="0" fontId="24" fillId="0" borderId="0" xfId="0" quotePrefix="1" applyFont="1" applyFill="1" applyBorder="1" applyAlignment="1" applyProtection="1">
      <alignment horizontal="left" vertical="distributed" wrapText="1"/>
    </xf>
    <xf numFmtId="0" fontId="24" fillId="0" borderId="11" xfId="0" quotePrefix="1" applyFont="1" applyFill="1" applyBorder="1" applyAlignment="1" applyProtection="1">
      <alignment horizontal="left" vertical="distributed" wrapText="1"/>
    </xf>
    <xf numFmtId="0" fontId="28" fillId="0" borderId="22" xfId="0" applyFont="1" applyBorder="1" applyAlignment="1" applyProtection="1">
      <alignment horizontal="left" vertical="center"/>
    </xf>
    <xf numFmtId="0" fontId="28" fillId="0" borderId="0" xfId="0" applyFont="1" applyBorder="1" applyAlignment="1" applyProtection="1">
      <alignment horizontal="left" vertical="center"/>
    </xf>
    <xf numFmtId="0" fontId="34" fillId="0" borderId="22" xfId="0" applyFont="1" applyBorder="1" applyAlignment="1" applyProtection="1">
      <alignment horizontal="left" vertical="top" wrapText="1"/>
    </xf>
    <xf numFmtId="0" fontId="34" fillId="0" borderId="0" xfId="0" applyFont="1" applyBorder="1" applyAlignment="1" applyProtection="1">
      <alignment horizontal="left" vertical="top" wrapText="1"/>
    </xf>
    <xf numFmtId="0" fontId="34" fillId="0" borderId="31" xfId="0" applyFont="1" applyBorder="1" applyAlignment="1" applyProtection="1">
      <alignment horizontal="center" vertical="center" textRotation="90" wrapText="1"/>
    </xf>
    <xf numFmtId="0" fontId="34" fillId="0" borderId="18" xfId="0" applyFont="1" applyBorder="1" applyAlignment="1" applyProtection="1">
      <alignment horizontal="center" vertical="center" textRotation="90" wrapText="1"/>
    </xf>
    <xf numFmtId="0" fontId="34" fillId="0" borderId="28" xfId="0" applyFont="1" applyBorder="1" applyAlignment="1" applyProtection="1">
      <alignment horizontal="center" vertical="center" textRotation="90" wrapText="1"/>
    </xf>
    <xf numFmtId="0" fontId="34" fillId="0" borderId="22" xfId="0" applyFont="1" applyBorder="1" applyAlignment="1" applyProtection="1">
      <alignment horizontal="center" vertical="center" textRotation="90" wrapText="1"/>
    </xf>
    <xf numFmtId="0" fontId="34" fillId="0" borderId="0" xfId="0" applyFont="1" applyBorder="1" applyAlignment="1" applyProtection="1">
      <alignment horizontal="center" vertical="center" textRotation="90" wrapText="1"/>
    </xf>
    <xf numFmtId="0" fontId="34" fillId="0" borderId="16" xfId="0" applyFont="1" applyBorder="1" applyAlignment="1" applyProtection="1">
      <alignment horizontal="center" vertical="center" textRotation="90" wrapText="1"/>
    </xf>
    <xf numFmtId="0" fontId="34" fillId="0" borderId="29" xfId="0" applyFont="1" applyBorder="1" applyAlignment="1" applyProtection="1">
      <alignment horizontal="center" vertical="center" textRotation="90" wrapText="1"/>
    </xf>
    <xf numFmtId="0" fontId="34" fillId="0" borderId="17" xfId="0" applyFont="1" applyBorder="1" applyAlignment="1" applyProtection="1">
      <alignment horizontal="center" vertical="center" textRotation="90" wrapText="1"/>
    </xf>
    <xf numFmtId="0" fontId="34" fillId="0" borderId="30" xfId="0" applyFont="1" applyBorder="1" applyAlignment="1" applyProtection="1">
      <alignment horizontal="center" vertical="center" textRotation="90" wrapText="1"/>
    </xf>
    <xf numFmtId="0" fontId="28" fillId="0" borderId="0" xfId="0" applyFont="1" applyBorder="1" applyAlignment="1" applyProtection="1">
      <alignment horizontal="center" vertical="center"/>
    </xf>
    <xf numFmtId="0" fontId="31" fillId="28" borderId="23" xfId="0" applyFont="1" applyFill="1" applyBorder="1" applyAlignment="1" applyProtection="1">
      <alignment horizontal="center" vertical="center"/>
    </xf>
    <xf numFmtId="0" fontId="31" fillId="28" borderId="32" xfId="0" applyFont="1" applyFill="1" applyBorder="1" applyAlignment="1" applyProtection="1">
      <alignment horizontal="center" vertical="center"/>
    </xf>
    <xf numFmtId="0" fontId="28" fillId="0" borderId="0" xfId="0" applyFont="1" applyBorder="1" applyAlignment="1" applyProtection="1">
      <alignment horizontal="right" vertical="center"/>
    </xf>
    <xf numFmtId="0" fontId="48" fillId="0" borderId="0" xfId="0" applyFont="1" applyBorder="1" applyAlignment="1" applyProtection="1">
      <alignment horizontal="center" vertical="center"/>
    </xf>
    <xf numFmtId="182" fontId="34" fillId="0" borderId="23" xfId="0" applyNumberFormat="1" applyFont="1" applyBorder="1" applyAlignment="1" applyProtection="1">
      <alignment horizontal="center" vertical="center" wrapText="1"/>
      <protection hidden="1"/>
    </xf>
    <xf numFmtId="182" fontId="34" fillId="0" borderId="32" xfId="0" applyNumberFormat="1" applyFont="1" applyBorder="1" applyAlignment="1" applyProtection="1">
      <alignment horizontal="center" vertical="center" wrapText="1"/>
      <protection hidden="1"/>
    </xf>
    <xf numFmtId="0" fontId="26" fillId="0" borderId="0" xfId="0" applyFont="1" applyBorder="1" applyAlignment="1" applyProtection="1">
      <alignment horizontal="center" vertical="top" wrapText="1"/>
    </xf>
    <xf numFmtId="0" fontId="22" fillId="0" borderId="0" xfId="0" applyFont="1" applyBorder="1" applyAlignment="1" applyProtection="1">
      <alignment horizontal="center"/>
    </xf>
    <xf numFmtId="0" fontId="26" fillId="27" borderId="22" xfId="0" applyFont="1" applyFill="1" applyBorder="1" applyAlignment="1" applyProtection="1">
      <alignment horizontal="center" vertical="top" wrapText="1"/>
    </xf>
    <xf numFmtId="0" fontId="26" fillId="27" borderId="0" xfId="0" applyFont="1" applyFill="1" applyBorder="1" applyAlignment="1" applyProtection="1">
      <alignment horizontal="center" vertical="top" wrapText="1"/>
    </xf>
    <xf numFmtId="0" fontId="26" fillId="27" borderId="16" xfId="0" applyFont="1" applyFill="1" applyBorder="1" applyAlignment="1" applyProtection="1">
      <alignment horizontal="center" vertical="top" wrapText="1"/>
    </xf>
    <xf numFmtId="0" fontId="0" fillId="0" borderId="15" xfId="0" applyBorder="1" applyAlignment="1" applyProtection="1">
      <alignment horizontal="center"/>
    </xf>
    <xf numFmtId="0" fontId="39" fillId="0" borderId="22" xfId="0" applyFont="1" applyBorder="1" applyAlignment="1" applyProtection="1">
      <alignment horizontal="center" vertical="center" textRotation="90" wrapText="1"/>
    </xf>
    <xf numFmtId="0" fontId="39" fillId="0" borderId="0" xfId="0" applyFont="1" applyBorder="1" applyAlignment="1" applyProtection="1">
      <alignment horizontal="center" vertical="center" textRotation="90" wrapText="1"/>
    </xf>
    <xf numFmtId="0" fontId="39" fillId="0" borderId="16" xfId="0" applyFont="1" applyBorder="1" applyAlignment="1" applyProtection="1">
      <alignment horizontal="center" vertical="center" textRotation="90" wrapText="1"/>
    </xf>
    <xf numFmtId="0" fontId="22" fillId="0" borderId="16" xfId="0" applyFont="1" applyFill="1" applyBorder="1" applyAlignment="1" applyProtection="1">
      <alignment horizontal="center" vertical="center"/>
    </xf>
    <xf numFmtId="0" fontId="33" fillId="0" borderId="22" xfId="0" applyFont="1" applyFill="1" applyBorder="1" applyAlignment="1" applyProtection="1">
      <alignment horizontal="left" vertical="distributed"/>
    </xf>
    <xf numFmtId="0" fontId="33" fillId="0" borderId="16" xfId="0" applyFont="1" applyFill="1" applyBorder="1" applyAlignment="1" applyProtection="1">
      <alignment horizontal="left" vertical="center" wrapText="1"/>
    </xf>
    <xf numFmtId="0" fontId="22" fillId="0" borderId="10" xfId="0" applyFont="1" applyFill="1" applyBorder="1" applyAlignment="1" applyProtection="1">
      <alignment horizontal="center" vertical="center" textRotation="90"/>
    </xf>
    <xf numFmtId="0" fontId="0" fillId="25" borderId="0" xfId="0" applyFont="1" applyFill="1" applyBorder="1" applyAlignment="1" applyProtection="1">
      <alignment horizontal="center" vertical="center"/>
    </xf>
    <xf numFmtId="0" fontId="26" fillId="25" borderId="29" xfId="0" applyFont="1" applyFill="1" applyBorder="1" applyAlignment="1" applyProtection="1">
      <alignment horizontal="center"/>
    </xf>
    <xf numFmtId="0" fontId="26" fillId="25" borderId="17" xfId="0" applyFont="1" applyFill="1" applyBorder="1" applyAlignment="1" applyProtection="1">
      <alignment horizontal="center"/>
    </xf>
    <xf numFmtId="0" fontId="26" fillId="25" borderId="30" xfId="0" applyFont="1" applyFill="1" applyBorder="1" applyAlignment="1" applyProtection="1">
      <alignment horizontal="center"/>
    </xf>
    <xf numFmtId="0" fontId="21" fillId="0" borderId="10" xfId="0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 applyProtection="1">
      <alignment horizontal="center" vertical="center"/>
    </xf>
    <xf numFmtId="0" fontId="21" fillId="0" borderId="21" xfId="0" applyFont="1" applyFill="1" applyBorder="1" applyAlignment="1" applyProtection="1">
      <alignment horizontal="center" vertical="center"/>
    </xf>
    <xf numFmtId="0" fontId="21" fillId="0" borderId="12" xfId="0" applyFont="1" applyFill="1" applyBorder="1" applyAlignment="1" applyProtection="1">
      <alignment horizontal="center" vertical="center"/>
    </xf>
    <xf numFmtId="0" fontId="26" fillId="0" borderId="0" xfId="0" applyFont="1" applyBorder="1" applyAlignment="1" applyProtection="1">
      <alignment horizontal="center"/>
    </xf>
    <xf numFmtId="0" fontId="26" fillId="0" borderId="11" xfId="0" applyFont="1" applyBorder="1" applyAlignment="1" applyProtection="1">
      <alignment horizontal="center"/>
    </xf>
    <xf numFmtId="0" fontId="26" fillId="0" borderId="0" xfId="0" applyFont="1" applyBorder="1" applyAlignment="1" applyProtection="1">
      <alignment horizontal="center" vertical="center"/>
    </xf>
    <xf numFmtId="0" fontId="26" fillId="0" borderId="11" xfId="0" applyFont="1" applyBorder="1" applyAlignment="1" applyProtection="1">
      <alignment horizontal="center" vertical="center"/>
    </xf>
    <xf numFmtId="0" fontId="0" fillId="0" borderId="0" xfId="0" applyAlignment="1" applyProtection="1">
      <alignment horizontal="center"/>
    </xf>
    <xf numFmtId="0" fontId="0" fillId="0" borderId="11" xfId="0" applyBorder="1" applyAlignment="1" applyProtection="1">
      <alignment horizontal="center"/>
    </xf>
    <xf numFmtId="0" fontId="24" fillId="0" borderId="0" xfId="0" quotePrefix="1" applyFont="1" applyBorder="1" applyAlignment="1" applyProtection="1">
      <alignment horizontal="center" vertical="distributed" wrapText="1"/>
    </xf>
    <xf numFmtId="0" fontId="24" fillId="0" borderId="11" xfId="0" quotePrefix="1" applyFont="1" applyBorder="1" applyAlignment="1" applyProtection="1">
      <alignment horizontal="center" vertical="distributed" wrapText="1"/>
    </xf>
    <xf numFmtId="0" fontId="22" fillId="0" borderId="21" xfId="0" applyFont="1" applyFill="1" applyBorder="1" applyAlignment="1" applyProtection="1">
      <alignment horizontal="center" vertical="center" textRotation="90"/>
    </xf>
    <xf numFmtId="0" fontId="42" fillId="0" borderId="10" xfId="0" applyFont="1" applyFill="1" applyBorder="1" applyAlignment="1" applyProtection="1">
      <alignment horizontal="center" vertical="center"/>
    </xf>
    <xf numFmtId="0" fontId="42" fillId="0" borderId="0" xfId="0" applyFont="1" applyFill="1" applyBorder="1" applyAlignment="1" applyProtection="1">
      <alignment horizontal="center" vertical="center"/>
    </xf>
    <xf numFmtId="0" fontId="42" fillId="0" borderId="11" xfId="0" applyFont="1" applyFill="1" applyBorder="1" applyAlignment="1" applyProtection="1">
      <alignment horizontal="center" vertical="center"/>
    </xf>
    <xf numFmtId="0" fontId="42" fillId="0" borderId="21" xfId="0" applyFont="1" applyFill="1" applyBorder="1" applyAlignment="1" applyProtection="1">
      <alignment horizontal="center" vertical="center"/>
    </xf>
    <xf numFmtId="0" fontId="42" fillId="0" borderId="12" xfId="0" applyFont="1" applyFill="1" applyBorder="1" applyAlignment="1" applyProtection="1">
      <alignment horizontal="center" vertical="center"/>
    </xf>
    <xf numFmtId="0" fontId="42" fillId="0" borderId="13" xfId="0" applyFont="1" applyFill="1" applyBorder="1" applyAlignment="1" applyProtection="1">
      <alignment horizontal="center" vertical="center"/>
    </xf>
    <xf numFmtId="0" fontId="39" fillId="0" borderId="0" xfId="0" applyFont="1" applyFill="1" applyBorder="1" applyAlignment="1" applyProtection="1">
      <alignment horizontal="center" vertical="center"/>
    </xf>
    <xf numFmtId="0" fontId="39" fillId="0" borderId="11" xfId="0" applyFont="1" applyFill="1" applyBorder="1" applyAlignment="1" applyProtection="1">
      <alignment horizontal="center" vertical="center"/>
    </xf>
    <xf numFmtId="0" fontId="22" fillId="0" borderId="14" xfId="0" applyFont="1" applyFill="1" applyBorder="1" applyAlignment="1" applyProtection="1">
      <alignment horizontal="center" vertical="center" wrapText="1"/>
    </xf>
    <xf numFmtId="0" fontId="22" fillId="0" borderId="25" xfId="0" applyFont="1" applyFill="1" applyBorder="1" applyAlignment="1" applyProtection="1">
      <alignment horizontal="center" vertical="center" wrapText="1"/>
    </xf>
    <xf numFmtId="0" fontId="22" fillId="0" borderId="0" xfId="0" applyFont="1" applyFill="1" applyBorder="1" applyAlignment="1" applyProtection="1">
      <alignment horizontal="center" vertical="center" wrapText="1"/>
    </xf>
    <xf numFmtId="0" fontId="22" fillId="0" borderId="11" xfId="0" applyFont="1" applyFill="1" applyBorder="1" applyAlignment="1" applyProtection="1">
      <alignment horizontal="center" vertical="center" wrapText="1"/>
    </xf>
    <xf numFmtId="0" fontId="22" fillId="0" borderId="12" xfId="0" applyFont="1" applyFill="1" applyBorder="1" applyAlignment="1" applyProtection="1">
      <alignment horizontal="center" vertical="center" wrapText="1"/>
    </xf>
    <xf numFmtId="0" fontId="22" fillId="0" borderId="13" xfId="0" applyFont="1" applyFill="1" applyBorder="1" applyAlignment="1" applyProtection="1">
      <alignment horizontal="center" vertical="center" wrapText="1"/>
    </xf>
    <xf numFmtId="0" fontId="31" fillId="0" borderId="0" xfId="0" applyFont="1" applyBorder="1" applyAlignment="1" applyProtection="1">
      <alignment horizontal="left" vertical="justify" wrapText="1"/>
    </xf>
    <xf numFmtId="0" fontId="26" fillId="0" borderId="20" xfId="0" applyFont="1" applyBorder="1" applyAlignment="1" applyProtection="1">
      <alignment horizontal="center" vertical="top"/>
    </xf>
    <xf numFmtId="0" fontId="34" fillId="0" borderId="18" xfId="0" applyFont="1" applyBorder="1" applyAlignment="1" applyProtection="1">
      <alignment horizontal="center" vertical="center"/>
    </xf>
    <xf numFmtId="0" fontId="34" fillId="0" borderId="28" xfId="0" applyFont="1" applyBorder="1" applyAlignment="1" applyProtection="1">
      <alignment horizontal="center" vertical="center"/>
    </xf>
    <xf numFmtId="0" fontId="34" fillId="0" borderId="0" xfId="0" applyFont="1" applyBorder="1" applyAlignment="1" applyProtection="1">
      <alignment horizontal="center" vertical="center"/>
    </xf>
    <xf numFmtId="0" fontId="34" fillId="0" borderId="16" xfId="0" applyFont="1" applyBorder="1" applyAlignment="1" applyProtection="1">
      <alignment horizontal="center" vertical="center"/>
    </xf>
    <xf numFmtId="0" fontId="33" fillId="0" borderId="16" xfId="0" applyFont="1" applyBorder="1" applyAlignment="1" applyProtection="1">
      <alignment horizontal="left" vertical="center" wrapText="1"/>
    </xf>
    <xf numFmtId="0" fontId="28" fillId="0" borderId="24" xfId="0" applyFont="1" applyBorder="1" applyAlignment="1" applyProtection="1">
      <alignment horizontal="center" vertical="top" wrapText="1"/>
    </xf>
    <xf numFmtId="0" fontId="22" fillId="0" borderId="0" xfId="0" applyFont="1" applyBorder="1" applyAlignment="1" applyProtection="1">
      <alignment horizontal="left" vertical="top" wrapText="1"/>
    </xf>
    <xf numFmtId="0" fontId="22" fillId="0" borderId="0" xfId="0" applyFont="1" applyAlignment="1" applyProtection="1">
      <alignment horizontal="left"/>
    </xf>
    <xf numFmtId="0" fontId="22" fillId="25" borderId="0" xfId="0" applyFont="1" applyFill="1" applyBorder="1" applyAlignment="1" applyProtection="1">
      <alignment horizontal="left" vertical="top" wrapText="1"/>
    </xf>
    <xf numFmtId="0" fontId="33" fillId="0" borderId="22" xfId="0" applyFont="1" applyBorder="1" applyAlignment="1" applyProtection="1">
      <alignment horizontal="left" vertical="distributed"/>
    </xf>
    <xf numFmtId="0" fontId="33" fillId="0" borderId="0" xfId="0" applyFont="1" applyBorder="1" applyAlignment="1" applyProtection="1">
      <alignment horizontal="left" vertical="distributed"/>
    </xf>
    <xf numFmtId="0" fontId="22" fillId="0" borderId="0" xfId="0" applyFont="1" applyBorder="1" applyAlignment="1" applyProtection="1">
      <alignment horizontal="center" vertical="top" wrapText="1"/>
    </xf>
    <xf numFmtId="0" fontId="31" fillId="25" borderId="0" xfId="0" applyFont="1" applyFill="1" applyBorder="1" applyAlignment="1" applyProtection="1">
      <alignment horizontal="left" vertical="top" wrapText="1"/>
    </xf>
    <xf numFmtId="0" fontId="31" fillId="25" borderId="0" xfId="0" applyFont="1" applyFill="1" applyBorder="1" applyAlignment="1" applyProtection="1">
      <alignment vertical="top" wrapText="1"/>
    </xf>
    <xf numFmtId="0" fontId="22" fillId="0" borderId="0" xfId="0" applyFont="1" applyBorder="1" applyAlignment="1" applyProtection="1">
      <alignment horizontal="left" vertical="center" wrapText="1"/>
    </xf>
    <xf numFmtId="0" fontId="31" fillId="0" borderId="16" xfId="0" applyFont="1" applyBorder="1" applyAlignment="1" applyProtection="1">
      <alignment horizontal="left" vertical="top" wrapText="1"/>
    </xf>
    <xf numFmtId="0" fontId="22" fillId="0" borderId="0" xfId="0" applyFont="1" applyBorder="1" applyAlignment="1" applyProtection="1">
      <alignment horizontal="left" vertical="center"/>
    </xf>
    <xf numFmtId="0" fontId="28" fillId="0" borderId="24" xfId="0" applyFont="1" applyBorder="1" applyAlignment="1" applyProtection="1">
      <alignment horizontal="center" vertical="center" wrapText="1"/>
    </xf>
    <xf numFmtId="0" fontId="22" fillId="0" borderId="0" xfId="0" applyFont="1" applyAlignment="1" applyProtection="1">
      <alignment horizontal="center" vertical="center" textRotation="90"/>
    </xf>
    <xf numFmtId="0" fontId="28" fillId="0" borderId="15" xfId="0" applyFont="1" applyBorder="1" applyAlignment="1" applyProtection="1">
      <alignment horizontal="center" vertical="center" wrapText="1"/>
    </xf>
    <xf numFmtId="0" fontId="20" fillId="0" borderId="22" xfId="0" applyFont="1" applyBorder="1" applyAlignment="1" applyProtection="1">
      <alignment horizontal="center" vertical="center"/>
    </xf>
    <xf numFmtId="0" fontId="20" fillId="0" borderId="0" xfId="0" applyFont="1" applyBorder="1" applyAlignment="1" applyProtection="1">
      <alignment horizontal="center" vertical="center"/>
    </xf>
    <xf numFmtId="0" fontId="20" fillId="0" borderId="23" xfId="0" applyFont="1" applyBorder="1" applyAlignment="1" applyProtection="1">
      <alignment horizontal="center" vertical="center"/>
      <protection hidden="1"/>
    </xf>
    <xf numFmtId="0" fontId="20" fillId="0" borderId="32" xfId="0" applyFont="1" applyBorder="1" applyAlignment="1" applyProtection="1">
      <alignment horizontal="center" vertical="center"/>
      <protection hidden="1"/>
    </xf>
    <xf numFmtId="0" fontId="20" fillId="0" borderId="16" xfId="0" applyFont="1" applyBorder="1" applyAlignment="1" applyProtection="1">
      <alignment horizontal="center" vertical="center"/>
    </xf>
    <xf numFmtId="0" fontId="20" fillId="0" borderId="24" xfId="0" applyFont="1" applyBorder="1" applyAlignment="1" applyProtection="1">
      <alignment horizontal="center" vertical="center"/>
    </xf>
    <xf numFmtId="0" fontId="26" fillId="0" borderId="37" xfId="0" applyFont="1" applyBorder="1" applyAlignment="1" applyProtection="1">
      <alignment horizontal="center" vertical="center"/>
    </xf>
    <xf numFmtId="0" fontId="26" fillId="0" borderId="38" xfId="0" applyFont="1" applyBorder="1" applyAlignment="1" applyProtection="1">
      <alignment horizontal="center" vertical="center"/>
    </xf>
    <xf numFmtId="0" fontId="26" fillId="0" borderId="39" xfId="0" applyFont="1" applyBorder="1" applyAlignment="1" applyProtection="1">
      <alignment horizontal="center" vertical="center"/>
    </xf>
    <xf numFmtId="0" fontId="26" fillId="0" borderId="40" xfId="0" applyFont="1" applyBorder="1" applyAlignment="1" applyProtection="1">
      <alignment horizontal="center" vertical="center"/>
    </xf>
    <xf numFmtId="0" fontId="26" fillId="0" borderId="41" xfId="0" applyFont="1" applyBorder="1" applyAlignment="1" applyProtection="1">
      <alignment horizontal="center" vertical="center"/>
    </xf>
    <xf numFmtId="0" fontId="26" fillId="0" borderId="42" xfId="0" applyFont="1" applyBorder="1" applyAlignment="1" applyProtection="1">
      <alignment horizontal="center" vertical="center"/>
    </xf>
    <xf numFmtId="0" fontId="28" fillId="0" borderId="31" xfId="0" applyFont="1" applyBorder="1" applyAlignment="1" applyProtection="1">
      <alignment horizontal="center" vertical="center" wrapText="1"/>
    </xf>
    <xf numFmtId="0" fontId="28" fillId="0" borderId="28" xfId="0" applyFont="1" applyBorder="1" applyAlignment="1" applyProtection="1">
      <alignment horizontal="center" vertical="center" wrapText="1"/>
    </xf>
    <xf numFmtId="0" fontId="28" fillId="0" borderId="29" xfId="0" applyFont="1" applyBorder="1" applyAlignment="1" applyProtection="1">
      <alignment horizontal="center" vertical="center" wrapText="1"/>
    </xf>
    <xf numFmtId="0" fontId="28" fillId="0" borderId="30" xfId="0" applyFont="1" applyBorder="1" applyAlignment="1" applyProtection="1">
      <alignment horizontal="center" vertical="center" wrapText="1"/>
    </xf>
    <xf numFmtId="0" fontId="28" fillId="0" borderId="27" xfId="0" applyFont="1" applyBorder="1" applyAlignment="1" applyProtection="1">
      <alignment horizontal="center" vertical="center"/>
    </xf>
    <xf numFmtId="0" fontId="28" fillId="0" borderId="20" xfId="0" applyFont="1" applyBorder="1" applyAlignment="1" applyProtection="1">
      <alignment horizontal="center" vertical="center"/>
    </xf>
    <xf numFmtId="0" fontId="28" fillId="0" borderId="33" xfId="0" applyFont="1" applyBorder="1" applyAlignment="1" applyProtection="1">
      <alignment horizontal="center" vertical="center"/>
    </xf>
    <xf numFmtId="0" fontId="34" fillId="0" borderId="0" xfId="0" quotePrefix="1" applyFont="1" applyFill="1" applyBorder="1" applyAlignment="1" applyProtection="1">
      <alignment horizontal="center" vertical="distributed" wrapText="1"/>
    </xf>
    <xf numFmtId="0" fontId="28" fillId="0" borderId="10" xfId="0" applyFont="1" applyFill="1" applyBorder="1" applyAlignment="1" applyProtection="1">
      <alignment horizontal="center" vertical="center" textRotation="90"/>
    </xf>
    <xf numFmtId="0" fontId="28" fillId="0" borderId="21" xfId="0" applyFont="1" applyFill="1" applyBorder="1" applyAlignment="1" applyProtection="1">
      <alignment horizontal="center" vertical="center" textRotation="90"/>
    </xf>
    <xf numFmtId="0" fontId="34" fillId="0" borderId="27" xfId="0" quotePrefix="1" applyFont="1" applyBorder="1" applyAlignment="1" applyProtection="1">
      <alignment horizontal="center" vertical="center" wrapText="1"/>
    </xf>
    <xf numFmtId="0" fontId="34" fillId="0" borderId="20" xfId="0" quotePrefix="1" applyFont="1" applyBorder="1" applyAlignment="1" applyProtection="1">
      <alignment horizontal="center" vertical="center" wrapText="1"/>
    </xf>
    <xf numFmtId="0" fontId="34" fillId="0" borderId="33" xfId="0" quotePrefix="1" applyFont="1" applyBorder="1" applyAlignment="1" applyProtection="1">
      <alignment horizontal="center" vertical="center" wrapText="1"/>
    </xf>
    <xf numFmtId="0" fontId="33" fillId="0" borderId="16" xfId="0" applyFont="1" applyBorder="1" applyAlignment="1" applyProtection="1">
      <alignment horizontal="left" vertical="distributed"/>
    </xf>
    <xf numFmtId="0" fontId="26" fillId="0" borderId="11" xfId="0" applyFont="1" applyFill="1" applyBorder="1" applyAlignment="1" applyProtection="1">
      <alignment horizontal="left" vertical="center" wrapText="1"/>
    </xf>
    <xf numFmtId="0" fontId="27" fillId="0" borderId="0" xfId="0" quotePrefix="1" applyFont="1" applyBorder="1" applyAlignment="1" applyProtection="1">
      <alignment horizontal="center" vertical="distributed" wrapText="1"/>
    </xf>
    <xf numFmtId="0" fontId="27" fillId="0" borderId="11" xfId="0" quotePrefix="1" applyFont="1" applyBorder="1" applyAlignment="1" applyProtection="1">
      <alignment horizontal="center" vertical="distributed" wrapText="1"/>
    </xf>
    <xf numFmtId="0" fontId="26" fillId="0" borderId="14" xfId="0" applyFont="1" applyFill="1" applyBorder="1" applyAlignment="1" applyProtection="1">
      <alignment horizontal="left" wrapText="1"/>
    </xf>
    <xf numFmtId="0" fontId="26" fillId="0" borderId="25" xfId="0" applyFont="1" applyFill="1" applyBorder="1" applyAlignment="1" applyProtection="1">
      <alignment horizontal="left" wrapText="1"/>
    </xf>
    <xf numFmtId="0" fontId="26" fillId="0" borderId="0" xfId="0" applyFont="1" applyFill="1" applyBorder="1" applyAlignment="1" applyProtection="1">
      <alignment horizontal="left" wrapText="1"/>
    </xf>
    <xf numFmtId="0" fontId="26" fillId="0" borderId="11" xfId="0" applyFont="1" applyFill="1" applyBorder="1" applyAlignment="1" applyProtection="1">
      <alignment horizontal="left" wrapText="1"/>
    </xf>
    <xf numFmtId="0" fontId="21" fillId="0" borderId="11" xfId="0" applyFont="1" applyFill="1" applyBorder="1" applyAlignment="1" applyProtection="1">
      <alignment horizontal="center" vertical="center"/>
    </xf>
    <xf numFmtId="0" fontId="21" fillId="0" borderId="13" xfId="0" applyFont="1" applyFill="1" applyBorder="1" applyAlignment="1" applyProtection="1">
      <alignment horizontal="center" vertical="center"/>
    </xf>
    <xf numFmtId="0" fontId="22" fillId="0" borderId="10" xfId="0" applyFont="1" applyFill="1" applyBorder="1" applyAlignment="1" applyProtection="1">
      <alignment horizontal="center"/>
    </xf>
    <xf numFmtId="0" fontId="22" fillId="0" borderId="0" xfId="0" applyFont="1" applyFill="1" applyAlignment="1" applyProtection="1">
      <alignment horizontal="center"/>
    </xf>
    <xf numFmtId="0" fontId="22" fillId="0" borderId="11" xfId="0" applyFont="1" applyFill="1" applyBorder="1" applyAlignment="1" applyProtection="1">
      <alignment horizontal="center"/>
    </xf>
    <xf numFmtId="0" fontId="34" fillId="0" borderId="0" xfId="0" applyFont="1" applyBorder="1" applyAlignment="1" applyProtection="1">
      <alignment horizontal="center" vertical="top" wrapText="1"/>
    </xf>
    <xf numFmtId="0" fontId="28" fillId="0" borderId="15" xfId="0" applyFont="1" applyBorder="1" applyAlignment="1" applyProtection="1">
      <alignment horizontal="center" vertical="center"/>
    </xf>
    <xf numFmtId="0" fontId="34" fillId="0" borderId="0" xfId="0" applyFont="1" applyBorder="1" applyAlignment="1" applyProtection="1">
      <alignment horizontal="center" vertical="top"/>
    </xf>
    <xf numFmtId="0" fontId="0" fillId="0" borderId="31" xfId="0" applyFont="1" applyBorder="1" applyAlignment="1" applyProtection="1">
      <alignment horizontal="center" vertical="center" wrapText="1"/>
    </xf>
    <xf numFmtId="0" fontId="0" fillId="0" borderId="18" xfId="0" applyFont="1" applyBorder="1" applyAlignment="1" applyProtection="1">
      <alignment horizontal="center" vertical="center" wrapText="1"/>
    </xf>
    <xf numFmtId="0" fontId="0" fillId="0" borderId="28" xfId="0" applyFont="1" applyBorder="1" applyAlignment="1" applyProtection="1">
      <alignment horizontal="center" vertical="center" wrapText="1"/>
    </xf>
    <xf numFmtId="0" fontId="31" fillId="0" borderId="31" xfId="0" applyFont="1" applyBorder="1" applyAlignment="1" applyProtection="1">
      <alignment horizontal="center" vertical="center" wrapText="1"/>
    </xf>
    <xf numFmtId="0" fontId="31" fillId="0" borderId="28" xfId="0" applyFont="1" applyBorder="1" applyAlignment="1" applyProtection="1">
      <alignment horizontal="center" vertical="center" wrapText="1"/>
    </xf>
    <xf numFmtId="0" fontId="31" fillId="0" borderId="29" xfId="0" applyFont="1" applyBorder="1" applyAlignment="1" applyProtection="1">
      <alignment horizontal="center" vertical="center" wrapText="1"/>
    </xf>
    <xf numFmtId="0" fontId="31" fillId="0" borderId="30" xfId="0" applyFont="1" applyBorder="1" applyAlignment="1" applyProtection="1">
      <alignment horizontal="center" vertical="center" wrapText="1"/>
    </xf>
    <xf numFmtId="0" fontId="28" fillId="0" borderId="31" xfId="0" quotePrefix="1" applyFont="1" applyBorder="1" applyAlignment="1" applyProtection="1">
      <alignment horizontal="center" vertical="center" wrapText="1"/>
    </xf>
    <xf numFmtId="0" fontId="28" fillId="0" borderId="28" xfId="0" quotePrefix="1" applyFont="1" applyBorder="1" applyAlignment="1" applyProtection="1">
      <alignment horizontal="center" vertical="center" wrapText="1"/>
    </xf>
    <xf numFmtId="0" fontId="28" fillId="0" borderId="29" xfId="0" quotePrefix="1" applyFont="1" applyBorder="1" applyAlignment="1" applyProtection="1">
      <alignment horizontal="center" vertical="center" wrapText="1"/>
    </xf>
    <xf numFmtId="0" fontId="28" fillId="0" borderId="30" xfId="0" quotePrefix="1" applyFont="1" applyBorder="1" applyAlignment="1" applyProtection="1">
      <alignment horizontal="center" vertical="center" wrapText="1"/>
    </xf>
    <xf numFmtId="0" fontId="28" fillId="0" borderId="31" xfId="0" applyFont="1" applyBorder="1" applyAlignment="1" applyProtection="1">
      <alignment horizontal="center" vertical="center"/>
    </xf>
    <xf numFmtId="0" fontId="28" fillId="0" borderId="28" xfId="0" applyFont="1" applyBorder="1" applyAlignment="1" applyProtection="1">
      <alignment horizontal="center" vertical="center"/>
    </xf>
    <xf numFmtId="0" fontId="28" fillId="0" borderId="29" xfId="0" applyFont="1" applyBorder="1" applyAlignment="1" applyProtection="1">
      <alignment horizontal="center" vertical="center"/>
    </xf>
    <xf numFmtId="0" fontId="28" fillId="0" borderId="30" xfId="0" applyFont="1" applyBorder="1" applyAlignment="1" applyProtection="1">
      <alignment horizontal="center" vertical="center"/>
    </xf>
    <xf numFmtId="0" fontId="34" fillId="0" borderId="20" xfId="0" applyFont="1" applyBorder="1" applyAlignment="1" applyProtection="1">
      <alignment horizontal="center" vertical="center" wrapText="1"/>
    </xf>
    <xf numFmtId="0" fontId="0" fillId="0" borderId="27" xfId="0" applyBorder="1" applyAlignment="1" applyProtection="1">
      <alignment horizontal="center" vertical="center" wrapText="1"/>
    </xf>
    <xf numFmtId="0" fontId="0" fillId="0" borderId="20" xfId="0" applyBorder="1" applyAlignment="1" applyProtection="1">
      <alignment horizontal="center" vertical="center" wrapText="1"/>
    </xf>
    <xf numFmtId="0" fontId="0" fillId="0" borderId="33" xfId="0" applyBorder="1" applyAlignment="1" applyProtection="1">
      <alignment horizontal="center" vertical="center" wrapText="1"/>
    </xf>
    <xf numFmtId="0" fontId="28" fillId="26" borderId="27" xfId="0" applyFont="1" applyFill="1" applyBorder="1" applyAlignment="1" applyProtection="1">
      <alignment horizontal="center" vertical="center"/>
    </xf>
    <xf numFmtId="0" fontId="28" fillId="26" borderId="20" xfId="0" applyFont="1" applyFill="1" applyBorder="1" applyAlignment="1" applyProtection="1">
      <alignment horizontal="center" vertical="center"/>
    </xf>
    <xf numFmtId="0" fontId="28" fillId="26" borderId="33" xfId="0" applyFont="1" applyFill="1" applyBorder="1" applyAlignment="1" applyProtection="1">
      <alignment horizontal="center" vertical="center"/>
    </xf>
    <xf numFmtId="0" fontId="31" fillId="0" borderId="18" xfId="0" applyFont="1" applyBorder="1" applyAlignment="1" applyProtection="1">
      <alignment horizontal="center" vertical="center" wrapText="1"/>
    </xf>
    <xf numFmtId="0" fontId="31" fillId="0" borderId="15" xfId="0" applyFont="1" applyBorder="1" applyAlignment="1" applyProtection="1">
      <alignment horizontal="left" vertical="center"/>
    </xf>
    <xf numFmtId="0" fontId="31" fillId="0" borderId="15" xfId="0" applyFont="1" applyBorder="1" applyAlignment="1" applyProtection="1">
      <alignment horizontal="left" vertical="center" wrapText="1"/>
    </xf>
    <xf numFmtId="0" fontId="31" fillId="0" borderId="15" xfId="0" applyFont="1" applyFill="1" applyBorder="1" applyAlignment="1" applyProtection="1">
      <alignment horizontal="left" vertical="center" wrapText="1"/>
    </xf>
    <xf numFmtId="0" fontId="22" fillId="0" borderId="15" xfId="0" applyFont="1" applyBorder="1" applyAlignment="1" applyProtection="1">
      <alignment horizontal="right" vertical="center" indent="1"/>
      <protection hidden="1"/>
    </xf>
    <xf numFmtId="0" fontId="31" fillId="0" borderId="17" xfId="0" applyFont="1" applyBorder="1" applyAlignment="1" applyProtection="1">
      <alignment horizontal="center" vertical="center" wrapText="1"/>
    </xf>
    <xf numFmtId="0" fontId="0" fillId="0" borderId="27" xfId="0" applyFont="1" applyBorder="1" applyAlignment="1" applyProtection="1">
      <alignment horizontal="center" vertical="center" wrapText="1"/>
    </xf>
    <xf numFmtId="0" fontId="0" fillId="0" borderId="20" xfId="0" applyFont="1" applyBorder="1" applyAlignment="1" applyProtection="1">
      <alignment horizontal="center" vertical="center" wrapText="1"/>
    </xf>
    <xf numFmtId="0" fontId="0" fillId="0" borderId="33" xfId="0" applyFont="1" applyBorder="1" applyAlignment="1" applyProtection="1">
      <alignment horizontal="center" vertical="center" wrapText="1"/>
    </xf>
    <xf numFmtId="0" fontId="28" fillId="0" borderId="27" xfId="0" applyFont="1" applyFill="1" applyBorder="1" applyAlignment="1" applyProtection="1">
      <alignment horizontal="center" vertical="center"/>
    </xf>
    <xf numFmtId="0" fontId="28" fillId="0" borderId="33" xfId="0" applyFont="1" applyFill="1" applyBorder="1" applyAlignment="1" applyProtection="1">
      <alignment horizontal="center" vertical="center"/>
    </xf>
    <xf numFmtId="0" fontId="28" fillId="25" borderId="27" xfId="0" applyFont="1" applyFill="1" applyBorder="1" applyAlignment="1" applyProtection="1">
      <alignment horizontal="center" vertical="center" wrapText="1"/>
    </xf>
    <xf numFmtId="0" fontId="28" fillId="25" borderId="33" xfId="0" applyFont="1" applyFill="1" applyBorder="1" applyAlignment="1" applyProtection="1">
      <alignment horizontal="center" vertical="center" wrapText="1"/>
    </xf>
    <xf numFmtId="41" fontId="28" fillId="0" borderId="27" xfId="0" applyNumberFormat="1" applyFont="1" applyBorder="1" applyAlignment="1" applyProtection="1">
      <alignment horizontal="center" vertical="center"/>
    </xf>
    <xf numFmtId="41" fontId="0" fillId="0" borderId="15" xfId="0" applyNumberFormat="1" applyFont="1" applyBorder="1" applyAlignment="1" applyProtection="1">
      <alignment horizontal="right" vertical="center" indent="1"/>
      <protection hidden="1"/>
    </xf>
    <xf numFmtId="165" fontId="0" fillId="0" borderId="27" xfId="0" applyNumberFormat="1" applyFont="1" applyBorder="1" applyAlignment="1" applyProtection="1">
      <alignment horizontal="right" vertical="center" indent="1"/>
      <protection hidden="1"/>
    </xf>
    <xf numFmtId="165" fontId="0" fillId="0" borderId="20" xfId="0" applyNumberFormat="1" applyFont="1" applyBorder="1" applyAlignment="1" applyProtection="1">
      <alignment horizontal="right" vertical="center" indent="1"/>
      <protection hidden="1"/>
    </xf>
    <xf numFmtId="165" fontId="0" fillId="0" borderId="33" xfId="0" applyNumberFormat="1" applyFont="1" applyBorder="1" applyAlignment="1" applyProtection="1">
      <alignment horizontal="right" vertical="center" indent="1"/>
      <protection hidden="1"/>
    </xf>
    <xf numFmtId="0" fontId="31" fillId="0" borderId="27" xfId="0" applyFont="1" applyBorder="1" applyAlignment="1" applyProtection="1">
      <alignment horizontal="left" vertical="center"/>
    </xf>
    <xf numFmtId="0" fontId="31" fillId="0" borderId="20" xfId="0" applyFont="1" applyBorder="1" applyAlignment="1" applyProtection="1">
      <alignment horizontal="left" vertical="center"/>
    </xf>
    <xf numFmtId="0" fontId="31" fillId="0" borderId="33" xfId="0" applyFont="1" applyBorder="1" applyAlignment="1" applyProtection="1">
      <alignment horizontal="left" vertical="center"/>
    </xf>
    <xf numFmtId="0" fontId="22" fillId="0" borderId="27" xfId="0" applyFont="1" applyBorder="1" applyAlignment="1" applyProtection="1">
      <alignment horizontal="center" vertical="center"/>
    </xf>
    <xf numFmtId="0" fontId="22" fillId="0" borderId="20" xfId="0" applyFont="1" applyBorder="1" applyAlignment="1" applyProtection="1">
      <alignment horizontal="center" vertical="center"/>
    </xf>
    <xf numFmtId="0" fontId="22" fillId="0" borderId="33" xfId="0" applyFont="1" applyBorder="1" applyAlignment="1" applyProtection="1">
      <alignment horizontal="center" vertical="center"/>
    </xf>
    <xf numFmtId="0" fontId="33" fillId="0" borderId="0" xfId="0" applyFont="1" applyFill="1" applyBorder="1" applyAlignment="1">
      <alignment horizontal="center" vertical="distributed"/>
    </xf>
    <xf numFmtId="0" fontId="0" fillId="0" borderId="22" xfId="0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21" fillId="0" borderId="10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0" fontId="21" fillId="0" borderId="11" xfId="0" applyFont="1" applyFill="1" applyBorder="1" applyAlignment="1">
      <alignment horizontal="center" vertical="center"/>
    </xf>
    <xf numFmtId="0" fontId="33" fillId="0" borderId="22" xfId="0" applyFont="1" applyBorder="1" applyAlignment="1">
      <alignment horizontal="center" vertical="distributed"/>
    </xf>
    <xf numFmtId="0" fontId="26" fillId="0" borderId="0" xfId="0" applyFont="1" applyBorder="1" applyAlignment="1">
      <alignment horizontal="center" vertical="top"/>
    </xf>
    <xf numFmtId="0" fontId="26" fillId="0" borderId="11" xfId="0" applyFont="1" applyBorder="1" applyAlignment="1">
      <alignment horizontal="center" vertical="top"/>
    </xf>
    <xf numFmtId="0" fontId="20" fillId="0" borderId="27" xfId="0" applyFont="1" applyFill="1" applyBorder="1" applyAlignment="1">
      <alignment horizontal="left" vertical="center" wrapText="1"/>
    </xf>
    <xf numFmtId="0" fontId="20" fillId="0" borderId="20" xfId="0" applyFont="1" applyFill="1" applyBorder="1" applyAlignment="1">
      <alignment horizontal="left" vertical="center" wrapText="1"/>
    </xf>
    <xf numFmtId="0" fontId="20" fillId="0" borderId="33" xfId="0" applyFont="1" applyFill="1" applyBorder="1" applyAlignment="1">
      <alignment horizontal="left" vertical="center" wrapText="1"/>
    </xf>
    <xf numFmtId="0" fontId="22" fillId="0" borderId="20" xfId="0" applyFont="1" applyFill="1" applyBorder="1" applyAlignment="1">
      <alignment horizontal="left" vertical="center"/>
    </xf>
    <xf numFmtId="0" fontId="22" fillId="0" borderId="33" xfId="0" applyFont="1" applyFill="1" applyBorder="1" applyAlignment="1">
      <alignment horizontal="left" vertical="center"/>
    </xf>
    <xf numFmtId="0" fontId="22" fillId="0" borderId="15" xfId="0" applyFont="1" applyFill="1" applyBorder="1" applyAlignment="1">
      <alignment horizontal="left" vertical="center" wrapText="1"/>
    </xf>
    <xf numFmtId="170" fontId="22" fillId="0" borderId="15" xfId="0" applyNumberFormat="1" applyFont="1" applyFill="1" applyBorder="1" applyAlignment="1" applyProtection="1">
      <alignment horizontal="center" vertical="center"/>
      <protection hidden="1"/>
    </xf>
    <xf numFmtId="182" fontId="22" fillId="0" borderId="15" xfId="0" applyNumberFormat="1" applyFont="1" applyFill="1" applyBorder="1" applyAlignment="1" applyProtection="1">
      <alignment horizontal="left" vertical="center"/>
      <protection hidden="1"/>
    </xf>
    <xf numFmtId="182" fontId="22" fillId="0" borderId="15" xfId="0" quotePrefix="1" applyNumberFormat="1" applyFont="1" applyFill="1" applyBorder="1" applyAlignment="1" applyProtection="1">
      <alignment horizontal="center" vertical="center"/>
      <protection hidden="1"/>
    </xf>
    <xf numFmtId="0" fontId="0" fillId="26" borderId="22" xfId="0" applyFont="1" applyFill="1" applyBorder="1" applyAlignment="1">
      <alignment horizontal="left" vertical="top"/>
    </xf>
    <xf numFmtId="0" fontId="0" fillId="26" borderId="0" xfId="0" applyFont="1" applyFill="1" applyBorder="1" applyAlignment="1">
      <alignment horizontal="left" vertical="top"/>
    </xf>
    <xf numFmtId="0" fontId="0" fillId="26" borderId="16" xfId="0" applyFont="1" applyFill="1" applyBorder="1" applyAlignment="1">
      <alignment horizontal="left" vertical="top"/>
    </xf>
    <xf numFmtId="182" fontId="45" fillId="25" borderId="147" xfId="0" applyNumberFormat="1" applyFont="1" applyFill="1" applyBorder="1" applyAlignment="1" applyProtection="1">
      <alignment horizontal="left"/>
      <protection hidden="1"/>
    </xf>
    <xf numFmtId="182" fontId="45" fillId="25" borderId="148" xfId="0" applyNumberFormat="1" applyFont="1" applyFill="1" applyBorder="1" applyAlignment="1" applyProtection="1">
      <alignment horizontal="left"/>
      <protection hidden="1"/>
    </xf>
    <xf numFmtId="182" fontId="45" fillId="25" borderId="149" xfId="0" applyNumberFormat="1" applyFont="1" applyFill="1" applyBorder="1" applyAlignment="1" applyProtection="1">
      <alignment horizontal="left"/>
      <protection hidden="1"/>
    </xf>
    <xf numFmtId="179" fontId="45" fillId="25" borderId="133" xfId="52" applyNumberFormat="1" applyFont="1" applyFill="1" applyBorder="1" applyAlignment="1" applyProtection="1">
      <alignment horizontal="right" vertical="center"/>
      <protection hidden="1"/>
    </xf>
    <xf numFmtId="179" fontId="45" fillId="25" borderId="134" xfId="52" applyNumberFormat="1" applyFont="1" applyFill="1" applyBorder="1" applyAlignment="1" applyProtection="1">
      <alignment horizontal="right" vertical="center"/>
      <protection hidden="1"/>
    </xf>
    <xf numFmtId="182" fontId="45" fillId="25" borderId="118" xfId="0" applyNumberFormat="1" applyFont="1" applyFill="1" applyBorder="1" applyAlignment="1" applyProtection="1">
      <alignment horizontal="left"/>
      <protection hidden="1"/>
    </xf>
    <xf numFmtId="182" fontId="45" fillId="25" borderId="34" xfId="0" applyNumberFormat="1" applyFont="1" applyFill="1" applyBorder="1" applyAlignment="1" applyProtection="1">
      <alignment horizontal="left"/>
      <protection hidden="1"/>
    </xf>
    <xf numFmtId="182" fontId="45" fillId="25" borderId="35" xfId="0" applyNumberFormat="1" applyFont="1" applyFill="1" applyBorder="1" applyAlignment="1" applyProtection="1">
      <alignment horizontal="left"/>
      <protection hidden="1"/>
    </xf>
    <xf numFmtId="179" fontId="45" fillId="25" borderId="43" xfId="52" applyNumberFormat="1" applyFont="1" applyFill="1" applyBorder="1" applyAlignment="1" applyProtection="1">
      <alignment horizontal="right" vertical="center"/>
      <protection hidden="1"/>
    </xf>
    <xf numFmtId="179" fontId="45" fillId="25" borderId="132" xfId="52" applyNumberFormat="1" applyFont="1" applyFill="1" applyBorder="1" applyAlignment="1" applyProtection="1">
      <alignment horizontal="right" vertical="center"/>
      <protection hidden="1"/>
    </xf>
    <xf numFmtId="0" fontId="22" fillId="25" borderId="79" xfId="0" applyFont="1" applyFill="1" applyBorder="1" applyAlignment="1" applyProtection="1">
      <alignment horizontal="center" vertical="center" wrapText="1"/>
    </xf>
    <xf numFmtId="0" fontId="22" fillId="25" borderId="80" xfId="0" applyFont="1" applyFill="1" applyBorder="1" applyAlignment="1" applyProtection="1">
      <alignment horizontal="center" vertical="center" wrapText="1"/>
    </xf>
    <xf numFmtId="0" fontId="22" fillId="25" borderId="145" xfId="0" applyFont="1" applyFill="1" applyBorder="1" applyAlignment="1" applyProtection="1">
      <alignment horizontal="center" vertical="center" wrapText="1"/>
    </xf>
    <xf numFmtId="0" fontId="45" fillId="25" borderId="126" xfId="0" applyFont="1" applyFill="1" applyBorder="1" applyAlignment="1" applyProtection="1">
      <alignment horizontal="center"/>
    </xf>
    <xf numFmtId="0" fontId="45" fillId="25" borderId="127" xfId="0" applyFont="1" applyFill="1" applyBorder="1" applyAlignment="1" applyProtection="1">
      <alignment horizontal="center"/>
    </xf>
    <xf numFmtId="0" fontId="45" fillId="25" borderId="128" xfId="0" applyFont="1" applyFill="1" applyBorder="1" applyAlignment="1" applyProtection="1">
      <alignment horizontal="center"/>
    </xf>
    <xf numFmtId="183" fontId="45" fillId="25" borderId="129" xfId="52" applyNumberFormat="1" applyFont="1" applyFill="1" applyBorder="1" applyAlignment="1" applyProtection="1">
      <alignment horizontal="center"/>
    </xf>
    <xf numFmtId="183" fontId="45" fillId="25" borderId="130" xfId="52" applyNumberFormat="1" applyFont="1" applyFill="1" applyBorder="1" applyAlignment="1" applyProtection="1">
      <alignment horizontal="center"/>
    </xf>
    <xf numFmtId="183" fontId="45" fillId="25" borderId="127" xfId="52" applyNumberFormat="1" applyFont="1" applyFill="1" applyBorder="1" applyAlignment="1" applyProtection="1">
      <alignment horizontal="center"/>
    </xf>
    <xf numFmtId="183" fontId="45" fillId="25" borderId="131" xfId="52" applyNumberFormat="1" applyFont="1" applyFill="1" applyBorder="1" applyAlignment="1" applyProtection="1">
      <alignment horizontal="center"/>
    </xf>
    <xf numFmtId="0" fontId="45" fillId="25" borderId="0" xfId="52" applyNumberFormat="1" applyFont="1" applyFill="1" applyBorder="1" applyAlignment="1" applyProtection="1">
      <alignment horizontal="right"/>
      <protection hidden="1"/>
    </xf>
    <xf numFmtId="179" fontId="45" fillId="25" borderId="17" xfId="52" applyNumberFormat="1" applyFont="1" applyFill="1" applyBorder="1" applyAlignment="1" applyProtection="1">
      <alignment horizontal="right"/>
    </xf>
    <xf numFmtId="179" fontId="45" fillId="25" borderId="0" xfId="52" applyNumberFormat="1" applyFont="1" applyFill="1" applyBorder="1" applyAlignment="1" applyProtection="1">
      <alignment horizontal="right"/>
    </xf>
    <xf numFmtId="179" fontId="22" fillId="25" borderId="27" xfId="52" applyNumberFormat="1" applyFont="1" applyFill="1" applyBorder="1" applyAlignment="1" applyProtection="1">
      <alignment horizontal="right"/>
      <protection hidden="1"/>
    </xf>
    <xf numFmtId="179" fontId="22" fillId="25" borderId="20" xfId="52" applyNumberFormat="1" applyFont="1" applyFill="1" applyBorder="1" applyAlignment="1" applyProtection="1">
      <alignment horizontal="right"/>
      <protection hidden="1"/>
    </xf>
    <xf numFmtId="179" fontId="22" fillId="25" borderId="33" xfId="52" applyNumberFormat="1" applyFont="1" applyFill="1" applyBorder="1" applyAlignment="1" applyProtection="1">
      <alignment horizontal="right"/>
      <protection hidden="1"/>
    </xf>
    <xf numFmtId="179" fontId="45" fillId="25" borderId="0" xfId="52" applyNumberFormat="1" applyFont="1" applyFill="1" applyBorder="1" applyAlignment="1" applyProtection="1">
      <alignment horizontal="center"/>
    </xf>
    <xf numFmtId="0" fontId="22" fillId="25" borderId="146" xfId="0" applyFont="1" applyFill="1" applyBorder="1" applyAlignment="1" applyProtection="1">
      <alignment horizontal="center" vertical="center"/>
    </xf>
    <xf numFmtId="0" fontId="22" fillId="25" borderId="109" xfId="0" applyFont="1" applyFill="1" applyBorder="1" applyAlignment="1" applyProtection="1">
      <alignment horizontal="center" vertical="center"/>
    </xf>
    <xf numFmtId="0" fontId="22" fillId="25" borderId="110" xfId="0" applyFont="1" applyFill="1" applyBorder="1" applyAlignment="1" applyProtection="1">
      <alignment horizontal="center" vertical="center"/>
    </xf>
    <xf numFmtId="0" fontId="22" fillId="25" borderId="112" xfId="0" applyFont="1" applyFill="1" applyBorder="1" applyAlignment="1" applyProtection="1">
      <alignment horizontal="center" vertical="center"/>
    </xf>
    <xf numFmtId="179" fontId="22" fillId="25" borderId="0" xfId="52" applyNumberFormat="1" applyFont="1" applyFill="1" applyBorder="1" applyAlignment="1" applyProtection="1">
      <alignment horizontal="right"/>
      <protection hidden="1"/>
    </xf>
    <xf numFmtId="179" fontId="22" fillId="25" borderId="0" xfId="52" applyNumberFormat="1" applyFont="1" applyFill="1" applyBorder="1" applyAlignment="1" applyProtection="1">
      <alignment horizontal="right"/>
    </xf>
    <xf numFmtId="179" fontId="22" fillId="25" borderId="0" xfId="52" applyNumberFormat="1" applyFont="1" applyFill="1" applyBorder="1" applyAlignment="1" applyProtection="1">
      <alignment horizontal="center" vertical="center"/>
    </xf>
    <xf numFmtId="0" fontId="109" fillId="25" borderId="0" xfId="0" applyFont="1" applyFill="1" applyAlignment="1" applyProtection="1">
      <alignment horizontal="left"/>
      <protection hidden="1"/>
    </xf>
    <xf numFmtId="179" fontId="0" fillId="25" borderId="0" xfId="52" applyNumberFormat="1" applyFont="1" applyFill="1" applyBorder="1" applyAlignment="1" applyProtection="1">
      <alignment horizontal="center"/>
    </xf>
    <xf numFmtId="179" fontId="22" fillId="25" borderId="0" xfId="52" applyNumberFormat="1" applyFont="1" applyFill="1" applyBorder="1" applyAlignment="1" applyProtection="1">
      <alignment horizontal="center"/>
    </xf>
    <xf numFmtId="43" fontId="22" fillId="25" borderId="122" xfId="0" applyNumberFormat="1" applyFont="1" applyFill="1" applyBorder="1" applyAlignment="1" applyProtection="1">
      <alignment horizontal="right" vertical="center"/>
    </xf>
    <xf numFmtId="0" fontId="22" fillId="25" borderId="107" xfId="0" applyFont="1" applyFill="1" applyBorder="1" applyAlignment="1" applyProtection="1">
      <alignment horizontal="right" vertical="center"/>
    </xf>
    <xf numFmtId="0" fontId="22" fillId="25" borderId="123" xfId="0" applyFont="1" applyFill="1" applyBorder="1" applyAlignment="1" applyProtection="1">
      <alignment horizontal="right" vertical="center"/>
    </xf>
    <xf numFmtId="43" fontId="0" fillId="25" borderId="27" xfId="52" applyFont="1" applyFill="1" applyBorder="1" applyAlignment="1" applyProtection="1">
      <alignment horizontal="right" vertical="center"/>
      <protection hidden="1"/>
    </xf>
    <xf numFmtId="43" fontId="0" fillId="25" borderId="20" xfId="52" applyFont="1" applyFill="1" applyBorder="1" applyAlignment="1" applyProtection="1">
      <alignment horizontal="right" vertical="center"/>
      <protection hidden="1"/>
    </xf>
    <xf numFmtId="43" fontId="0" fillId="25" borderId="33" xfId="52" applyFont="1" applyFill="1" applyBorder="1" applyAlignment="1" applyProtection="1">
      <alignment horizontal="right" vertical="center"/>
      <protection hidden="1"/>
    </xf>
    <xf numFmtId="179" fontId="0" fillId="25" borderId="27" xfId="52" applyNumberFormat="1" applyFont="1" applyFill="1" applyBorder="1" applyAlignment="1" applyProtection="1">
      <alignment horizontal="right" vertical="center"/>
      <protection hidden="1"/>
    </xf>
    <xf numFmtId="179" fontId="0" fillId="25" borderId="20" xfId="52" applyNumberFormat="1" applyFont="1" applyFill="1" applyBorder="1" applyAlignment="1" applyProtection="1">
      <alignment horizontal="right" vertical="center"/>
      <protection hidden="1"/>
    </xf>
    <xf numFmtId="179" fontId="0" fillId="25" borderId="33" xfId="52" applyNumberFormat="1" applyFont="1" applyFill="1" applyBorder="1" applyAlignment="1" applyProtection="1">
      <alignment horizontal="right" vertical="center"/>
      <protection hidden="1"/>
    </xf>
    <xf numFmtId="179" fontId="0" fillId="25" borderId="29" xfId="52" applyNumberFormat="1" applyFont="1" applyFill="1" applyBorder="1" applyAlignment="1" applyProtection="1">
      <alignment horizontal="right" vertical="center"/>
    </xf>
    <xf numFmtId="179" fontId="0" fillId="25" borderId="17" xfId="52" applyNumberFormat="1" applyFont="1" applyFill="1" applyBorder="1" applyAlignment="1" applyProtection="1">
      <alignment horizontal="right" vertical="center"/>
    </xf>
    <xf numFmtId="179" fontId="0" fillId="25" borderId="116" xfId="52" applyNumberFormat="1" applyFont="1" applyFill="1" applyBorder="1" applyAlignment="1" applyProtection="1">
      <alignment horizontal="right" vertical="center"/>
    </xf>
    <xf numFmtId="179" fontId="0" fillId="25" borderId="22" xfId="52" applyNumberFormat="1" applyFont="1" applyFill="1" applyBorder="1" applyAlignment="1" applyProtection="1">
      <alignment horizontal="right" vertical="center"/>
    </xf>
    <xf numFmtId="179" fontId="0" fillId="25" borderId="0" xfId="52" applyNumberFormat="1" applyFont="1" applyFill="1" applyBorder="1" applyAlignment="1" applyProtection="1">
      <alignment horizontal="right" vertical="center"/>
    </xf>
    <xf numFmtId="179" fontId="0" fillId="25" borderId="11" xfId="52" applyNumberFormat="1" applyFont="1" applyFill="1" applyBorder="1" applyAlignment="1" applyProtection="1">
      <alignment horizontal="right" vertical="center"/>
    </xf>
    <xf numFmtId="0" fontId="0" fillId="25" borderId="0" xfId="0" applyFill="1" applyBorder="1" applyAlignment="1" applyProtection="1">
      <alignment horizontal="left"/>
    </xf>
    <xf numFmtId="179" fontId="0" fillId="25" borderId="31" xfId="52" applyNumberFormat="1" applyFont="1" applyFill="1" applyBorder="1" applyAlignment="1" applyProtection="1">
      <alignment horizontal="right" vertical="center"/>
    </xf>
    <xf numFmtId="179" fontId="0" fillId="25" borderId="18" xfId="52" applyNumberFormat="1" applyFont="1" applyFill="1" applyBorder="1" applyAlignment="1" applyProtection="1">
      <alignment horizontal="right" vertical="center"/>
    </xf>
    <xf numFmtId="179" fontId="0" fillId="25" borderId="117" xfId="52" applyNumberFormat="1" applyFont="1" applyFill="1" applyBorder="1" applyAlignment="1" applyProtection="1">
      <alignment horizontal="right" vertical="center"/>
    </xf>
    <xf numFmtId="0" fontId="35" fillId="25" borderId="79" xfId="0" applyFont="1" applyFill="1" applyBorder="1" applyAlignment="1" applyProtection="1">
      <alignment horizontal="center" vertical="center" wrapText="1"/>
    </xf>
    <xf numFmtId="0" fontId="35" fillId="25" borderId="80" xfId="0" applyFont="1" applyFill="1" applyBorder="1" applyAlignment="1" applyProtection="1">
      <alignment horizontal="center" vertical="center" wrapText="1"/>
    </xf>
    <xf numFmtId="0" fontId="35" fillId="25" borderId="145" xfId="0" applyFont="1" applyFill="1" applyBorder="1" applyAlignment="1" applyProtection="1">
      <alignment horizontal="center" vertical="center" wrapText="1"/>
    </xf>
    <xf numFmtId="0" fontId="22" fillId="25" borderId="0" xfId="0" applyFont="1" applyFill="1" applyBorder="1" applyAlignment="1" applyProtection="1">
      <alignment horizontal="center" vertical="center" wrapText="1" shrinkToFit="1"/>
    </xf>
    <xf numFmtId="0" fontId="22" fillId="25" borderId="0" xfId="0" applyFont="1" applyFill="1" applyBorder="1" applyAlignment="1" applyProtection="1">
      <alignment horizontal="center" vertical="center" wrapText="1"/>
    </xf>
    <xf numFmtId="0" fontId="22" fillId="25" borderId="20" xfId="0" applyFont="1" applyFill="1" applyBorder="1" applyAlignment="1" applyProtection="1">
      <alignment horizontal="left"/>
      <protection hidden="1"/>
    </xf>
    <xf numFmtId="0" fontId="35" fillId="25" borderId="60" xfId="0" applyFont="1" applyFill="1" applyBorder="1" applyAlignment="1" applyProtection="1">
      <alignment horizontal="center" vertical="center"/>
    </xf>
    <xf numFmtId="0" fontId="35" fillId="25" borderId="47" xfId="0" applyFont="1" applyFill="1" applyBorder="1" applyAlignment="1" applyProtection="1">
      <alignment horizontal="center" vertical="center"/>
    </xf>
    <xf numFmtId="0" fontId="35" fillId="25" borderId="61" xfId="0" applyFont="1" applyFill="1" applyBorder="1" applyAlignment="1" applyProtection="1">
      <alignment horizontal="center" vertical="center"/>
    </xf>
    <xf numFmtId="0" fontId="35" fillId="25" borderId="81" xfId="0" applyFont="1" applyFill="1" applyBorder="1" applyAlignment="1" applyProtection="1">
      <alignment horizontal="center" vertical="center" wrapText="1"/>
    </xf>
    <xf numFmtId="0" fontId="125" fillId="0" borderId="0" xfId="0" applyFont="1" applyBorder="1" applyAlignment="1">
      <alignment horizontal="center" vertical="center"/>
    </xf>
    <xf numFmtId="0" fontId="125" fillId="0" borderId="15" xfId="0" applyFont="1" applyBorder="1" applyAlignment="1" applyProtection="1">
      <alignment horizontal="center" vertical="center"/>
      <protection locked="0"/>
    </xf>
    <xf numFmtId="0" fontId="57" fillId="0" borderId="0" xfId="0" applyFont="1" applyAlignment="1">
      <alignment horizontal="center"/>
    </xf>
    <xf numFmtId="0" fontId="55" fillId="0" borderId="27" xfId="0" applyFont="1" applyBorder="1" applyAlignment="1">
      <alignment horizontal="center" vertical="center" wrapText="1"/>
    </xf>
    <xf numFmtId="0" fontId="54" fillId="0" borderId="23" xfId="0" applyFont="1" applyBorder="1" applyAlignment="1">
      <alignment horizontal="center" wrapText="1"/>
    </xf>
    <xf numFmtId="0" fontId="54" fillId="0" borderId="24" xfId="0" applyFont="1" applyBorder="1" applyAlignment="1">
      <alignment horizontal="center" wrapText="1"/>
    </xf>
    <xf numFmtId="0" fontId="54" fillId="0" borderId="33" xfId="0" applyFont="1" applyBorder="1" applyAlignment="1">
      <alignment horizontal="center" vertical="center" wrapText="1"/>
    </xf>
    <xf numFmtId="0" fontId="54" fillId="0" borderId="15" xfId="0" applyFont="1" applyBorder="1" applyAlignment="1">
      <alignment horizontal="center" vertical="center" wrapText="1"/>
    </xf>
    <xf numFmtId="0" fontId="61" fillId="0" borderId="27" xfId="0" applyFont="1" applyBorder="1" applyAlignment="1">
      <alignment horizontal="center" vertical="center"/>
    </xf>
    <xf numFmtId="0" fontId="61" fillId="0" borderId="33" xfId="0" applyFont="1" applyBorder="1" applyAlignment="1">
      <alignment horizontal="center" vertical="center"/>
    </xf>
    <xf numFmtId="0" fontId="60" fillId="0" borderId="0" xfId="0" applyFont="1" applyAlignment="1">
      <alignment horizontal="left"/>
    </xf>
    <xf numFmtId="0" fontId="59" fillId="0" borderId="0" xfId="0" applyFont="1" applyAlignment="1">
      <alignment horizontal="center"/>
    </xf>
    <xf numFmtId="168" fontId="0" fillId="68" borderId="17" xfId="52" applyNumberFormat="1" applyFont="1" applyFill="1" applyBorder="1" applyAlignment="1" applyProtection="1">
      <alignment horizontal="center"/>
      <protection hidden="1"/>
    </xf>
    <xf numFmtId="178" fontId="22" fillId="68" borderId="0" xfId="52" applyNumberFormat="1" applyFont="1" applyFill="1" applyBorder="1" applyAlignment="1" applyProtection="1">
      <alignment horizontal="center"/>
      <protection hidden="1"/>
    </xf>
    <xf numFmtId="178" fontId="22" fillId="68" borderId="17" xfId="52" applyNumberFormat="1" applyFont="1" applyFill="1" applyBorder="1" applyAlignment="1" applyProtection="1">
      <alignment horizontal="center"/>
      <protection hidden="1"/>
    </xf>
    <xf numFmtId="178" fontId="22" fillId="68" borderId="47" xfId="52" applyNumberFormat="1" applyFont="1" applyFill="1" applyBorder="1" applyAlignment="1" applyProtection="1">
      <alignment horizontal="center"/>
      <protection hidden="1"/>
    </xf>
    <xf numFmtId="41" fontId="0" fillId="68" borderId="17" xfId="29" applyFont="1" applyFill="1" applyBorder="1" applyAlignment="1" applyProtection="1">
      <alignment horizontal="center"/>
      <protection hidden="1"/>
    </xf>
    <xf numFmtId="168" fontId="0" fillId="0" borderId="0" xfId="52" applyNumberFormat="1" applyFont="1" applyAlignment="1" applyProtection="1">
      <alignment horizontal="center"/>
      <protection hidden="1"/>
    </xf>
    <xf numFmtId="168" fontId="0" fillId="68" borderId="0" xfId="52" applyNumberFormat="1" applyFont="1" applyFill="1" applyAlignment="1" applyProtection="1">
      <alignment horizontal="center"/>
      <protection hidden="1"/>
    </xf>
    <xf numFmtId="178" fontId="0" fillId="68" borderId="17" xfId="52" applyNumberFormat="1" applyFont="1" applyFill="1" applyBorder="1" applyAlignment="1" applyProtection="1">
      <alignment horizontal="center"/>
      <protection hidden="1"/>
    </xf>
    <xf numFmtId="178" fontId="0" fillId="68" borderId="0" xfId="0" applyNumberFormat="1" applyFill="1" applyAlignment="1" applyProtection="1">
      <alignment horizontal="center"/>
      <protection hidden="1"/>
    </xf>
    <xf numFmtId="0" fontId="0" fillId="68" borderId="0" xfId="0" applyFill="1" applyAlignment="1" applyProtection="1">
      <alignment horizontal="center"/>
      <protection hidden="1"/>
    </xf>
    <xf numFmtId="178" fontId="0" fillId="68" borderId="17" xfId="0" applyNumberFormat="1" applyFill="1" applyBorder="1" applyAlignment="1" applyProtection="1">
      <alignment horizontal="center"/>
      <protection hidden="1"/>
    </xf>
    <xf numFmtId="178" fontId="0" fillId="68" borderId="0" xfId="52" applyNumberFormat="1" applyFont="1" applyFill="1" applyAlignment="1" applyProtection="1">
      <alignment horizontal="center"/>
      <protection hidden="1"/>
    </xf>
    <xf numFmtId="168" fontId="0" fillId="0" borderId="17" xfId="52" applyNumberFormat="1" applyFont="1" applyBorder="1" applyAlignment="1" applyProtection="1">
      <alignment horizontal="center"/>
      <protection hidden="1"/>
    </xf>
    <xf numFmtId="43" fontId="0" fillId="68" borderId="0" xfId="0" applyNumberFormat="1" applyFill="1" applyAlignment="1" applyProtection="1">
      <alignment horizontal="center"/>
      <protection hidden="1"/>
    </xf>
    <xf numFmtId="41" fontId="0" fillId="0" borderId="0" xfId="29" applyFont="1" applyAlignment="1" applyProtection="1">
      <alignment horizontal="center"/>
      <protection hidden="1"/>
    </xf>
    <xf numFmtId="0" fontId="0" fillId="68" borderId="0" xfId="0" quotePrefix="1" applyFill="1" applyAlignment="1" applyProtection="1">
      <alignment horizontal="center"/>
      <protection hidden="1"/>
    </xf>
    <xf numFmtId="41" fontId="0" fillId="68" borderId="0" xfId="29" applyFont="1" applyFill="1" applyAlignment="1" applyProtection="1">
      <alignment horizontal="center"/>
      <protection hidden="1"/>
    </xf>
    <xf numFmtId="178" fontId="45" fillId="68" borderId="17" xfId="52" applyNumberFormat="1" applyFont="1" applyFill="1" applyBorder="1" applyAlignment="1" applyProtection="1">
      <alignment horizontal="center"/>
      <protection hidden="1"/>
    </xf>
    <xf numFmtId="168" fontId="0" fillId="68" borderId="0" xfId="0" applyNumberFormat="1" applyFill="1" applyAlignment="1" applyProtection="1">
      <alignment horizontal="center"/>
      <protection hidden="1"/>
    </xf>
    <xf numFmtId="168" fontId="0" fillId="68" borderId="17" xfId="0" applyNumberFormat="1" applyFill="1" applyBorder="1" applyAlignment="1" applyProtection="1">
      <alignment horizontal="center"/>
      <protection hidden="1"/>
    </xf>
    <xf numFmtId="0" fontId="0" fillId="68" borderId="17" xfId="0" applyFill="1" applyBorder="1" applyAlignment="1" applyProtection="1">
      <alignment horizontal="center"/>
      <protection hidden="1"/>
    </xf>
    <xf numFmtId="168" fontId="0" fillId="68" borderId="0" xfId="52" applyNumberFormat="1" applyFont="1" applyFill="1" applyBorder="1" applyAlignment="1" applyProtection="1">
      <alignment horizontal="center"/>
      <protection hidden="1"/>
    </xf>
    <xf numFmtId="178" fontId="22" fillId="66" borderId="47" xfId="52" applyNumberFormat="1" applyFont="1" applyFill="1" applyBorder="1" applyAlignment="1" applyProtection="1">
      <alignment horizontal="center"/>
      <protection hidden="1"/>
    </xf>
    <xf numFmtId="168" fontId="0" fillId="66" borderId="0" xfId="52" applyNumberFormat="1" applyFont="1" applyFill="1" applyAlignment="1" applyProtection="1">
      <alignment horizontal="center"/>
      <protection hidden="1"/>
    </xf>
    <xf numFmtId="168" fontId="0" fillId="66" borderId="17" xfId="52" applyNumberFormat="1" applyFont="1" applyFill="1" applyBorder="1" applyAlignment="1" applyProtection="1">
      <alignment horizontal="center"/>
      <protection hidden="1"/>
    </xf>
    <xf numFmtId="178" fontId="22" fillId="66" borderId="0" xfId="52" applyNumberFormat="1" applyFont="1" applyFill="1" applyBorder="1" applyAlignment="1" applyProtection="1">
      <alignment horizontal="center"/>
      <protection hidden="1"/>
    </xf>
    <xf numFmtId="178" fontId="22" fillId="66" borderId="17" xfId="52" applyNumberFormat="1" applyFont="1" applyFill="1" applyBorder="1" applyAlignment="1" applyProtection="1">
      <alignment horizontal="center"/>
      <protection hidden="1"/>
    </xf>
    <xf numFmtId="178" fontId="0" fillId="66" borderId="0" xfId="52" applyNumberFormat="1" applyFont="1" applyFill="1" applyAlignment="1" applyProtection="1">
      <alignment horizontal="center"/>
      <protection hidden="1"/>
    </xf>
    <xf numFmtId="178" fontId="0" fillId="66" borderId="17" xfId="52" applyNumberFormat="1" applyFont="1" applyFill="1" applyBorder="1" applyAlignment="1" applyProtection="1">
      <alignment horizontal="center"/>
      <protection hidden="1"/>
    </xf>
    <xf numFmtId="178" fontId="0" fillId="66" borderId="0" xfId="0" applyNumberFormat="1" applyFill="1" applyAlignment="1" applyProtection="1">
      <alignment horizontal="center"/>
      <protection hidden="1"/>
    </xf>
    <xf numFmtId="0" fontId="0" fillId="66" borderId="0" xfId="0" applyFill="1" applyAlignment="1" applyProtection="1">
      <alignment horizontal="center"/>
      <protection hidden="1"/>
    </xf>
    <xf numFmtId="178" fontId="0" fillId="66" borderId="17" xfId="0" applyNumberFormat="1" applyFill="1" applyBorder="1" applyAlignment="1" applyProtection="1">
      <alignment horizontal="center"/>
      <protection hidden="1"/>
    </xf>
    <xf numFmtId="43" fontId="0" fillId="66" borderId="0" xfId="0" applyNumberFormat="1" applyFill="1" applyAlignment="1" applyProtection="1">
      <alignment horizontal="center"/>
      <protection hidden="1"/>
    </xf>
    <xf numFmtId="41" fontId="0" fillId="66" borderId="17" xfId="29" applyFont="1" applyFill="1" applyBorder="1" applyAlignment="1" applyProtection="1">
      <alignment horizontal="center"/>
      <protection hidden="1"/>
    </xf>
    <xf numFmtId="0" fontId="0" fillId="66" borderId="0" xfId="0" quotePrefix="1" applyFill="1" applyAlignment="1" applyProtection="1">
      <alignment horizontal="center"/>
      <protection hidden="1"/>
    </xf>
    <xf numFmtId="168" fontId="0" fillId="0" borderId="18" xfId="52" applyNumberFormat="1" applyFont="1" applyBorder="1" applyAlignment="1" applyProtection="1">
      <alignment horizontal="center"/>
      <protection hidden="1"/>
    </xf>
    <xf numFmtId="41" fontId="0" fillId="66" borderId="17" xfId="0" applyNumberFormat="1" applyFill="1" applyBorder="1" applyAlignment="1" applyProtection="1">
      <alignment horizontal="center"/>
      <protection hidden="1"/>
    </xf>
    <xf numFmtId="168" fontId="0" fillId="67" borderId="17" xfId="0" applyNumberFormat="1" applyFill="1" applyBorder="1" applyAlignment="1" applyProtection="1">
      <alignment horizontal="center"/>
      <protection hidden="1"/>
    </xf>
    <xf numFmtId="0" fontId="0" fillId="67" borderId="17" xfId="0" applyFill="1" applyBorder="1" applyAlignment="1" applyProtection="1">
      <alignment horizontal="center"/>
      <protection hidden="1"/>
    </xf>
    <xf numFmtId="41" fontId="0" fillId="66" borderId="0" xfId="52" applyNumberFormat="1" applyFont="1" applyFill="1" applyAlignment="1" applyProtection="1">
      <alignment horizontal="center"/>
      <protection hidden="1"/>
    </xf>
    <xf numFmtId="168" fontId="0" fillId="66" borderId="0" xfId="0" applyNumberFormat="1" applyFill="1" applyAlignment="1" applyProtection="1">
      <alignment horizontal="center"/>
      <protection hidden="1"/>
    </xf>
    <xf numFmtId="168" fontId="0" fillId="66" borderId="0" xfId="52" applyNumberFormat="1" applyFont="1" applyFill="1" applyBorder="1" applyAlignment="1" applyProtection="1">
      <alignment horizontal="center" vertical="center"/>
      <protection hidden="1"/>
    </xf>
    <xf numFmtId="0" fontId="107" fillId="0" borderId="0" xfId="0" quotePrefix="1" applyFont="1" applyAlignment="1" applyProtection="1">
      <alignment horizontal="center"/>
      <protection hidden="1"/>
    </xf>
    <xf numFmtId="0" fontId="107" fillId="0" borderId="0" xfId="0" applyFont="1" applyAlignment="1" applyProtection="1">
      <alignment horizontal="center"/>
      <protection hidden="1"/>
    </xf>
    <xf numFmtId="168" fontId="0" fillId="66" borderId="0" xfId="52" applyNumberFormat="1" applyFont="1" applyFill="1" applyBorder="1" applyAlignment="1" applyProtection="1">
      <alignment horizontal="center"/>
      <protection hidden="1"/>
    </xf>
    <xf numFmtId="168" fontId="0" fillId="66" borderId="0" xfId="0" applyNumberFormat="1" applyFill="1" applyAlignment="1" applyProtection="1">
      <alignment horizontal="center" vertical="center"/>
      <protection hidden="1"/>
    </xf>
  </cellXfs>
  <cellStyles count="120">
    <cellStyle name="20% - Accent1" xfId="1" builtinId="30" customBuiltin="1"/>
    <cellStyle name="20% - Accent1 2" xfId="53"/>
    <cellStyle name="20% - Accent2" xfId="2" builtinId="34" customBuiltin="1"/>
    <cellStyle name="20% - Accent2 2" xfId="54"/>
    <cellStyle name="20% - Accent3" xfId="3" builtinId="38" customBuiltin="1"/>
    <cellStyle name="20% - Accent3 2" xfId="55"/>
    <cellStyle name="20% - Accent4" xfId="4" builtinId="42" customBuiltin="1"/>
    <cellStyle name="20% - Accent4 2" xfId="56"/>
    <cellStyle name="20% - Accent5" xfId="5" builtinId="46" customBuiltin="1"/>
    <cellStyle name="20% - Accent5 2" xfId="57"/>
    <cellStyle name="20% - Accent6" xfId="6" builtinId="50" customBuiltin="1"/>
    <cellStyle name="20% - Accent6 2" xfId="58"/>
    <cellStyle name="40% - Accent1" xfId="7" builtinId="31" customBuiltin="1"/>
    <cellStyle name="40% - Accent1 2" xfId="59"/>
    <cellStyle name="40% - Accent2" xfId="8" builtinId="35" customBuiltin="1"/>
    <cellStyle name="40% - Accent2 2" xfId="60"/>
    <cellStyle name="40% - Accent3" xfId="9" builtinId="39" customBuiltin="1"/>
    <cellStyle name="40% - Accent3 2" xfId="61"/>
    <cellStyle name="40% - Accent4" xfId="10" builtinId="43" customBuiltin="1"/>
    <cellStyle name="40% - Accent4 2" xfId="62"/>
    <cellStyle name="40% - Accent5" xfId="11" builtinId="47" customBuiltin="1"/>
    <cellStyle name="40% - Accent5 2" xfId="63"/>
    <cellStyle name="40% - Accent6" xfId="12" builtinId="51" customBuiltin="1"/>
    <cellStyle name="40% - Accent6 2" xfId="64"/>
    <cellStyle name="60% - Accent1" xfId="13" builtinId="32" customBuiltin="1"/>
    <cellStyle name="60% - Accent1 2" xfId="65"/>
    <cellStyle name="60% - Accent2" xfId="14" builtinId="36" customBuiltin="1"/>
    <cellStyle name="60% - Accent2 2" xfId="66"/>
    <cellStyle name="60% - Accent3" xfId="15" builtinId="40" customBuiltin="1"/>
    <cellStyle name="60% - Accent3 2" xfId="67"/>
    <cellStyle name="60% - Accent4" xfId="16" builtinId="44" customBuiltin="1"/>
    <cellStyle name="60% - Accent4 2" xfId="68"/>
    <cellStyle name="60% - Accent5" xfId="17" builtinId="48" customBuiltin="1"/>
    <cellStyle name="60% - Accent5 2" xfId="69"/>
    <cellStyle name="60% - Accent6" xfId="18" builtinId="52" customBuiltin="1"/>
    <cellStyle name="60% - Accent6 2" xfId="70"/>
    <cellStyle name="Accent1" xfId="19" builtinId="29" customBuiltin="1"/>
    <cellStyle name="Accent1 2" xfId="71"/>
    <cellStyle name="Accent2" xfId="20" builtinId="33" customBuiltin="1"/>
    <cellStyle name="Accent2 2" xfId="72"/>
    <cellStyle name="Accent3" xfId="21" builtinId="37" customBuiltin="1"/>
    <cellStyle name="Accent3 2" xfId="73"/>
    <cellStyle name="Accent4" xfId="22" builtinId="41" customBuiltin="1"/>
    <cellStyle name="Accent4 2" xfId="74"/>
    <cellStyle name="Accent5" xfId="23" builtinId="45" customBuiltin="1"/>
    <cellStyle name="Accent5 2" xfId="75"/>
    <cellStyle name="Accent6" xfId="24" builtinId="49" customBuiltin="1"/>
    <cellStyle name="Accent6 2" xfId="76"/>
    <cellStyle name="Bad" xfId="25" builtinId="27" customBuiltin="1"/>
    <cellStyle name="Bad 2" xfId="77"/>
    <cellStyle name="Calculation" xfId="26" builtinId="22" customBuiltin="1"/>
    <cellStyle name="Calculation 2" xfId="78"/>
    <cellStyle name="Check Cell" xfId="27" builtinId="23" customBuiltin="1"/>
    <cellStyle name="Check Cell 2" xfId="79"/>
    <cellStyle name="Comma" xfId="45" builtinId="3"/>
    <cellStyle name="Comma [0]" xfId="28" builtinId="6"/>
    <cellStyle name="Comma [0] 2" xfId="29"/>
    <cellStyle name="Comma [0] 3" xfId="80"/>
    <cellStyle name="Comma 2" xfId="52"/>
    <cellStyle name="Currency [0]" xfId="30" builtinId="7"/>
    <cellStyle name="Explanatory Text" xfId="31" builtinId="53" customBuiltin="1"/>
    <cellStyle name="Explanatory Text 2" xfId="81"/>
    <cellStyle name="Good" xfId="32" builtinId="26" customBuiltin="1"/>
    <cellStyle name="Good 2" xfId="82"/>
    <cellStyle name="Heading 1" xfId="33" builtinId="16" customBuiltin="1"/>
    <cellStyle name="Heading 1 2" xfId="83"/>
    <cellStyle name="Heading 2" xfId="34" builtinId="17" customBuiltin="1"/>
    <cellStyle name="Heading 2 2" xfId="84"/>
    <cellStyle name="Heading 3" xfId="35" builtinId="18" customBuiltin="1"/>
    <cellStyle name="Heading 3 2" xfId="85"/>
    <cellStyle name="Heading 3 3" xfId="46"/>
    <cellStyle name="Heading 4" xfId="36" builtinId="19" customBuiltin="1"/>
    <cellStyle name="Heading 4 2" xfId="86"/>
    <cellStyle name="Hyperlink 2" xfId="87"/>
    <cellStyle name="Hyperlink 3" xfId="88"/>
    <cellStyle name="Hyperlink 4" xfId="89"/>
    <cellStyle name="Hyperlink_1770 year 2007 for Non_ US" xfId="51"/>
    <cellStyle name="Input" xfId="37" builtinId="20" customBuiltin="1"/>
    <cellStyle name="Input 2" xfId="90"/>
    <cellStyle name="Linked Cell" xfId="38" builtinId="24" customBuiltin="1"/>
    <cellStyle name="Linked Cell 2" xfId="91"/>
    <cellStyle name="Neutral" xfId="39" builtinId="28" customBuiltin="1"/>
    <cellStyle name="Neutral 2" xfId="92"/>
    <cellStyle name="Normal" xfId="0" builtinId="0"/>
    <cellStyle name="Normal 10" xfId="93"/>
    <cellStyle name="Normal 10 2" xfId="111"/>
    <cellStyle name="Normal 2" xfId="94"/>
    <cellStyle name="Normal 2 2" xfId="47"/>
    <cellStyle name="Normal 3" xfId="95"/>
    <cellStyle name="Normal 3 2" xfId="96"/>
    <cellStyle name="Normal 3 2 2" xfId="97"/>
    <cellStyle name="Normal 3 2 2 2" xfId="114"/>
    <cellStyle name="Normal 3 2 3" xfId="113"/>
    <cellStyle name="Normal 3 3" xfId="112"/>
    <cellStyle name="Normal 4" xfId="98"/>
    <cellStyle name="Normal 4 2" xfId="99"/>
    <cellStyle name="Normal 4 2 2" xfId="116"/>
    <cellStyle name="Normal 4 3" xfId="115"/>
    <cellStyle name="Normal 5" xfId="100"/>
    <cellStyle name="Normal 6" xfId="101"/>
    <cellStyle name="Normal 6 2" xfId="102"/>
    <cellStyle name="Normal 6 2 2" xfId="117"/>
    <cellStyle name="Normal 6 3" xfId="103"/>
    <cellStyle name="Normal 7" xfId="104"/>
    <cellStyle name="Normal 7 2" xfId="105"/>
    <cellStyle name="Normal 7 2 2" xfId="118"/>
    <cellStyle name="Normal 8" xfId="106"/>
    <cellStyle name="Normal 8 2" xfId="119"/>
    <cellStyle name="Normal_1770 year 2007 for Non_ US" xfId="50"/>
    <cellStyle name="Normal_CHR - 1770S- Y2005" xfId="48"/>
    <cellStyle name="Normal_Form 1770S - 2007" xfId="49"/>
    <cellStyle name="Note" xfId="40" builtinId="10" customBuiltin="1"/>
    <cellStyle name="Output" xfId="41" builtinId="21" customBuiltin="1"/>
    <cellStyle name="Output 2" xfId="107"/>
    <cellStyle name="Percent" xfId="110" builtinId="5"/>
    <cellStyle name="Title" xfId="42" builtinId="15" customBuiltin="1"/>
    <cellStyle name="Total" xfId="43" builtinId="25" customBuiltin="1"/>
    <cellStyle name="Total 2" xfId="108"/>
    <cellStyle name="Warning Text" xfId="44" builtinId="11" customBuiltin="1"/>
    <cellStyle name="Warning Text 2" xfId="109"/>
  </cellStyles>
  <dxfs count="0"/>
  <tableStyles count="0" defaultTableStyle="TableStyleMedium9" defaultPivotStyle="PivotStyleLight16"/>
  <colors>
    <mruColors>
      <color rgb="FFFCFABC"/>
      <color rgb="FFE2EC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1</xdr:row>
      <xdr:rowOff>66676</xdr:rowOff>
    </xdr:from>
    <xdr:to>
      <xdr:col>13</xdr:col>
      <xdr:colOff>190500</xdr:colOff>
      <xdr:row>1</xdr:row>
      <xdr:rowOff>665836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xmlns="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2350" y="523876"/>
          <a:ext cx="2200275" cy="59916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iatmawijaya\Documents\Office\GES%20new\Tax%20Software\2014\Revised%202014%20TR\Form%201770S%202014_Non%20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 INFO"/>
      <sheetName val="OVERSEAS INCOME"/>
      <sheetName val="A&amp;L"/>
      <sheetName val="FE-1770S"/>
      <sheetName val="FE-1770 S-1"/>
      <sheetName val="FE-1770 S-II"/>
      <sheetName val="Attachment"/>
      <sheetName val="1770S"/>
      <sheetName val="1770 S-1"/>
      <sheetName val="1770 S-II"/>
      <sheetName val="LAMPIRAN."/>
      <sheetName val="1721A1 (1)"/>
      <sheetName val="1721A1 (2)"/>
      <sheetName val="1721A1 (3)"/>
      <sheetName val="CalculationSheet"/>
      <sheetName val="FE-1770 S-II (2)"/>
      <sheetName val="1770 S-II (2)"/>
      <sheetName val="FE-1770 S-II (3)"/>
      <sheetName val="1770 S-II (3)"/>
      <sheetName val="exch.rate"/>
    </sheetNames>
    <sheetDataSet>
      <sheetData sheetId="0" refreshError="1">
        <row r="23">
          <cell r="G23" t="str">
            <v>K</v>
          </cell>
          <cell r="H23" t="str">
            <v>A</v>
          </cell>
          <cell r="I23" t="str">
            <v>R</v>
          </cell>
          <cell r="J23" t="str">
            <v>Y</v>
          </cell>
          <cell r="K23" t="str">
            <v>A</v>
          </cell>
          <cell r="L23" t="str">
            <v>W</v>
          </cell>
          <cell r="M23" t="str">
            <v>A</v>
          </cell>
          <cell r="N23" t="str">
            <v>N</v>
          </cell>
          <cell r="O23" t="str">
            <v xml:space="preserve"> </v>
          </cell>
          <cell r="P23" t="str">
            <v xml:space="preserve"> </v>
          </cell>
          <cell r="Q23" t="str">
            <v xml:space="preserve"> </v>
          </cell>
          <cell r="R23" t="str">
            <v xml:space="preserve"> </v>
          </cell>
          <cell r="S23" t="str">
            <v xml:space="preserve"> </v>
          </cell>
          <cell r="T23" t="str">
            <v xml:space="preserve"> </v>
          </cell>
          <cell r="U23" t="str">
            <v xml:space="preserve"> </v>
          </cell>
          <cell r="V23" t="str">
            <v xml:space="preserve"> </v>
          </cell>
          <cell r="W23" t="str">
            <v xml:space="preserve"> </v>
          </cell>
          <cell r="X23" t="str">
            <v xml:space="preserve"> </v>
          </cell>
          <cell r="Y23" t="str">
            <v xml:space="preserve"> </v>
          </cell>
          <cell r="Z23" t="str">
            <v xml:space="preserve"> </v>
          </cell>
        </row>
        <row r="37">
          <cell r="F37" t="str">
            <v>2</v>
          </cell>
          <cell r="G37" t="str">
            <v>0</v>
          </cell>
          <cell r="H37" t="str">
            <v>1</v>
          </cell>
          <cell r="I37">
            <v>4</v>
          </cell>
          <cell r="AD37" t="str">
            <v>2014</v>
          </cell>
        </row>
        <row r="73">
          <cell r="F73" t="str">
            <v>MARRIED</v>
          </cell>
        </row>
        <row r="74">
          <cell r="F74">
            <v>3</v>
          </cell>
        </row>
        <row r="108">
          <cell r="O108">
            <v>0</v>
          </cell>
        </row>
      </sheetData>
      <sheetData sheetId="1" refreshError="1">
        <row r="504">
          <cell r="Y504">
            <v>0</v>
          </cell>
          <cell r="AC504">
            <v>0</v>
          </cell>
        </row>
      </sheetData>
      <sheetData sheetId="2" refreshError="1">
        <row r="9">
          <cell r="M9">
            <v>0</v>
          </cell>
        </row>
        <row r="10">
          <cell r="M10">
            <v>0</v>
          </cell>
        </row>
        <row r="11">
          <cell r="M11">
            <v>0</v>
          </cell>
        </row>
        <row r="12">
          <cell r="M12">
            <v>0</v>
          </cell>
        </row>
        <row r="40">
          <cell r="M40">
            <v>0</v>
          </cell>
        </row>
        <row r="41">
          <cell r="M41">
            <v>0</v>
          </cell>
        </row>
        <row r="42">
          <cell r="M4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21">
          <cell r="J21">
            <v>0</v>
          </cell>
        </row>
        <row r="44">
          <cell r="R44">
            <v>0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C252"/>
  <sheetViews>
    <sheetView showGridLines="0" tabSelected="1" view="pageBreakPreview" zoomScaleNormal="100" zoomScaleSheetLayoutView="100" workbookViewId="0">
      <selection activeCell="W6" sqref="W6"/>
    </sheetView>
  </sheetViews>
  <sheetFormatPr defaultColWidth="9.140625" defaultRowHeight="12.75"/>
  <cols>
    <col min="1" max="1" width="4.140625" style="540" customWidth="1"/>
    <col min="2" max="2" width="4.42578125" style="540" customWidth="1"/>
    <col min="3" max="3" width="31.140625" style="540" customWidth="1"/>
    <col min="4" max="4" width="4.140625" style="540" customWidth="1"/>
    <col min="5" max="5" width="4" style="540" customWidth="1"/>
    <col min="6" max="8" width="4.42578125" style="540" customWidth="1"/>
    <col min="9" max="10" width="4.5703125" style="540" customWidth="1"/>
    <col min="11" max="27" width="4.42578125" style="540" customWidth="1"/>
    <col min="28" max="28" width="9" style="540" customWidth="1"/>
    <col min="29" max="29" width="19.85546875" style="540" bestFit="1" customWidth="1"/>
    <col min="30" max="30" width="21.7109375" style="540" customWidth="1"/>
    <col min="31" max="31" width="9.140625" style="540"/>
    <col min="32" max="32" width="3.28515625" style="540" customWidth="1"/>
    <col min="33" max="16384" width="9.140625" style="540"/>
  </cols>
  <sheetData>
    <row r="1" spans="1:31" s="539" customFormat="1" ht="36" customHeight="1" thickBot="1">
      <c r="A1" s="2037" t="s">
        <v>378</v>
      </c>
      <c r="B1" s="2037"/>
      <c r="C1" s="2037"/>
      <c r="D1" s="2037"/>
      <c r="E1" s="2037"/>
      <c r="F1" s="2037"/>
      <c r="G1" s="2037"/>
      <c r="H1" s="2037"/>
      <c r="I1" s="2037"/>
      <c r="J1" s="2037"/>
      <c r="K1" s="2037"/>
      <c r="L1" s="2037"/>
      <c r="M1" s="2037"/>
      <c r="N1" s="2037"/>
      <c r="O1" s="2037"/>
      <c r="P1" s="2037"/>
      <c r="Q1" s="2037"/>
      <c r="R1" s="2037"/>
      <c r="S1" s="2037"/>
      <c r="T1" s="2037"/>
      <c r="U1" s="2037"/>
      <c r="V1" s="2037"/>
      <c r="W1" s="2037"/>
      <c r="X1" s="2037"/>
      <c r="Y1" s="2037"/>
      <c r="Z1" s="2037"/>
    </row>
    <row r="2" spans="1:31" ht="60.75" customHeight="1" thickTop="1">
      <c r="A2" s="1878"/>
      <c r="B2" s="1878"/>
      <c r="C2" s="1878"/>
      <c r="D2" s="1878"/>
      <c r="E2" s="1878"/>
      <c r="F2" s="1878"/>
      <c r="G2" s="1878"/>
      <c r="H2" s="1878"/>
      <c r="I2" s="1878"/>
      <c r="J2" s="1878"/>
      <c r="K2" s="1878"/>
      <c r="L2" s="1878"/>
      <c r="M2" s="1878"/>
      <c r="N2" s="1878"/>
      <c r="O2" s="1878"/>
      <c r="P2" s="1878"/>
      <c r="Q2" s="1878"/>
      <c r="R2" s="1878"/>
      <c r="S2" s="1878"/>
      <c r="T2" s="1878"/>
      <c r="U2" s="1878"/>
      <c r="V2" s="1878"/>
      <c r="W2" s="1878"/>
      <c r="X2" s="1878"/>
      <c r="Y2" s="1878"/>
      <c r="Z2" s="1878"/>
    </row>
    <row r="3" spans="1:31" s="541" customFormat="1" ht="18" customHeight="1">
      <c r="A3" s="1903" t="s">
        <v>379</v>
      </c>
      <c r="B3" s="1903"/>
      <c r="C3" s="1903"/>
      <c r="D3" s="1903"/>
      <c r="E3" s="1903"/>
      <c r="F3" s="1903"/>
      <c r="G3" s="1903"/>
      <c r="H3" s="1903"/>
      <c r="I3" s="1903"/>
      <c r="J3" s="1903"/>
      <c r="K3" s="1903"/>
      <c r="L3" s="1903"/>
      <c r="M3" s="1903"/>
      <c r="N3" s="1903"/>
      <c r="O3" s="1903"/>
      <c r="P3" s="1903"/>
      <c r="Q3" s="1903"/>
      <c r="R3" s="1903"/>
      <c r="S3" s="1903"/>
      <c r="T3" s="1903"/>
      <c r="U3" s="1903"/>
      <c r="V3" s="1903"/>
      <c r="W3" s="1903"/>
      <c r="X3" s="1903"/>
      <c r="Y3" s="1903"/>
      <c r="Z3" s="1903"/>
    </row>
    <row r="4" spans="1:31" ht="12.75" customHeight="1">
      <c r="A4" s="542"/>
      <c r="B4" s="543"/>
      <c r="C4" s="543"/>
      <c r="D4" s="543"/>
      <c r="E4" s="543"/>
      <c r="F4" s="543"/>
      <c r="G4" s="543"/>
      <c r="H4" s="543"/>
      <c r="I4" s="543"/>
      <c r="J4" s="543"/>
      <c r="K4" s="543"/>
      <c r="L4" s="543"/>
      <c r="M4" s="543"/>
      <c r="N4" s="543"/>
      <c r="O4" s="543"/>
      <c r="P4" s="543"/>
      <c r="Q4" s="543"/>
      <c r="R4" s="543"/>
      <c r="S4" s="543"/>
      <c r="T4" s="543"/>
      <c r="U4" s="543"/>
      <c r="V4" s="543"/>
      <c r="W4" s="543"/>
      <c r="X4" s="543"/>
      <c r="Y4" s="543"/>
      <c r="Z4" s="543"/>
    </row>
    <row r="5" spans="1:31" ht="13.5" customHeight="1" thickBot="1">
      <c r="A5" s="544">
        <v>1</v>
      </c>
      <c r="B5" s="2033" t="s">
        <v>380</v>
      </c>
      <c r="C5" s="2033"/>
      <c r="D5" s="2033"/>
      <c r="E5" s="2033"/>
      <c r="F5" s="2033"/>
      <c r="G5" s="2033"/>
      <c r="H5" s="2033"/>
      <c r="I5" s="2033"/>
      <c r="J5" s="545" t="s">
        <v>13</v>
      </c>
      <c r="K5" s="546"/>
      <c r="L5" s="545"/>
      <c r="M5" s="543"/>
      <c r="N5" s="544"/>
      <c r="O5" s="2038" t="s">
        <v>381</v>
      </c>
      <c r="P5" s="2038"/>
      <c r="Q5" s="2038"/>
      <c r="R5" s="2038"/>
      <c r="S5" s="2038"/>
      <c r="T5" s="547"/>
      <c r="U5" s="547"/>
      <c r="V5" s="547"/>
      <c r="W5" s="547"/>
      <c r="X5" s="547"/>
      <c r="Y5" s="547"/>
      <c r="Z5" s="547"/>
      <c r="AA5" s="547"/>
      <c r="AB5" s="547"/>
      <c r="AC5" s="547"/>
    </row>
    <row r="6" spans="1:31" ht="13.5" customHeight="1" thickTop="1" thickBot="1">
      <c r="A6" s="544"/>
      <c r="B6" s="544" t="s">
        <v>382</v>
      </c>
      <c r="C6" s="544" t="s">
        <v>383</v>
      </c>
      <c r="D6" s="544"/>
      <c r="E6" s="544"/>
      <c r="F6" s="544"/>
      <c r="G6" s="544"/>
      <c r="H6" s="544"/>
      <c r="I6" s="544"/>
      <c r="J6" s="545" t="s">
        <v>13</v>
      </c>
      <c r="K6" s="548"/>
      <c r="L6" s="549" t="str">
        <f>IF(K6="x","YES","NO")</f>
        <v>NO</v>
      </c>
      <c r="M6" s="543"/>
      <c r="N6" s="543"/>
      <c r="O6" s="543"/>
      <c r="P6" s="543"/>
      <c r="Q6" s="543"/>
      <c r="R6" s="543"/>
      <c r="S6" s="543"/>
      <c r="T6" s="543"/>
      <c r="U6" s="543"/>
      <c r="V6" s="543"/>
      <c r="W6" s="543"/>
      <c r="X6" s="543"/>
      <c r="Y6" s="543"/>
      <c r="Z6" s="543"/>
      <c r="AE6" s="540" t="s">
        <v>381</v>
      </c>
    </row>
    <row r="7" spans="1:31" ht="15" customHeight="1" thickTop="1" thickBot="1">
      <c r="A7" s="544"/>
      <c r="B7" s="544" t="s">
        <v>377</v>
      </c>
      <c r="C7" s="544" t="s">
        <v>386</v>
      </c>
      <c r="D7" s="544"/>
      <c r="E7" s="544"/>
      <c r="F7" s="544"/>
      <c r="G7" s="544"/>
      <c r="H7" s="544"/>
      <c r="I7" s="544"/>
      <c r="J7" s="545" t="s">
        <v>13</v>
      </c>
      <c r="K7" s="548"/>
      <c r="L7" s="549" t="str">
        <f>IF(K7="x","YES","NO")</f>
        <v>NO</v>
      </c>
      <c r="M7" s="543"/>
      <c r="N7" s="543"/>
      <c r="O7" s="543"/>
      <c r="P7" s="543"/>
      <c r="Q7" s="543"/>
      <c r="R7" s="543"/>
      <c r="S7" s="543"/>
      <c r="T7" s="543"/>
      <c r="U7" s="543"/>
      <c r="V7" s="543"/>
      <c r="W7" s="543"/>
      <c r="X7" s="543"/>
      <c r="Y7" s="543"/>
      <c r="Z7" s="543"/>
    </row>
    <row r="8" spans="1:31" ht="14.25" customHeight="1" thickTop="1" thickBot="1">
      <c r="A8" s="543"/>
      <c r="B8" s="543"/>
      <c r="C8" s="543"/>
      <c r="D8" s="543"/>
      <c r="E8" s="543"/>
      <c r="I8" s="543"/>
      <c r="J8" s="543"/>
      <c r="K8" s="550" t="s">
        <v>381</v>
      </c>
      <c r="L8" s="543"/>
      <c r="M8" s="543"/>
      <c r="N8" s="543"/>
      <c r="O8" s="543"/>
      <c r="P8" s="543"/>
      <c r="Q8" s="543"/>
      <c r="R8" s="543"/>
      <c r="S8" s="543"/>
      <c r="T8" s="543"/>
      <c r="U8" s="543"/>
      <c r="V8" s="543"/>
      <c r="W8" s="543"/>
      <c r="X8" s="543"/>
      <c r="Y8" s="543"/>
      <c r="Z8" s="543"/>
    </row>
    <row r="9" spans="1:31" ht="15" customHeight="1" thickTop="1" thickBot="1">
      <c r="A9" s="544">
        <v>2</v>
      </c>
      <c r="B9" s="2033" t="s">
        <v>387</v>
      </c>
      <c r="C9" s="2033"/>
      <c r="D9" s="2033"/>
      <c r="E9" s="2033"/>
      <c r="I9" s="543"/>
      <c r="J9" s="545" t="s">
        <v>13</v>
      </c>
      <c r="K9" s="548"/>
      <c r="L9" s="549" t="str">
        <f>IF(K9="x","YES","NO")</f>
        <v>NO</v>
      </c>
      <c r="M9" s="543"/>
      <c r="N9" s="543"/>
      <c r="O9" s="543"/>
      <c r="P9" s="543"/>
      <c r="Q9" s="543"/>
      <c r="R9" s="543"/>
      <c r="S9" s="543"/>
      <c r="T9" s="543"/>
      <c r="U9" s="543"/>
      <c r="V9" s="543"/>
      <c r="W9" s="543"/>
      <c r="X9" s="543"/>
      <c r="Y9" s="543"/>
      <c r="Z9" s="543"/>
    </row>
    <row r="10" spans="1:31" ht="3" customHeight="1" thickTop="1">
      <c r="A10" s="543"/>
      <c r="B10" s="543"/>
      <c r="C10" s="543"/>
      <c r="D10" s="543"/>
      <c r="E10" s="543"/>
      <c r="I10" s="543"/>
      <c r="J10" s="543"/>
      <c r="K10" s="550"/>
      <c r="L10" s="543"/>
      <c r="M10" s="543"/>
      <c r="N10" s="543"/>
      <c r="O10" s="543"/>
      <c r="P10" s="543"/>
      <c r="Q10" s="543"/>
      <c r="R10" s="543"/>
      <c r="S10" s="543"/>
      <c r="T10" s="543"/>
      <c r="U10" s="543"/>
      <c r="V10" s="543"/>
      <c r="W10" s="543"/>
      <c r="X10" s="543"/>
      <c r="Y10" s="543"/>
      <c r="Z10" s="543"/>
    </row>
    <row r="11" spans="1:31" ht="33.75">
      <c r="A11" s="543"/>
      <c r="B11" s="1885" t="s">
        <v>388</v>
      </c>
      <c r="C11" s="1885"/>
      <c r="D11" s="1885"/>
      <c r="E11" s="1885"/>
      <c r="F11" s="1885"/>
      <c r="G11" s="1885"/>
      <c r="H11" s="1885"/>
      <c r="I11" s="1885"/>
      <c r="J11" s="547"/>
      <c r="K11" s="547"/>
      <c r="L11" s="547"/>
      <c r="M11" s="547"/>
      <c r="N11" s="547"/>
      <c r="O11" s="547"/>
      <c r="P11" s="547"/>
      <c r="Q11" s="543"/>
      <c r="R11" s="543"/>
      <c r="S11" s="543"/>
      <c r="T11" s="543"/>
      <c r="U11" s="543"/>
      <c r="V11" s="543"/>
      <c r="W11" s="543"/>
      <c r="X11" s="543"/>
      <c r="Y11" s="543"/>
      <c r="Z11" s="543"/>
    </row>
    <row r="12" spans="1:31" ht="15.75" customHeight="1" thickBot="1">
      <c r="A12" s="543"/>
      <c r="B12" s="1102"/>
      <c r="C12" s="1102"/>
      <c r="D12" s="1102"/>
      <c r="E12" s="1102"/>
      <c r="F12" s="1102"/>
      <c r="G12" s="1102"/>
      <c r="H12" s="1102"/>
      <c r="I12" s="1102"/>
      <c r="J12" s="547"/>
      <c r="K12" s="547"/>
      <c r="L12" s="547"/>
      <c r="M12" s="547"/>
      <c r="N12" s="547"/>
      <c r="O12" s="547"/>
      <c r="P12" s="547"/>
      <c r="Q12" s="543"/>
      <c r="R12" s="543"/>
      <c r="S12" s="543"/>
      <c r="T12" s="543"/>
      <c r="U12" s="543"/>
      <c r="V12" s="543"/>
      <c r="W12" s="543"/>
      <c r="X12" s="543"/>
      <c r="Y12" s="543"/>
      <c r="Z12" s="543"/>
    </row>
    <row r="13" spans="1:31" ht="15.75" customHeight="1" thickTop="1" thickBot="1">
      <c r="A13" s="544">
        <v>3</v>
      </c>
      <c r="B13" s="544" t="s">
        <v>389</v>
      </c>
      <c r="C13" s="544"/>
      <c r="D13" s="544"/>
      <c r="E13" s="544"/>
      <c r="F13" s="544"/>
      <c r="G13" s="544"/>
      <c r="H13" s="544"/>
      <c r="I13" s="544"/>
      <c r="J13" s="551" t="s">
        <v>13</v>
      </c>
      <c r="K13" s="548" t="s">
        <v>384</v>
      </c>
      <c r="L13" s="552" t="str">
        <f>IF(K13="x","YES","NO")</f>
        <v>YES</v>
      </c>
      <c r="M13" s="543"/>
      <c r="N13" s="543"/>
      <c r="O13" s="543"/>
      <c r="P13" s="543"/>
      <c r="Q13" s="543"/>
      <c r="R13" s="543"/>
      <c r="S13" s="543"/>
      <c r="T13" s="543"/>
      <c r="U13" s="543"/>
      <c r="V13" s="543"/>
      <c r="W13" s="543"/>
      <c r="X13" s="543"/>
      <c r="Y13" s="543"/>
      <c r="Z13" s="543"/>
    </row>
    <row r="14" spans="1:31" ht="12.75" customHeight="1" thickTop="1" thickBot="1">
      <c r="A14" s="544"/>
      <c r="B14" s="544"/>
      <c r="C14" s="544"/>
      <c r="D14" s="544"/>
      <c r="E14" s="544"/>
      <c r="F14" s="544"/>
      <c r="G14" s="544"/>
      <c r="H14" s="544" t="s">
        <v>381</v>
      </c>
      <c r="I14" s="544"/>
      <c r="J14" s="544"/>
      <c r="K14" s="544"/>
      <c r="L14" s="544"/>
      <c r="M14" s="543"/>
      <c r="N14" s="543"/>
      <c r="O14" s="543"/>
      <c r="P14" s="543"/>
      <c r="Q14" s="543"/>
      <c r="R14" s="543"/>
      <c r="S14" s="543"/>
      <c r="T14" s="543"/>
      <c r="U14" s="543"/>
      <c r="V14" s="543"/>
      <c r="W14" s="543"/>
      <c r="X14" s="543"/>
      <c r="Y14" s="543"/>
      <c r="Z14" s="543"/>
    </row>
    <row r="15" spans="1:31" ht="15" customHeight="1" thickTop="1" thickBot="1">
      <c r="A15" s="544">
        <v>4</v>
      </c>
      <c r="B15" s="544" t="s">
        <v>390</v>
      </c>
      <c r="C15" s="544"/>
      <c r="D15" s="544"/>
      <c r="E15" s="544"/>
      <c r="F15" s="544"/>
      <c r="G15" s="544"/>
      <c r="H15" s="544"/>
      <c r="I15" s="544"/>
      <c r="J15" s="544" t="s">
        <v>13</v>
      </c>
      <c r="K15" s="548"/>
      <c r="L15" s="552" t="str">
        <f>IF(K15="x","YES","NO")</f>
        <v>NO</v>
      </c>
      <c r="M15" s="543"/>
      <c r="N15" s="543"/>
      <c r="O15" s="543"/>
      <c r="P15" s="543"/>
      <c r="Q15" s="543"/>
      <c r="R15" s="543"/>
      <c r="S15" s="543"/>
      <c r="T15" s="543"/>
      <c r="U15" s="543"/>
      <c r="V15" s="543"/>
      <c r="W15" s="543"/>
      <c r="X15" s="543"/>
      <c r="Y15" s="543"/>
      <c r="Z15" s="543"/>
    </row>
    <row r="16" spans="1:31" ht="15" customHeight="1" thickTop="1">
      <c r="A16" s="544"/>
      <c r="B16" s="544"/>
      <c r="C16" s="544"/>
      <c r="D16" s="544"/>
      <c r="E16" s="544"/>
      <c r="F16" s="544"/>
      <c r="G16" s="544"/>
      <c r="H16" s="544"/>
      <c r="I16" s="544"/>
      <c r="J16" s="544"/>
      <c r="K16" s="544"/>
      <c r="L16" s="544"/>
      <c r="M16" s="544"/>
      <c r="N16" s="543"/>
      <c r="O16" s="543"/>
      <c r="P16" s="543"/>
      <c r="Q16" s="543"/>
      <c r="R16" s="543"/>
      <c r="S16" s="543"/>
      <c r="T16" s="543"/>
      <c r="U16" s="543"/>
      <c r="V16" s="543"/>
      <c r="W16" s="543"/>
      <c r="X16" s="543"/>
      <c r="Y16" s="543"/>
      <c r="Z16" s="543"/>
    </row>
    <row r="17" spans="1:34" s="541" customFormat="1" ht="18" customHeight="1">
      <c r="A17" s="1903" t="s">
        <v>391</v>
      </c>
      <c r="B17" s="1903"/>
      <c r="C17" s="1903"/>
      <c r="D17" s="1903"/>
      <c r="E17" s="1903"/>
      <c r="F17" s="1903"/>
      <c r="G17" s="1903"/>
      <c r="H17" s="1903"/>
      <c r="I17" s="1903"/>
      <c r="J17" s="1903"/>
      <c r="K17" s="1903"/>
      <c r="L17" s="1903"/>
      <c r="M17" s="1903"/>
      <c r="N17" s="1903"/>
      <c r="O17" s="1903"/>
      <c r="P17" s="1903"/>
      <c r="Q17" s="1903"/>
      <c r="R17" s="1903"/>
      <c r="S17" s="1903"/>
      <c r="T17" s="1903"/>
      <c r="U17" s="1903"/>
      <c r="V17" s="1903"/>
      <c r="W17" s="1903"/>
      <c r="X17" s="1903"/>
      <c r="Y17" s="1903"/>
      <c r="Z17" s="1903"/>
    </row>
    <row r="18" spans="1:34" ht="13.5" thickBot="1">
      <c r="A18" s="553"/>
      <c r="B18" s="553"/>
      <c r="C18" s="553"/>
      <c r="D18" s="553"/>
      <c r="E18" s="553"/>
      <c r="F18" s="553"/>
      <c r="G18" s="553"/>
      <c r="H18" s="553"/>
      <c r="I18" s="553"/>
      <c r="J18" s="553"/>
      <c r="K18" s="553"/>
      <c r="L18" s="553"/>
      <c r="M18" s="553"/>
      <c r="N18" s="553"/>
      <c r="O18" s="553"/>
      <c r="P18" s="553"/>
      <c r="Q18" s="553"/>
      <c r="R18" s="553"/>
      <c r="S18" s="553"/>
      <c r="T18" s="553"/>
      <c r="U18" s="553"/>
      <c r="V18" s="553"/>
      <c r="W18" s="553"/>
      <c r="X18" s="553"/>
      <c r="Y18" s="553"/>
      <c r="Z18" s="553"/>
      <c r="AA18" s="553"/>
      <c r="AB18" s="553"/>
      <c r="AC18" s="554"/>
      <c r="AD18" s="554"/>
      <c r="AE18" s="554"/>
      <c r="AF18" s="554"/>
      <c r="AG18" s="554"/>
      <c r="AH18" s="554"/>
    </row>
    <row r="19" spans="1:34" ht="14.25" thickTop="1" thickBot="1">
      <c r="A19" s="555">
        <v>1</v>
      </c>
      <c r="B19" s="553" t="s">
        <v>392</v>
      </c>
      <c r="C19" s="554"/>
      <c r="D19" s="556"/>
      <c r="F19" s="555" t="s">
        <v>13</v>
      </c>
      <c r="G19" s="2039"/>
      <c r="H19" s="2040"/>
      <c r="I19" s="2040"/>
      <c r="J19" s="2040"/>
      <c r="K19" s="2040"/>
      <c r="L19" s="2040"/>
      <c r="M19" s="2040"/>
      <c r="N19" s="2040"/>
      <c r="O19" s="2040"/>
      <c r="P19" s="2040"/>
      <c r="Q19" s="2040"/>
      <c r="R19" s="2040"/>
      <c r="S19" s="2040"/>
      <c r="T19" s="2040"/>
      <c r="U19" s="2041"/>
      <c r="Z19" s="553" t="s">
        <v>381</v>
      </c>
      <c r="AA19" s="553"/>
      <c r="AB19" s="554"/>
      <c r="AC19" s="554"/>
      <c r="AD19" s="554"/>
      <c r="AE19" s="554"/>
      <c r="AF19" s="554"/>
      <c r="AG19" s="554"/>
    </row>
    <row r="20" spans="1:34" ht="14.25" thickTop="1" thickBot="1">
      <c r="A20" s="555"/>
      <c r="B20" s="553"/>
      <c r="C20" s="554"/>
      <c r="D20" s="556"/>
      <c r="F20" s="555"/>
      <c r="G20" s="557"/>
      <c r="H20" s="557"/>
      <c r="I20" s="557"/>
      <c r="J20" s="557"/>
      <c r="K20" s="557"/>
      <c r="L20" s="557"/>
      <c r="M20" s="557"/>
      <c r="N20" s="557"/>
      <c r="O20" s="557"/>
      <c r="P20" s="557"/>
      <c r="Q20" s="557" t="s">
        <v>381</v>
      </c>
      <c r="R20" s="557"/>
      <c r="S20" s="557"/>
      <c r="T20" s="557"/>
      <c r="U20" s="557"/>
      <c r="V20" s="557"/>
      <c r="W20" s="557"/>
      <c r="X20" s="557"/>
      <c r="Y20" s="557"/>
      <c r="Z20" s="557"/>
      <c r="AA20" s="553"/>
      <c r="AB20" s="553"/>
      <c r="AC20" s="554"/>
    </row>
    <row r="21" spans="1:34" ht="14.25" thickTop="1" thickBot="1">
      <c r="A21" s="555">
        <v>2</v>
      </c>
      <c r="B21" s="553" t="s">
        <v>393</v>
      </c>
      <c r="C21" s="554"/>
      <c r="D21" s="556"/>
      <c r="E21" s="540" t="s">
        <v>394</v>
      </c>
      <c r="F21" s="555" t="s">
        <v>13</v>
      </c>
      <c r="G21" s="2039"/>
      <c r="H21" s="2040"/>
      <c r="I21" s="2040"/>
      <c r="J21" s="2040"/>
      <c r="K21" s="2040"/>
      <c r="L21" s="2040"/>
      <c r="M21" s="2040"/>
      <c r="N21" s="2040"/>
      <c r="O21" s="2040"/>
      <c r="P21" s="2040"/>
      <c r="Q21" s="2040"/>
      <c r="R21" s="2040"/>
      <c r="S21" s="2040"/>
      <c r="T21" s="2040"/>
      <c r="U21" s="2041"/>
      <c r="AA21" s="553"/>
      <c r="AB21" s="553"/>
      <c r="AC21" s="554"/>
      <c r="AD21" s="554"/>
      <c r="AE21" s="554"/>
      <c r="AF21" s="554"/>
      <c r="AG21" s="554"/>
      <c r="AH21" s="554"/>
    </row>
    <row r="22" spans="1:34" ht="14.25" thickTop="1" thickBot="1">
      <c r="A22" s="555"/>
      <c r="B22" s="553"/>
      <c r="C22" s="554"/>
      <c r="D22" s="556"/>
      <c r="E22" s="540" t="s">
        <v>381</v>
      </c>
      <c r="F22" s="555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 t="s">
        <v>381</v>
      </c>
      <c r="U22" s="556"/>
      <c r="V22" s="556"/>
      <c r="W22" s="556"/>
      <c r="X22" s="556"/>
      <c r="Y22" s="556"/>
      <c r="Z22" s="556"/>
      <c r="AA22" s="553"/>
      <c r="AB22" s="553"/>
      <c r="AC22" s="554"/>
      <c r="AD22" s="554"/>
      <c r="AE22" s="554"/>
      <c r="AF22" s="554"/>
      <c r="AG22" s="554"/>
      <c r="AH22" s="554"/>
    </row>
    <row r="23" spans="1:34" ht="14.25" thickTop="1" thickBot="1">
      <c r="A23" s="555">
        <v>3</v>
      </c>
      <c r="B23" s="553" t="s">
        <v>1345</v>
      </c>
      <c r="C23" s="554"/>
      <c r="F23" s="555" t="s">
        <v>13</v>
      </c>
      <c r="G23" s="2039"/>
      <c r="H23" s="2040"/>
      <c r="I23" s="2040"/>
      <c r="J23" s="2040"/>
      <c r="K23" s="2040"/>
      <c r="L23" s="2040"/>
      <c r="M23" s="2040"/>
      <c r="N23" s="2040"/>
      <c r="O23" s="2040"/>
      <c r="P23" s="2040"/>
      <c r="Q23" s="2040"/>
      <c r="R23" s="2040"/>
      <c r="S23" s="2040"/>
      <c r="T23" s="2040"/>
      <c r="U23" s="2041"/>
      <c r="X23" s="554"/>
      <c r="Y23" s="554"/>
      <c r="Z23" s="554"/>
      <c r="AA23" s="554"/>
      <c r="AB23" s="554"/>
      <c r="AC23" s="554"/>
    </row>
    <row r="24" spans="1:34" ht="14.25" thickTop="1" thickBot="1">
      <c r="A24" s="555"/>
      <c r="B24" s="553"/>
      <c r="C24" s="554"/>
      <c r="F24" s="555"/>
      <c r="G24" s="557"/>
      <c r="H24" s="557"/>
      <c r="I24" s="557"/>
      <c r="J24" s="557"/>
      <c r="K24" s="557"/>
      <c r="L24" s="557"/>
      <c r="M24" s="557"/>
      <c r="N24" s="557"/>
      <c r="O24" s="557"/>
      <c r="P24" s="557"/>
      <c r="Q24" s="557"/>
      <c r="R24" s="557"/>
      <c r="S24" s="557"/>
      <c r="T24" s="557"/>
      <c r="U24" s="557"/>
      <c r="V24" s="557"/>
      <c r="W24" s="557"/>
      <c r="X24" s="557"/>
      <c r="Y24" s="557"/>
      <c r="Z24" s="557"/>
      <c r="AA24" s="553"/>
      <c r="AB24" s="553"/>
      <c r="AC24" s="554"/>
      <c r="AD24" s="554"/>
      <c r="AE24" s="554"/>
      <c r="AF24" s="554"/>
      <c r="AG24" s="554"/>
      <c r="AH24" s="554"/>
    </row>
    <row r="25" spans="1:34" ht="14.25" thickTop="1" thickBot="1">
      <c r="A25" s="555">
        <v>4</v>
      </c>
      <c r="B25" s="553" t="s">
        <v>395</v>
      </c>
      <c r="C25" s="554"/>
      <c r="F25" s="555" t="s">
        <v>13</v>
      </c>
      <c r="G25" s="2039"/>
      <c r="H25" s="2040"/>
      <c r="I25" s="2040"/>
      <c r="J25" s="2041"/>
      <c r="K25" s="559" t="s">
        <v>381</v>
      </c>
      <c r="L25" s="2039"/>
      <c r="M25" s="2040"/>
      <c r="N25" s="2040"/>
      <c r="O25" s="2040"/>
      <c r="P25" s="2040"/>
      <c r="Q25" s="2040"/>
      <c r="R25" s="2040"/>
      <c r="S25" s="2041"/>
      <c r="T25" s="557"/>
      <c r="U25" s="557"/>
      <c r="V25" s="557"/>
      <c r="W25" s="557"/>
      <c r="X25" s="557"/>
      <c r="Y25" s="557"/>
      <c r="Z25" s="557"/>
      <c r="AA25" s="553"/>
      <c r="AB25" s="553"/>
      <c r="AC25" s="554"/>
      <c r="AD25" s="554"/>
      <c r="AE25" s="554"/>
      <c r="AF25" s="554"/>
      <c r="AG25" s="554"/>
      <c r="AH25" s="554"/>
    </row>
    <row r="26" spans="1:34" ht="14.25" thickTop="1" thickBot="1">
      <c r="A26" s="555"/>
      <c r="B26" s="553"/>
      <c r="C26" s="554"/>
      <c r="F26" s="555"/>
      <c r="G26" s="559"/>
      <c r="H26" s="559"/>
      <c r="I26" s="559"/>
      <c r="J26" s="559"/>
      <c r="K26" s="559"/>
      <c r="L26" s="559"/>
      <c r="M26" s="559"/>
      <c r="N26" s="559"/>
      <c r="O26" s="559"/>
      <c r="P26" s="559"/>
      <c r="Q26" s="559"/>
      <c r="R26" s="559"/>
      <c r="S26" s="559"/>
      <c r="T26" s="557"/>
      <c r="U26" s="557"/>
      <c r="V26" s="555"/>
      <c r="W26" s="555"/>
      <c r="X26" s="555"/>
      <c r="Y26" s="555"/>
      <c r="Z26" s="555"/>
      <c r="AA26" s="553"/>
      <c r="AB26" s="553"/>
      <c r="AC26" s="554"/>
      <c r="AD26" s="554"/>
      <c r="AE26" s="554"/>
      <c r="AF26" s="554"/>
      <c r="AG26" s="554"/>
      <c r="AH26" s="554"/>
    </row>
    <row r="27" spans="1:34" ht="14.25" thickTop="1" thickBot="1">
      <c r="A27" s="555">
        <v>5</v>
      </c>
      <c r="B27" s="553" t="s">
        <v>396</v>
      </c>
      <c r="C27" s="554"/>
      <c r="F27" s="555" t="s">
        <v>13</v>
      </c>
      <c r="G27" s="2039"/>
      <c r="H27" s="2040"/>
      <c r="I27" s="2040"/>
      <c r="J27" s="2040"/>
      <c r="K27" s="2040"/>
      <c r="L27" s="2040"/>
      <c r="M27" s="2040"/>
      <c r="N27" s="2041"/>
      <c r="P27" s="557"/>
      <c r="Q27" s="557"/>
      <c r="R27" s="555"/>
      <c r="S27" s="555"/>
      <c r="T27" s="555"/>
      <c r="U27" s="555"/>
      <c r="V27" s="555"/>
      <c r="W27" s="553"/>
      <c r="X27" s="553"/>
      <c r="Y27" s="554"/>
      <c r="Z27" s="554"/>
      <c r="AA27" s="554"/>
      <c r="AB27" s="554"/>
      <c r="AC27" s="554"/>
      <c r="AD27" s="554"/>
    </row>
    <row r="28" spans="1:34" ht="14.25" thickTop="1" thickBot="1">
      <c r="A28" s="555"/>
      <c r="B28" s="553"/>
      <c r="C28" s="554"/>
      <c r="G28" s="557"/>
      <c r="H28" s="557"/>
      <c r="I28" s="557"/>
      <c r="J28" s="557"/>
      <c r="K28" s="557"/>
      <c r="L28" s="557"/>
      <c r="M28" s="557"/>
      <c r="N28" s="557"/>
      <c r="O28" s="557"/>
      <c r="P28" s="557"/>
      <c r="Q28" s="557"/>
      <c r="R28" s="557"/>
      <c r="S28" s="557"/>
      <c r="T28" s="557"/>
      <c r="U28" s="557"/>
      <c r="V28" s="557"/>
      <c r="W28" s="557"/>
      <c r="X28" s="557"/>
      <c r="Y28" s="557"/>
      <c r="Z28" s="557"/>
      <c r="AA28" s="553"/>
      <c r="AB28" s="553"/>
      <c r="AC28" s="554"/>
      <c r="AD28" s="554"/>
      <c r="AE28" s="554"/>
      <c r="AF28" s="554"/>
      <c r="AG28" s="554"/>
      <c r="AH28" s="554"/>
    </row>
    <row r="29" spans="1:34" ht="14.25" thickTop="1" thickBot="1">
      <c r="A29" s="555">
        <v>6</v>
      </c>
      <c r="B29" s="1885" t="s">
        <v>397</v>
      </c>
      <c r="C29" s="1885"/>
      <c r="D29" s="1885"/>
      <c r="E29" s="1885"/>
      <c r="F29" s="555" t="s">
        <v>13</v>
      </c>
      <c r="G29" s="560"/>
      <c r="H29" s="561" t="s">
        <v>398</v>
      </c>
      <c r="I29" s="557"/>
      <c r="J29" s="557"/>
      <c r="K29" s="557"/>
      <c r="L29" s="557"/>
      <c r="M29" s="557"/>
      <c r="N29" s="560"/>
      <c r="O29" s="561" t="s">
        <v>399</v>
      </c>
      <c r="P29" s="557"/>
      <c r="Q29" s="557"/>
      <c r="R29" s="557"/>
      <c r="S29" s="557"/>
      <c r="T29" s="557"/>
      <c r="U29" s="557"/>
      <c r="V29" s="555"/>
      <c r="W29" s="555"/>
      <c r="X29" s="555"/>
      <c r="Y29" s="555"/>
      <c r="Z29" s="555"/>
      <c r="AA29" s="553"/>
      <c r="AB29" s="553"/>
      <c r="AC29" s="554"/>
      <c r="AD29" s="554"/>
      <c r="AE29" s="554"/>
      <c r="AF29" s="554"/>
      <c r="AG29" s="554"/>
      <c r="AH29" s="554"/>
    </row>
    <row r="30" spans="1:34" ht="3.75" customHeight="1" thickTop="1" thickBot="1">
      <c r="A30" s="555"/>
      <c r="B30" s="562"/>
      <c r="C30" s="562"/>
      <c r="D30" s="562"/>
      <c r="E30" s="562"/>
      <c r="F30" s="555"/>
      <c r="G30" s="563"/>
      <c r="H30" s="557"/>
      <c r="I30" s="557"/>
      <c r="J30" s="557"/>
      <c r="K30" s="557"/>
      <c r="L30" s="557"/>
      <c r="M30" s="557"/>
      <c r="N30" s="563"/>
      <c r="O30" s="557"/>
      <c r="P30" s="557"/>
      <c r="Q30" s="557"/>
      <c r="R30" s="557"/>
      <c r="S30" s="557"/>
      <c r="T30" s="557"/>
      <c r="U30" s="557"/>
      <c r="V30" s="555"/>
      <c r="W30" s="555"/>
      <c r="X30" s="555"/>
      <c r="Y30" s="555"/>
      <c r="Z30" s="555"/>
      <c r="AA30" s="553"/>
      <c r="AB30" s="553"/>
      <c r="AC30" s="554"/>
      <c r="AD30" s="554"/>
      <c r="AE30" s="554"/>
      <c r="AF30" s="554"/>
      <c r="AG30" s="554"/>
      <c r="AH30" s="554"/>
    </row>
    <row r="31" spans="1:34" ht="14.25" thickTop="1" thickBot="1">
      <c r="A31" s="555"/>
      <c r="B31" s="1885" t="s">
        <v>400</v>
      </c>
      <c r="C31" s="1885"/>
      <c r="D31" s="562"/>
      <c r="E31" s="562"/>
      <c r="F31" s="555" t="s">
        <v>13</v>
      </c>
      <c r="G31" s="560"/>
      <c r="H31" s="561" t="s">
        <v>401</v>
      </c>
      <c r="I31" s="557"/>
      <c r="J31" s="557"/>
      <c r="K31" s="557"/>
      <c r="L31" s="557"/>
      <c r="M31" s="557"/>
      <c r="N31" s="560"/>
      <c r="O31" s="561" t="s">
        <v>402</v>
      </c>
      <c r="P31" s="557"/>
      <c r="Q31" s="557"/>
      <c r="R31" s="557"/>
      <c r="S31" s="557"/>
      <c r="T31" s="557"/>
      <c r="U31" s="557"/>
      <c r="V31" s="555"/>
      <c r="W31" s="555"/>
      <c r="X31" s="555"/>
      <c r="Y31" s="555"/>
      <c r="Z31" s="555"/>
      <c r="AA31" s="553"/>
      <c r="AB31" s="553"/>
      <c r="AC31" s="554"/>
      <c r="AD31" s="554"/>
      <c r="AE31" s="554"/>
      <c r="AF31" s="554"/>
      <c r="AG31" s="554"/>
      <c r="AH31" s="554"/>
    </row>
    <row r="32" spans="1:34" ht="14.25" thickTop="1" thickBot="1">
      <c r="A32" s="553"/>
      <c r="B32" s="553"/>
      <c r="C32" s="553"/>
      <c r="D32" s="553"/>
      <c r="E32" s="553"/>
      <c r="F32" s="553"/>
      <c r="G32" s="553"/>
      <c r="H32" s="553"/>
      <c r="I32" s="553"/>
      <c r="J32" s="553"/>
      <c r="K32" s="553"/>
      <c r="L32" s="553"/>
      <c r="M32" s="553"/>
      <c r="N32" s="553"/>
      <c r="O32" s="553"/>
      <c r="P32" s="553"/>
      <c r="Q32" s="553"/>
      <c r="R32" s="553"/>
      <c r="S32" s="553"/>
      <c r="T32" s="553"/>
      <c r="U32" s="553"/>
      <c r="V32" s="553"/>
      <c r="W32" s="553"/>
      <c r="X32" s="553"/>
      <c r="Y32" s="553"/>
      <c r="Z32" s="553"/>
      <c r="AA32" s="553"/>
      <c r="AB32" s="553"/>
      <c r="AC32" s="554"/>
      <c r="AD32" s="554"/>
      <c r="AE32" s="554"/>
      <c r="AF32" s="554"/>
      <c r="AG32" s="554"/>
      <c r="AH32" s="554"/>
    </row>
    <row r="33" spans="1:34" ht="14.25" thickTop="1" thickBot="1">
      <c r="A33" s="555">
        <v>7</v>
      </c>
      <c r="B33" s="553" t="s">
        <v>403</v>
      </c>
      <c r="C33" s="554"/>
      <c r="D33" s="556"/>
      <c r="F33" s="555" t="s">
        <v>13</v>
      </c>
      <c r="G33" s="2039"/>
      <c r="H33" s="2040"/>
      <c r="I33" s="2040"/>
      <c r="J33" s="2040"/>
      <c r="K33" s="2040"/>
      <c r="L33" s="2040"/>
      <c r="M33" s="2040"/>
      <c r="N33" s="2040"/>
      <c r="O33" s="2040"/>
      <c r="P33" s="2040"/>
      <c r="Q33" s="2040"/>
      <c r="R33" s="2040"/>
      <c r="S33" s="2040"/>
      <c r="T33" s="2040"/>
      <c r="U33" s="2041"/>
      <c r="Z33" s="553"/>
      <c r="AA33" s="553"/>
      <c r="AB33" s="554"/>
      <c r="AC33" s="554"/>
      <c r="AD33" s="554"/>
      <c r="AE33" s="554"/>
      <c r="AF33" s="554"/>
      <c r="AG33" s="554"/>
    </row>
    <row r="34" spans="1:34" ht="13.5" thickTop="1">
      <c r="A34" s="553"/>
      <c r="B34" s="562"/>
      <c r="C34" s="562"/>
      <c r="D34" s="562"/>
      <c r="E34" s="562"/>
      <c r="H34" s="564"/>
      <c r="Q34" s="553"/>
      <c r="R34" s="553"/>
      <c r="S34" s="553"/>
      <c r="T34" s="553"/>
      <c r="U34" s="553"/>
      <c r="V34" s="553"/>
      <c r="W34" s="553"/>
      <c r="X34" s="553"/>
      <c r="Y34" s="553"/>
      <c r="Z34" s="553"/>
      <c r="AA34" s="553"/>
      <c r="AB34" s="553"/>
    </row>
    <row r="35" spans="1:34" s="541" customFormat="1" ht="18" customHeight="1">
      <c r="A35" s="1903" t="s">
        <v>404</v>
      </c>
      <c r="B35" s="1903"/>
      <c r="C35" s="1903"/>
      <c r="D35" s="1903"/>
      <c r="E35" s="1903"/>
      <c r="F35" s="1903"/>
      <c r="G35" s="1903"/>
      <c r="H35" s="1903"/>
      <c r="I35" s="1903"/>
      <c r="J35" s="1903"/>
      <c r="K35" s="1903" t="s">
        <v>381</v>
      </c>
      <c r="L35" s="1903"/>
      <c r="M35" s="1903"/>
      <c r="N35" s="1903"/>
      <c r="O35" s="1903"/>
      <c r="P35" s="1903"/>
      <c r="Q35" s="1903"/>
      <c r="R35" s="1903"/>
      <c r="S35" s="1903"/>
      <c r="T35" s="1903"/>
      <c r="U35" s="1903"/>
      <c r="V35" s="1903"/>
      <c r="W35" s="1903"/>
      <c r="X35" s="1903"/>
      <c r="Y35" s="1903"/>
      <c r="Z35" s="1903"/>
    </row>
    <row r="36" spans="1:34" ht="13.5" thickBot="1">
      <c r="A36" s="553"/>
      <c r="B36" s="553"/>
      <c r="C36" s="553"/>
      <c r="D36" s="553"/>
      <c r="E36" s="553"/>
      <c r="F36" s="553"/>
      <c r="G36" s="553"/>
      <c r="H36" s="553"/>
      <c r="I36" s="553"/>
      <c r="J36" s="553"/>
      <c r="K36" s="553"/>
      <c r="L36" s="553"/>
      <c r="M36" s="553"/>
      <c r="N36" s="553"/>
      <c r="O36" s="553"/>
      <c r="P36" s="553"/>
      <c r="Q36" s="553"/>
      <c r="R36" s="553"/>
      <c r="S36" s="553"/>
      <c r="T36" s="553"/>
      <c r="U36" s="553"/>
      <c r="V36" s="553"/>
      <c r="W36" s="553"/>
      <c r="X36" s="553"/>
      <c r="Y36" s="553"/>
      <c r="Z36" s="553"/>
      <c r="AA36" s="553"/>
      <c r="AB36" s="553"/>
    </row>
    <row r="37" spans="1:34" ht="14.25" thickTop="1" thickBot="1">
      <c r="A37" s="555" t="s">
        <v>88</v>
      </c>
      <c r="B37" s="553" t="s">
        <v>405</v>
      </c>
      <c r="C37" s="553"/>
      <c r="D37" s="553"/>
      <c r="E37" s="553"/>
      <c r="F37" s="611"/>
      <c r="G37" s="611"/>
      <c r="H37" s="611"/>
      <c r="I37" s="612"/>
      <c r="J37" s="553"/>
      <c r="K37" s="553"/>
      <c r="L37" s="553"/>
      <c r="M37" s="553"/>
      <c r="N37" s="553"/>
      <c r="O37" s="553"/>
      <c r="P37" s="553"/>
      <c r="Q37" s="553"/>
      <c r="R37" s="554"/>
      <c r="S37" s="554"/>
      <c r="T37" s="556"/>
      <c r="U37" s="553"/>
      <c r="V37" s="554"/>
      <c r="W37" s="554"/>
      <c r="X37" s="554"/>
      <c r="Y37" s="554"/>
      <c r="Z37" s="554"/>
      <c r="AA37" s="553"/>
      <c r="AB37" s="553"/>
      <c r="AC37" s="540" t="s">
        <v>406</v>
      </c>
      <c r="AD37" s="565" t="str">
        <f>CONCATENATE(year01,year02,year03,year04)</f>
        <v/>
      </c>
      <c r="AG37" s="566"/>
      <c r="AH37" s="566"/>
    </row>
    <row r="38" spans="1:34" ht="14.25" thickTop="1" thickBot="1">
      <c r="A38" s="555"/>
      <c r="B38" s="553"/>
      <c r="C38" s="553"/>
      <c r="D38" s="553"/>
      <c r="E38" s="553"/>
      <c r="F38" s="553"/>
      <c r="G38" s="553" t="s">
        <v>381</v>
      </c>
      <c r="H38" s="553"/>
      <c r="I38" s="553"/>
      <c r="J38" s="553"/>
      <c r="K38" s="553"/>
      <c r="L38" s="553"/>
      <c r="M38" s="553"/>
      <c r="N38" s="553"/>
      <c r="O38" s="553"/>
      <c r="P38" s="553"/>
      <c r="Q38" s="553"/>
      <c r="R38" s="553"/>
      <c r="S38" s="553"/>
      <c r="T38" s="553"/>
      <c r="U38" s="553"/>
      <c r="V38" s="553"/>
      <c r="W38" s="553"/>
      <c r="X38" s="553"/>
      <c r="Y38" s="553"/>
      <c r="Z38" s="553"/>
      <c r="AA38" s="553"/>
      <c r="AB38" s="553"/>
      <c r="AC38" s="540" t="s">
        <v>407</v>
      </c>
      <c r="AD38" s="567" t="e">
        <f>DATE(taxyear,12,31)</f>
        <v>#VALUE!</v>
      </c>
    </row>
    <row r="39" spans="1:34" ht="14.25" thickTop="1" thickBot="1">
      <c r="A39" s="555">
        <v>2</v>
      </c>
      <c r="B39" s="553" t="s">
        <v>408</v>
      </c>
      <c r="C39" s="553"/>
      <c r="D39" s="553"/>
      <c r="E39" s="553"/>
      <c r="F39" s="2042"/>
      <c r="G39" s="2043"/>
      <c r="H39" s="2043"/>
      <c r="I39" s="2044"/>
      <c r="J39" s="553"/>
      <c r="K39" s="568"/>
      <c r="L39" s="568"/>
      <c r="M39" s="568" t="s">
        <v>409</v>
      </c>
      <c r="N39" s="568"/>
      <c r="O39" s="553"/>
      <c r="P39" s="553"/>
      <c r="Q39" s="553"/>
      <c r="R39" s="553"/>
      <c r="S39" s="553"/>
      <c r="T39" s="612"/>
      <c r="U39" s="553" t="s">
        <v>381</v>
      </c>
      <c r="V39" s="553"/>
      <c r="W39" s="553"/>
      <c r="X39" s="553"/>
      <c r="Y39" s="553"/>
      <c r="Z39" s="553"/>
      <c r="AA39" s="553"/>
      <c r="AB39" s="553"/>
      <c r="AD39" s="570"/>
    </row>
    <row r="40" spans="1:34" ht="13.5" thickTop="1">
      <c r="A40" s="555"/>
      <c r="B40" s="553" t="s">
        <v>410</v>
      </c>
      <c r="C40" s="553"/>
      <c r="D40" s="553"/>
      <c r="E40" s="553"/>
      <c r="F40" s="553"/>
      <c r="G40" s="553"/>
      <c r="H40" s="553"/>
      <c r="I40" s="553"/>
      <c r="J40" s="553"/>
      <c r="K40" s="553"/>
      <c r="L40" s="553"/>
      <c r="M40" s="553"/>
      <c r="N40" s="553"/>
      <c r="O40" s="553"/>
      <c r="P40" s="553"/>
      <c r="Q40" s="553"/>
      <c r="R40" s="553"/>
      <c r="S40" s="553"/>
      <c r="T40" s="553"/>
      <c r="U40" s="553"/>
      <c r="V40" s="553"/>
      <c r="W40" s="553"/>
      <c r="X40" s="553"/>
      <c r="Y40" s="553"/>
      <c r="Z40" s="553"/>
      <c r="AA40" s="553"/>
      <c r="AB40" s="553"/>
    </row>
    <row r="41" spans="1:34" ht="3.75" customHeight="1" thickBot="1">
      <c r="A41" s="555"/>
      <c r="B41" s="553"/>
      <c r="C41" s="553"/>
      <c r="D41" s="553"/>
      <c r="E41" s="553"/>
      <c r="F41" s="553"/>
      <c r="G41" s="553"/>
      <c r="H41" s="553"/>
      <c r="I41" s="553"/>
      <c r="J41" s="553"/>
      <c r="K41" s="553"/>
      <c r="L41" s="553"/>
      <c r="M41" s="553"/>
      <c r="N41" s="553"/>
      <c r="O41" s="553"/>
      <c r="P41" s="553"/>
      <c r="Q41" s="553"/>
      <c r="R41" s="553"/>
      <c r="S41" s="553"/>
      <c r="T41" s="553"/>
      <c r="U41" s="553"/>
      <c r="V41" s="553"/>
      <c r="W41" s="553"/>
      <c r="X41" s="553"/>
      <c r="Y41" s="553"/>
      <c r="Z41" s="553"/>
      <c r="AA41" s="553"/>
      <c r="AB41" s="553"/>
    </row>
    <row r="42" spans="1:34" ht="14.25" thickTop="1" thickBot="1">
      <c r="A42" s="555"/>
      <c r="B42" s="553" t="s">
        <v>411</v>
      </c>
      <c r="C42" s="553"/>
      <c r="D42" s="553"/>
      <c r="E42" s="553"/>
      <c r="F42" s="1527"/>
      <c r="G42" s="553" t="s">
        <v>412</v>
      </c>
      <c r="H42" s="553"/>
      <c r="I42" s="553"/>
      <c r="J42" s="1527"/>
      <c r="K42" s="553" t="s">
        <v>413</v>
      </c>
      <c r="L42" s="553"/>
      <c r="M42" s="553"/>
      <c r="N42" s="553"/>
      <c r="O42" s="553"/>
      <c r="P42" s="553"/>
      <c r="Q42" s="553"/>
      <c r="R42" s="553"/>
      <c r="S42" s="553"/>
      <c r="T42" s="553"/>
      <c r="U42" s="553"/>
      <c r="V42" s="553"/>
      <c r="W42" s="553"/>
      <c r="X42" s="553"/>
      <c r="Y42" s="553"/>
      <c r="Z42" s="553"/>
      <c r="AA42" s="553"/>
      <c r="AB42" s="553"/>
    </row>
    <row r="43" spans="1:34" ht="14.25" thickTop="1" thickBot="1">
      <c r="A43" s="555"/>
      <c r="B43" s="553"/>
      <c r="C43" s="553"/>
      <c r="D43" s="553"/>
      <c r="E43" s="553"/>
      <c r="F43" s="553"/>
      <c r="G43" s="553"/>
      <c r="H43" s="553"/>
      <c r="I43" s="553"/>
      <c r="J43" s="553"/>
      <c r="K43" s="553"/>
      <c r="L43" s="553"/>
      <c r="M43" s="553"/>
      <c r="N43" s="553"/>
      <c r="O43" s="553"/>
      <c r="P43" s="553"/>
      <c r="Q43" s="553"/>
      <c r="R43" s="553"/>
      <c r="S43" s="553"/>
      <c r="T43" s="553"/>
      <c r="U43" s="553"/>
      <c r="V43" s="553"/>
      <c r="W43" s="553"/>
      <c r="X43" s="553"/>
      <c r="Y43" s="553"/>
      <c r="Z43" s="553"/>
      <c r="AA43" s="553"/>
      <c r="AB43" s="553"/>
    </row>
    <row r="44" spans="1:34" ht="14.25" thickTop="1" thickBot="1">
      <c r="A44" s="555">
        <v>3</v>
      </c>
      <c r="B44" s="553" t="s">
        <v>414</v>
      </c>
      <c r="C44" s="553"/>
      <c r="D44" s="553"/>
      <c r="E44" s="553"/>
      <c r="F44" s="569"/>
      <c r="G44" s="569"/>
      <c r="H44" s="569"/>
      <c r="I44" s="569"/>
      <c r="J44" s="569"/>
      <c r="K44" s="569"/>
      <c r="L44" s="553" t="s">
        <v>381</v>
      </c>
      <c r="M44" s="2045" t="s">
        <v>415</v>
      </c>
      <c r="N44" s="2045"/>
      <c r="O44" s="2045"/>
      <c r="P44" s="2045"/>
      <c r="Q44" s="2045"/>
      <c r="R44" s="2045"/>
      <c r="S44" s="2046"/>
      <c r="T44" s="1970">
        <v>0</v>
      </c>
      <c r="U44" s="1971"/>
      <c r="V44" s="1971"/>
      <c r="W44" s="1972"/>
      <c r="X44" s="553"/>
      <c r="Y44" s="553"/>
      <c r="Z44" s="553"/>
      <c r="AA44" s="553"/>
      <c r="AB44" s="553"/>
    </row>
    <row r="45" spans="1:34" ht="14.25" thickTop="1" thickBot="1">
      <c r="A45" s="555"/>
      <c r="B45" s="553"/>
      <c r="C45" s="553"/>
      <c r="D45" s="553"/>
      <c r="E45" s="553"/>
      <c r="F45" s="553"/>
      <c r="G45" s="553"/>
      <c r="H45" s="553"/>
      <c r="I45" s="553"/>
      <c r="J45" s="553"/>
      <c r="K45" s="553"/>
      <c r="L45" s="553"/>
      <c r="M45" s="553"/>
      <c r="N45" s="553"/>
      <c r="O45" s="553"/>
      <c r="P45" s="553"/>
      <c r="Q45" s="553"/>
      <c r="R45" s="553"/>
      <c r="S45" s="553"/>
      <c r="T45" s="553"/>
      <c r="U45" s="553"/>
      <c r="V45" s="553"/>
      <c r="W45" s="553"/>
      <c r="X45" s="553"/>
      <c r="Y45" s="553"/>
      <c r="Z45" s="553"/>
      <c r="AA45" s="553"/>
      <c r="AB45" s="553"/>
    </row>
    <row r="46" spans="1:34" ht="14.25" thickTop="1" thickBot="1">
      <c r="A46" s="555">
        <v>4</v>
      </c>
      <c r="B46" s="553" t="s">
        <v>416</v>
      </c>
      <c r="C46" s="553"/>
      <c r="D46" s="553"/>
      <c r="E46" s="553" t="s">
        <v>382</v>
      </c>
      <c r="F46" s="558"/>
      <c r="G46" s="553" t="s">
        <v>417</v>
      </c>
      <c r="H46" s="553"/>
      <c r="I46" s="553"/>
      <c r="J46" s="553"/>
      <c r="K46" s="553"/>
      <c r="L46" s="553"/>
      <c r="M46" s="553"/>
      <c r="N46" s="564" t="s">
        <v>418</v>
      </c>
      <c r="O46" s="558"/>
      <c r="P46" s="1997" t="s">
        <v>419</v>
      </c>
      <c r="Q46" s="1997"/>
      <c r="R46" s="1997"/>
      <c r="S46" s="1997"/>
      <c r="T46" s="1997"/>
      <c r="U46" s="1997"/>
      <c r="V46" s="1997"/>
      <c r="W46" s="1997"/>
      <c r="X46" s="1997"/>
      <c r="Y46" s="1997"/>
      <c r="Z46" s="553"/>
      <c r="AA46" s="553"/>
      <c r="AB46" s="553"/>
    </row>
    <row r="47" spans="1:34" ht="14.25" thickTop="1" thickBot="1">
      <c r="A47" s="555"/>
      <c r="B47" s="553"/>
      <c r="C47" s="553"/>
      <c r="D47" s="553"/>
      <c r="E47" s="553"/>
      <c r="F47" s="553"/>
      <c r="G47" s="553"/>
      <c r="H47" s="553"/>
      <c r="I47" s="553"/>
      <c r="J47" s="553"/>
      <c r="K47" s="553"/>
      <c r="L47" s="553"/>
      <c r="M47" s="553"/>
      <c r="N47" s="553"/>
      <c r="O47" s="553"/>
      <c r="P47" s="1997"/>
      <c r="Q47" s="1997"/>
      <c r="R47" s="1997"/>
      <c r="S47" s="1997"/>
      <c r="T47" s="1997"/>
      <c r="U47" s="1997"/>
      <c r="V47" s="1997"/>
      <c r="W47" s="1997"/>
      <c r="X47" s="1997"/>
      <c r="Y47" s="1997"/>
      <c r="Z47" s="553"/>
      <c r="AA47" s="553"/>
      <c r="AB47" s="553"/>
    </row>
    <row r="48" spans="1:34" ht="15" customHeight="1" thickTop="1" thickBot="1">
      <c r="A48" s="555"/>
      <c r="B48" s="553"/>
      <c r="C48" s="553"/>
      <c r="D48" s="553"/>
      <c r="E48" s="553" t="s">
        <v>377</v>
      </c>
      <c r="F48" s="571" t="s">
        <v>381</v>
      </c>
      <c r="G48" s="553" t="s">
        <v>420</v>
      </c>
      <c r="H48" s="553"/>
      <c r="I48" s="553"/>
      <c r="J48" s="553"/>
      <c r="K48" s="553"/>
      <c r="L48" s="553"/>
      <c r="M48" s="553"/>
      <c r="N48" s="553" t="s">
        <v>421</v>
      </c>
      <c r="O48" s="558"/>
      <c r="P48" s="553" t="s">
        <v>422</v>
      </c>
      <c r="Q48" s="553"/>
      <c r="R48" s="553"/>
      <c r="S48" s="553"/>
      <c r="T48" s="553"/>
      <c r="U48" s="553"/>
      <c r="V48" s="553"/>
      <c r="W48" s="553"/>
      <c r="X48" s="553"/>
      <c r="Y48" s="553"/>
      <c r="Z48" s="553"/>
      <c r="AA48" s="553"/>
      <c r="AB48" s="553"/>
    </row>
    <row r="49" spans="1:55" ht="13.5" thickTop="1">
      <c r="A49" s="555"/>
      <c r="B49" s="553"/>
      <c r="C49" s="553"/>
      <c r="D49" s="553"/>
      <c r="E49" s="553"/>
      <c r="F49" s="553"/>
      <c r="G49" s="553" t="s">
        <v>423</v>
      </c>
      <c r="H49" s="553"/>
      <c r="I49" s="553"/>
      <c r="J49" s="553"/>
      <c r="K49" s="553"/>
      <c r="L49" s="553"/>
      <c r="M49" s="553" t="s">
        <v>381</v>
      </c>
      <c r="N49" s="553"/>
      <c r="O49" s="553"/>
      <c r="P49" s="553"/>
      <c r="Q49" s="553"/>
      <c r="R49" s="553"/>
      <c r="S49" s="553"/>
      <c r="T49" s="553"/>
      <c r="U49" s="553"/>
      <c r="V49" s="553"/>
      <c r="W49" s="553"/>
      <c r="X49" s="553"/>
      <c r="Y49" s="553"/>
      <c r="Z49" s="553"/>
      <c r="AA49" s="553"/>
      <c r="AB49" s="553"/>
    </row>
    <row r="50" spans="1:55" ht="13.5" thickBot="1">
      <c r="A50" s="555"/>
      <c r="B50" s="553"/>
      <c r="C50" s="553"/>
      <c r="D50" s="553"/>
      <c r="E50" s="553"/>
      <c r="F50" s="553"/>
      <c r="G50" s="553"/>
      <c r="H50" s="553"/>
      <c r="I50" s="553"/>
      <c r="J50" s="553"/>
      <c r="K50" s="553"/>
      <c r="L50" s="553"/>
      <c r="M50" s="553"/>
      <c r="N50" s="553"/>
      <c r="O50" s="553"/>
      <c r="P50" s="553"/>
      <c r="Q50" s="553"/>
      <c r="R50" s="553"/>
      <c r="S50" s="553"/>
      <c r="T50" s="553"/>
      <c r="U50" s="553"/>
      <c r="V50" s="553"/>
      <c r="W50" s="553"/>
      <c r="X50" s="553"/>
      <c r="Y50" s="553"/>
      <c r="Z50" s="553"/>
      <c r="AA50" s="553"/>
      <c r="AB50" s="553"/>
    </row>
    <row r="51" spans="1:55" ht="18" thickTop="1" thickBot="1">
      <c r="A51" s="555">
        <v>5</v>
      </c>
      <c r="B51" s="553" t="s">
        <v>424</v>
      </c>
      <c r="C51" s="553"/>
      <c r="D51" s="553"/>
      <c r="E51" s="545" t="s">
        <v>382</v>
      </c>
      <c r="F51" s="560"/>
      <c r="G51" s="553" t="s">
        <v>749</v>
      </c>
      <c r="H51" s="553"/>
      <c r="I51" s="553"/>
      <c r="J51" s="553"/>
      <c r="K51" s="555"/>
      <c r="L51" s="553"/>
      <c r="M51" s="553"/>
      <c r="N51" s="553"/>
      <c r="O51" s="553"/>
      <c r="P51" s="553"/>
      <c r="Q51" s="553"/>
      <c r="R51" s="553"/>
      <c r="S51" s="553"/>
      <c r="T51" s="553"/>
      <c r="U51" s="553"/>
      <c r="V51" s="553"/>
      <c r="W51" s="572"/>
      <c r="X51" s="553"/>
      <c r="Y51" s="553"/>
      <c r="Z51" s="553"/>
      <c r="AA51" s="553"/>
      <c r="AB51" s="553"/>
      <c r="AD51" s="554"/>
      <c r="AE51" s="573"/>
      <c r="AF51" s="573"/>
      <c r="AG51" s="573"/>
      <c r="AH51" s="573"/>
      <c r="AI51" s="573"/>
      <c r="AJ51" s="573"/>
      <c r="AK51" s="573"/>
      <c r="AL51" s="573"/>
      <c r="AM51" s="573"/>
      <c r="AN51" s="573"/>
      <c r="AO51" s="573"/>
      <c r="AP51" s="573"/>
      <c r="AQ51" s="573"/>
      <c r="AR51" s="573"/>
      <c r="AS51" s="573"/>
      <c r="AT51" s="573"/>
      <c r="AU51" s="573"/>
      <c r="AV51" s="573"/>
      <c r="AW51" s="573"/>
      <c r="AX51" s="573"/>
      <c r="AY51" s="573"/>
      <c r="AZ51" s="573"/>
      <c r="BA51" s="573"/>
      <c r="BB51" s="573"/>
      <c r="BC51" s="573"/>
    </row>
    <row r="52" spans="1:55" ht="9" customHeight="1" thickTop="1" thickBot="1">
      <c r="A52" s="555"/>
      <c r="B52" s="553"/>
      <c r="C52" s="553"/>
      <c r="D52" s="553"/>
      <c r="E52" s="545"/>
      <c r="F52" s="555"/>
      <c r="G52" s="553"/>
      <c r="H52" s="553"/>
      <c r="I52" s="553"/>
      <c r="J52" s="553"/>
      <c r="K52" s="555"/>
      <c r="L52" s="553"/>
      <c r="M52" s="553"/>
      <c r="N52" s="553"/>
      <c r="O52" s="553"/>
      <c r="P52" s="553"/>
      <c r="Q52" s="555"/>
      <c r="R52" s="553"/>
      <c r="S52" s="555"/>
      <c r="T52" s="553"/>
      <c r="U52" s="553"/>
      <c r="V52" s="553"/>
      <c r="W52" s="572"/>
      <c r="X52" s="553"/>
      <c r="Y52" s="553"/>
      <c r="Z52" s="553"/>
      <c r="AA52" s="553"/>
      <c r="AB52" s="553"/>
      <c r="AD52" s="554"/>
      <c r="AE52" s="573"/>
      <c r="AF52" s="573"/>
      <c r="AG52" s="573"/>
      <c r="AH52" s="573"/>
      <c r="AI52" s="573"/>
      <c r="AJ52" s="573"/>
      <c r="AK52" s="573"/>
      <c r="AL52" s="573"/>
      <c r="AM52" s="573"/>
      <c r="AN52" s="573"/>
      <c r="AO52" s="573"/>
      <c r="AP52" s="573"/>
      <c r="AQ52" s="573"/>
      <c r="AR52" s="573"/>
      <c r="AS52" s="573"/>
      <c r="AT52" s="573"/>
      <c r="AU52" s="573"/>
      <c r="AV52" s="573"/>
      <c r="AW52" s="573"/>
      <c r="AX52" s="573"/>
      <c r="AY52" s="573"/>
      <c r="AZ52" s="573"/>
      <c r="BA52" s="573"/>
      <c r="BB52" s="573"/>
      <c r="BC52" s="573"/>
    </row>
    <row r="53" spans="1:55" ht="18" thickTop="1" thickBot="1">
      <c r="A53" s="555"/>
      <c r="B53" s="553"/>
      <c r="C53" s="553"/>
      <c r="D53" s="553"/>
      <c r="E53" s="545" t="s">
        <v>377</v>
      </c>
      <c r="F53" s="560"/>
      <c r="G53" s="553" t="s">
        <v>425</v>
      </c>
      <c r="H53" s="555"/>
      <c r="I53" s="553"/>
      <c r="J53" s="553"/>
      <c r="K53" s="555"/>
      <c r="L53" s="553"/>
      <c r="M53" s="553"/>
      <c r="N53" s="555"/>
      <c r="O53" s="553"/>
      <c r="P53" s="553"/>
      <c r="Q53" s="555"/>
      <c r="R53" s="553"/>
      <c r="S53" s="555"/>
      <c r="T53" s="553"/>
      <c r="U53" s="553"/>
      <c r="V53" s="553"/>
      <c r="W53" s="572"/>
      <c r="X53" s="553"/>
      <c r="Y53" s="553"/>
      <c r="Z53" s="553"/>
      <c r="AA53" s="553"/>
      <c r="AB53" s="553"/>
      <c r="AD53" s="554"/>
      <c r="AE53" s="573"/>
      <c r="AF53" s="573"/>
      <c r="AG53" s="573"/>
      <c r="AH53" s="573"/>
      <c r="AI53" s="573"/>
      <c r="AJ53" s="573"/>
      <c r="AK53" s="573"/>
      <c r="AL53" s="573"/>
      <c r="AM53" s="573"/>
      <c r="AN53" s="573"/>
      <c r="AO53" s="573"/>
      <c r="AP53" s="573"/>
      <c r="AQ53" s="573"/>
      <c r="AR53" s="573"/>
      <c r="AS53" s="573"/>
      <c r="AT53" s="573"/>
      <c r="AU53" s="573"/>
      <c r="AV53" s="573"/>
      <c r="AW53" s="573"/>
      <c r="AX53" s="573"/>
      <c r="AY53" s="573"/>
      <c r="AZ53" s="573"/>
      <c r="BA53" s="573"/>
      <c r="BB53" s="573"/>
      <c r="BC53" s="573"/>
    </row>
    <row r="54" spans="1:55" ht="9" customHeight="1" thickTop="1" thickBot="1">
      <c r="A54" s="555"/>
      <c r="B54" s="553"/>
      <c r="C54" s="553"/>
      <c r="D54" s="553"/>
      <c r="E54" s="545"/>
      <c r="F54" s="555" t="s">
        <v>381</v>
      </c>
      <c r="G54" s="553"/>
      <c r="H54" s="553"/>
      <c r="I54" s="553"/>
      <c r="J54" s="553"/>
      <c r="K54" s="555"/>
      <c r="L54" s="553"/>
      <c r="M54" s="553"/>
      <c r="N54" s="553"/>
      <c r="O54" s="553"/>
      <c r="P54" s="553"/>
      <c r="Q54" s="555"/>
      <c r="R54" s="553"/>
      <c r="S54" s="555"/>
      <c r="T54" s="553"/>
      <c r="U54" s="553"/>
      <c r="V54" s="553"/>
      <c r="W54" s="572"/>
      <c r="X54" s="553"/>
      <c r="Y54" s="553"/>
      <c r="Z54" s="553"/>
      <c r="AA54" s="553"/>
      <c r="AB54" s="553"/>
      <c r="AD54" s="554"/>
      <c r="AE54" s="573"/>
      <c r="AF54" s="573"/>
      <c r="AG54" s="573"/>
      <c r="AH54" s="573"/>
      <c r="AI54" s="573"/>
      <c r="AJ54" s="573"/>
      <c r="AK54" s="573"/>
      <c r="AL54" s="573"/>
      <c r="AM54" s="573"/>
      <c r="AN54" s="573"/>
      <c r="AO54" s="573"/>
      <c r="AP54" s="573"/>
      <c r="AQ54" s="573"/>
      <c r="AR54" s="573"/>
      <c r="AS54" s="573"/>
      <c r="AT54" s="573"/>
      <c r="AU54" s="573"/>
      <c r="AV54" s="573"/>
      <c r="AW54" s="573"/>
      <c r="AX54" s="573"/>
      <c r="AY54" s="573"/>
      <c r="AZ54" s="573"/>
      <c r="BA54" s="573"/>
      <c r="BB54" s="573"/>
      <c r="BC54" s="573"/>
    </row>
    <row r="55" spans="1:55" ht="25.5" customHeight="1" thickTop="1" thickBot="1">
      <c r="A55" s="555"/>
      <c r="B55" s="553"/>
      <c r="C55" s="553"/>
      <c r="D55" s="553"/>
      <c r="E55" s="545" t="s">
        <v>418</v>
      </c>
      <c r="F55" s="560"/>
      <c r="G55" s="2027" t="s">
        <v>1039</v>
      </c>
      <c r="H55" s="2028"/>
      <c r="I55" s="2028"/>
      <c r="J55" s="2028"/>
      <c r="K55" s="2028"/>
      <c r="L55" s="2028"/>
      <c r="M55" s="2028"/>
      <c r="N55" s="2028"/>
      <c r="O55" s="2028"/>
      <c r="P55" s="2028"/>
      <c r="Q55" s="2028"/>
      <c r="R55" s="2028"/>
      <c r="S55" s="2028"/>
      <c r="T55" s="2028"/>
      <c r="U55" s="2028"/>
      <c r="V55" s="2028"/>
      <c r="W55" s="2028"/>
      <c r="X55" s="2028"/>
      <c r="Y55" s="2028"/>
      <c r="Z55" s="2028"/>
      <c r="AA55" s="553"/>
      <c r="AB55" s="553"/>
      <c r="AD55" s="554"/>
      <c r="AE55" s="573"/>
      <c r="AF55" s="573"/>
      <c r="AG55" s="573"/>
      <c r="AH55" s="573"/>
      <c r="AI55" s="573"/>
      <c r="AJ55" s="573"/>
      <c r="AK55" s="573"/>
      <c r="AL55" s="573"/>
      <c r="AM55" s="573"/>
      <c r="AN55" s="573"/>
      <c r="AO55" s="573"/>
      <c r="AP55" s="573"/>
      <c r="AQ55" s="573"/>
      <c r="AR55" s="573"/>
      <c r="AS55" s="573"/>
      <c r="AT55" s="573"/>
      <c r="AU55" s="573"/>
      <c r="AV55" s="573"/>
      <c r="AW55" s="573"/>
      <c r="AX55" s="573"/>
      <c r="AY55" s="573"/>
      <c r="AZ55" s="573"/>
      <c r="BA55" s="573"/>
      <c r="BB55" s="573"/>
      <c r="BC55" s="573"/>
    </row>
    <row r="56" spans="1:55" ht="9" customHeight="1" thickTop="1" thickBot="1">
      <c r="A56" s="555"/>
      <c r="B56" s="553"/>
      <c r="C56" s="553"/>
      <c r="D56" s="553"/>
      <c r="E56" s="545"/>
      <c r="F56" s="555" t="s">
        <v>381</v>
      </c>
      <c r="G56" s="553"/>
      <c r="H56" s="553"/>
      <c r="I56" s="553"/>
      <c r="J56" s="553"/>
      <c r="K56" s="555"/>
      <c r="L56" s="553"/>
      <c r="M56" s="553"/>
      <c r="N56" s="555"/>
      <c r="O56" s="553"/>
      <c r="P56" s="553"/>
      <c r="Q56" s="555"/>
      <c r="R56" s="553"/>
      <c r="S56" s="555"/>
      <c r="T56" s="553"/>
      <c r="U56" s="553"/>
      <c r="V56" s="553"/>
      <c r="W56" s="553"/>
      <c r="X56" s="553"/>
      <c r="Y56" s="553"/>
      <c r="Z56" s="553"/>
      <c r="AA56" s="553"/>
      <c r="AB56" s="553"/>
      <c r="AD56" s="554"/>
      <c r="AE56" s="573"/>
      <c r="AF56" s="573"/>
      <c r="AG56" s="573"/>
      <c r="AH56" s="573"/>
      <c r="AI56" s="573"/>
      <c r="AJ56" s="573"/>
      <c r="AK56" s="573"/>
      <c r="AL56" s="573"/>
      <c r="AM56" s="573"/>
      <c r="AN56" s="573"/>
      <c r="AO56" s="573"/>
      <c r="AP56" s="573"/>
      <c r="AQ56" s="573"/>
      <c r="AR56" s="573"/>
      <c r="AS56" s="573"/>
      <c r="AT56" s="573"/>
      <c r="AU56" s="573"/>
      <c r="AV56" s="573"/>
      <c r="AW56" s="573"/>
      <c r="AX56" s="573"/>
      <c r="AY56" s="573"/>
      <c r="AZ56" s="573"/>
      <c r="BA56" s="573"/>
      <c r="BB56" s="573"/>
      <c r="BC56" s="573"/>
    </row>
    <row r="57" spans="1:55" ht="21.75" customHeight="1" thickTop="1" thickBot="1">
      <c r="A57" s="555"/>
      <c r="B57" s="553"/>
      <c r="C57" s="553"/>
      <c r="D57" s="553"/>
      <c r="E57" s="545" t="s">
        <v>421</v>
      </c>
      <c r="F57" s="560"/>
      <c r="G57" s="780" t="s">
        <v>1040</v>
      </c>
      <c r="H57" s="779"/>
      <c r="I57" s="779"/>
      <c r="J57" s="779"/>
      <c r="K57" s="779"/>
      <c r="L57" s="779"/>
      <c r="M57" s="779"/>
      <c r="N57" s="779"/>
      <c r="O57" s="779"/>
      <c r="P57" s="779"/>
      <c r="Q57" s="779"/>
      <c r="R57" s="779"/>
      <c r="S57" s="779"/>
      <c r="T57" s="779"/>
      <c r="U57" s="779"/>
      <c r="V57" s="779"/>
      <c r="W57" s="779"/>
      <c r="X57" s="779"/>
      <c r="Y57" s="779"/>
      <c r="Z57" s="553"/>
      <c r="AA57" s="553"/>
      <c r="AB57" s="553"/>
      <c r="AC57" s="573"/>
      <c r="AD57" s="554"/>
      <c r="AE57" s="573"/>
      <c r="AF57" s="573"/>
      <c r="AG57" s="573"/>
      <c r="AH57" s="573"/>
      <c r="AI57" s="573"/>
      <c r="AJ57" s="573"/>
      <c r="AK57" s="573"/>
      <c r="AL57" s="573"/>
      <c r="AM57" s="573"/>
      <c r="AN57" s="573"/>
      <c r="AO57" s="573"/>
      <c r="AP57" s="573"/>
      <c r="AQ57" s="573"/>
      <c r="AR57" s="573"/>
      <c r="AS57" s="573"/>
      <c r="AT57" s="573"/>
      <c r="AU57" s="573"/>
      <c r="AV57" s="573"/>
      <c r="AW57" s="573"/>
      <c r="AX57" s="573"/>
      <c r="AY57" s="573"/>
      <c r="AZ57" s="573"/>
      <c r="BA57" s="573"/>
      <c r="BB57" s="573"/>
      <c r="BC57" s="573"/>
    </row>
    <row r="58" spans="1:55" ht="9" customHeight="1" thickTop="1" thickBot="1">
      <c r="A58" s="555"/>
      <c r="B58" s="553"/>
      <c r="C58" s="553"/>
      <c r="D58" s="553"/>
      <c r="E58" s="545"/>
      <c r="F58" s="553"/>
      <c r="G58" s="779"/>
      <c r="H58" s="779"/>
      <c r="I58" s="779"/>
      <c r="J58" s="779"/>
      <c r="K58" s="779"/>
      <c r="L58" s="779"/>
      <c r="M58" s="779"/>
      <c r="N58" s="779"/>
      <c r="O58" s="779"/>
      <c r="P58" s="779"/>
      <c r="Q58" s="779"/>
      <c r="R58" s="779"/>
      <c r="S58" s="779"/>
      <c r="T58" s="779"/>
      <c r="U58" s="779"/>
      <c r="V58" s="779"/>
      <c r="W58" s="779"/>
      <c r="X58" s="779"/>
      <c r="Y58" s="779"/>
      <c r="Z58" s="553"/>
      <c r="AA58" s="553"/>
      <c r="AB58" s="553"/>
      <c r="AC58" s="573"/>
      <c r="AD58" s="554"/>
      <c r="AE58" s="573"/>
      <c r="AF58" s="573"/>
      <c r="AG58" s="573"/>
      <c r="AH58" s="573"/>
      <c r="AI58" s="573"/>
      <c r="AJ58" s="573"/>
      <c r="AK58" s="573"/>
      <c r="AL58" s="573"/>
      <c r="AM58" s="573"/>
      <c r="AN58" s="573"/>
      <c r="AO58" s="573"/>
      <c r="AP58" s="573"/>
      <c r="AQ58" s="573"/>
      <c r="AR58" s="573"/>
      <c r="AS58" s="573"/>
      <c r="AT58" s="573"/>
      <c r="AU58" s="573"/>
      <c r="AV58" s="573"/>
      <c r="AW58" s="573"/>
      <c r="AX58" s="573"/>
      <c r="AY58" s="573"/>
      <c r="AZ58" s="573"/>
      <c r="BA58" s="573"/>
      <c r="BB58" s="573"/>
      <c r="BC58" s="573"/>
    </row>
    <row r="59" spans="1:55" ht="23.25" customHeight="1" thickTop="1" thickBot="1">
      <c r="A59" s="555"/>
      <c r="B59" s="553"/>
      <c r="C59" s="553"/>
      <c r="D59" s="553"/>
      <c r="E59" s="545" t="s">
        <v>429</v>
      </c>
      <c r="F59" s="1686"/>
      <c r="G59" s="2027" t="s">
        <v>807</v>
      </c>
      <c r="H59" s="2028"/>
      <c r="I59" s="2028"/>
      <c r="J59" s="2028"/>
      <c r="K59" s="2028"/>
      <c r="L59" s="2028"/>
      <c r="M59" s="2028"/>
      <c r="N59" s="2028"/>
      <c r="O59" s="2028"/>
      <c r="P59" s="2028"/>
      <c r="Q59" s="2028"/>
      <c r="R59" s="2028"/>
      <c r="S59" s="2028"/>
      <c r="T59" s="2028"/>
      <c r="U59" s="2028"/>
      <c r="V59" s="2028"/>
      <c r="W59" s="2028"/>
      <c r="X59" s="2028"/>
      <c r="Y59" s="2028"/>
      <c r="Z59" s="2028"/>
      <c r="AA59" s="553"/>
      <c r="AB59" s="553"/>
      <c r="AC59" s="573"/>
      <c r="AD59" s="554"/>
      <c r="AE59" s="573"/>
      <c r="AF59" s="573"/>
      <c r="AG59" s="573"/>
      <c r="AH59" s="573"/>
      <c r="AI59" s="573"/>
      <c r="AJ59" s="573"/>
      <c r="AK59" s="573"/>
      <c r="AL59" s="573"/>
      <c r="AM59" s="573"/>
      <c r="AN59" s="573"/>
      <c r="AO59" s="573"/>
      <c r="AP59" s="573"/>
      <c r="AQ59" s="573"/>
      <c r="AR59" s="573"/>
      <c r="AS59" s="573"/>
      <c r="AT59" s="573"/>
      <c r="AU59" s="573"/>
      <c r="AV59" s="573"/>
      <c r="AW59" s="573"/>
      <c r="AX59" s="573"/>
      <c r="AY59" s="573"/>
      <c r="AZ59" s="573"/>
      <c r="BA59" s="573"/>
      <c r="BB59" s="573"/>
      <c r="BC59" s="573"/>
    </row>
    <row r="60" spans="1:55" ht="9" customHeight="1" thickTop="1" thickBot="1">
      <c r="A60" s="555"/>
      <c r="B60" s="553"/>
      <c r="C60" s="553"/>
      <c r="D60" s="553"/>
      <c r="E60" s="545"/>
      <c r="F60" s="782"/>
      <c r="G60" s="616"/>
      <c r="H60" s="781"/>
      <c r="I60" s="781"/>
      <c r="J60" s="781"/>
      <c r="K60" s="781"/>
      <c r="L60" s="781"/>
      <c r="M60" s="781"/>
      <c r="N60" s="781"/>
      <c r="O60" s="781"/>
      <c r="P60" s="781"/>
      <c r="Q60" s="781"/>
      <c r="R60" s="781"/>
      <c r="S60" s="781"/>
      <c r="T60" s="781"/>
      <c r="U60" s="781"/>
      <c r="V60" s="781"/>
      <c r="W60" s="781"/>
      <c r="X60" s="781"/>
      <c r="Y60" s="781"/>
      <c r="Z60" s="781"/>
      <c r="AA60" s="553"/>
      <c r="AB60" s="553"/>
      <c r="AC60" s="573"/>
      <c r="AD60" s="554"/>
      <c r="AE60" s="573"/>
      <c r="AF60" s="573"/>
      <c r="AG60" s="573"/>
      <c r="AH60" s="573"/>
      <c r="AI60" s="573"/>
      <c r="AJ60" s="573"/>
      <c r="AK60" s="573"/>
      <c r="AL60" s="573"/>
      <c r="AM60" s="573"/>
      <c r="AN60" s="573"/>
      <c r="AO60" s="573"/>
      <c r="AP60" s="573"/>
      <c r="AQ60" s="573"/>
      <c r="AR60" s="573"/>
      <c r="AS60" s="573"/>
      <c r="AT60" s="573"/>
      <c r="AU60" s="573"/>
      <c r="AV60" s="573"/>
      <c r="AW60" s="573"/>
      <c r="AX60" s="573"/>
      <c r="AY60" s="573"/>
      <c r="AZ60" s="573"/>
      <c r="BA60" s="573"/>
      <c r="BB60" s="573"/>
      <c r="BC60" s="573"/>
    </row>
    <row r="61" spans="1:55" ht="23.25" customHeight="1" thickTop="1" thickBot="1">
      <c r="A61" s="555"/>
      <c r="B61" s="553"/>
      <c r="C61" s="553"/>
      <c r="D61" s="553"/>
      <c r="E61" s="545" t="s">
        <v>750</v>
      </c>
      <c r="F61" s="1686"/>
      <c r="G61" s="2032" t="s">
        <v>757</v>
      </c>
      <c r="H61" s="2033"/>
      <c r="I61" s="2033"/>
      <c r="J61" s="2033"/>
      <c r="K61" s="2033"/>
      <c r="L61" s="2033"/>
      <c r="M61" s="2033"/>
      <c r="N61" s="783"/>
      <c r="O61" s="781"/>
      <c r="P61" s="781"/>
      <c r="Q61" s="781"/>
      <c r="R61" s="781"/>
      <c r="S61" s="781"/>
      <c r="T61" s="781"/>
      <c r="U61" s="781"/>
      <c r="V61" s="781"/>
      <c r="W61" s="781"/>
      <c r="X61" s="781"/>
      <c r="Y61" s="781"/>
      <c r="Z61" s="781"/>
      <c r="AA61" s="553"/>
      <c r="AB61" s="553"/>
      <c r="AC61" s="573"/>
      <c r="AD61" s="554"/>
      <c r="AE61" s="573"/>
      <c r="AF61" s="573"/>
      <c r="AG61" s="573"/>
      <c r="AH61" s="573"/>
      <c r="AI61" s="573"/>
      <c r="AJ61" s="573"/>
      <c r="AK61" s="573"/>
      <c r="AL61" s="573"/>
      <c r="AM61" s="573"/>
      <c r="AN61" s="573"/>
      <c r="AO61" s="573"/>
      <c r="AP61" s="573"/>
      <c r="AQ61" s="573"/>
      <c r="AR61" s="573"/>
      <c r="AS61" s="573"/>
      <c r="AT61" s="573"/>
      <c r="AU61" s="573"/>
      <c r="AV61" s="573"/>
      <c r="AW61" s="573"/>
      <c r="AX61" s="573"/>
      <c r="AY61" s="573"/>
      <c r="AZ61" s="573"/>
      <c r="BA61" s="573"/>
      <c r="BB61" s="573"/>
      <c r="BC61" s="573"/>
    </row>
    <row r="62" spans="1:55" ht="9" customHeight="1" thickTop="1" thickBot="1">
      <c r="A62" s="555"/>
      <c r="B62" s="553"/>
      <c r="C62" s="553"/>
      <c r="D62" s="553"/>
      <c r="E62" s="545"/>
      <c r="F62" s="782"/>
      <c r="G62" s="616"/>
      <c r="H62" s="781"/>
      <c r="I62" s="781"/>
      <c r="J62" s="781"/>
      <c r="K62" s="781"/>
      <c r="L62" s="781"/>
      <c r="M62" s="781"/>
      <c r="N62" s="781"/>
      <c r="O62" s="781"/>
      <c r="P62" s="781"/>
      <c r="Q62" s="781"/>
      <c r="R62" s="781"/>
      <c r="S62" s="781"/>
      <c r="T62" s="781"/>
      <c r="U62" s="781"/>
      <c r="V62" s="781"/>
      <c r="W62" s="781"/>
      <c r="X62" s="781"/>
      <c r="Y62" s="781"/>
      <c r="Z62" s="781"/>
      <c r="AA62" s="553"/>
      <c r="AB62" s="553"/>
      <c r="AC62" s="573"/>
      <c r="AD62" s="554"/>
      <c r="AE62" s="573"/>
      <c r="AF62" s="573"/>
      <c r="AG62" s="573"/>
      <c r="AH62" s="573"/>
      <c r="AI62" s="573"/>
      <c r="AJ62" s="573"/>
      <c r="AK62" s="573"/>
      <c r="AL62" s="573"/>
      <c r="AM62" s="573"/>
      <c r="AN62" s="573"/>
      <c r="AO62" s="573"/>
      <c r="AP62" s="573"/>
      <c r="AQ62" s="573"/>
      <c r="AR62" s="573"/>
      <c r="AS62" s="573"/>
      <c r="AT62" s="573"/>
      <c r="AU62" s="573"/>
      <c r="AV62" s="573"/>
      <c r="AW62" s="573"/>
      <c r="AX62" s="573"/>
      <c r="AY62" s="573"/>
      <c r="AZ62" s="573"/>
      <c r="BA62" s="573"/>
      <c r="BB62" s="573"/>
      <c r="BC62" s="573"/>
    </row>
    <row r="63" spans="1:55" ht="23.25" customHeight="1" thickTop="1" thickBot="1">
      <c r="A63" s="555"/>
      <c r="B63" s="553"/>
      <c r="C63" s="553"/>
      <c r="D63" s="553"/>
      <c r="E63" s="545" t="s">
        <v>751</v>
      </c>
      <c r="F63" s="1686"/>
      <c r="G63" s="615" t="s">
        <v>806</v>
      </c>
      <c r="H63" s="781"/>
      <c r="I63" s="781"/>
      <c r="J63" s="781"/>
      <c r="K63" s="781"/>
      <c r="L63" s="781"/>
      <c r="M63" s="781"/>
      <c r="N63" s="781"/>
      <c r="O63" s="781"/>
      <c r="P63" s="781"/>
      <c r="Q63" s="781"/>
      <c r="R63" s="781"/>
      <c r="S63" s="781"/>
      <c r="T63" s="781"/>
      <c r="U63" s="781"/>
      <c r="V63" s="781"/>
      <c r="W63" s="781"/>
      <c r="X63" s="781"/>
      <c r="Y63" s="781"/>
      <c r="Z63" s="781"/>
      <c r="AA63" s="553"/>
      <c r="AB63" s="553"/>
      <c r="AC63" s="573"/>
      <c r="AD63" s="554"/>
      <c r="AE63" s="573"/>
      <c r="AF63" s="573"/>
      <c r="AG63" s="573"/>
      <c r="AH63" s="573"/>
      <c r="AI63" s="573"/>
      <c r="AJ63" s="573"/>
      <c r="AK63" s="573"/>
      <c r="AL63" s="573"/>
      <c r="AM63" s="573"/>
      <c r="AN63" s="573"/>
      <c r="AO63" s="573"/>
      <c r="AP63" s="573"/>
      <c r="AQ63" s="573"/>
      <c r="AR63" s="573"/>
      <c r="AS63" s="573"/>
      <c r="AT63" s="573"/>
      <c r="AU63" s="573"/>
      <c r="AV63" s="573"/>
      <c r="AW63" s="573"/>
      <c r="AX63" s="573"/>
      <c r="AY63" s="573"/>
      <c r="AZ63" s="573"/>
      <c r="BA63" s="573"/>
      <c r="BB63" s="573"/>
      <c r="BC63" s="573"/>
    </row>
    <row r="64" spans="1:55" ht="9" customHeight="1" thickTop="1">
      <c r="A64" s="555"/>
      <c r="B64" s="553"/>
      <c r="C64" s="553"/>
      <c r="D64" s="553"/>
      <c r="E64" s="545"/>
      <c r="F64" s="782"/>
      <c r="G64" s="616"/>
      <c r="H64" s="781"/>
      <c r="I64" s="781"/>
      <c r="J64" s="781"/>
      <c r="K64" s="781"/>
      <c r="L64" s="781"/>
      <c r="M64" s="781"/>
      <c r="N64" s="781"/>
      <c r="O64" s="781"/>
      <c r="P64" s="781"/>
      <c r="Q64" s="781"/>
      <c r="R64" s="781"/>
      <c r="S64" s="781"/>
      <c r="T64" s="781"/>
      <c r="U64" s="781"/>
      <c r="V64" s="781"/>
      <c r="W64" s="781"/>
      <c r="X64" s="781"/>
      <c r="Y64" s="781"/>
      <c r="Z64" s="781"/>
      <c r="AA64" s="553"/>
      <c r="AB64" s="553"/>
      <c r="AC64" s="573"/>
      <c r="AD64" s="554"/>
      <c r="AE64" s="573"/>
      <c r="AF64" s="573"/>
      <c r="AG64" s="573"/>
      <c r="AH64" s="573"/>
      <c r="AI64" s="573"/>
      <c r="AJ64" s="573"/>
      <c r="AK64" s="573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3"/>
    </row>
    <row r="65" spans="1:55" ht="15" customHeight="1" thickBot="1">
      <c r="A65" s="555"/>
      <c r="B65" s="553"/>
      <c r="C65" s="553"/>
      <c r="D65" s="553"/>
      <c r="E65" s="545"/>
      <c r="F65" s="782"/>
      <c r="G65" s="616"/>
      <c r="H65" s="1998" t="s">
        <v>427</v>
      </c>
      <c r="I65" s="1998"/>
      <c r="J65" s="1998"/>
      <c r="K65" s="1998"/>
      <c r="L65" s="1998"/>
      <c r="M65" s="1998"/>
      <c r="N65" s="1998"/>
      <c r="O65" s="1998"/>
      <c r="P65" s="781"/>
      <c r="Q65" s="1998" t="s">
        <v>428</v>
      </c>
      <c r="R65" s="1998"/>
      <c r="S65" s="1998"/>
      <c r="T65" s="1998"/>
      <c r="U65" s="1998"/>
      <c r="V65" s="1998"/>
      <c r="W65" s="1998"/>
      <c r="X65" s="1998"/>
      <c r="Y65" s="1998"/>
      <c r="Z65" s="781"/>
      <c r="AA65" s="553"/>
      <c r="AB65" s="553"/>
      <c r="AC65" s="573"/>
      <c r="AD65" s="554"/>
      <c r="AE65" s="573"/>
      <c r="AF65" s="573"/>
      <c r="AG65" s="573"/>
      <c r="AH65" s="573"/>
      <c r="AI65" s="573"/>
      <c r="AJ65" s="573"/>
      <c r="AK65" s="573"/>
      <c r="AL65" s="573"/>
      <c r="AM65" s="573"/>
      <c r="AN65" s="573"/>
      <c r="AO65" s="573"/>
      <c r="AP65" s="573"/>
      <c r="AQ65" s="573"/>
      <c r="AR65" s="573"/>
      <c r="AS65" s="573"/>
      <c r="AT65" s="573"/>
      <c r="AU65" s="573"/>
      <c r="AV65" s="573"/>
      <c r="AW65" s="573"/>
      <c r="AX65" s="573"/>
      <c r="AY65" s="573"/>
      <c r="AZ65" s="573"/>
      <c r="BA65" s="573"/>
      <c r="BB65" s="573"/>
      <c r="BC65" s="573"/>
    </row>
    <row r="66" spans="1:55" ht="39.75" customHeight="1" thickTop="1" thickBot="1">
      <c r="A66" s="555"/>
      <c r="B66" s="553"/>
      <c r="C66" s="553"/>
      <c r="D66" s="553"/>
      <c r="E66" s="545" t="s">
        <v>752</v>
      </c>
      <c r="F66" s="1686"/>
      <c r="G66" s="616"/>
      <c r="H66" s="2029"/>
      <c r="I66" s="2030"/>
      <c r="J66" s="2030"/>
      <c r="K66" s="2030"/>
      <c r="L66" s="2030"/>
      <c r="M66" s="2030"/>
      <c r="N66" s="2030"/>
      <c r="O66" s="2031"/>
      <c r="P66" s="781"/>
      <c r="Q66" s="2029"/>
      <c r="R66" s="2030"/>
      <c r="S66" s="2030"/>
      <c r="T66" s="2030"/>
      <c r="U66" s="2030"/>
      <c r="V66" s="2030"/>
      <c r="W66" s="2030"/>
      <c r="X66" s="2030"/>
      <c r="Y66" s="2031"/>
      <c r="Z66" s="781"/>
      <c r="AA66" s="553"/>
      <c r="AB66" s="553"/>
      <c r="AC66" s="573"/>
      <c r="AD66" s="554"/>
      <c r="AE66" s="573"/>
      <c r="AF66" s="573"/>
      <c r="AG66" s="573"/>
      <c r="AH66" s="573"/>
      <c r="AI66" s="573"/>
      <c r="AJ66" s="573"/>
      <c r="AK66" s="573"/>
      <c r="AL66" s="573"/>
      <c r="AM66" s="573"/>
      <c r="AN66" s="573"/>
      <c r="AO66" s="573"/>
      <c r="AP66" s="573"/>
      <c r="AQ66" s="573"/>
      <c r="AR66" s="573"/>
      <c r="AS66" s="573"/>
      <c r="AT66" s="573"/>
      <c r="AU66" s="573"/>
      <c r="AV66" s="573"/>
      <c r="AW66" s="573"/>
      <c r="AX66" s="573"/>
      <c r="AY66" s="573"/>
      <c r="AZ66" s="573"/>
      <c r="BA66" s="573"/>
      <c r="BB66" s="573"/>
      <c r="BC66" s="573"/>
    </row>
    <row r="67" spans="1:55" ht="9" customHeight="1" thickTop="1" thickBot="1">
      <c r="A67" s="555"/>
      <c r="B67" s="553"/>
      <c r="C67" s="553"/>
      <c r="D67" s="553"/>
      <c r="E67" s="545"/>
      <c r="F67" s="553"/>
      <c r="G67" s="779"/>
      <c r="H67" s="779"/>
      <c r="I67" s="779"/>
      <c r="J67" s="779"/>
      <c r="K67" s="779"/>
      <c r="L67" s="779"/>
      <c r="M67" s="779"/>
      <c r="N67" s="779"/>
      <c r="O67" s="779"/>
      <c r="P67" s="779"/>
      <c r="Q67" s="779"/>
      <c r="R67" s="779"/>
      <c r="S67" s="779"/>
      <c r="T67" s="779"/>
      <c r="U67" s="779"/>
      <c r="V67" s="779"/>
      <c r="W67" s="779"/>
      <c r="X67" s="779"/>
      <c r="Y67" s="779"/>
      <c r="Z67" s="553"/>
      <c r="AA67" s="553"/>
      <c r="AB67" s="553"/>
      <c r="AC67" s="573"/>
      <c r="AD67" s="554"/>
      <c r="AE67" s="573"/>
      <c r="AF67" s="573"/>
      <c r="AG67" s="573"/>
      <c r="AH67" s="573"/>
      <c r="AI67" s="573"/>
      <c r="AJ67" s="573"/>
      <c r="AK67" s="573"/>
      <c r="AL67" s="573"/>
      <c r="AM67" s="573"/>
      <c r="AN67" s="573"/>
      <c r="AO67" s="573"/>
      <c r="AP67" s="573"/>
      <c r="AQ67" s="573"/>
      <c r="AR67" s="573"/>
      <c r="AS67" s="573"/>
      <c r="AT67" s="573"/>
      <c r="AU67" s="573"/>
      <c r="AV67" s="573"/>
      <c r="AW67" s="573"/>
      <c r="AX67" s="573"/>
      <c r="AY67" s="573"/>
      <c r="AZ67" s="573"/>
      <c r="BA67" s="573"/>
      <c r="BB67" s="573"/>
      <c r="BC67" s="573"/>
    </row>
    <row r="68" spans="1:55" ht="23.25" customHeight="1" thickTop="1" thickBot="1">
      <c r="A68" s="555"/>
      <c r="B68" s="553"/>
      <c r="C68" s="553"/>
      <c r="D68" s="553"/>
      <c r="E68" s="545" t="s">
        <v>753</v>
      </c>
      <c r="F68" s="1686"/>
      <c r="G68" s="2025" t="s">
        <v>426</v>
      </c>
      <c r="H68" s="2026"/>
      <c r="I68" s="2026"/>
      <c r="J68" s="2026"/>
      <c r="K68" s="2026"/>
      <c r="L68" s="2026"/>
      <c r="M68" s="2026"/>
      <c r="N68" s="2026"/>
      <c r="O68" s="2026"/>
      <c r="P68" s="2026"/>
      <c r="Q68" s="2026"/>
      <c r="R68" s="2026"/>
      <c r="S68" s="2026"/>
      <c r="T68" s="2026"/>
      <c r="U68" s="2026"/>
      <c r="V68" s="2026"/>
      <c r="W68" s="2026"/>
      <c r="X68" s="2026"/>
      <c r="Y68" s="2026"/>
      <c r="Z68" s="2026"/>
      <c r="AA68" s="553"/>
      <c r="AB68" s="553"/>
      <c r="AC68" s="573"/>
      <c r="AD68" s="554"/>
      <c r="AE68" s="573"/>
      <c r="AF68" s="573"/>
      <c r="AG68" s="573"/>
      <c r="AH68" s="573"/>
      <c r="AI68" s="573"/>
      <c r="AJ68" s="573"/>
      <c r="AK68" s="573"/>
      <c r="AL68" s="573"/>
      <c r="AM68" s="573"/>
      <c r="AN68" s="573"/>
      <c r="AO68" s="573"/>
      <c r="AP68" s="573"/>
      <c r="AQ68" s="573"/>
      <c r="AR68" s="573"/>
      <c r="AS68" s="573"/>
      <c r="AT68" s="573"/>
      <c r="AU68" s="573"/>
      <c r="AV68" s="573"/>
      <c r="AW68" s="573"/>
      <c r="AX68" s="573"/>
      <c r="AY68" s="573"/>
      <c r="AZ68" s="573"/>
      <c r="BA68" s="573"/>
      <c r="BB68" s="573"/>
      <c r="BC68" s="573"/>
    </row>
    <row r="69" spans="1:55" ht="9" customHeight="1" thickTop="1" thickBot="1">
      <c r="A69" s="555"/>
      <c r="B69" s="553"/>
      <c r="C69" s="553"/>
      <c r="D69" s="553"/>
      <c r="E69" s="545"/>
      <c r="F69" s="553"/>
      <c r="G69" s="779"/>
      <c r="H69" s="779"/>
      <c r="I69" s="779"/>
      <c r="J69" s="779"/>
      <c r="K69" s="779"/>
      <c r="L69" s="779"/>
      <c r="M69" s="779"/>
      <c r="N69" s="779"/>
      <c r="O69" s="779"/>
      <c r="P69" s="779"/>
      <c r="Q69" s="779"/>
      <c r="R69" s="779"/>
      <c r="S69" s="779"/>
      <c r="T69" s="779"/>
      <c r="U69" s="779"/>
      <c r="V69" s="779"/>
      <c r="W69" s="779"/>
      <c r="X69" s="779"/>
      <c r="Y69" s="779"/>
      <c r="Z69" s="553"/>
      <c r="AA69" s="553"/>
      <c r="AB69" s="553"/>
      <c r="AC69" s="573"/>
      <c r="AD69" s="554"/>
      <c r="AE69" s="573"/>
      <c r="AF69" s="573"/>
      <c r="AG69" s="573"/>
      <c r="AH69" s="573"/>
      <c r="AI69" s="573"/>
      <c r="AJ69" s="573"/>
      <c r="AK69" s="573"/>
      <c r="AL69" s="573"/>
      <c r="AM69" s="573"/>
      <c r="AN69" s="573"/>
      <c r="AO69" s="573"/>
      <c r="AP69" s="573"/>
      <c r="AQ69" s="573"/>
      <c r="AR69" s="573"/>
      <c r="AS69" s="573"/>
      <c r="AT69" s="573"/>
      <c r="AU69" s="573"/>
      <c r="AV69" s="573"/>
      <c r="AW69" s="573"/>
      <c r="AX69" s="573"/>
      <c r="AY69" s="573"/>
      <c r="AZ69" s="573"/>
      <c r="BA69" s="573"/>
      <c r="BB69" s="573"/>
      <c r="BC69" s="573"/>
    </row>
    <row r="70" spans="1:55" ht="23.25" customHeight="1" thickTop="1" thickBot="1">
      <c r="A70" s="555"/>
      <c r="B70" s="553"/>
      <c r="C70" s="553"/>
      <c r="D70" s="553"/>
      <c r="E70" s="545" t="s">
        <v>754</v>
      </c>
      <c r="F70" s="1686"/>
      <c r="G70" s="2027" t="s">
        <v>1041</v>
      </c>
      <c r="H70" s="2028"/>
      <c r="I70" s="2028"/>
      <c r="J70" s="2028"/>
      <c r="K70" s="2028"/>
      <c r="L70" s="2028"/>
      <c r="M70" s="2028"/>
      <c r="N70" s="2028"/>
      <c r="O70" s="2028"/>
      <c r="P70" s="2028"/>
      <c r="Q70" s="2028"/>
      <c r="R70" s="2028"/>
      <c r="S70" s="2028"/>
      <c r="T70" s="2028"/>
      <c r="U70" s="2028"/>
      <c r="V70" s="2028"/>
      <c r="W70" s="2028"/>
      <c r="X70" s="2028"/>
      <c r="Y70" s="2028"/>
      <c r="Z70" s="2028"/>
      <c r="AA70" s="553"/>
      <c r="AB70" s="553"/>
      <c r="AC70" s="573"/>
      <c r="AD70" s="554"/>
      <c r="AE70" s="573"/>
      <c r="AF70" s="573"/>
      <c r="AG70" s="573"/>
      <c r="AH70" s="573"/>
      <c r="AI70" s="573"/>
      <c r="AJ70" s="573"/>
      <c r="AK70" s="573"/>
      <c r="AL70" s="573"/>
      <c r="AM70" s="573"/>
      <c r="AN70" s="573"/>
      <c r="AO70" s="573"/>
      <c r="AP70" s="573"/>
      <c r="AQ70" s="573"/>
      <c r="AR70" s="573"/>
      <c r="AS70" s="573"/>
      <c r="AT70" s="573"/>
      <c r="AU70" s="573"/>
      <c r="AV70" s="573"/>
      <c r="AW70" s="573"/>
      <c r="AX70" s="573"/>
      <c r="AY70" s="573"/>
      <c r="AZ70" s="573"/>
      <c r="BA70" s="573"/>
      <c r="BB70" s="573"/>
      <c r="BC70" s="573"/>
    </row>
    <row r="71" spans="1:55" ht="9" customHeight="1" thickTop="1" thickBot="1">
      <c r="A71" s="555"/>
      <c r="B71" s="553"/>
      <c r="C71" s="553"/>
      <c r="D71" s="553"/>
      <c r="E71" s="545"/>
      <c r="F71" s="553"/>
      <c r="G71" s="779"/>
      <c r="H71" s="779"/>
      <c r="I71" s="779"/>
      <c r="J71" s="779"/>
      <c r="K71" s="779"/>
      <c r="L71" s="779"/>
      <c r="M71" s="779"/>
      <c r="N71" s="779"/>
      <c r="O71" s="779"/>
      <c r="P71" s="779"/>
      <c r="Q71" s="779"/>
      <c r="R71" s="779"/>
      <c r="S71" s="779"/>
      <c r="T71" s="779"/>
      <c r="U71" s="779"/>
      <c r="V71" s="779"/>
      <c r="W71" s="779"/>
      <c r="X71" s="779"/>
      <c r="Y71" s="779"/>
      <c r="Z71" s="553"/>
      <c r="AA71" s="553"/>
      <c r="AB71" s="553"/>
      <c r="AC71" s="573"/>
      <c r="AD71" s="554"/>
      <c r="AE71" s="573"/>
      <c r="AF71" s="573"/>
      <c r="AG71" s="573"/>
      <c r="AH71" s="573"/>
      <c r="AI71" s="573"/>
      <c r="AJ71" s="573"/>
      <c r="AK71" s="573"/>
      <c r="AL71" s="573"/>
      <c r="AM71" s="573"/>
      <c r="AN71" s="573"/>
      <c r="AO71" s="573"/>
      <c r="AP71" s="573"/>
      <c r="AQ71" s="573"/>
      <c r="AR71" s="573"/>
      <c r="AS71" s="573"/>
      <c r="AT71" s="573"/>
      <c r="AU71" s="573"/>
      <c r="AV71" s="573"/>
      <c r="AW71" s="573"/>
      <c r="AX71" s="573"/>
      <c r="AY71" s="573"/>
      <c r="AZ71" s="573"/>
      <c r="BA71" s="573"/>
      <c r="BB71" s="573"/>
      <c r="BC71" s="573"/>
    </row>
    <row r="72" spans="1:55" ht="23.25" customHeight="1" thickTop="1" thickBot="1">
      <c r="A72" s="555"/>
      <c r="B72" s="553"/>
      <c r="C72" s="553"/>
      <c r="D72" s="553"/>
      <c r="E72" s="545" t="s">
        <v>755</v>
      </c>
      <c r="F72" s="1686"/>
      <c r="G72" s="2027" t="s">
        <v>1042</v>
      </c>
      <c r="H72" s="2028"/>
      <c r="I72" s="2028"/>
      <c r="J72" s="2028"/>
      <c r="K72" s="2028"/>
      <c r="L72" s="2028"/>
      <c r="M72" s="2028"/>
      <c r="N72" s="2028"/>
      <c r="O72" s="2028"/>
      <c r="P72" s="2028"/>
      <c r="Q72" s="2028"/>
      <c r="R72" s="2028"/>
      <c r="S72" s="2028"/>
      <c r="T72" s="2028"/>
      <c r="U72" s="2028"/>
      <c r="V72" s="2028"/>
      <c r="W72" s="2028"/>
      <c r="X72" s="2028"/>
      <c r="Y72" s="2028"/>
      <c r="Z72" s="2028"/>
      <c r="AA72" s="553"/>
      <c r="AB72" s="553"/>
      <c r="AC72" s="573"/>
      <c r="AD72" s="554"/>
      <c r="AE72" s="573"/>
      <c r="AF72" s="573"/>
      <c r="AG72" s="573"/>
      <c r="AH72" s="573"/>
      <c r="AI72" s="573"/>
      <c r="AJ72" s="573"/>
      <c r="AK72" s="573"/>
      <c r="AL72" s="573"/>
      <c r="AM72" s="573"/>
      <c r="AN72" s="573"/>
      <c r="AO72" s="573"/>
      <c r="AP72" s="573"/>
      <c r="AQ72" s="573"/>
      <c r="AR72" s="573"/>
      <c r="AS72" s="573"/>
      <c r="AT72" s="573"/>
      <c r="AU72" s="573"/>
      <c r="AV72" s="573"/>
      <c r="AW72" s="573"/>
      <c r="AX72" s="573"/>
      <c r="AY72" s="573"/>
      <c r="AZ72" s="573"/>
      <c r="BA72" s="573"/>
      <c r="BB72" s="573"/>
      <c r="BC72" s="573"/>
    </row>
    <row r="73" spans="1:55" ht="9" customHeight="1" thickTop="1">
      <c r="A73" s="555"/>
      <c r="B73" s="553"/>
      <c r="C73" s="553"/>
      <c r="D73" s="553"/>
      <c r="E73" s="545"/>
      <c r="F73" s="553"/>
      <c r="G73" s="779"/>
      <c r="H73" s="779"/>
      <c r="I73" s="779"/>
      <c r="J73" s="779"/>
      <c r="K73" s="779"/>
      <c r="L73" s="779"/>
      <c r="M73" s="779"/>
      <c r="N73" s="779"/>
      <c r="O73" s="779"/>
      <c r="P73" s="779"/>
      <c r="Q73" s="779"/>
      <c r="R73" s="779"/>
      <c r="S73" s="779"/>
      <c r="T73" s="779"/>
      <c r="U73" s="779"/>
      <c r="V73" s="779"/>
      <c r="W73" s="779"/>
      <c r="X73" s="779"/>
      <c r="Y73" s="779"/>
      <c r="Z73" s="553"/>
      <c r="AA73" s="553"/>
      <c r="AB73" s="553"/>
      <c r="AC73" s="573"/>
      <c r="AD73" s="554"/>
      <c r="AE73" s="573"/>
      <c r="AF73" s="573"/>
      <c r="AG73" s="573"/>
      <c r="AH73" s="573"/>
      <c r="AI73" s="573"/>
      <c r="AJ73" s="573"/>
      <c r="AK73" s="573"/>
      <c r="AL73" s="573"/>
      <c r="AM73" s="573"/>
      <c r="AN73" s="573"/>
      <c r="AO73" s="573"/>
      <c r="AP73" s="573"/>
      <c r="AQ73" s="573"/>
      <c r="AR73" s="573"/>
      <c r="AS73" s="573"/>
      <c r="AT73" s="573"/>
      <c r="AU73" s="573"/>
      <c r="AV73" s="573"/>
      <c r="AW73" s="573"/>
      <c r="AX73" s="573"/>
      <c r="AY73" s="573"/>
      <c r="AZ73" s="573"/>
      <c r="BA73" s="573"/>
      <c r="BB73" s="573"/>
      <c r="BC73" s="573"/>
    </row>
    <row r="74" spans="1:55" ht="15" customHeight="1" thickBot="1">
      <c r="A74" s="555"/>
      <c r="B74" s="553"/>
      <c r="C74" s="553"/>
      <c r="D74" s="553"/>
      <c r="E74" s="545"/>
      <c r="F74" s="553"/>
      <c r="G74" s="574"/>
      <c r="H74" s="1998" t="s">
        <v>427</v>
      </c>
      <c r="I74" s="1998"/>
      <c r="J74" s="1998"/>
      <c r="K74" s="1998"/>
      <c r="L74" s="1998"/>
      <c r="M74" s="1998"/>
      <c r="N74" s="1998"/>
      <c r="O74" s="1998"/>
      <c r="P74" s="574"/>
      <c r="Q74" s="1998" t="s">
        <v>428</v>
      </c>
      <c r="R74" s="1998"/>
      <c r="S74" s="1998"/>
      <c r="T74" s="1998"/>
      <c r="U74" s="1998"/>
      <c r="V74" s="1998"/>
      <c r="W74" s="1998"/>
      <c r="X74" s="1998"/>
      <c r="Y74" s="1998"/>
      <c r="Z74" s="553"/>
      <c r="AA74" s="553"/>
      <c r="AB74" s="553"/>
      <c r="AC74" s="573"/>
      <c r="AD74" s="554"/>
      <c r="AE74" s="573"/>
      <c r="AF74" s="573"/>
      <c r="AG74" s="573"/>
      <c r="AH74" s="573"/>
      <c r="AI74" s="573"/>
      <c r="AJ74" s="573"/>
      <c r="AK74" s="573"/>
      <c r="AL74" s="573"/>
      <c r="AM74" s="573"/>
      <c r="AN74" s="573"/>
      <c r="AO74" s="573"/>
      <c r="AP74" s="573"/>
      <c r="AQ74" s="573"/>
      <c r="AR74" s="573"/>
      <c r="AS74" s="573"/>
      <c r="AT74" s="573"/>
      <c r="AU74" s="573"/>
      <c r="AV74" s="573"/>
      <c r="AW74" s="573"/>
      <c r="AX74" s="573"/>
      <c r="AY74" s="573"/>
      <c r="AZ74" s="573"/>
      <c r="BA74" s="573"/>
      <c r="BB74" s="573"/>
      <c r="BC74" s="573"/>
    </row>
    <row r="75" spans="1:55" ht="39.75" customHeight="1" thickTop="1" thickBot="1">
      <c r="A75" s="555"/>
      <c r="B75" s="553"/>
      <c r="C75" s="553"/>
      <c r="D75" s="553"/>
      <c r="E75" s="545" t="s">
        <v>756</v>
      </c>
      <c r="F75" s="560"/>
      <c r="G75" s="555" t="s">
        <v>381</v>
      </c>
      <c r="H75" s="2029"/>
      <c r="I75" s="2030"/>
      <c r="J75" s="2030"/>
      <c r="K75" s="2030"/>
      <c r="L75" s="2030"/>
      <c r="M75" s="2030"/>
      <c r="N75" s="2030"/>
      <c r="O75" s="2031"/>
      <c r="P75" s="562"/>
      <c r="Q75" s="2029"/>
      <c r="R75" s="2030"/>
      <c r="S75" s="2030"/>
      <c r="T75" s="2030"/>
      <c r="U75" s="2030"/>
      <c r="V75" s="2030"/>
      <c r="W75" s="2030"/>
      <c r="X75" s="2030"/>
      <c r="Y75" s="2031"/>
      <c r="Z75" s="553"/>
      <c r="AA75" s="553"/>
      <c r="AB75" s="553"/>
      <c r="AC75" s="573"/>
      <c r="AD75" s="554"/>
      <c r="AE75" s="573"/>
      <c r="AF75" s="573"/>
      <c r="AG75" s="573"/>
      <c r="AH75" s="573"/>
      <c r="AI75" s="573"/>
      <c r="AJ75" s="573"/>
      <c r="AK75" s="573"/>
      <c r="AL75" s="573"/>
      <c r="AM75" s="573"/>
      <c r="AN75" s="573"/>
      <c r="AO75" s="573"/>
      <c r="AP75" s="573"/>
      <c r="AQ75" s="573"/>
      <c r="AR75" s="573"/>
      <c r="AS75" s="573"/>
      <c r="AT75" s="573"/>
      <c r="AU75" s="573"/>
      <c r="AV75" s="573"/>
      <c r="AW75" s="573"/>
      <c r="AX75" s="573"/>
      <c r="AY75" s="573"/>
      <c r="AZ75" s="573"/>
      <c r="BA75" s="573"/>
      <c r="BB75" s="573"/>
      <c r="BC75" s="573"/>
    </row>
    <row r="76" spans="1:55" ht="7.5" customHeight="1" thickTop="1" thickBot="1">
      <c r="A76" s="555"/>
      <c r="B76" s="553"/>
      <c r="C76" s="553"/>
      <c r="D76" s="553"/>
      <c r="E76" s="553"/>
      <c r="F76" s="553"/>
      <c r="G76" s="553"/>
      <c r="H76" s="562"/>
      <c r="I76" s="562"/>
      <c r="J76" s="562"/>
      <c r="K76" s="562"/>
      <c r="L76" s="562"/>
      <c r="M76" s="562"/>
      <c r="N76" s="562"/>
      <c r="O76" s="562"/>
      <c r="P76" s="562"/>
      <c r="Q76" s="562"/>
      <c r="R76" s="562"/>
      <c r="S76" s="562"/>
      <c r="T76" s="562"/>
      <c r="U76" s="562"/>
      <c r="V76" s="562"/>
      <c r="W76" s="562"/>
      <c r="X76" s="562"/>
      <c r="Y76" s="562"/>
      <c r="Z76" s="553"/>
      <c r="AA76" s="553"/>
      <c r="AB76" s="553"/>
      <c r="AC76" s="573"/>
      <c r="AD76" s="554"/>
      <c r="AE76" s="573"/>
      <c r="AF76" s="573"/>
      <c r="AG76" s="573"/>
      <c r="AH76" s="573"/>
      <c r="AI76" s="573"/>
      <c r="AJ76" s="573"/>
      <c r="AK76" s="573"/>
      <c r="AL76" s="573"/>
      <c r="AM76" s="573"/>
      <c r="AN76" s="573"/>
      <c r="AO76" s="573"/>
      <c r="AP76" s="573"/>
      <c r="AQ76" s="573"/>
      <c r="AR76" s="573"/>
      <c r="AS76" s="573"/>
      <c r="AT76" s="573"/>
      <c r="AU76" s="573"/>
      <c r="AV76" s="573"/>
      <c r="AW76" s="573"/>
      <c r="AX76" s="573"/>
      <c r="AY76" s="573"/>
      <c r="AZ76" s="573"/>
      <c r="BA76" s="573"/>
      <c r="BB76" s="573"/>
      <c r="BC76" s="573"/>
    </row>
    <row r="77" spans="1:55" ht="18" thickTop="1" thickBot="1">
      <c r="A77" s="575">
        <v>6</v>
      </c>
      <c r="B77" s="576" t="s">
        <v>430</v>
      </c>
      <c r="C77" s="576"/>
      <c r="D77" s="576"/>
      <c r="E77" s="576"/>
      <c r="F77" s="576"/>
      <c r="G77" s="576"/>
      <c r="H77" s="576"/>
      <c r="I77" s="576"/>
      <c r="J77" s="576"/>
      <c r="K77" s="576"/>
      <c r="L77" s="576"/>
      <c r="M77" s="576"/>
      <c r="N77" s="576"/>
      <c r="O77" s="576"/>
      <c r="P77" s="576"/>
      <c r="Q77" s="576"/>
      <c r="R77" s="576"/>
      <c r="S77" s="576"/>
      <c r="T77" s="576"/>
      <c r="U77" s="576"/>
      <c r="V77" s="576"/>
      <c r="W77" s="577"/>
      <c r="X77" s="553"/>
      <c r="Y77" s="553"/>
      <c r="Z77" s="553"/>
      <c r="AA77" s="553"/>
      <c r="AB77" s="553"/>
      <c r="AC77" s="573"/>
      <c r="AD77" s="554"/>
      <c r="AE77" s="573"/>
      <c r="AF77" s="573"/>
      <c r="AG77" s="573"/>
      <c r="AH77" s="573"/>
      <c r="AI77" s="573"/>
      <c r="AJ77" s="573"/>
      <c r="AK77" s="573"/>
      <c r="AL77" s="573"/>
      <c r="AM77" s="573"/>
      <c r="AN77" s="573"/>
      <c r="AO77" s="573"/>
      <c r="AP77" s="573"/>
      <c r="AQ77" s="573"/>
      <c r="AR77" s="573"/>
      <c r="AS77" s="573"/>
      <c r="AT77" s="573"/>
      <c r="AU77" s="573"/>
      <c r="AV77" s="573"/>
      <c r="AW77" s="573"/>
      <c r="AX77" s="573"/>
      <c r="AY77" s="573"/>
      <c r="AZ77" s="573"/>
      <c r="BA77" s="573"/>
      <c r="BB77" s="573"/>
      <c r="BC77" s="573"/>
    </row>
    <row r="78" spans="1:55" ht="17.25" thickTop="1">
      <c r="A78" s="575"/>
      <c r="B78" s="578"/>
      <c r="C78" s="576"/>
      <c r="D78" s="576"/>
      <c r="E78" s="576"/>
      <c r="F78" s="576"/>
      <c r="G78" s="576"/>
      <c r="H78" s="576"/>
      <c r="I78" s="576"/>
      <c r="J78" s="576"/>
      <c r="K78" s="576"/>
      <c r="L78" s="576"/>
      <c r="M78" s="576"/>
      <c r="N78" s="576"/>
      <c r="O78" s="576"/>
      <c r="P78" s="576"/>
      <c r="Q78" s="576"/>
      <c r="R78" s="576"/>
      <c r="S78" s="576"/>
      <c r="T78" s="576"/>
      <c r="U78" s="576"/>
      <c r="V78" s="576"/>
      <c r="W78" s="553"/>
      <c r="X78" s="553"/>
      <c r="Y78" s="553"/>
      <c r="Z78" s="553"/>
      <c r="AA78" s="553"/>
      <c r="AB78" s="553"/>
      <c r="AC78" s="573"/>
      <c r="AD78" s="554"/>
      <c r="AE78" s="573"/>
      <c r="AF78" s="573"/>
      <c r="AG78" s="573"/>
      <c r="AH78" s="573"/>
      <c r="AI78" s="573"/>
      <c r="AJ78" s="573"/>
      <c r="AK78" s="573"/>
      <c r="AL78" s="573"/>
      <c r="AM78" s="573"/>
      <c r="AN78" s="573"/>
      <c r="AO78" s="573"/>
      <c r="AP78" s="573"/>
      <c r="AQ78" s="573"/>
      <c r="AR78" s="573"/>
      <c r="AS78" s="573"/>
      <c r="AT78" s="573"/>
      <c r="AU78" s="573"/>
      <c r="AV78" s="573"/>
      <c r="AW78" s="573"/>
      <c r="AX78" s="573"/>
      <c r="AY78" s="573"/>
      <c r="AZ78" s="573"/>
      <c r="BA78" s="573"/>
      <c r="BB78" s="573"/>
      <c r="BC78" s="573"/>
    </row>
    <row r="79" spans="1:55" ht="17.25" thickBot="1">
      <c r="A79" s="555">
        <v>7</v>
      </c>
      <c r="B79" s="553" t="s">
        <v>431</v>
      </c>
      <c r="C79" s="553"/>
      <c r="D79" s="553"/>
      <c r="E79" s="553"/>
      <c r="F79" s="553"/>
      <c r="G79" s="553"/>
      <c r="H79" s="553"/>
      <c r="I79" s="553"/>
      <c r="J79" s="553"/>
      <c r="K79" s="553"/>
      <c r="L79" s="553"/>
      <c r="M79" s="553"/>
      <c r="N79" s="553"/>
      <c r="O79" s="553"/>
      <c r="P79" s="553"/>
      <c r="Q79" s="553"/>
      <c r="R79" s="553"/>
      <c r="S79" s="553"/>
      <c r="T79" s="553"/>
      <c r="U79" s="553"/>
      <c r="V79" s="553"/>
      <c r="W79" s="553"/>
      <c r="X79" s="553"/>
      <c r="Y79" s="553"/>
      <c r="Z79" s="553"/>
      <c r="AA79" s="553"/>
      <c r="AB79" s="553"/>
      <c r="AC79" s="573"/>
      <c r="AD79" s="554"/>
      <c r="AE79" s="573"/>
      <c r="AF79" s="573"/>
      <c r="AG79" s="573"/>
      <c r="AH79" s="573"/>
      <c r="AI79" s="573"/>
      <c r="AJ79" s="573"/>
      <c r="AK79" s="573"/>
      <c r="AL79" s="573"/>
      <c r="AM79" s="573"/>
      <c r="AN79" s="573"/>
      <c r="AO79" s="573"/>
      <c r="AP79" s="573"/>
      <c r="AQ79" s="573"/>
      <c r="AR79" s="573"/>
      <c r="AS79" s="573"/>
      <c r="AT79" s="573"/>
      <c r="AU79" s="573"/>
      <c r="AV79" s="573"/>
      <c r="AW79" s="573"/>
      <c r="AX79" s="573"/>
      <c r="AY79" s="573"/>
      <c r="AZ79" s="573"/>
      <c r="BA79" s="573"/>
      <c r="BB79" s="573"/>
      <c r="BC79" s="573"/>
    </row>
    <row r="80" spans="1:55" ht="18" thickTop="1" thickBot="1">
      <c r="A80" s="555"/>
      <c r="B80" s="577"/>
      <c r="C80" s="553" t="s">
        <v>432</v>
      </c>
      <c r="D80" s="553"/>
      <c r="E80" s="553"/>
      <c r="F80" s="553"/>
      <c r="G80" s="553"/>
      <c r="H80" s="553"/>
      <c r="I80" s="553"/>
      <c r="J80" s="553"/>
      <c r="K80" s="553"/>
      <c r="L80" s="553"/>
      <c r="M80" s="553"/>
      <c r="N80" s="553"/>
      <c r="O80" s="553"/>
      <c r="P80" s="553"/>
      <c r="Q80" s="553"/>
      <c r="R80" s="553"/>
      <c r="S80" s="553"/>
      <c r="T80" s="553"/>
      <c r="U80" s="553"/>
      <c r="V80" s="553"/>
      <c r="W80" s="553"/>
      <c r="X80" s="553"/>
      <c r="Y80" s="553"/>
      <c r="Z80" s="553"/>
      <c r="AA80" s="553"/>
      <c r="AB80" s="553"/>
      <c r="AC80" s="573"/>
      <c r="AD80" s="554"/>
      <c r="AE80" s="573"/>
      <c r="AF80" s="573"/>
      <c r="AG80" s="573"/>
      <c r="AH80" s="573"/>
      <c r="AI80" s="573"/>
      <c r="AJ80" s="573"/>
      <c r="AK80" s="573"/>
      <c r="AL80" s="573"/>
      <c r="AM80" s="573"/>
      <c r="AN80" s="573"/>
      <c r="AO80" s="573"/>
      <c r="AP80" s="573"/>
      <c r="AQ80" s="573"/>
      <c r="AR80" s="573"/>
      <c r="AS80" s="573"/>
      <c r="AT80" s="573"/>
      <c r="AU80" s="573"/>
      <c r="AV80" s="573"/>
      <c r="AW80" s="573"/>
      <c r="AX80" s="573"/>
      <c r="AY80" s="573"/>
      <c r="AZ80" s="573"/>
      <c r="BA80" s="573"/>
      <c r="BB80" s="573"/>
      <c r="BC80" s="573"/>
    </row>
    <row r="81" spans="1:55" ht="18" thickTop="1" thickBot="1">
      <c r="A81" s="555"/>
      <c r="B81" s="577"/>
      <c r="C81" s="553" t="s">
        <v>433</v>
      </c>
      <c r="D81" s="1994"/>
      <c r="E81" s="1995"/>
      <c r="F81" s="1995"/>
      <c r="G81" s="1995"/>
      <c r="H81" s="1995"/>
      <c r="I81" s="1995"/>
      <c r="J81" s="1995"/>
      <c r="K81" s="1995"/>
      <c r="L81" s="1995"/>
      <c r="M81" s="1995"/>
      <c r="N81" s="1995"/>
      <c r="O81" s="1995"/>
      <c r="P81" s="1995"/>
      <c r="Q81" s="1995"/>
      <c r="R81" s="1996"/>
      <c r="X81" s="553"/>
      <c r="Y81" s="553"/>
      <c r="Z81" s="553"/>
      <c r="AA81" s="553"/>
      <c r="AB81" s="553"/>
      <c r="AC81" s="554"/>
      <c r="AD81" s="554"/>
      <c r="AE81" s="573"/>
      <c r="AF81" s="573"/>
      <c r="AG81" s="573"/>
      <c r="AH81" s="573"/>
      <c r="AI81" s="573"/>
      <c r="AJ81" s="573"/>
      <c r="AK81" s="573"/>
      <c r="AL81" s="573"/>
      <c r="AM81" s="573"/>
      <c r="AN81" s="573"/>
      <c r="AO81" s="573"/>
      <c r="AP81" s="573"/>
      <c r="AQ81" s="573"/>
      <c r="AR81" s="573"/>
      <c r="AS81" s="573"/>
      <c r="AT81" s="573"/>
      <c r="AU81" s="573"/>
      <c r="AV81" s="573"/>
      <c r="AW81" s="573"/>
      <c r="AX81" s="573"/>
      <c r="AY81" s="573"/>
      <c r="AZ81" s="573"/>
      <c r="BA81" s="573"/>
      <c r="BB81" s="573"/>
      <c r="BC81" s="573"/>
    </row>
    <row r="82" spans="1:55" ht="18" thickTop="1" thickBot="1">
      <c r="A82" s="555"/>
      <c r="B82" s="555"/>
      <c r="C82" s="555" t="s">
        <v>434</v>
      </c>
      <c r="D82" s="1994"/>
      <c r="E82" s="1995"/>
      <c r="F82" s="1995"/>
      <c r="G82" s="1995"/>
      <c r="H82" s="1995"/>
      <c r="I82" s="1995"/>
      <c r="J82" s="1995"/>
      <c r="K82" s="1995"/>
      <c r="L82" s="1995"/>
      <c r="M82" s="1995"/>
      <c r="N82" s="1995"/>
      <c r="O82" s="1995"/>
      <c r="P82" s="1995"/>
      <c r="Q82" s="1995"/>
      <c r="R82" s="1996"/>
      <c r="W82" s="553" t="s">
        <v>381</v>
      </c>
      <c r="X82" s="553"/>
      <c r="Y82" s="553"/>
      <c r="Z82" s="553"/>
      <c r="AA82" s="553"/>
      <c r="AB82" s="554"/>
      <c r="AC82" s="554"/>
      <c r="AD82" s="573"/>
      <c r="AE82" s="573"/>
      <c r="AF82" s="573"/>
      <c r="AG82" s="573"/>
      <c r="AH82" s="573"/>
      <c r="AI82" s="573"/>
      <c r="AJ82" s="573"/>
      <c r="AK82" s="573"/>
      <c r="AL82" s="573"/>
      <c r="AM82" s="573"/>
      <c r="AN82" s="573"/>
      <c r="AO82" s="573"/>
      <c r="AP82" s="573"/>
      <c r="AQ82" s="573"/>
      <c r="AR82" s="573"/>
      <c r="AS82" s="573"/>
      <c r="AT82" s="573"/>
      <c r="AU82" s="573"/>
      <c r="AV82" s="573"/>
      <c r="AW82" s="573"/>
      <c r="AX82" s="573"/>
      <c r="AY82" s="573"/>
      <c r="AZ82" s="573"/>
      <c r="BA82" s="573"/>
      <c r="BB82" s="573"/>
    </row>
    <row r="83" spans="1:55" ht="13.5" thickTop="1">
      <c r="A83" s="553"/>
      <c r="B83" s="553"/>
      <c r="C83" s="553"/>
      <c r="D83" s="553"/>
      <c r="E83" s="553"/>
      <c r="F83" s="553"/>
      <c r="G83" s="553"/>
      <c r="H83" s="553"/>
      <c r="I83" s="553"/>
      <c r="J83" s="553"/>
      <c r="K83" s="553"/>
      <c r="L83" s="553"/>
      <c r="M83" s="553"/>
      <c r="N83" s="553" t="s">
        <v>381</v>
      </c>
      <c r="O83" s="553"/>
      <c r="P83" s="553"/>
      <c r="Q83" s="553"/>
      <c r="R83" s="553"/>
      <c r="S83" s="553"/>
      <c r="T83" s="553"/>
      <c r="U83" s="553"/>
      <c r="V83" s="553"/>
      <c r="W83" s="553"/>
      <c r="X83" s="553"/>
      <c r="Y83" s="553"/>
      <c r="Z83" s="553"/>
      <c r="AA83" s="553"/>
    </row>
    <row r="84" spans="1:55" s="541" customFormat="1" ht="18" customHeight="1">
      <c r="A84" s="1903" t="s">
        <v>435</v>
      </c>
      <c r="B84" s="1903"/>
      <c r="C84" s="1903"/>
      <c r="D84" s="1903"/>
      <c r="E84" s="1903"/>
      <c r="F84" s="1903"/>
      <c r="G84" s="1903"/>
      <c r="H84" s="1903"/>
      <c r="I84" s="1903"/>
      <c r="J84" s="1903"/>
      <c r="K84" s="1903"/>
      <c r="L84" s="1903"/>
      <c r="M84" s="1903" t="s">
        <v>381</v>
      </c>
      <c r="N84" s="1903"/>
      <c r="O84" s="1903"/>
      <c r="P84" s="1903"/>
      <c r="Q84" s="1903"/>
      <c r="R84" s="1903"/>
      <c r="S84" s="1903"/>
      <c r="T84" s="1903"/>
      <c r="U84" s="1903"/>
      <c r="V84" s="1903"/>
      <c r="W84" s="1903"/>
      <c r="X84" s="1903"/>
      <c r="Y84" s="1903"/>
      <c r="Z84" s="1903"/>
    </row>
    <row r="85" spans="1:55" ht="13.5" thickBot="1">
      <c r="A85" s="555"/>
      <c r="B85" s="553"/>
      <c r="C85" s="553"/>
      <c r="D85" s="553"/>
      <c r="E85" s="553"/>
      <c r="F85" s="553"/>
      <c r="G85" s="553"/>
      <c r="H85" s="553"/>
      <c r="I85" s="553"/>
      <c r="J85" s="553"/>
      <c r="K85" s="553"/>
      <c r="L85" s="553"/>
      <c r="M85" s="553"/>
      <c r="N85" s="553"/>
      <c r="O85" s="553"/>
      <c r="P85" s="553"/>
      <c r="Q85" s="553"/>
      <c r="R85" s="553"/>
      <c r="S85" s="553"/>
      <c r="T85" s="553"/>
      <c r="U85" s="553"/>
      <c r="V85" s="553"/>
      <c r="W85" s="553"/>
      <c r="X85" s="553"/>
      <c r="Y85" s="553"/>
      <c r="Z85" s="553"/>
    </row>
    <row r="86" spans="1:55" ht="14.25" thickTop="1" thickBot="1">
      <c r="A86" s="555">
        <v>1</v>
      </c>
      <c r="B86" s="553" t="s">
        <v>436</v>
      </c>
      <c r="C86" s="553"/>
      <c r="D86" s="553"/>
      <c r="E86" s="553"/>
      <c r="F86" s="2034"/>
      <c r="G86" s="2035"/>
      <c r="H86" s="2035"/>
      <c r="I86" s="2035"/>
      <c r="J86" s="2036"/>
      <c r="K86" s="553"/>
      <c r="L86" s="553"/>
      <c r="M86" s="553"/>
      <c r="N86" s="553"/>
      <c r="O86" s="544"/>
      <c r="P86" s="553"/>
      <c r="Q86" s="553"/>
      <c r="R86" s="553"/>
      <c r="S86" s="553"/>
      <c r="T86" s="553"/>
      <c r="U86" s="553"/>
      <c r="W86" s="553"/>
      <c r="Y86" s="553"/>
    </row>
    <row r="87" spans="1:55" ht="14.25" thickTop="1" thickBot="1">
      <c r="A87" s="555">
        <v>2</v>
      </c>
      <c r="B87" s="553" t="s">
        <v>437</v>
      </c>
      <c r="C87" s="553"/>
      <c r="D87" s="553"/>
      <c r="E87" s="553"/>
      <c r="F87" s="1988">
        <v>0</v>
      </c>
      <c r="G87" s="1989"/>
      <c r="H87" s="1989"/>
      <c r="I87" s="1989"/>
      <c r="J87" s="1990"/>
      <c r="K87" s="553"/>
      <c r="L87" s="553"/>
      <c r="M87" s="553"/>
      <c r="N87" s="553"/>
      <c r="O87" s="553"/>
      <c r="P87" s="553"/>
      <c r="Q87" s="553"/>
      <c r="R87" s="553"/>
      <c r="S87" s="553"/>
      <c r="T87" s="553"/>
      <c r="U87" s="553"/>
      <c r="V87" s="553"/>
      <c r="W87" s="553"/>
      <c r="X87" s="553"/>
      <c r="Y87" s="553"/>
      <c r="Z87" s="553"/>
      <c r="AC87" s="565"/>
    </row>
    <row r="88" spans="1:55" ht="14.25" thickTop="1" thickBot="1">
      <c r="A88" s="555">
        <v>3</v>
      </c>
      <c r="B88" s="553" t="s">
        <v>438</v>
      </c>
      <c r="C88" s="553"/>
      <c r="D88" s="553"/>
      <c r="E88" s="553"/>
      <c r="F88" s="1991"/>
      <c r="G88" s="1992"/>
      <c r="H88" s="1992"/>
      <c r="I88" s="1992"/>
      <c r="J88" s="1993"/>
      <c r="K88" s="553"/>
      <c r="L88" s="553"/>
      <c r="M88" s="553"/>
      <c r="N88" s="553"/>
      <c r="O88" s="553"/>
      <c r="P88" s="553"/>
      <c r="Q88" s="553"/>
      <c r="R88" s="553"/>
      <c r="S88" s="553"/>
      <c r="T88" s="553"/>
      <c r="U88" s="553"/>
      <c r="V88" s="553"/>
      <c r="W88" s="553"/>
      <c r="X88" s="553"/>
      <c r="Y88" s="553"/>
      <c r="Z88" s="553"/>
      <c r="AC88" s="565"/>
    </row>
    <row r="89" spans="1:55" ht="14.25" thickTop="1" thickBot="1">
      <c r="A89" s="555"/>
      <c r="B89" s="553"/>
      <c r="C89" s="553"/>
      <c r="D89" s="553"/>
      <c r="E89" s="553"/>
      <c r="F89" s="553"/>
      <c r="G89" s="553"/>
      <c r="H89" s="553"/>
      <c r="I89" s="553"/>
      <c r="J89" s="553"/>
      <c r="K89" s="553"/>
      <c r="L89" s="553"/>
      <c r="M89" s="553"/>
      <c r="N89" s="553"/>
      <c r="O89" s="553"/>
      <c r="P89" s="553"/>
      <c r="Q89" s="553"/>
      <c r="R89" s="553"/>
      <c r="S89" s="553"/>
      <c r="T89" s="553"/>
      <c r="U89" s="553"/>
      <c r="V89" s="553"/>
      <c r="W89" s="553"/>
      <c r="X89" s="553"/>
      <c r="Y89" s="553"/>
      <c r="Z89" s="553"/>
    </row>
    <row r="90" spans="1:55" ht="13.5" customHeight="1" thickTop="1">
      <c r="A90" s="555"/>
      <c r="B90" s="2050" t="s">
        <v>360</v>
      </c>
      <c r="C90" s="2052" t="s">
        <v>439</v>
      </c>
      <c r="D90" s="2052"/>
      <c r="E90" s="2052" t="s">
        <v>440</v>
      </c>
      <c r="F90" s="2052"/>
      <c r="G90" s="2052"/>
      <c r="H90" s="2052"/>
      <c r="I90" s="2052"/>
      <c r="J90" s="2052" t="s">
        <v>441</v>
      </c>
      <c r="K90" s="2052"/>
      <c r="L90" s="2052"/>
      <c r="M90" s="2052"/>
      <c r="N90" s="2013" t="s">
        <v>442</v>
      </c>
      <c r="O90" s="2015"/>
      <c r="P90" s="2015"/>
      <c r="Q90" s="2014"/>
      <c r="R90" s="2019" t="s">
        <v>443</v>
      </c>
      <c r="S90" s="2020"/>
      <c r="T90" s="2020"/>
      <c r="U90" s="2020"/>
      <c r="V90" s="2020"/>
      <c r="W90" s="2021"/>
      <c r="X90" s="553"/>
      <c r="Y90" s="553"/>
      <c r="Z90" s="553"/>
    </row>
    <row r="91" spans="1:55" ht="13.5" customHeight="1" thickBot="1">
      <c r="A91" s="555"/>
      <c r="B91" s="2051"/>
      <c r="C91" s="2053"/>
      <c r="D91" s="2053"/>
      <c r="E91" s="2053"/>
      <c r="F91" s="2053"/>
      <c r="G91" s="2053"/>
      <c r="H91" s="2053"/>
      <c r="I91" s="2053"/>
      <c r="J91" s="2053"/>
      <c r="K91" s="2053"/>
      <c r="L91" s="2053"/>
      <c r="M91" s="2053"/>
      <c r="N91" s="2054"/>
      <c r="O91" s="2055"/>
      <c r="P91" s="2055"/>
      <c r="Q91" s="2056"/>
      <c r="R91" s="2022"/>
      <c r="S91" s="2023"/>
      <c r="T91" s="2023"/>
      <c r="U91" s="2023"/>
      <c r="V91" s="2023"/>
      <c r="W91" s="2024"/>
      <c r="X91" s="553"/>
      <c r="Y91" s="553"/>
      <c r="Z91" s="553"/>
    </row>
    <row r="92" spans="1:55" ht="14.25" customHeight="1" thickTop="1">
      <c r="A92" s="555"/>
      <c r="B92" s="579"/>
      <c r="C92" s="2013"/>
      <c r="D92" s="2014"/>
      <c r="E92" s="2013"/>
      <c r="F92" s="2015"/>
      <c r="G92" s="2015"/>
      <c r="H92" s="2015"/>
      <c r="I92" s="2014"/>
      <c r="J92" s="2013" t="s">
        <v>381</v>
      </c>
      <c r="K92" s="2015"/>
      <c r="L92" s="2015"/>
      <c r="M92" s="2014"/>
      <c r="N92" s="580"/>
      <c r="O92" s="581"/>
      <c r="P92" s="581"/>
      <c r="Q92" s="582"/>
      <c r="R92" s="2016"/>
      <c r="S92" s="2017"/>
      <c r="T92" s="2017"/>
      <c r="U92" s="2017"/>
      <c r="V92" s="2017"/>
      <c r="W92" s="2018"/>
      <c r="X92" s="553"/>
      <c r="Y92" s="553"/>
      <c r="Z92" s="553"/>
    </row>
    <row r="93" spans="1:55" ht="14.25" customHeight="1">
      <c r="A93" s="555"/>
      <c r="B93" s="583">
        <v>1</v>
      </c>
      <c r="C93" s="2004"/>
      <c r="D93" s="2004"/>
      <c r="E93" s="2005"/>
      <c r="F93" s="2005"/>
      <c r="G93" s="2005"/>
      <c r="H93" s="2005"/>
      <c r="I93" s="2005"/>
      <c r="J93" s="2006"/>
      <c r="K93" s="2006"/>
      <c r="L93" s="2006"/>
      <c r="M93" s="2006"/>
      <c r="N93" s="1976"/>
      <c r="O93" s="1976"/>
      <c r="P93" s="1976"/>
      <c r="Q93" s="1976"/>
      <c r="R93" s="2005"/>
      <c r="S93" s="2005"/>
      <c r="T93" s="2005"/>
      <c r="U93" s="2005"/>
      <c r="V93" s="2005"/>
      <c r="W93" s="2007"/>
      <c r="X93" s="553" t="s">
        <v>381</v>
      </c>
      <c r="Y93" s="553"/>
      <c r="Z93" s="553"/>
    </row>
    <row r="94" spans="1:55" ht="14.25" customHeight="1">
      <c r="A94" s="555"/>
      <c r="B94" s="583">
        <v>2</v>
      </c>
      <c r="C94" s="2004"/>
      <c r="D94" s="2004"/>
      <c r="E94" s="2005"/>
      <c r="F94" s="2005"/>
      <c r="G94" s="2005"/>
      <c r="H94" s="2005"/>
      <c r="I94" s="2005"/>
      <c r="J94" s="2006"/>
      <c r="K94" s="2006"/>
      <c r="L94" s="2006"/>
      <c r="M94" s="2006"/>
      <c r="N94" s="1976"/>
      <c r="O94" s="1976"/>
      <c r="P94" s="1976"/>
      <c r="Q94" s="1976"/>
      <c r="R94" s="2005"/>
      <c r="S94" s="2005"/>
      <c r="T94" s="2005"/>
      <c r="U94" s="2005"/>
      <c r="V94" s="2005"/>
      <c r="W94" s="2007"/>
      <c r="X94" s="553"/>
      <c r="Y94" s="553"/>
      <c r="Z94" s="553"/>
    </row>
    <row r="95" spans="1:55" ht="14.25" customHeight="1">
      <c r="A95" s="555"/>
      <c r="B95" s="583">
        <v>3</v>
      </c>
      <c r="C95" s="2004"/>
      <c r="D95" s="2004"/>
      <c r="E95" s="2005"/>
      <c r="F95" s="2005"/>
      <c r="G95" s="2005"/>
      <c r="H95" s="2005"/>
      <c r="I95" s="2005"/>
      <c r="J95" s="2006"/>
      <c r="K95" s="2006"/>
      <c r="L95" s="2006"/>
      <c r="M95" s="2006"/>
      <c r="N95" s="1976"/>
      <c r="O95" s="1976"/>
      <c r="P95" s="1976"/>
      <c r="Q95" s="1976"/>
      <c r="R95" s="2005"/>
      <c r="S95" s="2005"/>
      <c r="T95" s="2005"/>
      <c r="U95" s="2005"/>
      <c r="V95" s="2005"/>
      <c r="W95" s="2007"/>
      <c r="X95" s="553"/>
      <c r="Y95" s="553"/>
      <c r="Z95" s="553"/>
    </row>
    <row r="96" spans="1:55" ht="14.25" customHeight="1">
      <c r="A96" s="555"/>
      <c r="B96" s="583">
        <v>4</v>
      </c>
      <c r="C96" s="2004"/>
      <c r="D96" s="2004"/>
      <c r="E96" s="2005"/>
      <c r="F96" s="2005"/>
      <c r="G96" s="2005"/>
      <c r="H96" s="2005"/>
      <c r="I96" s="2005"/>
      <c r="J96" s="2006"/>
      <c r="K96" s="2006"/>
      <c r="L96" s="2006"/>
      <c r="M96" s="2006"/>
      <c r="N96" s="1976"/>
      <c r="O96" s="1976"/>
      <c r="P96" s="1976"/>
      <c r="Q96" s="1976"/>
      <c r="R96" s="2005"/>
      <c r="S96" s="2005"/>
      <c r="T96" s="2005"/>
      <c r="U96" s="2005"/>
      <c r="V96" s="2005"/>
      <c r="W96" s="2007"/>
      <c r="X96" s="553"/>
      <c r="Y96" s="553"/>
      <c r="Z96" s="553"/>
    </row>
    <row r="97" spans="1:35" ht="14.25" customHeight="1">
      <c r="A97" s="555"/>
      <c r="B97" s="583">
        <v>5</v>
      </c>
      <c r="C97" s="2004"/>
      <c r="D97" s="2004"/>
      <c r="E97" s="2005"/>
      <c r="F97" s="2005"/>
      <c r="G97" s="2005"/>
      <c r="H97" s="2005"/>
      <c r="I97" s="2005"/>
      <c r="J97" s="2006"/>
      <c r="K97" s="2006"/>
      <c r="L97" s="2006"/>
      <c r="M97" s="2006"/>
      <c r="N97" s="1976"/>
      <c r="O97" s="1976"/>
      <c r="P97" s="1976"/>
      <c r="Q97" s="1976"/>
      <c r="R97" s="2005"/>
      <c r="S97" s="2005"/>
      <c r="T97" s="2005"/>
      <c r="U97" s="2005"/>
      <c r="V97" s="2005"/>
      <c r="W97" s="2007"/>
      <c r="X97" s="553"/>
      <c r="Y97" s="553"/>
      <c r="Z97" s="553"/>
    </row>
    <row r="98" spans="1:35" ht="14.25" customHeight="1" thickBot="1">
      <c r="A98" s="555"/>
      <c r="B98" s="584"/>
      <c r="C98" s="2008"/>
      <c r="D98" s="2009"/>
      <c r="E98" s="2010"/>
      <c r="F98" s="2010"/>
      <c r="G98" s="2010"/>
      <c r="H98" s="2010"/>
      <c r="I98" s="2010"/>
      <c r="J98" s="2010"/>
      <c r="K98" s="2010"/>
      <c r="L98" s="2010"/>
      <c r="M98" s="2010"/>
      <c r="N98" s="585"/>
      <c r="O98" s="586"/>
      <c r="P98" s="586"/>
      <c r="Q98" s="587"/>
      <c r="R98" s="2008"/>
      <c r="S98" s="2011"/>
      <c r="T98" s="2011"/>
      <c r="U98" s="2011"/>
      <c r="V98" s="2011"/>
      <c r="W98" s="2012"/>
      <c r="X98" s="553"/>
      <c r="Y98" s="553"/>
      <c r="Z98" s="553"/>
    </row>
    <row r="99" spans="1:35" ht="13.5" thickTop="1">
      <c r="A99" s="555"/>
      <c r="B99" s="553"/>
      <c r="C99" s="553"/>
      <c r="D99" s="553"/>
      <c r="E99" s="553"/>
      <c r="F99" s="553"/>
      <c r="G99" s="553"/>
      <c r="H99" s="553"/>
      <c r="I99" s="553"/>
      <c r="J99" s="553"/>
      <c r="K99" s="553"/>
      <c r="L99" s="553"/>
      <c r="M99" s="553"/>
      <c r="N99" s="553"/>
      <c r="O99" s="553"/>
      <c r="P99" s="553"/>
      <c r="Q99" s="553"/>
      <c r="R99" s="553"/>
      <c r="S99" s="553"/>
      <c r="T99" s="553"/>
      <c r="U99" s="553"/>
      <c r="V99" s="553"/>
      <c r="W99" s="553"/>
      <c r="X99" s="553"/>
      <c r="Y99" s="553"/>
      <c r="Z99" s="553"/>
    </row>
    <row r="100" spans="1:35" s="541" customFormat="1" ht="18" customHeight="1">
      <c r="A100" s="1903" t="s">
        <v>444</v>
      </c>
      <c r="B100" s="1903"/>
      <c r="C100" s="1903"/>
      <c r="D100" s="1903"/>
      <c r="E100" s="1903"/>
      <c r="F100" s="1903"/>
      <c r="G100" s="1903"/>
      <c r="H100" s="1903"/>
      <c r="I100" s="1903"/>
      <c r="J100" s="1903"/>
      <c r="K100" s="1903"/>
      <c r="L100" s="1903"/>
      <c r="M100" s="1903"/>
      <c r="N100" s="1903"/>
      <c r="O100" s="1903"/>
      <c r="P100" s="1903"/>
      <c r="Q100" s="1903"/>
      <c r="R100" s="1903"/>
      <c r="S100" s="1903"/>
      <c r="T100" s="1903"/>
      <c r="U100" s="1903"/>
      <c r="V100" s="1903"/>
      <c r="W100" s="1903"/>
      <c r="X100" s="1903"/>
      <c r="Y100" s="1903"/>
      <c r="Z100" s="1903"/>
    </row>
    <row r="101" spans="1:35">
      <c r="A101" s="575"/>
      <c r="B101" s="576"/>
      <c r="C101" s="576"/>
      <c r="D101" s="576"/>
      <c r="E101" s="576"/>
      <c r="F101" s="576"/>
      <c r="G101" s="576"/>
      <c r="H101" s="576"/>
      <c r="I101" s="576"/>
      <c r="J101" s="576"/>
      <c r="K101" s="576"/>
      <c r="L101" s="576"/>
      <c r="M101" s="576"/>
      <c r="N101" s="576"/>
      <c r="O101" s="576"/>
      <c r="P101" s="576"/>
      <c r="Q101" s="576"/>
      <c r="R101" s="576"/>
      <c r="S101" s="576"/>
      <c r="T101" s="576"/>
      <c r="U101" s="576"/>
      <c r="V101" s="576"/>
      <c r="W101" s="576"/>
      <c r="X101" s="576"/>
      <c r="Y101" s="576"/>
      <c r="Z101" s="576"/>
      <c r="AA101" s="553"/>
      <c r="AB101" s="553"/>
      <c r="AC101" s="554"/>
      <c r="AD101" s="554"/>
      <c r="AE101" s="554"/>
      <c r="AF101" s="554"/>
      <c r="AG101" s="554"/>
      <c r="AH101" s="554"/>
      <c r="AI101" s="554"/>
    </row>
    <row r="102" spans="1:35">
      <c r="A102" s="575">
        <v>1</v>
      </c>
      <c r="B102" s="576" t="s">
        <v>445</v>
      </c>
      <c r="C102" s="576"/>
      <c r="D102" s="576"/>
      <c r="E102" s="576"/>
      <c r="F102" s="576"/>
      <c r="G102" s="576"/>
      <c r="H102" s="576"/>
      <c r="I102" s="576"/>
      <c r="J102" s="576"/>
      <c r="K102" s="576"/>
      <c r="L102" s="576"/>
      <c r="M102" s="576"/>
      <c r="N102" s="576"/>
      <c r="O102" s="576"/>
      <c r="P102" s="576"/>
      <c r="Q102" s="576"/>
      <c r="R102" s="576"/>
      <c r="S102" s="576"/>
      <c r="T102" s="576"/>
      <c r="U102" s="576"/>
      <c r="V102" s="576"/>
      <c r="W102" s="576"/>
      <c r="X102" s="576"/>
      <c r="Y102" s="576"/>
      <c r="Z102" s="576"/>
      <c r="AC102" s="554"/>
      <c r="AD102" s="554"/>
      <c r="AE102" s="554"/>
      <c r="AF102" s="554"/>
      <c r="AG102" s="554"/>
      <c r="AH102" s="554"/>
      <c r="AI102" s="554"/>
    </row>
    <row r="103" spans="1:35" ht="13.5" thickBot="1">
      <c r="A103" s="575"/>
      <c r="B103" s="576"/>
      <c r="C103" s="576"/>
      <c r="D103" s="576"/>
      <c r="E103" s="576"/>
      <c r="F103" s="576"/>
      <c r="G103" s="576"/>
      <c r="H103" s="576"/>
      <c r="I103" s="576"/>
      <c r="J103" s="576"/>
      <c r="K103" s="576"/>
      <c r="L103" s="576"/>
      <c r="M103" s="576"/>
      <c r="N103" s="576"/>
      <c r="O103" s="576"/>
      <c r="P103" s="576"/>
      <c r="Q103" s="576"/>
      <c r="R103" s="576"/>
      <c r="S103" s="576"/>
      <c r="T103" s="576"/>
      <c r="U103" s="576"/>
      <c r="V103" s="576"/>
      <c r="W103" s="576"/>
      <c r="X103" s="576"/>
      <c r="Y103" s="576"/>
      <c r="Z103" s="576"/>
      <c r="AC103" s="1999"/>
      <c r="AD103" s="1999"/>
      <c r="AE103" s="1999"/>
      <c r="AF103" s="1999"/>
      <c r="AG103" s="554"/>
      <c r="AH103" s="554"/>
      <c r="AI103" s="554"/>
    </row>
    <row r="104" spans="1:35" ht="33.75" customHeight="1" thickTop="1" thickBot="1">
      <c r="A104" s="588"/>
      <c r="B104" s="1923" t="s">
        <v>446</v>
      </c>
      <c r="C104" s="2000"/>
      <c r="D104" s="2001" t="s">
        <v>447</v>
      </c>
      <c r="E104" s="1924"/>
      <c r="F104" s="1924"/>
      <c r="G104" s="2000"/>
      <c r="H104" s="2001" t="s">
        <v>448</v>
      </c>
      <c r="I104" s="1924"/>
      <c r="J104" s="2000"/>
      <c r="K104" s="2002" t="s">
        <v>449</v>
      </c>
      <c r="L104" s="2002"/>
      <c r="M104" s="2002"/>
      <c r="N104" s="2002"/>
      <c r="O104" s="2002" t="s">
        <v>450</v>
      </c>
      <c r="P104" s="2002"/>
      <c r="Q104" s="2002"/>
      <c r="R104" s="2003"/>
      <c r="S104" s="576"/>
      <c r="T104" s="576"/>
      <c r="U104" s="576"/>
      <c r="V104" s="576"/>
      <c r="W104" s="576"/>
      <c r="X104" s="576"/>
      <c r="Y104" s="576"/>
      <c r="Z104" s="576"/>
      <c r="AA104" s="554"/>
      <c r="AB104" s="554"/>
      <c r="AC104" s="554"/>
    </row>
    <row r="105" spans="1:35" ht="13.5" thickTop="1">
      <c r="A105" s="575"/>
      <c r="B105" s="2075"/>
      <c r="C105" s="2076"/>
      <c r="D105" s="2077"/>
      <c r="E105" s="2078"/>
      <c r="F105" s="2078"/>
      <c r="G105" s="2079"/>
      <c r="H105" s="2077"/>
      <c r="I105" s="2078"/>
      <c r="J105" s="2079"/>
      <c r="K105" s="2076"/>
      <c r="L105" s="2076"/>
      <c r="M105" s="2076"/>
      <c r="N105" s="2076"/>
      <c r="O105" s="2076"/>
      <c r="P105" s="2076"/>
      <c r="Q105" s="2076"/>
      <c r="R105" s="2080"/>
      <c r="S105" s="576"/>
      <c r="T105" s="576"/>
      <c r="U105" s="576"/>
      <c r="V105" s="576"/>
      <c r="W105" s="576"/>
      <c r="X105" s="576"/>
      <c r="Y105" s="576"/>
      <c r="Z105" s="576"/>
      <c r="AA105" s="554"/>
      <c r="AB105" s="554"/>
      <c r="AC105" s="554"/>
    </row>
    <row r="106" spans="1:35" ht="12.75" customHeight="1">
      <c r="A106" s="575"/>
      <c r="B106" s="1973" t="s">
        <v>451</v>
      </c>
      <c r="C106" s="1974"/>
      <c r="D106" s="1975">
        <v>0</v>
      </c>
      <c r="E106" s="1975"/>
      <c r="F106" s="1975"/>
      <c r="G106" s="1975"/>
      <c r="H106" s="1976"/>
      <c r="I106" s="1976"/>
      <c r="J106" s="1976"/>
      <c r="K106" s="1977">
        <f>IF(H106="Yes",0,D106)</f>
        <v>0</v>
      </c>
      <c r="L106" s="1977"/>
      <c r="M106" s="1977"/>
      <c r="N106" s="1977"/>
      <c r="O106" s="1978">
        <f>IF(H106="Yes",D106,0)</f>
        <v>0</v>
      </c>
      <c r="P106" s="1979"/>
      <c r="Q106" s="1979"/>
      <c r="R106" s="1980"/>
      <c r="S106" s="576"/>
      <c r="T106" s="576"/>
      <c r="U106" s="576"/>
      <c r="V106" s="576"/>
      <c r="W106" s="576"/>
      <c r="X106" s="576"/>
      <c r="Y106" s="576"/>
      <c r="Z106" s="576"/>
      <c r="AA106" s="554"/>
      <c r="AB106" s="554"/>
      <c r="AC106" s="554"/>
    </row>
    <row r="107" spans="1:35" ht="12.75" customHeight="1">
      <c r="A107" s="575"/>
      <c r="B107" s="1973" t="s">
        <v>452</v>
      </c>
      <c r="C107" s="1974"/>
      <c r="D107" s="1975">
        <v>0</v>
      </c>
      <c r="E107" s="1975"/>
      <c r="F107" s="1975"/>
      <c r="G107" s="1975"/>
      <c r="H107" s="1976"/>
      <c r="I107" s="1976"/>
      <c r="J107" s="1976"/>
      <c r="K107" s="1977">
        <f t="shared" ref="K107:K117" si="0">IF(H107="Yes",0,D107)</f>
        <v>0</v>
      </c>
      <c r="L107" s="1977"/>
      <c r="M107" s="1977"/>
      <c r="N107" s="1977"/>
      <c r="O107" s="1978">
        <f t="shared" ref="O107:O117" si="1">IF(H107="Yes",D107,0)</f>
        <v>0</v>
      </c>
      <c r="P107" s="1979"/>
      <c r="Q107" s="1979"/>
      <c r="R107" s="1980"/>
      <c r="S107" s="576"/>
      <c r="T107" s="576"/>
      <c r="U107" s="576"/>
      <c r="V107" s="576"/>
      <c r="W107" s="576"/>
      <c r="X107" s="576"/>
      <c r="Y107" s="576"/>
      <c r="Z107" s="576"/>
      <c r="AA107" s="554"/>
      <c r="AB107" s="554"/>
      <c r="AC107" s="554"/>
    </row>
    <row r="108" spans="1:35" ht="12.75" customHeight="1">
      <c r="A108" s="575"/>
      <c r="B108" s="1973" t="s">
        <v>453</v>
      </c>
      <c r="C108" s="1974"/>
      <c r="D108" s="1975">
        <v>0</v>
      </c>
      <c r="E108" s="1975"/>
      <c r="F108" s="1975"/>
      <c r="G108" s="1975"/>
      <c r="H108" s="1976"/>
      <c r="I108" s="1976"/>
      <c r="J108" s="1976"/>
      <c r="K108" s="1977">
        <f t="shared" si="0"/>
        <v>0</v>
      </c>
      <c r="L108" s="1977"/>
      <c r="M108" s="1977"/>
      <c r="N108" s="1977"/>
      <c r="O108" s="1978">
        <f t="shared" si="1"/>
        <v>0</v>
      </c>
      <c r="P108" s="1979"/>
      <c r="Q108" s="1979"/>
      <c r="R108" s="1980"/>
      <c r="S108" s="576"/>
      <c r="T108" s="576"/>
      <c r="U108" s="576"/>
      <c r="V108" s="576"/>
      <c r="W108" s="576"/>
      <c r="X108" s="576"/>
      <c r="Y108" s="576"/>
      <c r="Z108" s="576"/>
      <c r="AA108" s="554"/>
      <c r="AB108" s="554"/>
      <c r="AC108" s="554"/>
    </row>
    <row r="109" spans="1:35" ht="12.75" customHeight="1">
      <c r="A109" s="575"/>
      <c r="B109" s="1973" t="s">
        <v>454</v>
      </c>
      <c r="C109" s="1974"/>
      <c r="D109" s="1975">
        <v>0</v>
      </c>
      <c r="E109" s="1975"/>
      <c r="F109" s="1975"/>
      <c r="G109" s="1975"/>
      <c r="H109" s="1976"/>
      <c r="I109" s="1976"/>
      <c r="J109" s="1976"/>
      <c r="K109" s="1977">
        <f t="shared" si="0"/>
        <v>0</v>
      </c>
      <c r="L109" s="1977"/>
      <c r="M109" s="1977"/>
      <c r="N109" s="1977"/>
      <c r="O109" s="1978">
        <f t="shared" si="1"/>
        <v>0</v>
      </c>
      <c r="P109" s="1979"/>
      <c r="Q109" s="1979"/>
      <c r="R109" s="1980"/>
      <c r="S109" s="576"/>
      <c r="T109" s="576"/>
      <c r="U109" s="576"/>
      <c r="V109" s="576"/>
      <c r="W109" s="576"/>
      <c r="X109" s="576"/>
      <c r="Y109" s="576"/>
      <c r="Z109" s="576"/>
      <c r="AB109" s="589"/>
      <c r="AC109" s="590"/>
    </row>
    <row r="110" spans="1:35" ht="12.75" customHeight="1">
      <c r="A110" s="575"/>
      <c r="B110" s="1973" t="s">
        <v>455</v>
      </c>
      <c r="C110" s="1974"/>
      <c r="D110" s="1975">
        <v>0</v>
      </c>
      <c r="E110" s="1975"/>
      <c r="F110" s="1975"/>
      <c r="G110" s="1975"/>
      <c r="H110" s="1976"/>
      <c r="I110" s="1976"/>
      <c r="J110" s="1976"/>
      <c r="K110" s="1977">
        <f t="shared" si="0"/>
        <v>0</v>
      </c>
      <c r="L110" s="1977"/>
      <c r="M110" s="1977"/>
      <c r="N110" s="1977"/>
      <c r="O110" s="1978">
        <f t="shared" si="1"/>
        <v>0</v>
      </c>
      <c r="P110" s="1979"/>
      <c r="Q110" s="1979"/>
      <c r="R110" s="1980"/>
      <c r="S110" s="576"/>
      <c r="T110" s="576"/>
      <c r="U110" s="576"/>
      <c r="V110" s="576"/>
      <c r="W110" s="576"/>
      <c r="X110" s="576"/>
      <c r="Y110" s="576"/>
      <c r="Z110" s="576"/>
      <c r="AB110" s="589"/>
      <c r="AC110" s="590"/>
    </row>
    <row r="111" spans="1:35" ht="12.75" customHeight="1">
      <c r="A111" s="575"/>
      <c r="B111" s="1973" t="s">
        <v>456</v>
      </c>
      <c r="C111" s="1974"/>
      <c r="D111" s="1975">
        <v>0</v>
      </c>
      <c r="E111" s="1975"/>
      <c r="F111" s="1975"/>
      <c r="G111" s="1975"/>
      <c r="H111" s="1976"/>
      <c r="I111" s="1976"/>
      <c r="J111" s="1976"/>
      <c r="K111" s="1977">
        <f t="shared" si="0"/>
        <v>0</v>
      </c>
      <c r="L111" s="1977"/>
      <c r="M111" s="1977"/>
      <c r="N111" s="1977"/>
      <c r="O111" s="1978">
        <f t="shared" si="1"/>
        <v>0</v>
      </c>
      <c r="P111" s="1979"/>
      <c r="Q111" s="1979"/>
      <c r="R111" s="1980"/>
      <c r="S111" s="576"/>
      <c r="T111" s="576"/>
      <c r="U111" s="576"/>
      <c r="V111" s="576"/>
      <c r="W111" s="576"/>
      <c r="X111" s="576"/>
      <c r="Y111" s="576"/>
      <c r="Z111" s="576"/>
      <c r="AB111" s="589"/>
      <c r="AC111" s="564"/>
    </row>
    <row r="112" spans="1:35" ht="12.75" customHeight="1">
      <c r="A112" s="575"/>
      <c r="B112" s="1973" t="s">
        <v>457</v>
      </c>
      <c r="C112" s="1974"/>
      <c r="D112" s="1975">
        <v>0</v>
      </c>
      <c r="E112" s="1975"/>
      <c r="F112" s="1975"/>
      <c r="G112" s="1975"/>
      <c r="H112" s="1976"/>
      <c r="I112" s="1976"/>
      <c r="J112" s="1976"/>
      <c r="K112" s="1977">
        <f t="shared" si="0"/>
        <v>0</v>
      </c>
      <c r="L112" s="1977"/>
      <c r="M112" s="1977"/>
      <c r="N112" s="1977"/>
      <c r="O112" s="1978">
        <f t="shared" si="1"/>
        <v>0</v>
      </c>
      <c r="P112" s="1979"/>
      <c r="Q112" s="1979"/>
      <c r="R112" s="1980"/>
      <c r="S112" s="576"/>
      <c r="T112" s="576"/>
      <c r="U112" s="576"/>
      <c r="V112" s="576"/>
      <c r="W112" s="576"/>
      <c r="X112" s="576"/>
      <c r="Y112" s="576"/>
      <c r="Z112" s="576"/>
      <c r="AB112" s="591"/>
      <c r="AC112" s="592"/>
    </row>
    <row r="113" spans="1:35" ht="12.75" customHeight="1">
      <c r="A113" s="575"/>
      <c r="B113" s="1973" t="s">
        <v>458</v>
      </c>
      <c r="C113" s="1974"/>
      <c r="D113" s="1975">
        <v>0</v>
      </c>
      <c r="E113" s="1975"/>
      <c r="F113" s="1975"/>
      <c r="G113" s="1975"/>
      <c r="H113" s="1976"/>
      <c r="I113" s="1976"/>
      <c r="J113" s="1976"/>
      <c r="K113" s="1977">
        <f t="shared" si="0"/>
        <v>0</v>
      </c>
      <c r="L113" s="1977"/>
      <c r="M113" s="1977"/>
      <c r="N113" s="1977"/>
      <c r="O113" s="1978">
        <f t="shared" si="1"/>
        <v>0</v>
      </c>
      <c r="P113" s="1979"/>
      <c r="Q113" s="1979"/>
      <c r="R113" s="1980"/>
      <c r="S113" s="576"/>
      <c r="T113" s="576"/>
      <c r="U113" s="576"/>
      <c r="V113" s="576"/>
      <c r="W113" s="576"/>
      <c r="X113" s="576"/>
      <c r="Y113" s="576"/>
      <c r="Z113" s="576"/>
      <c r="AB113" s="591"/>
      <c r="AC113" s="554"/>
    </row>
    <row r="114" spans="1:35" ht="12.75" customHeight="1">
      <c r="A114" s="575"/>
      <c r="B114" s="1973" t="s">
        <v>459</v>
      </c>
      <c r="C114" s="1974"/>
      <c r="D114" s="1975">
        <v>0</v>
      </c>
      <c r="E114" s="1975"/>
      <c r="F114" s="1975"/>
      <c r="G114" s="1975"/>
      <c r="H114" s="1976"/>
      <c r="I114" s="1976"/>
      <c r="J114" s="1976"/>
      <c r="K114" s="1977">
        <f t="shared" si="0"/>
        <v>0</v>
      </c>
      <c r="L114" s="1977"/>
      <c r="M114" s="1977"/>
      <c r="N114" s="1977"/>
      <c r="O114" s="1978">
        <f t="shared" si="1"/>
        <v>0</v>
      </c>
      <c r="P114" s="1979"/>
      <c r="Q114" s="1979"/>
      <c r="R114" s="1980"/>
      <c r="S114" s="576"/>
      <c r="T114" s="576"/>
      <c r="U114" s="576"/>
      <c r="V114" s="576"/>
      <c r="W114" s="576"/>
      <c r="X114" s="576"/>
      <c r="Y114" s="576"/>
      <c r="Z114" s="576"/>
      <c r="AB114" s="591"/>
      <c r="AC114" s="554"/>
    </row>
    <row r="115" spans="1:35" ht="12.75" customHeight="1">
      <c r="A115" s="575"/>
      <c r="B115" s="1973" t="s">
        <v>460</v>
      </c>
      <c r="C115" s="1974"/>
      <c r="D115" s="1975">
        <v>0</v>
      </c>
      <c r="E115" s="1975"/>
      <c r="F115" s="1975"/>
      <c r="G115" s="1975"/>
      <c r="H115" s="1976"/>
      <c r="I115" s="1976"/>
      <c r="J115" s="1976"/>
      <c r="K115" s="1977">
        <f t="shared" si="0"/>
        <v>0</v>
      </c>
      <c r="L115" s="1977"/>
      <c r="M115" s="1977"/>
      <c r="N115" s="1977"/>
      <c r="O115" s="1978">
        <f t="shared" si="1"/>
        <v>0</v>
      </c>
      <c r="P115" s="1979"/>
      <c r="Q115" s="1979"/>
      <c r="R115" s="1980"/>
      <c r="S115" s="576"/>
      <c r="T115" s="576"/>
      <c r="U115" s="576"/>
      <c r="V115" s="576"/>
      <c r="W115" s="576"/>
      <c r="X115" s="576"/>
      <c r="Y115" s="576"/>
      <c r="Z115" s="576"/>
      <c r="AB115" s="591"/>
      <c r="AC115" s="592"/>
    </row>
    <row r="116" spans="1:35" ht="12.75" customHeight="1">
      <c r="A116" s="575"/>
      <c r="B116" s="1973" t="s">
        <v>461</v>
      </c>
      <c r="C116" s="1974"/>
      <c r="D116" s="1975">
        <v>0</v>
      </c>
      <c r="E116" s="1975"/>
      <c r="F116" s="1975"/>
      <c r="G116" s="1975"/>
      <c r="H116" s="1976"/>
      <c r="I116" s="1976"/>
      <c r="J116" s="1976"/>
      <c r="K116" s="1977">
        <f t="shared" si="0"/>
        <v>0</v>
      </c>
      <c r="L116" s="1977"/>
      <c r="M116" s="1977"/>
      <c r="N116" s="1977"/>
      <c r="O116" s="1978">
        <f t="shared" si="1"/>
        <v>0</v>
      </c>
      <c r="P116" s="1979"/>
      <c r="Q116" s="1979"/>
      <c r="R116" s="1980"/>
      <c r="S116" s="576"/>
      <c r="T116" s="576"/>
      <c r="U116" s="576"/>
      <c r="V116" s="576"/>
      <c r="W116" s="576"/>
      <c r="X116" s="576"/>
      <c r="Y116" s="576"/>
      <c r="Z116" s="576"/>
      <c r="AB116" s="591"/>
      <c r="AC116" s="554"/>
    </row>
    <row r="117" spans="1:35" ht="12.75" customHeight="1">
      <c r="A117" s="575"/>
      <c r="B117" s="1973" t="s">
        <v>462</v>
      </c>
      <c r="C117" s="1974"/>
      <c r="D117" s="1975">
        <v>0</v>
      </c>
      <c r="E117" s="1975"/>
      <c r="F117" s="1975"/>
      <c r="G117" s="1975"/>
      <c r="H117" s="1976"/>
      <c r="I117" s="1976"/>
      <c r="J117" s="1976"/>
      <c r="K117" s="1977">
        <f t="shared" si="0"/>
        <v>0</v>
      </c>
      <c r="L117" s="1977"/>
      <c r="M117" s="1977"/>
      <c r="N117" s="1977"/>
      <c r="O117" s="1978">
        <f t="shared" si="1"/>
        <v>0</v>
      </c>
      <c r="P117" s="1979"/>
      <c r="Q117" s="1979"/>
      <c r="R117" s="1980"/>
      <c r="S117" s="576"/>
      <c r="T117" s="576"/>
      <c r="U117" s="576"/>
      <c r="V117" s="576"/>
      <c r="W117" s="576"/>
      <c r="X117" s="576"/>
      <c r="Y117" s="576"/>
      <c r="Z117" s="576"/>
      <c r="AB117" s="591"/>
      <c r="AC117" s="554"/>
    </row>
    <row r="118" spans="1:35" ht="12.75" customHeight="1" thickBot="1">
      <c r="A118" s="575"/>
      <c r="B118" s="1981"/>
      <c r="C118" s="1982"/>
      <c r="D118" s="1983"/>
      <c r="E118" s="1984"/>
      <c r="F118" s="1984"/>
      <c r="G118" s="1985"/>
      <c r="H118" s="1983"/>
      <c r="I118" s="1984"/>
      <c r="J118" s="1985"/>
      <c r="K118" s="1986"/>
      <c r="L118" s="1986"/>
      <c r="M118" s="1986"/>
      <c r="N118" s="1986"/>
      <c r="O118" s="1986"/>
      <c r="P118" s="1986"/>
      <c r="Q118" s="1986"/>
      <c r="R118" s="1987"/>
      <c r="S118" s="576"/>
      <c r="T118" s="576"/>
      <c r="U118" s="576"/>
      <c r="V118" s="576"/>
      <c r="W118" s="576"/>
      <c r="X118" s="576"/>
      <c r="Y118" s="576"/>
      <c r="Z118" s="576"/>
      <c r="AB118" s="591"/>
      <c r="AC118" s="554"/>
    </row>
    <row r="119" spans="1:35" ht="26.25" customHeight="1" thickTop="1" thickBot="1">
      <c r="A119" s="575"/>
      <c r="B119" s="576"/>
      <c r="C119" s="576"/>
      <c r="D119" s="576"/>
      <c r="E119" s="576"/>
      <c r="F119" s="576"/>
      <c r="G119" s="576"/>
      <c r="H119" s="576"/>
      <c r="I119" s="576"/>
      <c r="J119" s="576"/>
      <c r="K119" s="576"/>
      <c r="L119" s="576"/>
      <c r="M119" s="576"/>
      <c r="N119" s="576"/>
      <c r="O119" s="576"/>
      <c r="P119" s="576"/>
      <c r="Q119" s="576"/>
      <c r="R119" s="576"/>
      <c r="S119" s="576"/>
      <c r="T119" s="576"/>
      <c r="U119" s="576"/>
      <c r="V119" s="576"/>
      <c r="W119" s="576"/>
      <c r="X119" s="576"/>
      <c r="Y119" s="576"/>
      <c r="Z119" s="576"/>
      <c r="AB119" s="591"/>
      <c r="AC119" s="554"/>
    </row>
    <row r="120" spans="1:35" ht="18" thickTop="1" thickBot="1">
      <c r="A120" s="575"/>
      <c r="B120" s="593" t="s">
        <v>463</v>
      </c>
      <c r="C120" s="593"/>
      <c r="D120" s="1964">
        <f>SUM(D106:G117)</f>
        <v>0</v>
      </c>
      <c r="E120" s="1965"/>
      <c r="F120" s="1965"/>
      <c r="G120" s="1966"/>
      <c r="H120" s="576"/>
      <c r="I120" s="576"/>
      <c r="J120" s="576"/>
      <c r="K120" s="1964">
        <f>SUM(K106:N117)</f>
        <v>0</v>
      </c>
      <c r="L120" s="1965"/>
      <c r="M120" s="1965"/>
      <c r="N120" s="1966"/>
      <c r="O120" s="1964">
        <f>SUM(O106:R117)</f>
        <v>0</v>
      </c>
      <c r="P120" s="1965"/>
      <c r="Q120" s="1965"/>
      <c r="R120" s="1966"/>
      <c r="S120" s="576"/>
      <c r="T120" s="576"/>
      <c r="U120" s="576"/>
      <c r="V120" s="576"/>
      <c r="W120" s="576"/>
      <c r="X120" s="576"/>
      <c r="Y120" s="576"/>
      <c r="Z120" s="576"/>
      <c r="AB120" s="591"/>
      <c r="AC120" s="554"/>
    </row>
    <row r="121" spans="1:35" ht="18" thickTop="1" thickBot="1">
      <c r="A121" s="575"/>
      <c r="B121" s="593" t="s">
        <v>464</v>
      </c>
      <c r="C121" s="593"/>
      <c r="D121" s="576"/>
      <c r="E121" s="576"/>
      <c r="F121" s="576"/>
      <c r="G121" s="576"/>
      <c r="H121" s="576"/>
      <c r="I121" s="576"/>
      <c r="J121" s="576"/>
      <c r="K121" s="1967">
        <f>K120+T44</f>
        <v>0</v>
      </c>
      <c r="L121" s="1968"/>
      <c r="M121" s="1968"/>
      <c r="N121" s="1969"/>
      <c r="O121" s="1967">
        <f>O120</f>
        <v>0</v>
      </c>
      <c r="P121" s="1968"/>
      <c r="Q121" s="1968"/>
      <c r="R121" s="1969"/>
      <c r="S121" s="576"/>
      <c r="T121" s="576"/>
      <c r="U121" s="576"/>
      <c r="V121" s="576"/>
      <c r="W121" s="576"/>
      <c r="X121" s="576"/>
      <c r="Y121" s="576"/>
      <c r="Z121" s="576"/>
      <c r="AB121" s="591"/>
      <c r="AC121" s="554"/>
    </row>
    <row r="122" spans="1:35" ht="18" thickTop="1" thickBot="1">
      <c r="A122" s="575"/>
      <c r="B122" s="576"/>
      <c r="C122" s="576"/>
      <c r="D122" s="576"/>
      <c r="E122" s="576"/>
      <c r="F122" s="576"/>
      <c r="G122" s="576"/>
      <c r="H122" s="576"/>
      <c r="I122" s="576"/>
      <c r="J122" s="576"/>
      <c r="K122" s="576"/>
      <c r="L122" s="576"/>
      <c r="M122" s="576"/>
      <c r="N122" s="576"/>
      <c r="O122" s="576"/>
      <c r="P122" s="576"/>
      <c r="Q122" s="576"/>
      <c r="R122" s="576"/>
      <c r="S122" s="576"/>
      <c r="T122" s="576"/>
      <c r="U122" s="576"/>
      <c r="V122" s="576"/>
      <c r="W122" s="576"/>
      <c r="X122" s="576"/>
      <c r="Y122" s="576"/>
      <c r="Z122" s="576"/>
      <c r="AA122" s="553"/>
      <c r="AB122" s="553"/>
      <c r="AC122" s="553"/>
      <c r="AH122" s="591"/>
      <c r="AI122" s="554"/>
    </row>
    <row r="123" spans="1:35" ht="18" thickTop="1" thickBot="1">
      <c r="A123" s="575">
        <v>2</v>
      </c>
      <c r="B123" s="576" t="s">
        <v>465</v>
      </c>
      <c r="C123" s="576"/>
      <c r="D123" s="576"/>
      <c r="E123" s="576"/>
      <c r="F123" s="576"/>
      <c r="G123" s="576"/>
      <c r="H123" s="576"/>
      <c r="I123" s="576"/>
      <c r="J123" s="576"/>
      <c r="K123" s="1970">
        <v>0</v>
      </c>
      <c r="L123" s="1971"/>
      <c r="M123" s="1971"/>
      <c r="N123" s="1971"/>
      <c r="O123" s="1971"/>
      <c r="P123" s="1972"/>
      <c r="Q123" s="576"/>
      <c r="R123" s="576"/>
      <c r="S123" s="576"/>
      <c r="T123" s="576"/>
      <c r="U123" s="576"/>
      <c r="V123" s="576"/>
      <c r="W123" s="576"/>
      <c r="X123" s="576"/>
      <c r="Y123" s="576"/>
      <c r="Z123" s="576"/>
      <c r="AA123" s="594"/>
      <c r="AB123" s="553"/>
      <c r="AC123" s="553"/>
      <c r="AE123" s="591"/>
      <c r="AF123" s="554"/>
    </row>
    <row r="124" spans="1:35" ht="13.5" thickTop="1">
      <c r="A124" s="575"/>
      <c r="B124" s="576"/>
      <c r="C124" s="576"/>
      <c r="D124" s="576"/>
      <c r="E124" s="576"/>
      <c r="F124" s="576"/>
      <c r="G124" s="576"/>
      <c r="H124" s="576"/>
      <c r="I124" s="576"/>
      <c r="J124" s="576"/>
      <c r="K124" s="576"/>
      <c r="L124" s="576"/>
      <c r="M124" s="576"/>
      <c r="N124" s="576"/>
      <c r="O124" s="576"/>
      <c r="P124" s="576"/>
      <c r="Q124" s="576"/>
      <c r="R124" s="576"/>
      <c r="S124" s="576"/>
      <c r="T124" s="576"/>
      <c r="U124" s="576"/>
      <c r="V124" s="576"/>
      <c r="W124" s="576"/>
      <c r="X124" s="576"/>
      <c r="Y124" s="576"/>
      <c r="Z124" s="576"/>
      <c r="AA124" s="553"/>
      <c r="AB124" s="553"/>
      <c r="AC124" s="553"/>
    </row>
    <row r="125" spans="1:35" s="541" customFormat="1" ht="18" customHeight="1">
      <c r="A125" s="1959" t="s">
        <v>1346</v>
      </c>
      <c r="B125" s="1959"/>
      <c r="C125" s="1959"/>
      <c r="D125" s="1959"/>
      <c r="E125" s="1959"/>
      <c r="F125" s="1959"/>
      <c r="G125" s="1959"/>
      <c r="H125" s="1959"/>
      <c r="I125" s="1959"/>
      <c r="J125" s="1959"/>
      <c r="K125" s="1959"/>
      <c r="L125" s="1959"/>
      <c r="M125" s="1959"/>
      <c r="N125" s="1959"/>
      <c r="O125" s="1959"/>
      <c r="P125" s="1959"/>
      <c r="Q125" s="1959"/>
      <c r="R125" s="1959"/>
      <c r="S125" s="1959"/>
      <c r="T125" s="1959"/>
      <c r="U125" s="1959"/>
      <c r="V125" s="1959"/>
      <c r="W125" s="1959"/>
      <c r="X125" s="1959"/>
      <c r="Y125" s="1959"/>
      <c r="Z125" s="1959"/>
    </row>
    <row r="126" spans="1:35" ht="14.25" customHeight="1" thickBot="1">
      <c r="A126" s="600"/>
      <c r="B126" s="576"/>
      <c r="C126" s="576"/>
      <c r="D126" s="576"/>
      <c r="E126" s="576"/>
      <c r="F126" s="576"/>
      <c r="G126" s="576"/>
      <c r="H126" s="576"/>
      <c r="I126" s="576"/>
      <c r="J126" s="576"/>
      <c r="K126" s="576"/>
      <c r="L126" s="576"/>
      <c r="M126" s="576"/>
      <c r="N126" s="576"/>
      <c r="O126" s="576"/>
      <c r="P126" s="576"/>
      <c r="Q126" s="576"/>
      <c r="R126" s="576"/>
      <c r="S126" s="576"/>
      <c r="T126" s="576"/>
      <c r="U126" s="576"/>
      <c r="V126" s="576"/>
      <c r="W126" s="576"/>
      <c r="X126" s="576"/>
      <c r="Y126" s="576"/>
      <c r="Z126" s="576"/>
      <c r="AA126" s="553"/>
      <c r="AB126" s="553"/>
      <c r="AC126" s="553"/>
      <c r="AE126" s="591"/>
      <c r="AF126" s="592"/>
    </row>
    <row r="127" spans="1:35" ht="14.25" thickTop="1" thickBot="1">
      <c r="A127" s="575"/>
      <c r="B127" s="576"/>
      <c r="C127" s="576"/>
      <c r="D127" s="576"/>
      <c r="E127" s="576"/>
      <c r="F127" s="576"/>
      <c r="G127" s="1960" t="s">
        <v>466</v>
      </c>
      <c r="H127" s="1961"/>
      <c r="I127" s="1961"/>
      <c r="J127" s="1961"/>
      <c r="K127" s="1962"/>
      <c r="L127" s="1960" t="s">
        <v>467</v>
      </c>
      <c r="M127" s="1961"/>
      <c r="N127" s="1961"/>
      <c r="O127" s="1961"/>
      <c r="P127" s="1962"/>
      <c r="Q127" s="1960" t="s">
        <v>468</v>
      </c>
      <c r="R127" s="1961"/>
      <c r="S127" s="1961"/>
      <c r="T127" s="1961"/>
      <c r="U127" s="1962"/>
      <c r="V127" s="1960" t="s">
        <v>469</v>
      </c>
      <c r="W127" s="1961"/>
      <c r="X127" s="1961"/>
      <c r="Y127" s="1961"/>
      <c r="Z127" s="1962"/>
      <c r="AA127" s="553"/>
      <c r="AB127" s="553"/>
      <c r="AC127" s="553"/>
    </row>
    <row r="128" spans="1:35" ht="18" thickTop="1" thickBot="1">
      <c r="A128" s="575"/>
      <c r="B128" s="595" t="s">
        <v>470</v>
      </c>
      <c r="C128" s="595"/>
      <c r="D128" s="576"/>
      <c r="E128" s="576"/>
      <c r="F128" s="576"/>
      <c r="G128" s="576"/>
      <c r="H128" s="576"/>
      <c r="I128" s="576"/>
      <c r="J128" s="576"/>
      <c r="K128" s="576"/>
      <c r="L128" s="576"/>
      <c r="M128" s="576"/>
      <c r="N128" s="576"/>
      <c r="O128" s="576"/>
      <c r="P128" s="576"/>
      <c r="Q128" s="576"/>
      <c r="R128" s="576"/>
      <c r="S128" s="576"/>
      <c r="T128" s="576"/>
      <c r="U128" s="576"/>
      <c r="V128" s="576"/>
      <c r="W128" s="576"/>
      <c r="X128" s="576"/>
      <c r="Y128" s="576"/>
      <c r="Z128" s="576"/>
      <c r="AA128" s="553"/>
      <c r="AB128" s="553"/>
      <c r="AC128" s="553"/>
      <c r="AH128" s="591"/>
      <c r="AI128" s="554"/>
    </row>
    <row r="129" spans="1:32" ht="18" thickTop="1" thickBot="1">
      <c r="A129" s="575">
        <v>1</v>
      </c>
      <c r="B129" s="576" t="s">
        <v>471</v>
      </c>
      <c r="C129" s="576"/>
      <c r="D129" s="576"/>
      <c r="E129" s="576"/>
      <c r="F129" s="576"/>
      <c r="G129" s="1963"/>
      <c r="H129" s="1951"/>
      <c r="I129" s="596" t="s">
        <v>472</v>
      </c>
      <c r="J129" s="1951"/>
      <c r="K129" s="1952"/>
      <c r="L129" s="1963"/>
      <c r="M129" s="1951"/>
      <c r="N129" s="596" t="s">
        <v>472</v>
      </c>
      <c r="O129" s="1951"/>
      <c r="P129" s="1952"/>
      <c r="Q129" s="1963"/>
      <c r="R129" s="1951"/>
      <c r="S129" s="596" t="s">
        <v>472</v>
      </c>
      <c r="T129" s="1951"/>
      <c r="U129" s="1952"/>
      <c r="V129" s="1953">
        <f>G129</f>
        <v>0</v>
      </c>
      <c r="W129" s="1954"/>
      <c r="X129" s="596" t="s">
        <v>472</v>
      </c>
      <c r="Y129" s="1954" t="str">
        <f>IF(J129&lt;&gt;0,IF(J129&gt;O129,IF(J129&gt;T129,J129,T129),O129),"")</f>
        <v/>
      </c>
      <c r="Z129" s="1955"/>
      <c r="AA129" s="594"/>
      <c r="AB129" s="553"/>
      <c r="AC129" s="553"/>
      <c r="AE129" s="591"/>
      <c r="AF129" s="554"/>
    </row>
    <row r="130" spans="1:32" ht="18" thickTop="1" thickBot="1">
      <c r="A130" s="575">
        <v>2</v>
      </c>
      <c r="B130" s="576" t="s">
        <v>473</v>
      </c>
      <c r="C130" s="576"/>
      <c r="D130" s="576"/>
      <c r="E130" s="576"/>
      <c r="F130" s="576"/>
      <c r="G130" s="1956">
        <f>MONTH(J129)-MONTH(G129)+1</f>
        <v>1</v>
      </c>
      <c r="H130" s="1957"/>
      <c r="I130" s="1957"/>
      <c r="J130" s="1957"/>
      <c r="K130" s="1958"/>
      <c r="L130" s="1956">
        <f>IF(MONTH(O129)-MONTH(L129)&gt;0,MONTH(O129)-MONTH(L129)+1,MONTH(O129)-MONTH(L129))</f>
        <v>0</v>
      </c>
      <c r="M130" s="1957"/>
      <c r="N130" s="1957"/>
      <c r="O130" s="1957"/>
      <c r="P130" s="1958"/>
      <c r="Q130" s="1956">
        <f>IF(MONTH(T129)-MONTH(Q129)&gt;0,MONTH(T129)-MONTH(Q129)+1,MONTH(T129)-MONTH(Q129))</f>
        <v>0</v>
      </c>
      <c r="R130" s="1957"/>
      <c r="S130" s="1957"/>
      <c r="T130" s="1957"/>
      <c r="U130" s="1958"/>
      <c r="V130" s="1956">
        <f>IF(SUM(G130:U130)&gt;12,12,SUM(G130:U130))</f>
        <v>1</v>
      </c>
      <c r="W130" s="1957"/>
      <c r="X130" s="1957"/>
      <c r="Y130" s="1957"/>
      <c r="Z130" s="1958"/>
      <c r="AA130" s="553"/>
      <c r="AB130" s="553"/>
      <c r="AD130" s="597"/>
      <c r="AE130" s="554"/>
    </row>
    <row r="131" spans="1:32" ht="30.75" customHeight="1" thickTop="1" thickBot="1">
      <c r="A131" s="575">
        <v>3</v>
      </c>
      <c r="B131" s="576" t="s">
        <v>474</v>
      </c>
      <c r="C131" s="576"/>
      <c r="D131" s="576"/>
      <c r="E131" s="576"/>
      <c r="F131" s="576"/>
      <c r="G131" s="1944" t="s">
        <v>69</v>
      </c>
      <c r="H131" s="1945"/>
      <c r="I131" s="1945"/>
      <c r="J131" s="1945"/>
      <c r="K131" s="1946"/>
      <c r="L131" s="1947" t="s">
        <v>69</v>
      </c>
      <c r="M131" s="1945"/>
      <c r="N131" s="1945"/>
      <c r="O131" s="1945"/>
      <c r="P131" s="1946"/>
      <c r="Q131" s="1947" t="s">
        <v>69</v>
      </c>
      <c r="R131" s="1945"/>
      <c r="S131" s="1945"/>
      <c r="T131" s="1945"/>
      <c r="U131" s="1946"/>
      <c r="V131" s="1948"/>
      <c r="W131" s="1949"/>
      <c r="X131" s="1949"/>
      <c r="Y131" s="1949"/>
      <c r="Z131" s="1949"/>
      <c r="AA131" s="553"/>
      <c r="AB131" s="553"/>
    </row>
    <row r="132" spans="1:32" ht="14.25" thickTop="1" thickBot="1">
      <c r="A132" s="575">
        <v>4</v>
      </c>
      <c r="B132" s="576" t="s">
        <v>475</v>
      </c>
      <c r="C132" s="576"/>
      <c r="D132" s="576"/>
      <c r="E132" s="576"/>
      <c r="F132" s="576"/>
      <c r="G132" s="1950" t="s">
        <v>69</v>
      </c>
      <c r="H132" s="1937"/>
      <c r="I132" s="1937"/>
      <c r="J132" s="1937"/>
      <c r="K132" s="1938"/>
      <c r="L132" s="1936" t="s">
        <v>69</v>
      </c>
      <c r="M132" s="1937"/>
      <c r="N132" s="1937"/>
      <c r="O132" s="1937"/>
      <c r="P132" s="1938"/>
      <c r="Q132" s="1936" t="s">
        <v>69</v>
      </c>
      <c r="R132" s="1937"/>
      <c r="S132" s="1937"/>
      <c r="T132" s="1937"/>
      <c r="U132" s="1938"/>
      <c r="V132" s="1939"/>
      <c r="W132" s="1940"/>
      <c r="X132" s="1940"/>
      <c r="Y132" s="1940"/>
      <c r="Z132" s="1940"/>
      <c r="AA132" s="553"/>
      <c r="AB132" s="553"/>
    </row>
    <row r="133" spans="1:32" ht="14.25" thickTop="1" thickBot="1">
      <c r="A133" s="575">
        <v>5</v>
      </c>
      <c r="B133" s="576" t="s">
        <v>476</v>
      </c>
      <c r="C133" s="576"/>
      <c r="D133" s="576"/>
      <c r="E133" s="576"/>
      <c r="F133" s="576"/>
      <c r="G133" s="1936" t="s">
        <v>69</v>
      </c>
      <c r="H133" s="1937"/>
      <c r="I133" s="1937"/>
      <c r="J133" s="1937"/>
      <c r="K133" s="1938"/>
      <c r="L133" s="1936" t="s">
        <v>69</v>
      </c>
      <c r="M133" s="1937"/>
      <c r="N133" s="1937"/>
      <c r="O133" s="1937"/>
      <c r="P133" s="1938"/>
      <c r="Q133" s="1936" t="s">
        <v>69</v>
      </c>
      <c r="R133" s="1937"/>
      <c r="S133" s="1937"/>
      <c r="T133" s="1937"/>
      <c r="U133" s="1938"/>
      <c r="V133" s="1939"/>
      <c r="W133" s="1940"/>
      <c r="X133" s="1940"/>
      <c r="Y133" s="1940"/>
      <c r="Z133" s="1940"/>
    </row>
    <row r="134" spans="1:32" ht="14.25" thickTop="1" thickBot="1">
      <c r="A134" s="575">
        <v>6</v>
      </c>
      <c r="B134" s="576" t="s">
        <v>477</v>
      </c>
      <c r="C134" s="576"/>
      <c r="D134" s="576"/>
      <c r="E134" s="576"/>
      <c r="F134" s="576"/>
      <c r="G134" s="1941" t="s">
        <v>69</v>
      </c>
      <c r="H134" s="1942"/>
      <c r="I134" s="1942"/>
      <c r="J134" s="1942"/>
      <c r="K134" s="1943"/>
      <c r="L134" s="1941" t="s">
        <v>69</v>
      </c>
      <c r="M134" s="1942"/>
      <c r="N134" s="1942"/>
      <c r="O134" s="1942"/>
      <c r="P134" s="1943"/>
      <c r="Q134" s="1941" t="s">
        <v>69</v>
      </c>
      <c r="R134" s="1942"/>
      <c r="S134" s="1942"/>
      <c r="T134" s="1942"/>
      <c r="U134" s="1943"/>
      <c r="V134" s="1939"/>
      <c r="W134" s="1940"/>
      <c r="X134" s="1940"/>
      <c r="Y134" s="1940"/>
      <c r="Z134" s="1940"/>
      <c r="AA134" s="553"/>
      <c r="AB134" s="553"/>
      <c r="AC134" s="553"/>
    </row>
    <row r="135" spans="1:32" ht="14.25" thickTop="1" thickBot="1">
      <c r="A135" s="575">
        <v>7</v>
      </c>
      <c r="B135" s="576" t="s">
        <v>478</v>
      </c>
      <c r="C135" s="576"/>
      <c r="D135" s="576"/>
      <c r="E135" s="576"/>
      <c r="F135" s="576"/>
      <c r="G135" s="558"/>
      <c r="H135" s="576" t="s">
        <v>385</v>
      </c>
      <c r="I135" s="576"/>
      <c r="J135" s="576"/>
      <c r="K135" s="576"/>
      <c r="L135" s="558"/>
      <c r="M135" s="576" t="s">
        <v>385</v>
      </c>
      <c r="N135" s="576"/>
      <c r="O135" s="576"/>
      <c r="P135" s="576" t="s">
        <v>381</v>
      </c>
      <c r="Q135" s="558"/>
      <c r="R135" s="576" t="s">
        <v>385</v>
      </c>
      <c r="S135" s="576"/>
      <c r="T135" s="576"/>
      <c r="U135" s="576"/>
      <c r="V135" s="598"/>
      <c r="W135" s="598"/>
      <c r="X135" s="598"/>
      <c r="Y135" s="598"/>
      <c r="Z135" s="598"/>
      <c r="AA135" s="553"/>
      <c r="AB135" s="553"/>
      <c r="AC135" s="553"/>
      <c r="AD135" s="553"/>
      <c r="AE135" s="553"/>
    </row>
    <row r="136" spans="1:32" ht="13.5" thickTop="1">
      <c r="A136" s="575"/>
      <c r="B136" s="576"/>
      <c r="C136" s="576"/>
      <c r="D136" s="576"/>
      <c r="E136" s="576"/>
      <c r="F136" s="576"/>
      <c r="G136" s="576"/>
      <c r="H136" s="576"/>
      <c r="I136" s="576"/>
      <c r="J136" s="576"/>
      <c r="K136" s="576"/>
      <c r="L136" s="576"/>
      <c r="M136" s="576"/>
      <c r="N136" s="599"/>
      <c r="O136" s="599"/>
      <c r="P136" s="599"/>
      <c r="Q136" s="576"/>
      <c r="R136" s="576"/>
      <c r="S136" s="599"/>
      <c r="T136" s="599"/>
      <c r="U136" s="599"/>
      <c r="V136" s="576"/>
      <c r="W136" s="576"/>
      <c r="X136" s="599"/>
      <c r="Y136" s="599"/>
      <c r="Z136" s="599"/>
      <c r="AA136" s="553"/>
      <c r="AB136" s="553"/>
      <c r="AC136" s="553"/>
      <c r="AD136" s="553"/>
      <c r="AE136" s="553"/>
    </row>
    <row r="137" spans="1:32" ht="15.75">
      <c r="A137" s="575"/>
      <c r="B137" s="595" t="s">
        <v>479</v>
      </c>
      <c r="C137" s="595"/>
      <c r="D137" s="576"/>
      <c r="E137" s="576"/>
      <c r="F137" s="576"/>
      <c r="G137" s="1935"/>
      <c r="H137" s="1935"/>
      <c r="I137" s="1935"/>
      <c r="J137" s="1935"/>
      <c r="K137" s="1935"/>
      <c r="L137" s="576"/>
      <c r="M137" s="576"/>
      <c r="N137" s="576"/>
      <c r="O137" s="576"/>
      <c r="P137" s="576"/>
      <c r="Q137" s="576"/>
      <c r="R137" s="576"/>
      <c r="S137" s="576"/>
      <c r="T137" s="576"/>
      <c r="U137" s="576"/>
      <c r="V137" s="576"/>
      <c r="W137" s="576"/>
      <c r="X137" s="576"/>
      <c r="Y137" s="576"/>
      <c r="Z137" s="576"/>
      <c r="AA137" s="553"/>
      <c r="AB137" s="553"/>
      <c r="AC137" s="553"/>
      <c r="AD137" s="553"/>
      <c r="AE137" s="553"/>
    </row>
    <row r="138" spans="1:32" ht="13.5" thickBot="1">
      <c r="A138" s="575">
        <v>1</v>
      </c>
      <c r="B138" s="576" t="s">
        <v>480</v>
      </c>
      <c r="C138" s="576"/>
      <c r="D138" s="576"/>
      <c r="E138" s="576"/>
      <c r="F138" s="576"/>
      <c r="G138" s="576"/>
      <c r="H138" s="576"/>
      <c r="I138" s="576"/>
      <c r="J138" s="576"/>
      <c r="K138" s="576"/>
      <c r="L138" s="576"/>
      <c r="M138" s="576"/>
      <c r="N138" s="576"/>
      <c r="O138" s="576"/>
      <c r="P138" s="576"/>
      <c r="Q138" s="576"/>
      <c r="R138" s="576"/>
      <c r="S138" s="576"/>
      <c r="T138" s="576"/>
      <c r="U138" s="576"/>
      <c r="V138" s="576"/>
      <c r="W138" s="576"/>
      <c r="X138" s="576"/>
      <c r="Y138" s="576"/>
      <c r="Z138" s="576"/>
      <c r="AA138" s="553"/>
      <c r="AB138" s="553"/>
      <c r="AC138" s="553"/>
    </row>
    <row r="139" spans="1:32" ht="14.25" thickTop="1" thickBot="1">
      <c r="A139" s="593"/>
      <c r="B139" s="1929" t="s">
        <v>525</v>
      </c>
      <c r="C139" s="1929"/>
      <c r="D139" s="1929"/>
      <c r="E139" s="1929"/>
      <c r="F139" s="1930"/>
      <c r="G139" s="1917"/>
      <c r="H139" s="1918"/>
      <c r="I139" s="1918"/>
      <c r="J139" s="1918"/>
      <c r="K139" s="1919"/>
      <c r="L139" s="1917"/>
      <c r="M139" s="1918"/>
      <c r="N139" s="1918"/>
      <c r="O139" s="1918"/>
      <c r="P139" s="1919"/>
      <c r="Q139" s="1917"/>
      <c r="R139" s="1918"/>
      <c r="S139" s="1918"/>
      <c r="T139" s="1918"/>
      <c r="U139" s="1919"/>
      <c r="V139" s="1920">
        <f t="shared" ref="V139:V146" si="2">SUM(G139:U139)</f>
        <v>0</v>
      </c>
      <c r="W139" s="1921"/>
      <c r="X139" s="1921"/>
      <c r="Y139" s="1921"/>
      <c r="Z139" s="1922"/>
      <c r="AA139" s="553"/>
      <c r="AB139" s="553"/>
    </row>
    <row r="140" spans="1:32" ht="14.25" thickTop="1" thickBot="1">
      <c r="A140" s="593"/>
      <c r="B140" s="1929" t="s">
        <v>526</v>
      </c>
      <c r="C140" s="1929"/>
      <c r="D140" s="1929"/>
      <c r="E140" s="1929"/>
      <c r="F140" s="1930"/>
      <c r="G140" s="1917"/>
      <c r="H140" s="1918"/>
      <c r="I140" s="1918"/>
      <c r="J140" s="1918"/>
      <c r="K140" s="1919"/>
      <c r="L140" s="1917"/>
      <c r="M140" s="1918"/>
      <c r="N140" s="1918"/>
      <c r="O140" s="1918"/>
      <c r="P140" s="1919"/>
      <c r="Q140" s="1917"/>
      <c r="R140" s="1918"/>
      <c r="S140" s="1918"/>
      <c r="T140" s="1918"/>
      <c r="U140" s="1919"/>
      <c r="V140" s="1920">
        <f t="shared" si="2"/>
        <v>0</v>
      </c>
      <c r="W140" s="1921"/>
      <c r="X140" s="1921"/>
      <c r="Y140" s="1921"/>
      <c r="Z140" s="1922"/>
      <c r="AA140" s="553"/>
      <c r="AB140" s="553"/>
    </row>
    <row r="141" spans="1:32" ht="27" customHeight="1" thickTop="1" thickBot="1">
      <c r="A141" s="601"/>
      <c r="B141" s="1929" t="s">
        <v>527</v>
      </c>
      <c r="C141" s="1929"/>
      <c r="D141" s="1929"/>
      <c r="E141" s="1929"/>
      <c r="F141" s="1930"/>
      <c r="G141" s="1917"/>
      <c r="H141" s="1918"/>
      <c r="I141" s="1918"/>
      <c r="J141" s="1918"/>
      <c r="K141" s="1919"/>
      <c r="L141" s="1917"/>
      <c r="M141" s="1918"/>
      <c r="N141" s="1918"/>
      <c r="O141" s="1918"/>
      <c r="P141" s="1919"/>
      <c r="Q141" s="1917"/>
      <c r="R141" s="1918"/>
      <c r="S141" s="1918"/>
      <c r="T141" s="1918"/>
      <c r="U141" s="1919"/>
      <c r="V141" s="1920">
        <f t="shared" si="2"/>
        <v>0</v>
      </c>
      <c r="W141" s="1921"/>
      <c r="X141" s="1921"/>
      <c r="Y141" s="1921"/>
      <c r="Z141" s="1922"/>
      <c r="AA141" s="553"/>
      <c r="AB141" s="553"/>
    </row>
    <row r="142" spans="1:32" ht="15" customHeight="1" thickTop="1" thickBot="1">
      <c r="A142" s="593"/>
      <c r="B142" s="1929" t="s">
        <v>528</v>
      </c>
      <c r="C142" s="1929"/>
      <c r="D142" s="1929"/>
      <c r="E142" s="1929"/>
      <c r="F142" s="1930"/>
      <c r="G142" s="1917"/>
      <c r="H142" s="1918"/>
      <c r="I142" s="1918"/>
      <c r="J142" s="1918"/>
      <c r="K142" s="1919"/>
      <c r="L142" s="1917"/>
      <c r="M142" s="1918"/>
      <c r="N142" s="1918"/>
      <c r="O142" s="1918"/>
      <c r="P142" s="1919"/>
      <c r="Q142" s="1917"/>
      <c r="R142" s="1918"/>
      <c r="S142" s="1918"/>
      <c r="T142" s="1918"/>
      <c r="U142" s="1919"/>
      <c r="V142" s="1920">
        <f t="shared" si="2"/>
        <v>0</v>
      </c>
      <c r="W142" s="1921"/>
      <c r="X142" s="1921"/>
      <c r="Y142" s="1921"/>
      <c r="Z142" s="1922"/>
      <c r="AA142" s="553"/>
      <c r="AB142" s="553"/>
    </row>
    <row r="143" spans="1:32" ht="14.25" thickTop="1" thickBot="1">
      <c r="A143" s="593"/>
      <c r="B143" s="1929" t="s">
        <v>529</v>
      </c>
      <c r="C143" s="1929"/>
      <c r="D143" s="1929"/>
      <c r="E143" s="1929"/>
      <c r="F143" s="1930"/>
      <c r="G143" s="1917"/>
      <c r="H143" s="1918"/>
      <c r="I143" s="1918"/>
      <c r="J143" s="1918"/>
      <c r="K143" s="1919"/>
      <c r="L143" s="1917"/>
      <c r="M143" s="1918"/>
      <c r="N143" s="1918"/>
      <c r="O143" s="1918"/>
      <c r="P143" s="1919"/>
      <c r="Q143" s="1917"/>
      <c r="R143" s="1918"/>
      <c r="S143" s="1918"/>
      <c r="T143" s="1918"/>
      <c r="U143" s="1919"/>
      <c r="V143" s="1920">
        <f t="shared" si="2"/>
        <v>0</v>
      </c>
      <c r="W143" s="1921"/>
      <c r="X143" s="1921"/>
      <c r="Y143" s="1921"/>
      <c r="Z143" s="1922"/>
      <c r="AA143" s="553"/>
      <c r="AB143" s="553"/>
    </row>
    <row r="144" spans="1:32" ht="24" customHeight="1" thickTop="1" thickBot="1">
      <c r="A144" s="601"/>
      <c r="B144" s="1929" t="s">
        <v>530</v>
      </c>
      <c r="C144" s="1929"/>
      <c r="D144" s="1929"/>
      <c r="E144" s="1929"/>
      <c r="F144" s="1930"/>
      <c r="G144" s="1917"/>
      <c r="H144" s="1918"/>
      <c r="I144" s="1918"/>
      <c r="J144" s="1918"/>
      <c r="K144" s="1919"/>
      <c r="L144" s="1917"/>
      <c r="M144" s="1918"/>
      <c r="N144" s="1918"/>
      <c r="O144" s="1918"/>
      <c r="P144" s="1919"/>
      <c r="Q144" s="1917"/>
      <c r="R144" s="1918"/>
      <c r="S144" s="1918"/>
      <c r="T144" s="1918"/>
      <c r="U144" s="1919"/>
      <c r="V144" s="1920">
        <f t="shared" si="2"/>
        <v>0</v>
      </c>
      <c r="W144" s="1921"/>
      <c r="X144" s="1921"/>
      <c r="Y144" s="1921"/>
      <c r="Z144" s="1922"/>
      <c r="AA144" s="553"/>
      <c r="AB144" s="553"/>
      <c r="AC144" s="540" t="s">
        <v>381</v>
      </c>
    </row>
    <row r="145" spans="1:28" ht="24.75" customHeight="1" thickTop="1" thickBot="1">
      <c r="A145" s="601"/>
      <c r="B145" s="1933" t="s">
        <v>531</v>
      </c>
      <c r="C145" s="1933"/>
      <c r="D145" s="1933"/>
      <c r="E145" s="1933"/>
      <c r="F145" s="1934"/>
      <c r="G145" s="1917"/>
      <c r="H145" s="1918"/>
      <c r="I145" s="1918"/>
      <c r="J145" s="1918"/>
      <c r="K145" s="1919"/>
      <c r="L145" s="1917"/>
      <c r="M145" s="1918"/>
      <c r="N145" s="1918"/>
      <c r="O145" s="1918"/>
      <c r="P145" s="1919"/>
      <c r="Q145" s="1917"/>
      <c r="R145" s="1918"/>
      <c r="S145" s="1918"/>
      <c r="T145" s="1918"/>
      <c r="U145" s="1919"/>
      <c r="V145" s="1920">
        <f t="shared" si="2"/>
        <v>0</v>
      </c>
      <c r="W145" s="1921"/>
      <c r="X145" s="1921"/>
      <c r="Y145" s="1921"/>
      <c r="Z145" s="1922"/>
      <c r="AA145" s="553"/>
      <c r="AB145" s="553"/>
    </row>
    <row r="146" spans="1:28" ht="14.25" thickTop="1" thickBot="1">
      <c r="A146" s="593"/>
      <c r="B146" s="1931" t="s">
        <v>532</v>
      </c>
      <c r="C146" s="1931"/>
      <c r="D146" s="1931"/>
      <c r="E146" s="1931"/>
      <c r="F146" s="1932"/>
      <c r="G146" s="1920">
        <f>SUM(G139:K145)</f>
        <v>0</v>
      </c>
      <c r="H146" s="1921"/>
      <c r="I146" s="1921"/>
      <c r="J146" s="1921"/>
      <c r="K146" s="1922"/>
      <c r="L146" s="1920">
        <f>SUM(L139:P145)</f>
        <v>0</v>
      </c>
      <c r="M146" s="1921"/>
      <c r="N146" s="1921"/>
      <c r="O146" s="1921"/>
      <c r="P146" s="1922"/>
      <c r="Q146" s="1920">
        <f>SUM(Q139:U145)</f>
        <v>0</v>
      </c>
      <c r="R146" s="1921"/>
      <c r="S146" s="1921"/>
      <c r="T146" s="1921"/>
      <c r="U146" s="1922"/>
      <c r="V146" s="1920">
        <f t="shared" si="2"/>
        <v>0</v>
      </c>
      <c r="W146" s="1921"/>
      <c r="X146" s="1921"/>
      <c r="Y146" s="1921"/>
      <c r="Z146" s="1922"/>
      <c r="AA146" s="553"/>
      <c r="AB146" s="553"/>
    </row>
    <row r="147" spans="1:28" ht="13.5" thickTop="1">
      <c r="A147" s="593"/>
      <c r="B147" s="601"/>
      <c r="C147" s="601"/>
      <c r="D147" s="601"/>
      <c r="E147" s="601"/>
      <c r="F147" s="601"/>
      <c r="G147" s="601"/>
      <c r="H147" s="601"/>
      <c r="I147" s="601"/>
      <c r="J147" s="601"/>
      <c r="K147" s="601"/>
      <c r="L147" s="601"/>
      <c r="M147" s="601"/>
      <c r="N147" s="601"/>
      <c r="O147" s="601"/>
      <c r="P147" s="601"/>
      <c r="Q147" s="601"/>
      <c r="R147" s="601"/>
      <c r="S147" s="601"/>
      <c r="T147" s="601"/>
      <c r="U147" s="601"/>
      <c r="V147" s="601"/>
      <c r="W147" s="601"/>
      <c r="X147" s="601"/>
      <c r="Y147" s="601"/>
      <c r="Z147" s="601"/>
      <c r="AA147" s="553"/>
      <c r="AB147" s="553"/>
    </row>
    <row r="148" spans="1:28" ht="13.5" thickBot="1">
      <c r="A148" s="575">
        <v>2</v>
      </c>
      <c r="B148" s="1927" t="s">
        <v>481</v>
      </c>
      <c r="C148" s="1927"/>
      <c r="D148" s="1927"/>
      <c r="E148" s="1927"/>
      <c r="F148" s="1927"/>
      <c r="G148" s="601"/>
      <c r="H148" s="601"/>
      <c r="I148" s="601"/>
      <c r="J148" s="601"/>
      <c r="K148" s="601"/>
      <c r="L148" s="601" t="s">
        <v>381</v>
      </c>
      <c r="M148" s="601"/>
      <c r="N148" s="601"/>
      <c r="O148" s="601"/>
      <c r="P148" s="601"/>
      <c r="Q148" s="601"/>
      <c r="R148" s="601"/>
      <c r="S148" s="601"/>
      <c r="T148" s="601"/>
      <c r="U148" s="601"/>
      <c r="V148" s="601"/>
      <c r="W148" s="601"/>
      <c r="X148" s="601"/>
      <c r="Y148" s="601"/>
      <c r="Z148" s="601"/>
      <c r="AA148" s="553"/>
      <c r="AB148" s="553"/>
    </row>
    <row r="149" spans="1:28" ht="14.25" thickTop="1" thickBot="1">
      <c r="A149" s="593"/>
      <c r="B149" s="1929" t="s">
        <v>482</v>
      </c>
      <c r="C149" s="1929"/>
      <c r="D149" s="1929"/>
      <c r="E149" s="1929"/>
      <c r="F149" s="1930"/>
      <c r="G149" s="1917"/>
      <c r="H149" s="1918"/>
      <c r="I149" s="1918"/>
      <c r="J149" s="1918"/>
      <c r="K149" s="1919"/>
      <c r="L149" s="1917"/>
      <c r="M149" s="1918"/>
      <c r="N149" s="1918"/>
      <c r="O149" s="1918"/>
      <c r="P149" s="1919"/>
      <c r="Q149" s="1917"/>
      <c r="R149" s="1918"/>
      <c r="S149" s="1918"/>
      <c r="T149" s="1918"/>
      <c r="U149" s="1919"/>
      <c r="V149" s="1920">
        <f>SUM(G149:U149)</f>
        <v>0</v>
      </c>
      <c r="W149" s="1921"/>
      <c r="X149" s="1921"/>
      <c r="Y149" s="1921"/>
      <c r="Z149" s="1922"/>
    </row>
    <row r="150" spans="1:28" ht="14.25" thickTop="1" thickBot="1">
      <c r="A150" s="593"/>
      <c r="B150" s="1929" t="s">
        <v>483</v>
      </c>
      <c r="C150" s="1929"/>
      <c r="D150" s="1929"/>
      <c r="E150" s="1929"/>
      <c r="F150" s="1930"/>
      <c r="G150" s="1917"/>
      <c r="H150" s="1918"/>
      <c r="I150" s="1918"/>
      <c r="J150" s="1918"/>
      <c r="K150" s="1919"/>
      <c r="L150" s="1917"/>
      <c r="M150" s="1918"/>
      <c r="N150" s="1918"/>
      <c r="O150" s="1918"/>
      <c r="P150" s="1919"/>
      <c r="Q150" s="1917"/>
      <c r="R150" s="1918"/>
      <c r="S150" s="1918"/>
      <c r="T150" s="1918"/>
      <c r="U150" s="1919"/>
      <c r="V150" s="1920">
        <f>SUM(G150:U150)</f>
        <v>0</v>
      </c>
      <c r="W150" s="1921"/>
      <c r="X150" s="1921"/>
      <c r="Y150" s="1921"/>
      <c r="Z150" s="1922"/>
    </row>
    <row r="151" spans="1:28" ht="14.25" thickTop="1" thickBot="1">
      <c r="A151" s="593"/>
      <c r="B151" s="1927" t="s">
        <v>484</v>
      </c>
      <c r="C151" s="1927"/>
      <c r="D151" s="1927"/>
      <c r="E151" s="1927"/>
      <c r="F151" s="1928"/>
      <c r="G151" s="1920">
        <f>SUM(G149:K150)</f>
        <v>0</v>
      </c>
      <c r="H151" s="1921"/>
      <c r="I151" s="1921"/>
      <c r="J151" s="1921"/>
      <c r="K151" s="1922"/>
      <c r="L151" s="1920">
        <f>SUM(L149:P150)</f>
        <v>0</v>
      </c>
      <c r="M151" s="1921"/>
      <c r="N151" s="1921"/>
      <c r="O151" s="1921"/>
      <c r="P151" s="1922"/>
      <c r="Q151" s="1920">
        <f>SUM(Q149:U150)</f>
        <v>0</v>
      </c>
      <c r="R151" s="1921"/>
      <c r="S151" s="1921"/>
      <c r="T151" s="1921"/>
      <c r="U151" s="1922"/>
      <c r="V151" s="1920">
        <f>SUM(G151:U151)</f>
        <v>0</v>
      </c>
      <c r="W151" s="1921"/>
      <c r="X151" s="1921"/>
      <c r="Y151" s="1921"/>
      <c r="Z151" s="1922"/>
    </row>
    <row r="152" spans="1:28" ht="14.25" thickTop="1" thickBot="1">
      <c r="A152" s="593"/>
      <c r="B152" s="602"/>
      <c r="C152" s="593"/>
      <c r="D152" s="593"/>
      <c r="E152" s="593"/>
      <c r="F152" s="593"/>
      <c r="G152" s="576"/>
      <c r="H152" s="576"/>
      <c r="I152" s="576"/>
      <c r="J152" s="576"/>
      <c r="K152" s="576"/>
      <c r="L152" s="576"/>
      <c r="M152" s="576"/>
      <c r="N152" s="576"/>
      <c r="O152" s="576"/>
      <c r="P152" s="576"/>
      <c r="Q152" s="576"/>
      <c r="R152" s="576"/>
      <c r="S152" s="576"/>
      <c r="T152" s="576"/>
      <c r="U152" s="576"/>
      <c r="V152" s="576"/>
      <c r="W152" s="576"/>
      <c r="X152" s="576"/>
      <c r="Y152" s="576"/>
      <c r="Z152" s="576"/>
    </row>
    <row r="153" spans="1:28" ht="14.25" thickTop="1" thickBot="1">
      <c r="A153" s="575">
        <v>3</v>
      </c>
      <c r="B153" s="593" t="s">
        <v>485</v>
      </c>
      <c r="C153" s="593"/>
      <c r="D153" s="593"/>
      <c r="E153" s="593"/>
      <c r="F153" s="593"/>
      <c r="G153" s="1920">
        <f>G146-G151</f>
        <v>0</v>
      </c>
      <c r="H153" s="1921"/>
      <c r="I153" s="1921"/>
      <c r="J153" s="1921"/>
      <c r="K153" s="1922"/>
      <c r="L153" s="1920">
        <f>L146-L151</f>
        <v>0</v>
      </c>
      <c r="M153" s="1921"/>
      <c r="N153" s="1921"/>
      <c r="O153" s="1921"/>
      <c r="P153" s="1922"/>
      <c r="Q153" s="1920">
        <f>Q146-Q151</f>
        <v>0</v>
      </c>
      <c r="R153" s="1921"/>
      <c r="S153" s="1921"/>
      <c r="T153" s="1921"/>
      <c r="U153" s="1922"/>
      <c r="V153" s="1920">
        <f>SUM(G153:U153)</f>
        <v>0</v>
      </c>
      <c r="W153" s="1921"/>
      <c r="X153" s="1921"/>
      <c r="Y153" s="1921"/>
      <c r="Z153" s="1922"/>
    </row>
    <row r="154" spans="1:28" ht="14.25" thickTop="1" thickBot="1">
      <c r="A154" s="575"/>
      <c r="B154" s="603"/>
      <c r="C154" s="593"/>
      <c r="D154" s="593"/>
      <c r="E154" s="593"/>
      <c r="F154" s="593"/>
      <c r="G154" s="604"/>
      <c r="H154" s="604"/>
      <c r="I154" s="604"/>
      <c r="J154" s="604"/>
      <c r="K154" s="604"/>
      <c r="L154" s="604"/>
      <c r="M154" s="604"/>
      <c r="N154" s="604"/>
      <c r="O154" s="604"/>
      <c r="P154" s="604"/>
      <c r="Q154" s="604"/>
      <c r="R154" s="604"/>
      <c r="S154" s="604"/>
      <c r="T154" s="604"/>
      <c r="U154" s="604"/>
      <c r="V154" s="604"/>
      <c r="W154" s="604"/>
      <c r="X154" s="604"/>
      <c r="Y154" s="604"/>
      <c r="Z154" s="604"/>
    </row>
    <row r="155" spans="1:28" ht="14.25" thickTop="1" thickBot="1">
      <c r="A155" s="575">
        <v>4</v>
      </c>
      <c r="B155" s="593" t="s">
        <v>486</v>
      </c>
      <c r="C155" s="593"/>
      <c r="D155" s="593"/>
      <c r="E155" s="593"/>
      <c r="F155" s="593"/>
      <c r="G155" s="1917"/>
      <c r="H155" s="1918"/>
      <c r="I155" s="1918"/>
      <c r="J155" s="1918"/>
      <c r="K155" s="1919"/>
      <c r="L155" s="1917"/>
      <c r="M155" s="1918"/>
      <c r="N155" s="1918"/>
      <c r="O155" s="1918"/>
      <c r="P155" s="1919"/>
      <c r="Q155" s="1917"/>
      <c r="R155" s="1918"/>
      <c r="S155" s="1918"/>
      <c r="T155" s="1918"/>
      <c r="U155" s="1919"/>
      <c r="V155" s="1920">
        <f>SUM(G155:U155)</f>
        <v>0</v>
      </c>
      <c r="W155" s="1921"/>
      <c r="X155" s="1921"/>
      <c r="Y155" s="1921"/>
      <c r="Z155" s="1922"/>
    </row>
    <row r="156" spans="1:28" ht="13.5" thickTop="1">
      <c r="A156" s="575"/>
      <c r="B156" s="576"/>
      <c r="C156" s="576"/>
      <c r="D156" s="576"/>
      <c r="E156" s="576"/>
      <c r="F156" s="576"/>
      <c r="G156" s="576"/>
      <c r="H156" s="576"/>
      <c r="I156" s="576"/>
      <c r="J156" s="576"/>
      <c r="K156" s="576"/>
      <c r="L156" s="576"/>
      <c r="M156" s="576"/>
      <c r="N156" s="576"/>
      <c r="O156" s="576"/>
      <c r="P156" s="576"/>
      <c r="Q156" s="576"/>
      <c r="R156" s="576"/>
      <c r="S156" s="576"/>
      <c r="T156" s="576"/>
      <c r="U156" s="576"/>
      <c r="V156" s="576"/>
      <c r="W156" s="576"/>
      <c r="X156" s="576"/>
      <c r="Y156" s="576"/>
      <c r="Z156" s="576"/>
    </row>
    <row r="157" spans="1:28" ht="13.5" thickBot="1">
      <c r="A157" s="575">
        <v>5</v>
      </c>
      <c r="B157" s="593" t="s">
        <v>487</v>
      </c>
      <c r="C157" s="593"/>
      <c r="D157" s="593"/>
      <c r="E157" s="593"/>
      <c r="F157" s="593"/>
      <c r="G157" s="576"/>
      <c r="H157" s="576"/>
      <c r="I157" s="576"/>
      <c r="J157" s="576"/>
      <c r="K157" s="576"/>
      <c r="L157" s="576"/>
      <c r="M157" s="576"/>
      <c r="N157" s="576"/>
      <c r="O157" s="576"/>
      <c r="P157" s="576"/>
      <c r="Q157" s="576"/>
      <c r="R157" s="576"/>
      <c r="S157" s="576"/>
      <c r="T157" s="576"/>
      <c r="U157" s="576"/>
      <c r="V157" s="576"/>
      <c r="W157" s="576"/>
      <c r="X157" s="576"/>
      <c r="Y157" s="576"/>
      <c r="Z157" s="576"/>
    </row>
    <row r="158" spans="1:28" ht="14.25" thickTop="1" thickBot="1">
      <c r="A158" s="575"/>
      <c r="B158" s="593" t="s">
        <v>488</v>
      </c>
      <c r="C158" s="593"/>
      <c r="D158" s="593"/>
      <c r="E158" s="593"/>
      <c r="F158" s="593"/>
      <c r="G158" s="1917"/>
      <c r="H158" s="1918"/>
      <c r="I158" s="1918"/>
      <c r="J158" s="1918"/>
      <c r="K158" s="1919"/>
      <c r="L158" s="1917"/>
      <c r="M158" s="1918"/>
      <c r="N158" s="1918"/>
      <c r="O158" s="1918"/>
      <c r="P158" s="1919"/>
      <c r="Q158" s="1917"/>
      <c r="R158" s="1918"/>
      <c r="S158" s="1918"/>
      <c r="T158" s="1918"/>
      <c r="U158" s="1919"/>
      <c r="V158" s="1920">
        <f>SUM(G158:U158)</f>
        <v>0</v>
      </c>
      <c r="W158" s="1921"/>
      <c r="X158" s="1921"/>
      <c r="Y158" s="1921"/>
      <c r="Z158" s="1922"/>
    </row>
    <row r="159" spans="1:28" ht="14.25" thickTop="1" thickBot="1">
      <c r="A159" s="575"/>
      <c r="B159" s="593" t="s">
        <v>489</v>
      </c>
      <c r="C159" s="593"/>
      <c r="D159" s="593"/>
      <c r="E159" s="593"/>
      <c r="F159" s="593"/>
      <c r="G159" s="1917"/>
      <c r="H159" s="1918"/>
      <c r="I159" s="1918"/>
      <c r="J159" s="1918"/>
      <c r="K159" s="1919"/>
      <c r="L159" s="1917"/>
      <c r="M159" s="1918"/>
      <c r="N159" s="1918"/>
      <c r="O159" s="1918"/>
      <c r="P159" s="1919"/>
      <c r="Q159" s="1917"/>
      <c r="R159" s="1918"/>
      <c r="S159" s="1918"/>
      <c r="T159" s="1918"/>
      <c r="U159" s="1919"/>
      <c r="V159" s="1920">
        <f>SUM(G159:U159)</f>
        <v>0</v>
      </c>
      <c r="W159" s="1921"/>
      <c r="X159" s="1921"/>
      <c r="Y159" s="1921"/>
      <c r="Z159" s="1922"/>
    </row>
    <row r="160" spans="1:28" ht="13.5" thickTop="1">
      <c r="A160" s="575"/>
      <c r="B160" s="576"/>
      <c r="C160" s="576"/>
      <c r="D160" s="576"/>
      <c r="E160" s="576"/>
      <c r="F160" s="576"/>
      <c r="G160" s="576"/>
      <c r="H160" s="576"/>
      <c r="I160" s="576"/>
      <c r="J160" s="576"/>
      <c r="K160" s="576"/>
      <c r="L160" s="576"/>
      <c r="M160" s="576"/>
      <c r="N160" s="576"/>
      <c r="O160" s="576"/>
      <c r="P160" s="576"/>
      <c r="Q160" s="576"/>
      <c r="R160" s="576"/>
      <c r="S160" s="576"/>
      <c r="T160" s="576"/>
      <c r="U160" s="576"/>
      <c r="V160" s="576"/>
      <c r="W160" s="576"/>
      <c r="X160" s="576"/>
      <c r="Y160" s="576"/>
      <c r="Z160" s="576"/>
    </row>
    <row r="161" spans="1:26" s="541" customFormat="1" ht="18" customHeight="1">
      <c r="A161" s="1903" t="s">
        <v>1347</v>
      </c>
      <c r="B161" s="1903"/>
      <c r="C161" s="1903"/>
      <c r="D161" s="1903"/>
      <c r="E161" s="1903"/>
      <c r="F161" s="1903"/>
      <c r="G161" s="1903"/>
      <c r="H161" s="1903"/>
      <c r="I161" s="1903" t="s">
        <v>394</v>
      </c>
      <c r="J161" s="1903"/>
      <c r="K161" s="1903"/>
      <c r="L161" s="1903"/>
      <c r="M161" s="1903"/>
      <c r="N161" s="1903"/>
      <c r="O161" s="1903"/>
      <c r="P161" s="1903"/>
      <c r="Q161" s="1903"/>
      <c r="R161" s="1903"/>
      <c r="S161" s="1903"/>
      <c r="T161" s="1903"/>
      <c r="U161" s="1903"/>
      <c r="V161" s="1903"/>
      <c r="W161" s="1903"/>
      <c r="X161" s="1903"/>
      <c r="Y161" s="1903"/>
      <c r="Z161" s="1903"/>
    </row>
    <row r="162" spans="1:26" ht="13.5" thickBot="1">
      <c r="A162" s="575"/>
      <c r="B162" s="576"/>
      <c r="C162" s="576"/>
      <c r="D162" s="576"/>
      <c r="E162" s="576"/>
      <c r="F162" s="576"/>
      <c r="G162" s="576"/>
      <c r="H162" s="576"/>
      <c r="I162" s="576"/>
      <c r="J162" s="576"/>
      <c r="K162" s="576"/>
      <c r="L162" s="576"/>
      <c r="M162" s="576"/>
      <c r="N162" s="576"/>
      <c r="O162" s="576"/>
      <c r="P162" s="576"/>
      <c r="Q162" s="576"/>
      <c r="R162" s="576"/>
      <c r="S162" s="576"/>
      <c r="T162" s="576"/>
      <c r="U162" s="576"/>
      <c r="V162" s="576"/>
      <c r="W162" s="576"/>
      <c r="X162" s="576"/>
      <c r="Y162" s="576"/>
      <c r="Z162" s="576"/>
    </row>
    <row r="163" spans="1:26" ht="14.25" thickTop="1" thickBot="1">
      <c r="A163" s="575"/>
      <c r="B163" s="576"/>
      <c r="C163" s="576"/>
      <c r="D163" s="576"/>
      <c r="E163" s="576"/>
      <c r="F163" s="576"/>
      <c r="G163" s="576"/>
      <c r="H163" s="576"/>
      <c r="I163" s="576"/>
      <c r="J163" s="576"/>
      <c r="K163" s="576"/>
      <c r="L163" s="1923" t="s">
        <v>490</v>
      </c>
      <c r="M163" s="1924"/>
      <c r="N163" s="1924"/>
      <c r="O163" s="1924"/>
      <c r="P163" s="1925"/>
      <c r="Q163" s="1926" t="s">
        <v>491</v>
      </c>
      <c r="R163" s="1926"/>
      <c r="S163" s="1926"/>
      <c r="T163" s="1926"/>
      <c r="U163" s="1926"/>
      <c r="V163" s="1926" t="s">
        <v>492</v>
      </c>
      <c r="W163" s="1926"/>
      <c r="X163" s="1926"/>
      <c r="Y163" s="1926"/>
      <c r="Z163" s="1926"/>
    </row>
    <row r="164" spans="1:26" ht="14.25" thickTop="1" thickBot="1">
      <c r="A164" s="575">
        <v>1</v>
      </c>
      <c r="B164" s="576" t="s">
        <v>493</v>
      </c>
      <c r="C164" s="576"/>
      <c r="D164" s="576"/>
      <c r="E164" s="576"/>
      <c r="F164" s="576"/>
      <c r="G164" s="576"/>
      <c r="H164" s="576"/>
      <c r="I164" s="576"/>
      <c r="J164" s="576"/>
      <c r="K164" s="576"/>
      <c r="L164" s="1917"/>
      <c r="M164" s="1918"/>
      <c r="N164" s="1918"/>
      <c r="O164" s="1918"/>
      <c r="P164" s="1919"/>
      <c r="Q164" s="1917"/>
      <c r="R164" s="1918"/>
      <c r="S164" s="1918"/>
      <c r="T164" s="1918"/>
      <c r="U164" s="1919"/>
      <c r="V164" s="1911">
        <f>L164-Q164</f>
        <v>0</v>
      </c>
      <c r="W164" s="1912"/>
      <c r="X164" s="1912"/>
      <c r="Y164" s="1912"/>
      <c r="Z164" s="1913"/>
    </row>
    <row r="165" spans="1:26" ht="14.25" thickTop="1" thickBot="1">
      <c r="A165" s="575">
        <v>2</v>
      </c>
      <c r="B165" s="576" t="s">
        <v>494</v>
      </c>
      <c r="C165" s="576"/>
      <c r="D165" s="576"/>
      <c r="E165" s="576"/>
      <c r="F165" s="576"/>
      <c r="G165" s="576"/>
      <c r="H165" s="576"/>
      <c r="I165" s="576"/>
      <c r="J165" s="576"/>
      <c r="K165" s="576"/>
      <c r="L165" s="1917"/>
      <c r="M165" s="1918"/>
      <c r="N165" s="1918"/>
      <c r="O165" s="1918"/>
      <c r="P165" s="1919"/>
      <c r="Q165" s="1917"/>
      <c r="R165" s="1918"/>
      <c r="S165" s="1918"/>
      <c r="T165" s="1918"/>
      <c r="U165" s="1919"/>
      <c r="V165" s="1911">
        <f t="shared" ref="V165:V169" si="3">L165-Q165</f>
        <v>0</v>
      </c>
      <c r="W165" s="1912"/>
      <c r="X165" s="1912"/>
      <c r="Y165" s="1912"/>
      <c r="Z165" s="1913"/>
    </row>
    <row r="166" spans="1:26" ht="14.25" thickTop="1" thickBot="1">
      <c r="A166" s="575">
        <v>3</v>
      </c>
      <c r="B166" s="576" t="s">
        <v>495</v>
      </c>
      <c r="C166" s="576"/>
      <c r="D166" s="576"/>
      <c r="E166" s="576"/>
      <c r="F166" s="576"/>
      <c r="G166" s="576"/>
      <c r="H166" s="576"/>
      <c r="I166" s="576"/>
      <c r="J166" s="576"/>
      <c r="K166" s="576"/>
      <c r="L166" s="1917"/>
      <c r="M166" s="1918"/>
      <c r="N166" s="1918"/>
      <c r="O166" s="1918"/>
      <c r="P166" s="1919"/>
      <c r="Q166" s="1917"/>
      <c r="R166" s="1918"/>
      <c r="S166" s="1918"/>
      <c r="T166" s="1918"/>
      <c r="U166" s="1919"/>
      <c r="V166" s="1911">
        <f t="shared" si="3"/>
        <v>0</v>
      </c>
      <c r="W166" s="1912"/>
      <c r="X166" s="1912"/>
      <c r="Y166" s="1912"/>
      <c r="Z166" s="1913"/>
    </row>
    <row r="167" spans="1:26" ht="14.25" thickTop="1" thickBot="1">
      <c r="A167" s="575">
        <v>4</v>
      </c>
      <c r="B167" s="576" t="s">
        <v>496</v>
      </c>
      <c r="C167" s="576"/>
      <c r="D167" s="576"/>
      <c r="E167" s="576"/>
      <c r="F167" s="576"/>
      <c r="G167" s="576"/>
      <c r="H167" s="576"/>
      <c r="I167" s="576"/>
      <c r="J167" s="576"/>
      <c r="K167" s="576"/>
      <c r="L167" s="1917"/>
      <c r="M167" s="1918"/>
      <c r="N167" s="1918"/>
      <c r="O167" s="1918"/>
      <c r="P167" s="1919"/>
      <c r="Q167" s="1917"/>
      <c r="R167" s="1918"/>
      <c r="S167" s="1918"/>
      <c r="T167" s="1918"/>
      <c r="U167" s="1919"/>
      <c r="V167" s="1911">
        <f t="shared" si="3"/>
        <v>0</v>
      </c>
      <c r="W167" s="1912"/>
      <c r="X167" s="1912"/>
      <c r="Y167" s="1912"/>
      <c r="Z167" s="1913"/>
    </row>
    <row r="168" spans="1:26" ht="14.25" thickTop="1" thickBot="1">
      <c r="A168" s="575">
        <v>5</v>
      </c>
      <c r="B168" s="576" t="s">
        <v>497</v>
      </c>
      <c r="C168" s="576"/>
      <c r="D168" s="576"/>
      <c r="E168" s="576"/>
      <c r="F168" s="576"/>
      <c r="G168" s="576"/>
      <c r="H168" s="576"/>
      <c r="I168" s="576"/>
      <c r="J168" s="576"/>
      <c r="K168" s="576"/>
      <c r="L168" s="1917"/>
      <c r="M168" s="1918"/>
      <c r="N168" s="1918"/>
      <c r="O168" s="1918"/>
      <c r="P168" s="1919"/>
      <c r="Q168" s="1917"/>
      <c r="R168" s="1918"/>
      <c r="S168" s="1918"/>
      <c r="T168" s="1918"/>
      <c r="U168" s="1919"/>
      <c r="V168" s="1911">
        <f t="shared" si="3"/>
        <v>0</v>
      </c>
      <c r="W168" s="1912"/>
      <c r="X168" s="1912"/>
      <c r="Y168" s="1912"/>
      <c r="Z168" s="1913"/>
    </row>
    <row r="169" spans="1:26" ht="14.25" thickTop="1" thickBot="1">
      <c r="A169" s="575">
        <v>6</v>
      </c>
      <c r="B169" s="576" t="s">
        <v>498</v>
      </c>
      <c r="C169" s="576"/>
      <c r="D169" s="576"/>
      <c r="E169" s="576"/>
      <c r="F169" s="576"/>
      <c r="G169" s="576"/>
      <c r="H169" s="576"/>
      <c r="I169" s="576"/>
      <c r="J169" s="576"/>
      <c r="K169" s="576"/>
      <c r="L169" s="1917"/>
      <c r="M169" s="1918"/>
      <c r="N169" s="1918"/>
      <c r="O169" s="1918"/>
      <c r="P169" s="1919"/>
      <c r="Q169" s="1917"/>
      <c r="R169" s="1918"/>
      <c r="S169" s="1918"/>
      <c r="T169" s="1918"/>
      <c r="U169" s="1919"/>
      <c r="V169" s="1911">
        <f t="shared" si="3"/>
        <v>0</v>
      </c>
      <c r="W169" s="1912"/>
      <c r="X169" s="1912"/>
      <c r="Y169" s="1912"/>
      <c r="Z169" s="1913"/>
    </row>
    <row r="170" spans="1:26" ht="14.25" thickTop="1" thickBot="1">
      <c r="A170" s="575"/>
      <c r="B170" s="576"/>
      <c r="C170" s="576"/>
      <c r="D170" s="576"/>
      <c r="E170" s="576"/>
      <c r="F170" s="576"/>
      <c r="G170" s="576"/>
      <c r="H170" s="576"/>
      <c r="I170" s="576"/>
      <c r="J170" s="576"/>
      <c r="K170" s="576"/>
      <c r="L170" s="605"/>
      <c r="M170" s="605"/>
      <c r="N170" s="605"/>
      <c r="O170" s="605"/>
      <c r="P170" s="605"/>
      <c r="Q170" s="605"/>
      <c r="R170" s="605"/>
      <c r="S170" s="605"/>
      <c r="T170" s="605"/>
      <c r="U170" s="605"/>
      <c r="V170" s="1749"/>
      <c r="W170" s="1749"/>
      <c r="X170" s="1749"/>
      <c r="Y170" s="1749"/>
      <c r="Z170" s="1749"/>
    </row>
    <row r="171" spans="1:26" ht="14.25" thickTop="1" thickBot="1">
      <c r="A171" s="575"/>
      <c r="B171" s="576" t="s">
        <v>499</v>
      </c>
      <c r="C171" s="576"/>
      <c r="D171" s="576"/>
      <c r="E171" s="576"/>
      <c r="F171" s="576"/>
      <c r="G171" s="576"/>
      <c r="H171" s="576"/>
      <c r="I171" s="576"/>
      <c r="J171" s="576"/>
      <c r="K171" s="576"/>
      <c r="L171" s="1908">
        <f>SUM(L164:P169)</f>
        <v>0</v>
      </c>
      <c r="M171" s="1909"/>
      <c r="N171" s="1909"/>
      <c r="O171" s="1909"/>
      <c r="P171" s="1910"/>
      <c r="Q171" s="1908">
        <f>SUM(Q164:U169)</f>
        <v>0</v>
      </c>
      <c r="R171" s="1909"/>
      <c r="S171" s="1909"/>
      <c r="T171" s="1909"/>
      <c r="U171" s="1910"/>
      <c r="V171" s="1911">
        <f>L171-Q171</f>
        <v>0</v>
      </c>
      <c r="W171" s="1912"/>
      <c r="X171" s="1912"/>
      <c r="Y171" s="1912"/>
      <c r="Z171" s="1913"/>
    </row>
    <row r="172" spans="1:26" ht="14.25" thickTop="1" thickBot="1">
      <c r="A172" s="575"/>
      <c r="B172" s="576"/>
      <c r="C172" s="576"/>
      <c r="D172" s="576"/>
      <c r="E172" s="576"/>
      <c r="F172" s="576"/>
      <c r="G172" s="576"/>
      <c r="H172" s="576"/>
      <c r="I172" s="576"/>
      <c r="J172" s="576"/>
      <c r="K172" s="576"/>
      <c r="L172" s="576"/>
      <c r="M172" s="576"/>
      <c r="N172" s="576"/>
      <c r="O172" s="576"/>
      <c r="P172" s="576"/>
      <c r="Q172" s="576"/>
      <c r="R172" s="576"/>
      <c r="S172" s="576"/>
      <c r="T172" s="576"/>
      <c r="U172" s="576"/>
      <c r="V172" s="1750"/>
      <c r="W172" s="1750"/>
      <c r="X172" s="1750"/>
      <c r="Y172" s="1750"/>
      <c r="Z172" s="1750"/>
    </row>
    <row r="173" spans="1:26" ht="14.25" thickTop="1" thickBot="1">
      <c r="A173" s="575">
        <v>7</v>
      </c>
      <c r="B173" s="576" t="s">
        <v>500</v>
      </c>
      <c r="C173" s="576"/>
      <c r="D173" s="576"/>
      <c r="E173" s="576"/>
      <c r="F173" s="576"/>
      <c r="G173" s="576"/>
      <c r="H173" s="576"/>
      <c r="I173" s="576"/>
      <c r="J173" s="576"/>
      <c r="K173" s="576"/>
      <c r="L173" s="1914">
        <v>0</v>
      </c>
      <c r="M173" s="1915"/>
      <c r="N173" s="1915"/>
      <c r="O173" s="1915"/>
      <c r="P173" s="1916"/>
      <c r="Q173" s="1914">
        <v>0</v>
      </c>
      <c r="R173" s="1915"/>
      <c r="S173" s="1915"/>
      <c r="T173" s="1915"/>
      <c r="U173" s="1916"/>
      <c r="V173" s="1911">
        <f>L173-Q173</f>
        <v>0</v>
      </c>
      <c r="W173" s="1912"/>
      <c r="X173" s="1912"/>
      <c r="Y173" s="1912"/>
      <c r="Z173" s="1913"/>
    </row>
    <row r="174" spans="1:26" ht="14.25" thickTop="1" thickBot="1">
      <c r="A174" s="575">
        <v>8</v>
      </c>
      <c r="B174" s="576" t="s">
        <v>501</v>
      </c>
      <c r="C174" s="576"/>
      <c r="D174" s="576"/>
      <c r="E174" s="576"/>
      <c r="F174" s="576"/>
      <c r="G174" s="576"/>
      <c r="H174" s="576"/>
      <c r="I174" s="576"/>
      <c r="J174" s="576"/>
      <c r="K174" s="576"/>
      <c r="L174" s="576"/>
      <c r="M174" s="576"/>
      <c r="N174" s="576"/>
      <c r="O174" s="576"/>
      <c r="P174" s="576"/>
      <c r="Q174" s="576"/>
      <c r="R174" s="576"/>
      <c r="S174" s="576"/>
      <c r="T174" s="576"/>
      <c r="U174" s="576"/>
      <c r="V174" s="1900"/>
      <c r="W174" s="1901"/>
      <c r="X174" s="1901"/>
      <c r="Y174" s="1901"/>
      <c r="Z174" s="1902"/>
    </row>
    <row r="175" spans="1:26" ht="13.5" thickTop="1">
      <c r="A175" s="575"/>
      <c r="B175" s="576"/>
      <c r="C175" s="576"/>
      <c r="D175" s="576"/>
      <c r="E175" s="576"/>
      <c r="F175" s="576"/>
      <c r="G175" s="576"/>
      <c r="H175" s="576"/>
      <c r="I175" s="576"/>
      <c r="J175" s="576"/>
      <c r="K175" s="576"/>
      <c r="L175" s="576"/>
      <c r="M175" s="576"/>
      <c r="N175" s="576"/>
      <c r="O175" s="576"/>
      <c r="P175" s="576"/>
      <c r="Q175" s="576"/>
      <c r="R175" s="576"/>
      <c r="S175" s="576"/>
      <c r="T175" s="576"/>
      <c r="U175" s="576"/>
      <c r="V175" s="576"/>
      <c r="W175" s="576"/>
      <c r="X175" s="576"/>
      <c r="Y175" s="576"/>
      <c r="Z175" s="576"/>
    </row>
    <row r="176" spans="1:26" s="541" customFormat="1" ht="18" customHeight="1">
      <c r="A176" s="1903" t="s">
        <v>1348</v>
      </c>
      <c r="B176" s="1903"/>
      <c r="C176" s="1903"/>
      <c r="D176" s="1903"/>
      <c r="E176" s="1903"/>
      <c r="F176" s="1903"/>
      <c r="G176" s="1903"/>
      <c r="H176" s="1903"/>
      <c r="I176" s="1903"/>
      <c r="J176" s="1903"/>
      <c r="K176" s="1903"/>
      <c r="L176" s="1903"/>
      <c r="M176" s="1903"/>
      <c r="N176" s="1903"/>
      <c r="O176" s="1903"/>
      <c r="P176" s="1903"/>
      <c r="Q176" s="1903"/>
      <c r="R176" s="1903"/>
      <c r="S176" s="1903"/>
      <c r="T176" s="1903"/>
      <c r="U176" s="1903"/>
      <c r="V176" s="1903"/>
      <c r="W176" s="1903"/>
      <c r="X176" s="1903"/>
      <c r="Y176" s="1903"/>
      <c r="Z176" s="1903"/>
    </row>
    <row r="177" spans="1:26" ht="13.5" thickBot="1">
      <c r="A177" s="555"/>
      <c r="B177" s="553"/>
      <c r="C177" s="553"/>
      <c r="D177" s="553"/>
      <c r="E177" s="553"/>
      <c r="F177" s="553" t="s">
        <v>381</v>
      </c>
      <c r="G177" s="553"/>
      <c r="H177" s="553"/>
      <c r="I177" s="553"/>
      <c r="J177" s="553"/>
      <c r="K177" s="553"/>
      <c r="L177" s="553"/>
      <c r="M177" s="553"/>
      <c r="N177" s="553"/>
      <c r="O177" s="553"/>
      <c r="P177" s="553"/>
      <c r="Q177" s="553"/>
      <c r="R177" s="553"/>
      <c r="S177" s="553"/>
      <c r="T177" s="553"/>
      <c r="U177" s="553"/>
      <c r="V177" s="553"/>
      <c r="W177" s="553"/>
      <c r="X177" s="553"/>
      <c r="Y177" s="553"/>
      <c r="Z177" s="553"/>
    </row>
    <row r="178" spans="1:26" ht="14.25" thickTop="1" thickBot="1">
      <c r="A178" s="555"/>
      <c r="B178" s="553"/>
      <c r="C178" s="553"/>
      <c r="D178" s="553"/>
      <c r="E178" s="553"/>
      <c r="F178" s="553"/>
      <c r="G178" s="553"/>
      <c r="H178" s="553"/>
      <c r="I178" s="553"/>
      <c r="J178" s="553"/>
      <c r="K178" s="553"/>
      <c r="L178" s="553"/>
      <c r="M178" s="553"/>
      <c r="N178" s="553"/>
      <c r="O178" s="1894" t="s">
        <v>490</v>
      </c>
      <c r="P178" s="1895"/>
      <c r="Q178" s="1895"/>
      <c r="R178" s="1895"/>
      <c r="S178" s="1896"/>
      <c r="T178" s="1904" t="s">
        <v>502</v>
      </c>
      <c r="U178" s="1904"/>
      <c r="V178" s="1904"/>
      <c r="W178" s="1904"/>
      <c r="X178" s="1904"/>
      <c r="Y178" s="553"/>
      <c r="Z178" s="553"/>
    </row>
    <row r="179" spans="1:26" ht="17.25" thickTop="1" thickBot="1">
      <c r="A179" s="555"/>
      <c r="B179" s="606" t="s">
        <v>503</v>
      </c>
      <c r="C179" s="606"/>
      <c r="D179" s="606"/>
      <c r="E179" s="606"/>
      <c r="F179" s="606"/>
      <c r="G179" s="606"/>
      <c r="H179" s="606"/>
      <c r="I179" s="606"/>
      <c r="J179" s="606"/>
      <c r="K179" s="606"/>
      <c r="L179" s="607"/>
      <c r="M179" s="553"/>
      <c r="N179" s="553"/>
      <c r="O179" s="553"/>
      <c r="P179" s="553"/>
      <c r="Q179" s="553"/>
      <c r="R179" s="553"/>
      <c r="S179" s="553"/>
      <c r="T179" s="553"/>
      <c r="U179" s="553"/>
      <c r="V179" s="553"/>
      <c r="W179" s="553"/>
      <c r="X179" s="553"/>
      <c r="Y179" s="553"/>
      <c r="Z179" s="553"/>
    </row>
    <row r="180" spans="1:26" ht="14.25" thickTop="1" thickBot="1">
      <c r="A180" s="555">
        <v>1</v>
      </c>
      <c r="B180" s="553" t="s">
        <v>504</v>
      </c>
      <c r="C180" s="553"/>
      <c r="D180" s="553"/>
      <c r="E180" s="553"/>
      <c r="F180" s="553"/>
      <c r="G180" s="553"/>
      <c r="H180" s="553"/>
      <c r="I180" s="553"/>
      <c r="J180" s="553"/>
      <c r="K180" s="553"/>
      <c r="L180" s="553"/>
      <c r="M180" s="553"/>
      <c r="N180" s="553"/>
      <c r="O180" s="1879">
        <v>0</v>
      </c>
      <c r="P180" s="1880"/>
      <c r="Q180" s="1880"/>
      <c r="R180" s="1880"/>
      <c r="S180" s="1881"/>
      <c r="T180" s="1905">
        <f>O180*20%</f>
        <v>0</v>
      </c>
      <c r="U180" s="1906"/>
      <c r="V180" s="1906"/>
      <c r="W180" s="1906"/>
      <c r="X180" s="1907"/>
      <c r="Y180" s="553"/>
      <c r="Z180" s="553"/>
    </row>
    <row r="181" spans="1:26" ht="14.25" thickTop="1" thickBot="1">
      <c r="A181" s="555">
        <v>2</v>
      </c>
      <c r="B181" s="553" t="s">
        <v>505</v>
      </c>
      <c r="C181" s="553"/>
      <c r="D181" s="553"/>
      <c r="E181" s="553"/>
      <c r="F181" s="553"/>
      <c r="G181" s="553"/>
      <c r="H181" s="553"/>
      <c r="I181" s="553"/>
      <c r="J181" s="553"/>
      <c r="K181" s="553"/>
      <c r="L181" s="553"/>
      <c r="M181" s="553"/>
      <c r="N181" s="553"/>
      <c r="O181" s="1879"/>
      <c r="P181" s="1880"/>
      <c r="Q181" s="1880"/>
      <c r="R181" s="1880"/>
      <c r="S181" s="1881"/>
      <c r="T181" s="1879"/>
      <c r="U181" s="1880"/>
      <c r="V181" s="1880"/>
      <c r="W181" s="1880"/>
      <c r="X181" s="1881"/>
      <c r="Y181" s="553"/>
      <c r="Z181" s="553"/>
    </row>
    <row r="182" spans="1:26" ht="14.25" thickTop="1" thickBot="1">
      <c r="A182" s="555">
        <v>3</v>
      </c>
      <c r="B182" s="553" t="s">
        <v>506</v>
      </c>
      <c r="C182" s="553"/>
      <c r="D182" s="553"/>
      <c r="E182" s="553"/>
      <c r="F182" s="553"/>
      <c r="G182" s="553"/>
      <c r="H182" s="553"/>
      <c r="I182" s="553"/>
      <c r="J182" s="553"/>
      <c r="K182" s="553"/>
      <c r="L182" s="553"/>
      <c r="M182" s="553"/>
      <c r="N182" s="553"/>
      <c r="O182" s="1879">
        <v>0</v>
      </c>
      <c r="P182" s="1880"/>
      <c r="Q182" s="1880"/>
      <c r="R182" s="1880"/>
      <c r="S182" s="1881"/>
      <c r="T182" s="1879"/>
      <c r="U182" s="1880"/>
      <c r="V182" s="1880"/>
      <c r="W182" s="1880"/>
      <c r="X182" s="1881"/>
      <c r="Y182" s="553"/>
      <c r="Z182" s="553"/>
    </row>
    <row r="183" spans="1:26" ht="14.25" thickTop="1" thickBot="1">
      <c r="A183" s="555">
        <v>4</v>
      </c>
      <c r="B183" s="553" t="s">
        <v>507</v>
      </c>
      <c r="C183" s="553"/>
      <c r="D183" s="553"/>
      <c r="E183" s="553"/>
      <c r="F183" s="553"/>
      <c r="G183" s="553"/>
      <c r="H183" s="553"/>
      <c r="I183" s="553"/>
      <c r="J183" s="553"/>
      <c r="K183" s="553"/>
      <c r="L183" s="553"/>
      <c r="M183" s="553"/>
      <c r="N183" s="553"/>
      <c r="O183" s="1879">
        <v>0</v>
      </c>
      <c r="P183" s="1880"/>
      <c r="Q183" s="1880"/>
      <c r="R183" s="1880"/>
      <c r="S183" s="1881"/>
      <c r="T183" s="1879"/>
      <c r="U183" s="1880"/>
      <c r="V183" s="1880"/>
      <c r="W183" s="1880"/>
      <c r="X183" s="1881"/>
      <c r="Y183" s="553"/>
      <c r="Z183" s="553"/>
    </row>
    <row r="184" spans="1:26" ht="14.25" thickTop="1" thickBot="1">
      <c r="A184" s="555">
        <v>5</v>
      </c>
      <c r="B184" s="553" t="s">
        <v>508</v>
      </c>
      <c r="C184" s="553"/>
      <c r="D184" s="553"/>
      <c r="E184" s="553"/>
      <c r="F184" s="553"/>
      <c r="G184" s="553"/>
      <c r="H184" s="553"/>
      <c r="I184" s="553"/>
      <c r="J184" s="553"/>
      <c r="K184" s="553"/>
      <c r="L184" s="553"/>
      <c r="M184" s="553"/>
      <c r="N184" s="553"/>
      <c r="O184" s="1879">
        <v>0</v>
      </c>
      <c r="P184" s="1880"/>
      <c r="Q184" s="1880"/>
      <c r="R184" s="1880"/>
      <c r="S184" s="1881"/>
      <c r="T184" s="1879"/>
      <c r="U184" s="1880"/>
      <c r="V184" s="1880"/>
      <c r="W184" s="1880"/>
      <c r="X184" s="1881"/>
      <c r="Y184" s="553"/>
      <c r="Z184" s="553"/>
    </row>
    <row r="185" spans="1:26" ht="14.25" thickTop="1" thickBot="1">
      <c r="A185" s="555">
        <v>6</v>
      </c>
      <c r="B185" s="553" t="s">
        <v>509</v>
      </c>
      <c r="C185" s="553"/>
      <c r="D185" s="553"/>
      <c r="E185" s="553"/>
      <c r="F185" s="553"/>
      <c r="G185" s="553"/>
      <c r="H185" s="553"/>
      <c r="I185" s="553"/>
      <c r="J185" s="553"/>
      <c r="K185" s="553"/>
      <c r="L185" s="553"/>
      <c r="M185" s="553"/>
      <c r="N185" s="553"/>
      <c r="O185" s="1879">
        <v>0</v>
      </c>
      <c r="P185" s="1880"/>
      <c r="Q185" s="1880"/>
      <c r="R185" s="1880"/>
      <c r="S185" s="1881"/>
      <c r="T185" s="1879"/>
      <c r="U185" s="1880"/>
      <c r="V185" s="1880"/>
      <c r="W185" s="1880"/>
      <c r="X185" s="1881"/>
      <c r="Y185" s="553"/>
      <c r="Z185" s="553"/>
    </row>
    <row r="186" spans="1:26" ht="14.25" thickTop="1" thickBot="1">
      <c r="A186" s="555">
        <v>7</v>
      </c>
      <c r="B186" s="553" t="s">
        <v>510</v>
      </c>
      <c r="C186" s="553"/>
      <c r="D186" s="553"/>
      <c r="E186" s="553"/>
      <c r="F186" s="553"/>
      <c r="G186" s="553"/>
      <c r="H186" s="553"/>
      <c r="I186" s="553"/>
      <c r="J186" s="553"/>
      <c r="K186" s="553"/>
      <c r="L186" s="553"/>
      <c r="M186" s="553"/>
      <c r="N186" s="553"/>
      <c r="O186" s="1879">
        <v>0</v>
      </c>
      <c r="P186" s="1880"/>
      <c r="Q186" s="1880"/>
      <c r="R186" s="1880"/>
      <c r="S186" s="1881"/>
      <c r="T186" s="1879"/>
      <c r="U186" s="1880"/>
      <c r="V186" s="1880"/>
      <c r="W186" s="1880"/>
      <c r="X186" s="1881"/>
      <c r="Y186" s="553"/>
      <c r="Z186" s="553"/>
    </row>
    <row r="187" spans="1:26" ht="14.25" thickTop="1" thickBot="1">
      <c r="A187" s="555">
        <v>8</v>
      </c>
      <c r="B187" s="553" t="s">
        <v>511</v>
      </c>
      <c r="C187" s="553"/>
      <c r="D187" s="553"/>
      <c r="E187" s="553"/>
      <c r="F187" s="553"/>
      <c r="G187" s="553"/>
      <c r="H187" s="553"/>
      <c r="I187" s="553"/>
      <c r="J187" s="553"/>
      <c r="K187" s="553"/>
      <c r="L187" s="553"/>
      <c r="M187" s="553"/>
      <c r="N187" s="553"/>
      <c r="O187" s="1879">
        <v>0</v>
      </c>
      <c r="P187" s="1880"/>
      <c r="Q187" s="1880"/>
      <c r="R187" s="1880"/>
      <c r="S187" s="1881"/>
      <c r="T187" s="1879"/>
      <c r="U187" s="1880"/>
      <c r="V187" s="1880"/>
      <c r="W187" s="1880"/>
      <c r="X187" s="1881"/>
      <c r="Y187" s="553"/>
      <c r="Z187" s="553"/>
    </row>
    <row r="188" spans="1:26" ht="14.25" thickTop="1" thickBot="1">
      <c r="A188" s="555">
        <v>9</v>
      </c>
      <c r="B188" s="553" t="s">
        <v>512</v>
      </c>
      <c r="C188" s="553"/>
      <c r="D188" s="553"/>
      <c r="E188" s="553"/>
      <c r="F188" s="553"/>
      <c r="G188" s="553"/>
      <c r="H188" s="553"/>
      <c r="I188" s="553"/>
      <c r="J188" s="553"/>
      <c r="K188" s="553"/>
      <c r="L188" s="553"/>
      <c r="M188" s="553"/>
      <c r="N188" s="553"/>
      <c r="O188" s="1879">
        <v>0</v>
      </c>
      <c r="P188" s="1880"/>
      <c r="Q188" s="1880"/>
      <c r="R188" s="1880"/>
      <c r="S188" s="1881"/>
      <c r="T188" s="1879"/>
      <c r="U188" s="1880"/>
      <c r="V188" s="1880"/>
      <c r="W188" s="1880"/>
      <c r="X188" s="1881"/>
      <c r="Y188" s="553"/>
      <c r="Z188" s="553"/>
    </row>
    <row r="189" spans="1:26" ht="14.25" thickTop="1" thickBot="1">
      <c r="A189" s="555">
        <v>10</v>
      </c>
      <c r="B189" s="564" t="s">
        <v>513</v>
      </c>
      <c r="C189" s="553"/>
      <c r="D189" s="553"/>
      <c r="E189" s="553"/>
      <c r="F189" s="553"/>
      <c r="G189" s="553"/>
      <c r="H189" s="553"/>
      <c r="I189" s="553"/>
      <c r="J189" s="553"/>
      <c r="K189" s="553"/>
      <c r="L189" s="553"/>
      <c r="M189" s="553"/>
      <c r="N189" s="553"/>
      <c r="O189" s="1879">
        <v>0</v>
      </c>
      <c r="P189" s="1880"/>
      <c r="Q189" s="1880"/>
      <c r="R189" s="1880"/>
      <c r="S189" s="1881"/>
      <c r="T189" s="1879"/>
      <c r="U189" s="1880"/>
      <c r="V189" s="1880"/>
      <c r="W189" s="1880"/>
      <c r="X189" s="1881"/>
      <c r="Y189" s="553"/>
      <c r="Z189" s="553"/>
    </row>
    <row r="190" spans="1:26" ht="14.25" thickTop="1" thickBot="1">
      <c r="A190" s="555">
        <v>11</v>
      </c>
      <c r="B190" s="553" t="s">
        <v>514</v>
      </c>
      <c r="C190" s="553"/>
      <c r="D190" s="553"/>
      <c r="E190" s="553"/>
      <c r="F190" s="553"/>
      <c r="G190" s="553"/>
      <c r="H190" s="553"/>
      <c r="I190" s="553"/>
      <c r="J190" s="553"/>
      <c r="K190" s="553"/>
      <c r="L190" s="553"/>
      <c r="M190" s="553"/>
      <c r="N190" s="553"/>
      <c r="O190" s="1897"/>
      <c r="P190" s="1898"/>
      <c r="Q190" s="1898"/>
      <c r="R190" s="1898"/>
      <c r="S190" s="1899"/>
      <c r="T190" s="1897"/>
      <c r="U190" s="1898"/>
      <c r="V190" s="1898"/>
      <c r="W190" s="1898"/>
      <c r="X190" s="1899"/>
      <c r="Y190" s="553"/>
      <c r="Z190" s="553"/>
    </row>
    <row r="191" spans="1:26" ht="14.25" thickTop="1" thickBot="1">
      <c r="A191" s="555">
        <v>12</v>
      </c>
      <c r="B191" s="553" t="s">
        <v>515</v>
      </c>
      <c r="C191" s="553"/>
      <c r="D191" s="553"/>
      <c r="E191" s="553"/>
      <c r="F191" s="553"/>
      <c r="G191" s="553"/>
      <c r="H191" s="553"/>
      <c r="I191" s="553"/>
      <c r="J191" s="553"/>
      <c r="K191" s="553"/>
      <c r="L191" s="553"/>
      <c r="M191" s="553"/>
      <c r="N191" s="553"/>
      <c r="O191" s="1879">
        <v>0</v>
      </c>
      <c r="P191" s="1880"/>
      <c r="Q191" s="1880"/>
      <c r="R191" s="1880"/>
      <c r="S191" s="1881"/>
      <c r="T191" s="1879"/>
      <c r="U191" s="1880"/>
      <c r="V191" s="1880"/>
      <c r="W191" s="1880"/>
      <c r="X191" s="1881"/>
      <c r="Y191" s="553"/>
      <c r="Z191" s="553"/>
    </row>
    <row r="192" spans="1:26" ht="14.25" thickTop="1" thickBot="1">
      <c r="A192" s="555">
        <v>13</v>
      </c>
      <c r="B192" s="553" t="s">
        <v>516</v>
      </c>
      <c r="C192" s="553"/>
      <c r="D192" s="553"/>
      <c r="E192" s="553"/>
      <c r="F192" s="553"/>
      <c r="G192" s="553"/>
      <c r="H192" s="553"/>
      <c r="I192" s="553"/>
      <c r="J192" s="553"/>
      <c r="K192" s="553"/>
      <c r="L192" s="553"/>
      <c r="M192" s="553"/>
      <c r="N192" s="553"/>
      <c r="O192" s="1879">
        <v>0</v>
      </c>
      <c r="P192" s="1880"/>
      <c r="Q192" s="1880"/>
      <c r="R192" s="1880"/>
      <c r="S192" s="1881"/>
      <c r="T192" s="1879"/>
      <c r="U192" s="1880"/>
      <c r="V192" s="1880"/>
      <c r="W192" s="1880"/>
      <c r="X192" s="1881"/>
      <c r="Y192" s="553"/>
      <c r="Z192" s="553"/>
    </row>
    <row r="193" spans="1:26" ht="14.25" thickTop="1" thickBot="1">
      <c r="A193" s="555">
        <v>14</v>
      </c>
      <c r="B193" s="553" t="s">
        <v>517</v>
      </c>
      <c r="C193" s="553"/>
      <c r="D193" s="553"/>
      <c r="E193" s="553"/>
      <c r="F193" s="553"/>
      <c r="G193" s="553"/>
      <c r="H193" s="553"/>
      <c r="I193" s="553"/>
      <c r="J193" s="553"/>
      <c r="K193" s="553"/>
      <c r="L193" s="553"/>
      <c r="M193" s="553"/>
      <c r="N193" s="553"/>
      <c r="O193" s="1886">
        <v>0</v>
      </c>
      <c r="P193" s="1887"/>
      <c r="Q193" s="1887"/>
      <c r="R193" s="1887"/>
      <c r="S193" s="1888"/>
      <c r="T193" s="1886"/>
      <c r="U193" s="1887"/>
      <c r="V193" s="1887"/>
      <c r="W193" s="1887"/>
      <c r="X193" s="1888"/>
      <c r="Y193" s="553"/>
      <c r="Z193" s="553"/>
    </row>
    <row r="194" spans="1:26" ht="14.25" thickTop="1" thickBot="1">
      <c r="A194" s="555">
        <v>15</v>
      </c>
      <c r="B194" s="553" t="s">
        <v>1316</v>
      </c>
      <c r="C194" s="553"/>
      <c r="D194" s="553"/>
      <c r="E194" s="553"/>
      <c r="F194" s="553"/>
      <c r="G194" s="553"/>
      <c r="H194" s="553"/>
      <c r="I194" s="553"/>
      <c r="J194" s="553"/>
      <c r="K194" s="553"/>
      <c r="L194" s="553"/>
      <c r="M194" s="553"/>
      <c r="N194" s="553"/>
      <c r="O194" s="1889"/>
      <c r="P194" s="1889"/>
      <c r="Q194" s="1889"/>
      <c r="R194" s="1889"/>
      <c r="S194" s="1889"/>
      <c r="T194" s="1889"/>
      <c r="U194" s="1889"/>
      <c r="V194" s="1889"/>
      <c r="W194" s="1889"/>
      <c r="X194" s="1889"/>
      <c r="Y194" s="553"/>
      <c r="Z194" s="553"/>
    </row>
    <row r="195" spans="1:26" ht="14.25" thickTop="1" thickBot="1">
      <c r="A195" s="555">
        <v>16</v>
      </c>
      <c r="B195" s="553" t="s">
        <v>1317</v>
      </c>
      <c r="C195" s="553"/>
      <c r="D195" s="553"/>
      <c r="E195" s="553"/>
      <c r="F195" s="553"/>
      <c r="G195" s="553"/>
      <c r="H195" s="553"/>
      <c r="I195" s="553"/>
      <c r="J195" s="553"/>
      <c r="K195" s="553"/>
      <c r="L195" s="553"/>
      <c r="M195" s="553"/>
      <c r="N195" s="553"/>
      <c r="O195" s="1889"/>
      <c r="P195" s="1889"/>
      <c r="Q195" s="1889"/>
      <c r="R195" s="1889"/>
      <c r="S195" s="1889"/>
      <c r="T195" s="1889"/>
      <c r="U195" s="1889"/>
      <c r="V195" s="1889"/>
      <c r="W195" s="1889"/>
      <c r="X195" s="1889"/>
      <c r="Y195" s="553"/>
      <c r="Z195" s="553"/>
    </row>
    <row r="196" spans="1:26" ht="14.25" thickTop="1" thickBot="1">
      <c r="A196" s="555"/>
      <c r="B196" s="553"/>
      <c r="C196" s="553"/>
      <c r="D196" s="553"/>
      <c r="E196" s="553"/>
      <c r="F196" s="553"/>
      <c r="G196" s="553"/>
      <c r="H196" s="553"/>
      <c r="I196" s="553"/>
      <c r="J196" s="553"/>
      <c r="K196" s="553"/>
      <c r="L196" s="553"/>
      <c r="M196" s="553"/>
      <c r="N196" s="553"/>
      <c r="O196" s="553"/>
      <c r="P196" s="553"/>
      <c r="Q196" s="553"/>
      <c r="R196" s="553"/>
      <c r="S196" s="553"/>
      <c r="T196" s="553"/>
      <c r="U196" s="553"/>
      <c r="V196" s="1561"/>
      <c r="W196" s="553"/>
      <c r="X196" s="553"/>
      <c r="Y196" s="553"/>
      <c r="Z196" s="553"/>
    </row>
    <row r="197" spans="1:26" ht="14.25" thickTop="1" thickBot="1">
      <c r="A197" s="555"/>
      <c r="B197" s="553" t="s">
        <v>499</v>
      </c>
      <c r="C197" s="553"/>
      <c r="D197" s="553"/>
      <c r="E197" s="553"/>
      <c r="F197" s="553"/>
      <c r="G197" s="553"/>
      <c r="H197" s="553"/>
      <c r="I197" s="553"/>
      <c r="J197" s="553"/>
      <c r="K197" s="553"/>
      <c r="L197" s="553"/>
      <c r="M197" s="553"/>
      <c r="N197" s="553"/>
      <c r="O197" s="1890">
        <f>SUM(O180:S195)</f>
        <v>0</v>
      </c>
      <c r="P197" s="1891"/>
      <c r="Q197" s="1891"/>
      <c r="R197" s="1891"/>
      <c r="S197" s="1892"/>
      <c r="T197" s="1890">
        <f>SUM(T180:X195)</f>
        <v>0</v>
      </c>
      <c r="U197" s="1891"/>
      <c r="V197" s="1891"/>
      <c r="W197" s="1891"/>
      <c r="X197" s="1892"/>
      <c r="Y197" s="553"/>
      <c r="Z197" s="553"/>
    </row>
    <row r="198" spans="1:26" ht="13.5" thickTop="1">
      <c r="A198" s="555"/>
      <c r="B198" s="553"/>
      <c r="C198" s="553"/>
      <c r="D198" s="553"/>
      <c r="E198" s="553"/>
      <c r="F198" s="553"/>
      <c r="G198" s="553"/>
      <c r="H198" s="553"/>
      <c r="I198" s="553"/>
      <c r="J198" s="594"/>
      <c r="K198" s="594"/>
      <c r="L198" s="594"/>
      <c r="M198" s="594"/>
      <c r="N198" s="594"/>
      <c r="O198" s="605"/>
      <c r="P198" s="605"/>
      <c r="Q198" s="605"/>
      <c r="R198" s="605"/>
      <c r="S198" s="605"/>
      <c r="T198" s="605"/>
      <c r="U198" s="605"/>
      <c r="V198" s="605"/>
      <c r="W198" s="605"/>
      <c r="X198" s="605"/>
      <c r="Y198" s="594"/>
      <c r="Z198" s="594"/>
    </row>
    <row r="199" spans="1:26" ht="16.5" thickBot="1">
      <c r="A199" s="555"/>
      <c r="B199" s="1893" t="s">
        <v>518</v>
      </c>
      <c r="C199" s="1893"/>
      <c r="D199" s="1893"/>
      <c r="E199" s="1893"/>
      <c r="F199" s="608"/>
      <c r="G199" s="608"/>
      <c r="H199" s="608"/>
      <c r="I199" s="608"/>
      <c r="J199" s="608"/>
      <c r="K199" s="608"/>
      <c r="L199" s="553"/>
      <c r="M199" s="553"/>
      <c r="N199" s="553"/>
      <c r="O199" s="553"/>
      <c r="P199" s="553"/>
      <c r="Q199" s="553"/>
      <c r="R199" s="553"/>
      <c r="S199" s="553"/>
      <c r="T199" s="553"/>
      <c r="U199" s="553"/>
      <c r="V199" s="553"/>
      <c r="W199" s="553"/>
      <c r="X199" s="553"/>
      <c r="Y199" s="553"/>
      <c r="Z199" s="553"/>
    </row>
    <row r="200" spans="1:26" ht="14.25" thickTop="1" thickBot="1">
      <c r="A200" s="555"/>
      <c r="B200" s="553"/>
      <c r="C200" s="553"/>
      <c r="D200" s="553"/>
      <c r="E200" s="553"/>
      <c r="F200" s="553"/>
      <c r="G200" s="553"/>
      <c r="H200" s="553"/>
      <c r="I200" s="553"/>
      <c r="J200" s="553"/>
      <c r="K200" s="553"/>
      <c r="L200" s="553"/>
      <c r="M200" s="553"/>
      <c r="N200" s="553"/>
      <c r="O200" s="1894" t="s">
        <v>490</v>
      </c>
      <c r="P200" s="1895"/>
      <c r="Q200" s="1895"/>
      <c r="R200" s="1895"/>
      <c r="S200" s="1896"/>
      <c r="T200" s="553"/>
      <c r="U200" s="553"/>
      <c r="V200" s="553"/>
      <c r="W200" s="553"/>
      <c r="X200" s="553"/>
      <c r="Y200" s="553"/>
      <c r="Z200" s="553"/>
    </row>
    <row r="201" spans="1:26" ht="14.25" thickTop="1" thickBot="1">
      <c r="A201" s="555">
        <v>1</v>
      </c>
      <c r="B201" s="553" t="s">
        <v>519</v>
      </c>
      <c r="C201" s="553"/>
      <c r="D201" s="553"/>
      <c r="E201" s="553"/>
      <c r="F201" s="553"/>
      <c r="G201" s="553"/>
      <c r="H201" s="553"/>
      <c r="I201" s="553"/>
      <c r="J201" s="553"/>
      <c r="K201" s="553"/>
      <c r="L201" s="553"/>
      <c r="M201" s="553"/>
      <c r="N201" s="553"/>
      <c r="O201" s="1879">
        <v>0</v>
      </c>
      <c r="P201" s="1880"/>
      <c r="Q201" s="1880"/>
      <c r="R201" s="1880"/>
      <c r="S201" s="1881"/>
      <c r="T201" s="553"/>
      <c r="U201" s="553"/>
      <c r="V201" s="553"/>
      <c r="W201" s="553"/>
      <c r="X201" s="553"/>
      <c r="Y201" s="553"/>
      <c r="Z201" s="553"/>
    </row>
    <row r="202" spans="1:26" ht="14.25" thickTop="1" thickBot="1">
      <c r="A202" s="555">
        <v>2</v>
      </c>
      <c r="B202" s="553" t="s">
        <v>520</v>
      </c>
      <c r="C202" s="553"/>
      <c r="D202" s="553"/>
      <c r="E202" s="553"/>
      <c r="F202" s="553"/>
      <c r="G202" s="553"/>
      <c r="H202" s="553"/>
      <c r="I202" s="553"/>
      <c r="J202" s="553"/>
      <c r="K202" s="553"/>
      <c r="L202" s="553"/>
      <c r="M202" s="553"/>
      <c r="N202" s="553"/>
      <c r="O202" s="1879">
        <v>0</v>
      </c>
      <c r="P202" s="1880"/>
      <c r="Q202" s="1880"/>
      <c r="R202" s="1880"/>
      <c r="S202" s="1881"/>
      <c r="T202" s="553"/>
      <c r="U202" s="553"/>
      <c r="V202" s="553"/>
      <c r="W202" s="553"/>
      <c r="X202" s="553"/>
      <c r="Y202" s="553"/>
      <c r="Z202" s="553"/>
    </row>
    <row r="203" spans="1:26" ht="24.75" customHeight="1" thickTop="1" thickBot="1">
      <c r="A203" s="609">
        <v>3</v>
      </c>
      <c r="B203" s="1885" t="s">
        <v>521</v>
      </c>
      <c r="C203" s="1885"/>
      <c r="D203" s="1885"/>
      <c r="E203" s="1885"/>
      <c r="F203" s="1885"/>
      <c r="G203" s="1885"/>
      <c r="H203" s="1885"/>
      <c r="I203" s="1885"/>
      <c r="J203" s="1885"/>
      <c r="K203" s="1885"/>
      <c r="L203" s="1885"/>
      <c r="M203" s="1885"/>
      <c r="N203" s="610"/>
      <c r="O203" s="1879">
        <v>0</v>
      </c>
      <c r="P203" s="1880"/>
      <c r="Q203" s="1880"/>
      <c r="R203" s="1880"/>
      <c r="S203" s="1881"/>
      <c r="T203" s="553"/>
      <c r="U203" s="553"/>
      <c r="V203" s="553"/>
      <c r="W203" s="553"/>
      <c r="X203" s="553"/>
      <c r="Y203" s="553"/>
      <c r="Z203" s="553"/>
    </row>
    <row r="204" spans="1:26" ht="14.25" thickTop="1" thickBot="1">
      <c r="A204" s="555">
        <v>4</v>
      </c>
      <c r="B204" s="553" t="s">
        <v>522</v>
      </c>
      <c r="C204" s="553"/>
      <c r="D204" s="553"/>
      <c r="E204" s="553"/>
      <c r="F204" s="553"/>
      <c r="G204" s="553"/>
      <c r="H204" s="553"/>
      <c r="I204" s="553"/>
      <c r="J204" s="553"/>
      <c r="K204" s="553"/>
      <c r="L204" s="553"/>
      <c r="M204" s="553"/>
      <c r="N204" s="553"/>
      <c r="O204" s="1879">
        <v>0</v>
      </c>
      <c r="P204" s="1880"/>
      <c r="Q204" s="1880"/>
      <c r="R204" s="1880"/>
      <c r="S204" s="1881"/>
      <c r="T204" s="553"/>
      <c r="U204" s="553"/>
      <c r="V204" s="553"/>
      <c r="W204" s="553"/>
      <c r="X204" s="553"/>
      <c r="Y204" s="553"/>
      <c r="Z204" s="553"/>
    </row>
    <row r="205" spans="1:26" ht="14.25" thickTop="1" thickBot="1">
      <c r="A205" s="555">
        <v>5</v>
      </c>
      <c r="B205" s="553" t="s">
        <v>523</v>
      </c>
      <c r="C205" s="553"/>
      <c r="D205" s="553"/>
      <c r="E205" s="553"/>
      <c r="F205" s="553"/>
      <c r="G205" s="553"/>
      <c r="H205" s="553"/>
      <c r="I205" s="553"/>
      <c r="J205" s="553"/>
      <c r="K205" s="553"/>
      <c r="L205" s="553"/>
      <c r="M205" s="553"/>
      <c r="N205" s="553"/>
      <c r="O205" s="1879">
        <v>0</v>
      </c>
      <c r="P205" s="1880"/>
      <c r="Q205" s="1880"/>
      <c r="R205" s="1880"/>
      <c r="S205" s="1881"/>
      <c r="T205" s="553"/>
      <c r="U205" s="553"/>
      <c r="V205" s="553"/>
      <c r="W205" s="553"/>
      <c r="X205" s="553"/>
      <c r="Y205" s="553"/>
      <c r="Z205" s="553"/>
    </row>
    <row r="206" spans="1:26" ht="14.25" thickTop="1" thickBot="1">
      <c r="A206" s="555">
        <v>6</v>
      </c>
      <c r="B206" s="553" t="s">
        <v>524</v>
      </c>
      <c r="C206" s="553"/>
      <c r="D206" s="553"/>
      <c r="E206" s="553"/>
      <c r="F206" s="553"/>
      <c r="G206" s="553"/>
      <c r="H206" s="553"/>
      <c r="I206" s="553"/>
      <c r="J206" s="553"/>
      <c r="K206" s="553"/>
      <c r="L206" s="553"/>
      <c r="M206" s="553"/>
      <c r="N206" s="553"/>
      <c r="O206" s="1879">
        <v>0</v>
      </c>
      <c r="P206" s="1880"/>
      <c r="Q206" s="1880"/>
      <c r="R206" s="1880"/>
      <c r="S206" s="1881"/>
      <c r="T206" s="553"/>
      <c r="U206" s="553"/>
      <c r="V206" s="553"/>
      <c r="W206" s="553"/>
      <c r="X206" s="553"/>
      <c r="Y206" s="553"/>
      <c r="Z206" s="553"/>
    </row>
    <row r="207" spans="1:26" ht="14.25" thickTop="1" thickBot="1">
      <c r="A207" s="555"/>
      <c r="B207" s="553"/>
      <c r="C207" s="553"/>
      <c r="D207" s="553"/>
      <c r="E207" s="553"/>
      <c r="F207" s="553"/>
      <c r="G207" s="553"/>
      <c r="H207" s="553"/>
      <c r="I207" s="553"/>
      <c r="J207" s="553"/>
      <c r="K207" s="553"/>
      <c r="L207" s="553"/>
      <c r="M207" s="553"/>
      <c r="N207" s="553"/>
      <c r="O207" s="605"/>
      <c r="P207" s="605"/>
      <c r="Q207" s="605"/>
      <c r="R207" s="605"/>
      <c r="S207" s="605"/>
      <c r="T207" s="553"/>
      <c r="U207" s="553"/>
      <c r="V207" s="553"/>
      <c r="W207" s="553"/>
      <c r="X207" s="553"/>
      <c r="Y207" s="553"/>
      <c r="Z207" s="553"/>
    </row>
    <row r="208" spans="1:26" ht="14.25" thickTop="1" thickBot="1">
      <c r="A208" s="555"/>
      <c r="B208" s="553" t="s">
        <v>499</v>
      </c>
      <c r="C208" s="553"/>
      <c r="D208" s="553"/>
      <c r="E208" s="553"/>
      <c r="F208" s="553"/>
      <c r="G208" s="553"/>
      <c r="H208" s="553"/>
      <c r="I208" s="553"/>
      <c r="J208" s="553"/>
      <c r="K208" s="553"/>
      <c r="L208" s="553"/>
      <c r="M208" s="553"/>
      <c r="N208" s="553"/>
      <c r="O208" s="1882">
        <f>SUM(O201:S206)</f>
        <v>0</v>
      </c>
      <c r="P208" s="1883"/>
      <c r="Q208" s="1883"/>
      <c r="R208" s="1883"/>
      <c r="S208" s="1884"/>
      <c r="T208" s="553"/>
      <c r="U208" s="553"/>
      <c r="V208" s="553"/>
      <c r="W208" s="553"/>
      <c r="X208" s="553"/>
      <c r="Y208" s="553"/>
      <c r="Z208" s="553"/>
    </row>
    <row r="209" spans="1:26" ht="13.5" thickTop="1">
      <c r="A209" s="555"/>
      <c r="B209" s="553"/>
      <c r="C209" s="553"/>
      <c r="D209" s="553"/>
      <c r="E209" s="553"/>
      <c r="F209" s="553"/>
      <c r="G209" s="553"/>
      <c r="H209" s="553"/>
      <c r="I209" s="553"/>
      <c r="J209" s="553"/>
      <c r="K209" s="553"/>
      <c r="L209" s="553"/>
      <c r="M209" s="553"/>
      <c r="N209" s="553"/>
      <c r="O209" s="553"/>
      <c r="P209" s="553"/>
      <c r="Q209" s="553"/>
      <c r="R209" s="553"/>
      <c r="S209" s="568"/>
      <c r="T209" s="553"/>
      <c r="U209" s="553"/>
      <c r="V209" s="553"/>
      <c r="W209" s="553"/>
      <c r="X209" s="553"/>
      <c r="Y209" s="553"/>
      <c r="Z209" s="553"/>
    </row>
    <row r="210" spans="1:26" ht="15.75">
      <c r="A210" s="2074" t="s">
        <v>1349</v>
      </c>
      <c r="B210" s="2074"/>
      <c r="C210" s="2074"/>
      <c r="D210" s="2074"/>
      <c r="E210" s="2074"/>
      <c r="F210" s="2074"/>
      <c r="G210" s="2074"/>
      <c r="H210" s="2074"/>
      <c r="I210" s="2074"/>
      <c r="J210" s="2074"/>
      <c r="K210" s="2074"/>
      <c r="L210" s="2074"/>
      <c r="M210" s="2074"/>
      <c r="N210" s="2074"/>
      <c r="O210" s="2074"/>
      <c r="P210" s="2074"/>
      <c r="Q210" s="2074"/>
      <c r="R210" s="2074"/>
      <c r="S210" s="2074"/>
      <c r="T210" s="2074"/>
      <c r="U210" s="2074"/>
      <c r="V210" s="2074"/>
      <c r="W210" s="2074"/>
      <c r="X210" s="2074"/>
      <c r="Y210" s="2074"/>
      <c r="Z210" s="2074"/>
    </row>
    <row r="211" spans="1:26" ht="13.5" thickBot="1">
      <c r="A211" s="1563"/>
      <c r="B211" s="576"/>
      <c r="C211" s="576"/>
      <c r="D211" s="554"/>
      <c r="E211" s="576"/>
      <c r="F211" s="576"/>
      <c r="G211" s="576"/>
      <c r="H211" s="576"/>
      <c r="I211" s="576"/>
      <c r="J211" s="576"/>
      <c r="K211" s="576"/>
      <c r="L211" s="576"/>
      <c r="M211" s="576"/>
      <c r="N211" s="576"/>
      <c r="O211" s="576"/>
      <c r="P211" s="576"/>
      <c r="Q211" s="576"/>
      <c r="R211" s="576"/>
      <c r="S211" s="576"/>
      <c r="T211" s="576"/>
      <c r="U211" s="576"/>
      <c r="V211" s="576"/>
      <c r="W211" s="576"/>
      <c r="X211" s="576"/>
      <c r="Y211" s="576"/>
      <c r="Z211" s="576"/>
    </row>
    <row r="212" spans="1:26" ht="27.75" customHeight="1" thickTop="1" thickBot="1">
      <c r="A212" s="1563"/>
      <c r="B212" s="1626"/>
      <c r="C212" s="1562" t="s">
        <v>1025</v>
      </c>
      <c r="G212" s="1627"/>
      <c r="H212" s="1562" t="s">
        <v>1005</v>
      </c>
      <c r="I212" s="576"/>
      <c r="J212" s="576"/>
      <c r="K212" s="1627"/>
      <c r="L212" s="2060" t="s">
        <v>1319</v>
      </c>
      <c r="M212" s="2061"/>
      <c r="N212" s="2061"/>
      <c r="O212" s="2062"/>
      <c r="P212" s="1627"/>
      <c r="Q212" s="780" t="s">
        <v>1006</v>
      </c>
      <c r="R212" s="576"/>
      <c r="S212" s="576"/>
      <c r="T212" s="576"/>
      <c r="U212" s="1626"/>
      <c r="V212" s="1562" t="s">
        <v>1318</v>
      </c>
      <c r="W212" s="576"/>
      <c r="X212" s="576"/>
      <c r="Y212" s="576"/>
      <c r="Z212" s="576"/>
    </row>
    <row r="213" spans="1:26" ht="14.25" thickTop="1" thickBot="1">
      <c r="A213" s="1563"/>
      <c r="B213" s="576"/>
      <c r="C213" s="1615" t="str">
        <f>IF(AND(G212="x",U212="x"),"Name of Public Accountant",IF(AND(G212="x",U212&lt;&gt;"x"),"Name of Tax Consultant","Name …."))</f>
        <v>Name ….</v>
      </c>
      <c r="G213" s="2047"/>
      <c r="H213" s="2048"/>
      <c r="I213" s="2048"/>
      <c r="J213" s="2048"/>
      <c r="K213" s="2048"/>
      <c r="L213" s="2048"/>
      <c r="M213" s="2048"/>
      <c r="N213" s="2048"/>
      <c r="O213" s="2048"/>
      <c r="P213" s="2048"/>
      <c r="Q213" s="2048"/>
      <c r="R213" s="2048"/>
      <c r="S213" s="2049"/>
      <c r="V213" s="576"/>
      <c r="W213" s="576"/>
      <c r="X213" s="576"/>
      <c r="Y213" s="576"/>
      <c r="Z213" s="576"/>
    </row>
    <row r="214" spans="1:26" ht="14.25" thickTop="1" thickBot="1">
      <c r="A214" s="1563"/>
      <c r="B214" s="576"/>
      <c r="C214" s="1615" t="str">
        <f>IF(AND(G212="x",U212="x"),"Tax ID Number of Public Accountant",IF(AND(G212="x",U212&lt;&gt;"x"),"Tax ID Number of Tax Consultant","Tax ID Number …."))</f>
        <v>Tax ID Number ….</v>
      </c>
      <c r="G214" s="2047"/>
      <c r="H214" s="2048"/>
      <c r="I214" s="2048"/>
      <c r="J214" s="2048"/>
      <c r="K214" s="2048"/>
      <c r="L214" s="2048"/>
      <c r="M214" s="2048"/>
      <c r="N214" s="2048"/>
      <c r="O214" s="2048"/>
      <c r="P214" s="2048"/>
      <c r="Q214" s="2048"/>
      <c r="R214" s="2048"/>
      <c r="S214" s="2049"/>
      <c r="V214" s="576"/>
      <c r="W214" s="576"/>
      <c r="X214" s="576"/>
      <c r="Y214" s="553"/>
      <c r="Z214" s="553"/>
    </row>
    <row r="215" spans="1:26" ht="14.25" thickTop="1" thickBot="1">
      <c r="A215" s="1563"/>
      <c r="B215" s="576"/>
      <c r="C215" s="1615" t="str">
        <f>IF(AND(G212="x",U212="x"),"Name of Public Accounting Firm",IF(AND(G212="x",U212&lt;&gt;"x"),"Name of Tax Consulting Firm","Name …."))</f>
        <v>Name ….</v>
      </c>
      <c r="G215" s="2047"/>
      <c r="H215" s="2048"/>
      <c r="I215" s="2048"/>
      <c r="J215" s="2048"/>
      <c r="K215" s="2048"/>
      <c r="L215" s="2048"/>
      <c r="M215" s="2048"/>
      <c r="N215" s="2048"/>
      <c r="O215" s="2048"/>
      <c r="P215" s="2048"/>
      <c r="Q215" s="2048"/>
      <c r="R215" s="2048"/>
      <c r="S215" s="2049"/>
      <c r="V215" s="576"/>
      <c r="W215" s="576"/>
      <c r="X215" s="576"/>
      <c r="Y215" s="553"/>
      <c r="Z215" s="553"/>
    </row>
    <row r="216" spans="1:26" ht="14.25" thickTop="1" thickBot="1">
      <c r="A216" s="1563"/>
      <c r="B216" s="576"/>
      <c r="C216" s="1615" t="str">
        <f>IF(AND(G212="x",U212="x"),"Tax ID Number of Public Accounting Firm",IF(AND(G212="x",U212&lt;&gt;"x"),"Tax ID Number of Tax Consulting Firm","Tax ID Number …."))</f>
        <v>Tax ID Number ….</v>
      </c>
      <c r="G216" s="2047"/>
      <c r="H216" s="2048"/>
      <c r="I216" s="2048"/>
      <c r="J216" s="2048"/>
      <c r="K216" s="2048"/>
      <c r="L216" s="2048"/>
      <c r="M216" s="2048"/>
      <c r="N216" s="2048"/>
      <c r="O216" s="2048"/>
      <c r="P216" s="2048"/>
      <c r="Q216" s="2048"/>
      <c r="R216" s="2048"/>
      <c r="S216" s="2049"/>
      <c r="V216" s="576"/>
      <c r="W216" s="576"/>
      <c r="X216" s="576"/>
      <c r="Y216" s="553"/>
      <c r="Z216" s="553"/>
    </row>
    <row r="217" spans="1:26" ht="13.5" thickTop="1">
      <c r="A217" s="1563"/>
      <c r="B217" s="576"/>
      <c r="C217" s="576"/>
      <c r="D217" s="576"/>
      <c r="E217" s="576"/>
      <c r="F217" s="576"/>
      <c r="G217" s="576"/>
      <c r="H217" s="576"/>
      <c r="I217" s="576"/>
      <c r="J217" s="576"/>
      <c r="K217" s="576"/>
      <c r="L217" s="576"/>
      <c r="M217" s="576"/>
      <c r="N217" s="576"/>
      <c r="O217" s="576"/>
      <c r="P217" s="576"/>
      <c r="Q217" s="576"/>
      <c r="R217" s="576"/>
      <c r="S217" s="576"/>
      <c r="T217" s="576"/>
      <c r="U217" s="576"/>
      <c r="V217" s="576"/>
      <c r="W217" s="576"/>
      <c r="X217" s="576"/>
      <c r="Y217" s="553"/>
      <c r="Z217" s="553"/>
    </row>
    <row r="218" spans="1:26" ht="13.5" thickBot="1">
      <c r="A218" s="1563"/>
      <c r="B218" s="576">
        <v>1</v>
      </c>
      <c r="C218" s="599" t="s">
        <v>1058</v>
      </c>
      <c r="D218" s="576"/>
      <c r="E218" s="576"/>
      <c r="F218" s="576"/>
      <c r="G218" s="576"/>
      <c r="H218" s="576"/>
      <c r="I218" s="576"/>
      <c r="J218" s="576"/>
      <c r="K218" s="576"/>
      <c r="L218" s="576"/>
      <c r="M218" s="576"/>
      <c r="N218" s="576"/>
      <c r="O218" s="576"/>
      <c r="P218" s="576"/>
      <c r="Q218" s="576"/>
      <c r="R218" s="576"/>
      <c r="S218" s="576"/>
      <c r="T218" s="576"/>
      <c r="U218" s="576"/>
      <c r="V218" s="576"/>
      <c r="W218" s="576"/>
      <c r="X218" s="576"/>
      <c r="Y218" s="576"/>
      <c r="Z218" s="576"/>
    </row>
    <row r="219" spans="1:26" ht="14.25" thickTop="1" thickBot="1">
      <c r="A219" s="1563"/>
      <c r="B219" s="576"/>
      <c r="C219" s="576" t="s">
        <v>1320</v>
      </c>
      <c r="D219" s="576"/>
      <c r="E219" s="576"/>
      <c r="F219" s="576"/>
      <c r="G219" s="576"/>
      <c r="H219" s="576"/>
      <c r="I219" s="576"/>
      <c r="J219" s="576"/>
      <c r="K219" s="576"/>
      <c r="L219" s="576"/>
      <c r="M219" s="576"/>
      <c r="N219" s="576"/>
      <c r="O219" s="576"/>
      <c r="P219" s="576"/>
      <c r="Q219" s="2064"/>
      <c r="R219" s="2065"/>
      <c r="S219" s="2065"/>
      <c r="T219" s="2065"/>
      <c r="U219" s="2066"/>
      <c r="V219" s="576"/>
      <c r="W219" s="576"/>
      <c r="X219" s="576"/>
      <c r="Y219" s="576"/>
      <c r="Z219" s="576"/>
    </row>
    <row r="220" spans="1:26" ht="14.25" thickTop="1" thickBot="1">
      <c r="A220" s="1563"/>
      <c r="B220" s="576"/>
      <c r="C220" s="576" t="s">
        <v>1321</v>
      </c>
      <c r="D220" s="576"/>
      <c r="E220" s="576"/>
      <c r="F220" s="576"/>
      <c r="G220" s="576"/>
      <c r="H220" s="576"/>
      <c r="I220" s="576"/>
      <c r="J220" s="576"/>
      <c r="K220" s="576"/>
      <c r="L220" s="576"/>
      <c r="M220" s="576"/>
      <c r="N220" s="576"/>
      <c r="O220" s="576"/>
      <c r="P220" s="576"/>
      <c r="Q220" s="2064"/>
      <c r="R220" s="2065"/>
      <c r="S220" s="2065"/>
      <c r="T220" s="2065"/>
      <c r="U220" s="2066"/>
      <c r="V220" s="576"/>
      <c r="W220" s="576"/>
      <c r="X220" s="576"/>
      <c r="Y220" s="576"/>
      <c r="Z220" s="576"/>
    </row>
    <row r="221" spans="1:26" ht="14.25" thickTop="1" thickBot="1">
      <c r="A221" s="1563"/>
      <c r="B221" s="576"/>
      <c r="C221" s="576" t="s">
        <v>1323</v>
      </c>
      <c r="D221" s="576"/>
      <c r="E221" s="576"/>
      <c r="F221" s="576"/>
      <c r="G221" s="576"/>
      <c r="H221" s="576"/>
      <c r="I221" s="576"/>
      <c r="J221" s="576"/>
      <c r="K221" s="576"/>
      <c r="L221" s="576"/>
      <c r="M221" s="576"/>
      <c r="N221" s="576"/>
      <c r="O221" s="576"/>
      <c r="P221" s="576"/>
      <c r="Q221" s="2064"/>
      <c r="R221" s="2065"/>
      <c r="S221" s="2065"/>
      <c r="T221" s="2065"/>
      <c r="U221" s="2066"/>
      <c r="V221" s="576"/>
      <c r="W221" s="576"/>
      <c r="X221" s="576"/>
      <c r="Y221" s="576"/>
      <c r="Z221" s="576"/>
    </row>
    <row r="222" spans="1:26" ht="13.5" thickTop="1">
      <c r="A222" s="1563"/>
      <c r="B222" s="576"/>
      <c r="C222" s="576"/>
      <c r="D222" s="576"/>
      <c r="E222" s="576"/>
      <c r="F222" s="576"/>
      <c r="G222" s="576"/>
      <c r="H222" s="576"/>
      <c r="I222" s="576"/>
      <c r="J222" s="576"/>
      <c r="K222" s="576"/>
      <c r="L222" s="576"/>
      <c r="M222" s="576"/>
      <c r="N222" s="576"/>
      <c r="O222" s="576"/>
      <c r="P222" s="576"/>
      <c r="Q222" s="576"/>
      <c r="R222" s="576"/>
      <c r="S222" s="576"/>
      <c r="T222" s="576"/>
      <c r="U222" s="576"/>
      <c r="V222" s="576"/>
      <c r="W222" s="576"/>
      <c r="X222" s="576"/>
      <c r="Y222" s="576"/>
      <c r="Z222" s="576"/>
    </row>
    <row r="223" spans="1:26" ht="13.5" thickBot="1">
      <c r="A223" s="1563"/>
      <c r="B223" s="576">
        <v>2</v>
      </c>
      <c r="C223" s="576" t="s">
        <v>1009</v>
      </c>
      <c r="D223" s="576"/>
      <c r="E223" s="576"/>
      <c r="F223" s="576"/>
      <c r="G223" s="576"/>
      <c r="H223" s="576"/>
      <c r="I223" s="576"/>
      <c r="J223" s="576"/>
      <c r="K223" s="576"/>
      <c r="L223" s="576"/>
      <c r="M223" s="576"/>
      <c r="N223" s="576"/>
      <c r="O223" s="576"/>
      <c r="P223" s="576"/>
      <c r="Q223" s="576"/>
      <c r="R223" s="576"/>
      <c r="S223" s="576"/>
      <c r="T223" s="576"/>
      <c r="U223" s="576"/>
      <c r="V223" s="576"/>
      <c r="W223" s="576"/>
      <c r="X223" s="576"/>
      <c r="Y223" s="576"/>
      <c r="Z223" s="576"/>
    </row>
    <row r="224" spans="1:26" ht="14.25" thickTop="1" thickBot="1">
      <c r="A224" s="1563"/>
      <c r="B224" s="576"/>
      <c r="C224" s="1562" t="s">
        <v>1324</v>
      </c>
      <c r="D224" s="1562"/>
      <c r="E224" s="1562"/>
      <c r="F224" s="1562"/>
      <c r="G224" s="1562"/>
      <c r="H224" s="1562"/>
      <c r="I224" s="1562"/>
      <c r="J224" s="1562"/>
      <c r="K224" s="1562"/>
      <c r="L224" s="1562"/>
      <c r="M224" s="1562"/>
      <c r="N224" s="1562"/>
      <c r="O224" s="1562"/>
      <c r="P224" s="576"/>
      <c r="Q224" s="2064"/>
      <c r="R224" s="2065"/>
      <c r="S224" s="2065"/>
      <c r="T224" s="2065"/>
      <c r="U224" s="2066"/>
      <c r="V224" s="576"/>
      <c r="W224" s="576"/>
      <c r="X224" s="576"/>
      <c r="Y224" s="576"/>
      <c r="Z224" s="576"/>
    </row>
    <row r="225" spans="1:26" ht="25.5" customHeight="1" thickTop="1" thickBot="1">
      <c r="A225" s="1563"/>
      <c r="B225" s="576"/>
      <c r="C225" s="1927" t="s">
        <v>1325</v>
      </c>
      <c r="D225" s="1927"/>
      <c r="E225" s="1927"/>
      <c r="F225" s="1927"/>
      <c r="G225" s="1927"/>
      <c r="H225" s="1927"/>
      <c r="I225" s="1927"/>
      <c r="J225" s="1927"/>
      <c r="K225" s="1927"/>
      <c r="L225" s="1927"/>
      <c r="M225" s="1927"/>
      <c r="N225" s="1927"/>
      <c r="O225" s="1927"/>
      <c r="P225" s="576"/>
      <c r="Q225" s="2064"/>
      <c r="R225" s="2065"/>
      <c r="S225" s="2065"/>
      <c r="T225" s="2065"/>
      <c r="U225" s="2066"/>
      <c r="V225" s="576"/>
      <c r="W225" s="576"/>
      <c r="X225" s="576"/>
      <c r="Y225" s="576"/>
      <c r="Z225" s="576"/>
    </row>
    <row r="226" spans="1:26" ht="25.5" customHeight="1" thickTop="1" thickBot="1">
      <c r="A226" s="1563"/>
      <c r="B226" s="576"/>
      <c r="C226" s="1927" t="s">
        <v>1326</v>
      </c>
      <c r="D226" s="1927"/>
      <c r="E226" s="1927"/>
      <c r="F226" s="1927"/>
      <c r="G226" s="1927"/>
      <c r="H226" s="1927"/>
      <c r="I226" s="1927"/>
      <c r="J226" s="1927"/>
      <c r="K226" s="1927"/>
      <c r="L226" s="1927"/>
      <c r="M226" s="1927"/>
      <c r="N226" s="1927"/>
      <c r="O226" s="576"/>
      <c r="P226" s="576"/>
      <c r="Q226" s="2064"/>
      <c r="R226" s="2065"/>
      <c r="S226" s="2065"/>
      <c r="T226" s="2065"/>
      <c r="U226" s="2066"/>
      <c r="V226" s="576"/>
      <c r="W226" s="576"/>
      <c r="X226" s="576"/>
      <c r="Y226" s="576"/>
      <c r="Z226" s="576"/>
    </row>
    <row r="227" spans="1:26" ht="14.25" thickTop="1" thickBot="1">
      <c r="A227" s="1563"/>
      <c r="B227" s="576"/>
      <c r="C227" s="1927" t="s">
        <v>1327</v>
      </c>
      <c r="D227" s="1927"/>
      <c r="E227" s="1927"/>
      <c r="F227" s="1927"/>
      <c r="G227" s="1927"/>
      <c r="H227" s="1927"/>
      <c r="I227" s="1927"/>
      <c r="J227" s="1927"/>
      <c r="K227" s="1927"/>
      <c r="L227" s="1927"/>
      <c r="M227" s="1927"/>
      <c r="N227" s="1927"/>
      <c r="O227" s="576"/>
      <c r="P227" s="576"/>
      <c r="Q227" s="2064"/>
      <c r="R227" s="2065"/>
      <c r="S227" s="2065"/>
      <c r="T227" s="2065"/>
      <c r="U227" s="2066"/>
      <c r="V227" s="576"/>
      <c r="W227" s="576"/>
      <c r="X227" s="576"/>
      <c r="Y227" s="576"/>
      <c r="Z227" s="576"/>
    </row>
    <row r="228" spans="1:26" ht="14.25" thickTop="1" thickBot="1">
      <c r="A228" s="1563"/>
      <c r="B228" s="576"/>
      <c r="C228" s="576" t="s">
        <v>1328</v>
      </c>
      <c r="D228" s="576"/>
      <c r="E228" s="576"/>
      <c r="F228" s="576"/>
      <c r="G228" s="576"/>
      <c r="H228" s="576"/>
      <c r="I228" s="576"/>
      <c r="J228" s="576"/>
      <c r="K228" s="576"/>
      <c r="L228" s="576"/>
      <c r="M228" s="576"/>
      <c r="N228" s="576"/>
      <c r="O228" s="576"/>
      <c r="P228" s="576"/>
      <c r="Q228" s="2064"/>
      <c r="R228" s="2065"/>
      <c r="S228" s="2065"/>
      <c r="T228" s="2065"/>
      <c r="U228" s="2066"/>
      <c r="V228" s="576"/>
      <c r="W228" s="576"/>
      <c r="X228" s="576"/>
      <c r="Y228" s="576"/>
      <c r="Z228" s="576"/>
    </row>
    <row r="229" spans="1:26" ht="14.25" thickTop="1" thickBot="1">
      <c r="A229" s="1563"/>
      <c r="B229" s="576"/>
      <c r="C229" s="576" t="s">
        <v>1329</v>
      </c>
      <c r="D229" s="576"/>
      <c r="E229" s="576"/>
      <c r="F229" s="576"/>
      <c r="G229" s="576"/>
      <c r="H229" s="576"/>
      <c r="I229" s="576"/>
      <c r="J229" s="576"/>
      <c r="K229" s="576"/>
      <c r="L229" s="576"/>
      <c r="M229" s="576"/>
      <c r="N229" s="576"/>
      <c r="O229" s="576"/>
      <c r="P229" s="576"/>
      <c r="Q229" s="2064"/>
      <c r="R229" s="2065"/>
      <c r="S229" s="2065"/>
      <c r="T229" s="2065"/>
      <c r="U229" s="2066"/>
      <c r="V229" s="576"/>
      <c r="W229" s="576"/>
      <c r="X229" s="576"/>
      <c r="Y229" s="576"/>
      <c r="Z229" s="576"/>
    </row>
    <row r="230" spans="1:26" ht="14.25" thickTop="1" thickBot="1">
      <c r="A230" s="1563"/>
      <c r="B230" s="576"/>
      <c r="C230" s="576" t="s">
        <v>1330</v>
      </c>
      <c r="D230" s="576"/>
      <c r="E230" s="576"/>
      <c r="F230" s="576"/>
      <c r="G230" s="576"/>
      <c r="H230" s="576"/>
      <c r="I230" s="576"/>
      <c r="J230" s="576"/>
      <c r="K230" s="576"/>
      <c r="L230" s="576"/>
      <c r="M230" s="576"/>
      <c r="N230" s="576"/>
      <c r="O230" s="576"/>
      <c r="P230" s="576"/>
      <c r="Q230" s="2064"/>
      <c r="R230" s="2065"/>
      <c r="S230" s="2065"/>
      <c r="T230" s="2065"/>
      <c r="U230" s="2066"/>
      <c r="V230" s="576"/>
      <c r="W230" s="576"/>
      <c r="X230" s="576"/>
      <c r="Y230" s="576"/>
      <c r="Z230" s="576"/>
    </row>
    <row r="231" spans="1:26" ht="14.25" thickTop="1" thickBot="1">
      <c r="A231" s="1563"/>
      <c r="B231" s="576"/>
      <c r="C231" s="576" t="s">
        <v>1331</v>
      </c>
      <c r="D231" s="576"/>
      <c r="E231" s="576"/>
      <c r="F231" s="576"/>
      <c r="G231" s="576"/>
      <c r="H231" s="576"/>
      <c r="I231" s="576"/>
      <c r="J231" s="576"/>
      <c r="K231" s="576"/>
      <c r="L231" s="576"/>
      <c r="M231" s="576"/>
      <c r="N231" s="576"/>
      <c r="O231" s="576"/>
      <c r="P231" s="576"/>
      <c r="Q231" s="2064"/>
      <c r="R231" s="2065"/>
      <c r="S231" s="2065"/>
      <c r="T231" s="2065"/>
      <c r="U231" s="2066"/>
      <c r="V231" s="576"/>
      <c r="W231" s="576"/>
      <c r="X231" s="576"/>
      <c r="Y231" s="576"/>
      <c r="Z231" s="576"/>
    </row>
    <row r="232" spans="1:26" ht="26.25" customHeight="1" thickTop="1" thickBot="1">
      <c r="A232" s="1563"/>
      <c r="B232" s="576"/>
      <c r="C232" s="1927" t="s">
        <v>1332</v>
      </c>
      <c r="D232" s="1927"/>
      <c r="E232" s="1927"/>
      <c r="F232" s="1927"/>
      <c r="G232" s="1927"/>
      <c r="H232" s="1927"/>
      <c r="I232" s="1927"/>
      <c r="J232" s="1927"/>
      <c r="K232" s="1927"/>
      <c r="L232" s="1927"/>
      <c r="M232" s="1927"/>
      <c r="N232" s="1927"/>
      <c r="O232" s="1927"/>
      <c r="P232" s="1928"/>
      <c r="Q232" s="2064"/>
      <c r="R232" s="2065"/>
      <c r="S232" s="2065"/>
      <c r="T232" s="2065"/>
      <c r="U232" s="2066"/>
      <c r="V232" s="576"/>
      <c r="W232" s="576"/>
      <c r="X232" s="576"/>
      <c r="Y232" s="576"/>
      <c r="Z232" s="576"/>
    </row>
    <row r="233" spans="1:26" ht="27" customHeight="1" thickTop="1" thickBot="1">
      <c r="A233" s="1563"/>
      <c r="B233" s="576"/>
      <c r="C233" s="1929" t="s">
        <v>1333</v>
      </c>
      <c r="D233" s="1929"/>
      <c r="E233" s="1929"/>
      <c r="F233" s="1929"/>
      <c r="G233" s="1929"/>
      <c r="H233" s="1929"/>
      <c r="I233" s="1929"/>
      <c r="J233" s="1929"/>
      <c r="K233" s="1929"/>
      <c r="L233" s="1929"/>
      <c r="M233" s="1929"/>
      <c r="N233" s="1929"/>
      <c r="O233" s="1929"/>
      <c r="P233" s="576"/>
      <c r="Q233" s="2064"/>
      <c r="R233" s="2065"/>
      <c r="S233" s="2065"/>
      <c r="T233" s="2065"/>
      <c r="U233" s="2066"/>
      <c r="V233" s="576"/>
      <c r="W233" s="576"/>
      <c r="X233" s="576"/>
      <c r="Y233" s="576"/>
      <c r="Z233" s="576"/>
    </row>
    <row r="234" spans="1:26" ht="14.25" thickTop="1" thickBot="1">
      <c r="A234" s="1563"/>
      <c r="B234" s="576"/>
      <c r="C234" s="576" t="s">
        <v>1334</v>
      </c>
      <c r="D234" s="576"/>
      <c r="E234" s="576"/>
      <c r="F234" s="576"/>
      <c r="G234" s="576"/>
      <c r="H234" s="576"/>
      <c r="I234" s="576"/>
      <c r="J234" s="576"/>
      <c r="K234" s="576"/>
      <c r="L234" s="576"/>
      <c r="M234" s="576"/>
      <c r="N234" s="576"/>
      <c r="O234" s="576"/>
      <c r="P234" s="576"/>
      <c r="Q234" s="2064"/>
      <c r="R234" s="2065"/>
      <c r="S234" s="2065"/>
      <c r="T234" s="2065"/>
      <c r="U234" s="2066"/>
      <c r="V234" s="576"/>
      <c r="W234" s="576"/>
      <c r="X234" s="576"/>
      <c r="Y234" s="576"/>
      <c r="Z234" s="576"/>
    </row>
    <row r="235" spans="1:26" ht="13.5" thickTop="1">
      <c r="A235" s="1563"/>
      <c r="B235" s="576"/>
      <c r="C235" s="576"/>
      <c r="D235" s="576"/>
      <c r="E235" s="576"/>
      <c r="F235" s="576"/>
      <c r="G235" s="576"/>
      <c r="H235" s="576"/>
      <c r="I235" s="576"/>
      <c r="J235" s="576"/>
      <c r="K235" s="576"/>
      <c r="L235" s="576"/>
      <c r="M235" s="576"/>
      <c r="N235" s="576"/>
      <c r="O235" s="576"/>
      <c r="P235" s="576"/>
      <c r="Q235" s="576"/>
      <c r="R235" s="576"/>
      <c r="S235" s="576"/>
      <c r="T235" s="576"/>
      <c r="U235" s="576"/>
      <c r="V235" s="576"/>
      <c r="W235" s="576"/>
      <c r="X235" s="576"/>
      <c r="Y235" s="576"/>
      <c r="Z235" s="576"/>
    </row>
    <row r="236" spans="1:26" ht="13.5" thickBot="1">
      <c r="A236" s="1563"/>
      <c r="B236" s="576">
        <v>3</v>
      </c>
      <c r="C236" s="576" t="s">
        <v>1335</v>
      </c>
      <c r="D236" s="576"/>
      <c r="E236" s="576"/>
      <c r="F236" s="576"/>
      <c r="G236" s="576"/>
      <c r="H236" s="576"/>
      <c r="I236" s="576"/>
      <c r="J236" s="576"/>
      <c r="K236" s="576"/>
      <c r="L236" s="576"/>
      <c r="M236" s="576"/>
      <c r="N236" s="576"/>
      <c r="O236" s="576"/>
      <c r="P236" s="576"/>
      <c r="Q236" s="576"/>
      <c r="R236" s="576"/>
      <c r="S236" s="576"/>
      <c r="T236" s="576"/>
      <c r="U236" s="576"/>
      <c r="V236" s="576"/>
      <c r="W236" s="576"/>
      <c r="X236" s="576"/>
      <c r="Y236" s="576"/>
      <c r="Z236" s="576"/>
    </row>
    <row r="237" spans="1:26" ht="14.25" thickTop="1" thickBot="1">
      <c r="A237" s="1563"/>
      <c r="B237" s="576"/>
      <c r="C237" s="1927" t="s">
        <v>1338</v>
      </c>
      <c r="D237" s="1927"/>
      <c r="E237" s="1927"/>
      <c r="F237" s="1927"/>
      <c r="G237" s="1927"/>
      <c r="H237" s="1927"/>
      <c r="I237" s="1927"/>
      <c r="J237" s="1927"/>
      <c r="K237" s="1927"/>
      <c r="L237" s="1927"/>
      <c r="M237" s="1927"/>
      <c r="N237" s="1927"/>
      <c r="O237" s="1927"/>
      <c r="P237" s="576"/>
      <c r="Q237" s="2064"/>
      <c r="R237" s="2065"/>
      <c r="S237" s="2065"/>
      <c r="T237" s="2065"/>
      <c r="U237" s="2066"/>
      <c r="V237" s="576"/>
      <c r="W237" s="576"/>
      <c r="X237" s="576"/>
      <c r="Y237" s="576"/>
      <c r="Z237" s="576"/>
    </row>
    <row r="238" spans="1:26" ht="25.5" customHeight="1" thickTop="1" thickBot="1">
      <c r="A238" s="614"/>
      <c r="B238" s="576"/>
      <c r="C238" s="1927" t="s">
        <v>1339</v>
      </c>
      <c r="D238" s="1927"/>
      <c r="E238" s="1927"/>
      <c r="F238" s="1927"/>
      <c r="G238" s="1927"/>
      <c r="H238" s="1927"/>
      <c r="I238" s="1927"/>
      <c r="J238" s="1927"/>
      <c r="K238" s="1927"/>
      <c r="L238" s="1927"/>
      <c r="M238" s="1927"/>
      <c r="N238" s="1927"/>
      <c r="O238" s="1927"/>
      <c r="P238" s="1928"/>
      <c r="Q238" s="2064"/>
      <c r="R238" s="2065"/>
      <c r="S238" s="2065"/>
      <c r="T238" s="2065"/>
      <c r="U238" s="2066"/>
      <c r="V238" s="576"/>
      <c r="W238" s="576"/>
      <c r="X238" s="576"/>
      <c r="Y238" s="576"/>
      <c r="Z238" s="576"/>
    </row>
    <row r="239" spans="1:26" ht="14.25" thickTop="1" thickBot="1">
      <c r="A239" s="614"/>
      <c r="B239" s="576"/>
      <c r="C239" s="576" t="s">
        <v>1336</v>
      </c>
      <c r="D239" s="576"/>
      <c r="E239" s="576"/>
      <c r="F239" s="576"/>
      <c r="G239" s="576"/>
      <c r="H239" s="576"/>
      <c r="I239" s="576"/>
      <c r="J239" s="576"/>
      <c r="K239" s="576"/>
      <c r="L239" s="576"/>
      <c r="M239" s="576"/>
      <c r="N239" s="576"/>
      <c r="O239" s="576"/>
      <c r="P239" s="576"/>
      <c r="Q239" s="2064"/>
      <c r="R239" s="2065"/>
      <c r="S239" s="2065"/>
      <c r="T239" s="2065"/>
      <c r="U239" s="2066"/>
      <c r="V239" s="576"/>
      <c r="W239" s="576"/>
      <c r="X239" s="576"/>
      <c r="Y239" s="576"/>
      <c r="Z239" s="576"/>
    </row>
    <row r="240" spans="1:26" ht="14.25" thickTop="1" thickBot="1">
      <c r="A240" s="614"/>
      <c r="B240" s="576"/>
      <c r="C240" s="576"/>
      <c r="D240" s="576"/>
      <c r="E240" s="576"/>
      <c r="F240" s="576"/>
      <c r="G240" s="576"/>
      <c r="H240" s="576"/>
      <c r="I240" s="576"/>
      <c r="J240" s="576"/>
      <c r="K240" s="576"/>
      <c r="L240" s="576"/>
      <c r="M240" s="576"/>
      <c r="N240" s="576"/>
      <c r="O240" s="576"/>
      <c r="P240" s="576"/>
      <c r="Q240" s="1753"/>
      <c r="R240" s="1753"/>
      <c r="S240" s="1753"/>
      <c r="T240" s="1753"/>
      <c r="U240" s="1753"/>
      <c r="V240" s="576"/>
      <c r="W240" s="576"/>
      <c r="X240" s="576"/>
      <c r="Y240" s="576"/>
      <c r="Z240" s="576"/>
    </row>
    <row r="241" spans="1:26" ht="14.25" thickTop="1" thickBot="1">
      <c r="A241" s="614"/>
      <c r="B241" s="602"/>
      <c r="C241" s="576" t="s">
        <v>1337</v>
      </c>
      <c r="D241" s="576"/>
      <c r="E241" s="576"/>
      <c r="F241" s="576"/>
      <c r="G241" s="576"/>
      <c r="H241" s="576"/>
      <c r="I241" s="576"/>
      <c r="J241" s="576"/>
      <c r="K241" s="576"/>
      <c r="L241" s="576"/>
      <c r="M241" s="576"/>
      <c r="N241" s="576"/>
      <c r="O241" s="576"/>
      <c r="P241" s="576"/>
      <c r="Q241" s="2063"/>
      <c r="R241" s="2063"/>
      <c r="S241" s="2063"/>
      <c r="T241" s="2063"/>
      <c r="U241" s="2063"/>
      <c r="V241" s="576"/>
      <c r="W241" s="576"/>
      <c r="X241" s="576"/>
      <c r="Y241" s="576"/>
      <c r="Z241" s="576"/>
    </row>
    <row r="242" spans="1:26" ht="14.25" thickTop="1" thickBot="1">
      <c r="A242" s="614"/>
      <c r="B242" s="576"/>
      <c r="C242" s="576"/>
      <c r="D242" s="576"/>
      <c r="E242" s="576"/>
      <c r="F242" s="576"/>
      <c r="G242" s="576"/>
      <c r="H242" s="576"/>
      <c r="I242" s="576"/>
      <c r="J242" s="576"/>
      <c r="K242" s="576"/>
      <c r="L242" s="576"/>
      <c r="M242" s="576"/>
      <c r="N242" s="576"/>
      <c r="O242" s="576"/>
      <c r="P242" s="576"/>
      <c r="Q242" s="576"/>
      <c r="R242" s="576"/>
      <c r="S242" s="576"/>
      <c r="T242" s="576"/>
      <c r="U242" s="576"/>
      <c r="V242" s="576"/>
      <c r="W242" s="576"/>
      <c r="X242" s="576"/>
      <c r="Y242" s="576"/>
      <c r="Z242" s="576"/>
    </row>
    <row r="243" spans="1:26" ht="14.25" thickTop="1" thickBot="1">
      <c r="A243" s="614"/>
      <c r="B243" s="1626"/>
      <c r="C243" s="576" t="s">
        <v>1029</v>
      </c>
      <c r="D243" s="576"/>
      <c r="E243" s="576"/>
      <c r="F243" s="576"/>
      <c r="G243" s="576"/>
      <c r="H243" s="576"/>
      <c r="I243" s="576"/>
      <c r="J243" s="576"/>
      <c r="K243" s="576"/>
      <c r="L243" s="576"/>
      <c r="M243" s="576"/>
      <c r="N243" s="576"/>
      <c r="O243" s="576"/>
      <c r="P243" s="576"/>
      <c r="Q243" s="576"/>
      <c r="R243" s="576"/>
      <c r="S243" s="576"/>
      <c r="T243" s="576"/>
      <c r="U243" s="576"/>
      <c r="V243" s="576"/>
      <c r="W243" s="576"/>
      <c r="X243" s="576"/>
      <c r="Y243" s="576"/>
      <c r="Z243" s="576"/>
    </row>
    <row r="244" spans="1:26" ht="14.25" thickTop="1" thickBot="1">
      <c r="A244" s="614"/>
      <c r="B244" s="619"/>
      <c r="C244" s="576"/>
      <c r="D244" s="576"/>
      <c r="E244" s="576"/>
      <c r="F244" s="576"/>
      <c r="G244" s="576"/>
      <c r="H244" s="576"/>
      <c r="I244" s="576"/>
      <c r="J244" s="576"/>
      <c r="K244" s="1609"/>
      <c r="L244" s="2071" t="s">
        <v>1350</v>
      </c>
      <c r="M244" s="2072"/>
      <c r="N244" s="2072"/>
      <c r="O244" s="2072"/>
      <c r="P244" s="2073"/>
      <c r="Q244" s="2071" t="s">
        <v>1351</v>
      </c>
      <c r="R244" s="2072"/>
      <c r="S244" s="2072"/>
      <c r="T244" s="2072"/>
      <c r="U244" s="2073"/>
    </row>
    <row r="245" spans="1:26" ht="14.25" thickTop="1" thickBot="1">
      <c r="A245" s="614"/>
      <c r="B245" s="576">
        <v>1</v>
      </c>
      <c r="C245" s="576" t="s">
        <v>1340</v>
      </c>
      <c r="D245" s="576"/>
      <c r="E245" s="576"/>
      <c r="F245" s="576"/>
      <c r="G245" s="576"/>
      <c r="H245" s="576"/>
      <c r="I245" s="576"/>
      <c r="J245" s="576"/>
      <c r="K245" s="576"/>
      <c r="L245" s="2069"/>
      <c r="M245" s="2069"/>
      <c r="N245" s="2069"/>
      <c r="O245" s="2069"/>
      <c r="P245" s="2069"/>
      <c r="Q245" s="2068"/>
      <c r="R245" s="2068"/>
      <c r="S245" s="2068"/>
      <c r="T245" s="2068"/>
      <c r="U245" s="2068"/>
    </row>
    <row r="246" spans="1:26" ht="14.25" thickTop="1" thickBot="1">
      <c r="A246" s="614"/>
      <c r="B246" s="576">
        <v>2</v>
      </c>
      <c r="C246" s="576" t="s">
        <v>1341</v>
      </c>
      <c r="D246" s="576"/>
      <c r="E246" s="576"/>
      <c r="F246" s="576"/>
      <c r="G246" s="576"/>
      <c r="H246" s="576"/>
      <c r="I246" s="576"/>
      <c r="J246" s="576"/>
      <c r="K246" s="576"/>
      <c r="L246" s="2070"/>
      <c r="M246" s="2070"/>
      <c r="N246" s="2070"/>
      <c r="O246" s="2070"/>
      <c r="P246" s="2070"/>
      <c r="Q246" s="2067"/>
      <c r="R246" s="2067"/>
      <c r="S246" s="2067"/>
      <c r="T246" s="2067"/>
      <c r="U246" s="2067"/>
    </row>
    <row r="247" spans="1:26" ht="14.25" thickTop="1" thickBot="1">
      <c r="A247" s="614"/>
      <c r="B247" s="576">
        <v>3</v>
      </c>
      <c r="C247" s="576" t="s">
        <v>1342</v>
      </c>
      <c r="D247" s="576"/>
      <c r="E247" s="576"/>
      <c r="F247" s="576"/>
      <c r="G247" s="576"/>
      <c r="H247" s="576"/>
      <c r="I247" s="576"/>
      <c r="J247" s="576"/>
      <c r="K247" s="576"/>
      <c r="L247" s="2070"/>
      <c r="M247" s="2070"/>
      <c r="N247" s="2070"/>
      <c r="O247" s="2070"/>
      <c r="P247" s="2070"/>
      <c r="Q247" s="2067"/>
      <c r="R247" s="2067"/>
      <c r="S247" s="2067"/>
      <c r="T247" s="2067"/>
      <c r="U247" s="2067"/>
    </row>
    <row r="248" spans="1:26" ht="14.25" thickTop="1" thickBot="1">
      <c r="A248" s="614"/>
      <c r="B248" s="576">
        <v>4</v>
      </c>
      <c r="C248" s="576" t="s">
        <v>1343</v>
      </c>
      <c r="D248" s="576"/>
      <c r="E248" s="576"/>
      <c r="F248" s="576"/>
      <c r="G248" s="576"/>
      <c r="H248" s="576"/>
      <c r="I248" s="576"/>
      <c r="J248" s="576"/>
      <c r="K248" s="576"/>
      <c r="L248" s="2070"/>
      <c r="M248" s="2070"/>
      <c r="N248" s="2070"/>
      <c r="O248" s="2070"/>
      <c r="P248" s="2070"/>
      <c r="Q248" s="2067"/>
      <c r="R248" s="2067"/>
      <c r="S248" s="2067"/>
      <c r="T248" s="2067"/>
      <c r="U248" s="2067"/>
    </row>
    <row r="249" spans="1:26" ht="14.25" thickTop="1" thickBot="1">
      <c r="A249" s="614"/>
      <c r="B249" s="576">
        <v>5</v>
      </c>
      <c r="C249" s="576" t="s">
        <v>1344</v>
      </c>
      <c r="D249" s="576"/>
      <c r="E249" s="576"/>
      <c r="F249" s="576"/>
      <c r="G249" s="576"/>
      <c r="H249" s="576"/>
      <c r="I249" s="576"/>
      <c r="J249" s="576"/>
      <c r="K249" s="576"/>
      <c r="L249" s="2070"/>
      <c r="M249" s="2070"/>
      <c r="N249" s="2070"/>
      <c r="O249" s="2070"/>
      <c r="P249" s="2070"/>
      <c r="Q249" s="2067"/>
      <c r="R249" s="2067"/>
      <c r="S249" s="2067"/>
      <c r="T249" s="2067"/>
      <c r="U249" s="2067"/>
    </row>
    <row r="250" spans="1:26" ht="14.25" thickTop="1" thickBot="1">
      <c r="A250" s="1563"/>
      <c r="B250" s="576"/>
      <c r="C250" s="576"/>
      <c r="D250" s="576"/>
      <c r="E250" s="576"/>
      <c r="F250" s="576"/>
      <c r="G250" s="576"/>
      <c r="H250" s="576"/>
      <c r="I250" s="576"/>
      <c r="J250" s="576"/>
      <c r="K250" s="576"/>
      <c r="L250" s="620"/>
      <c r="M250" s="620"/>
      <c r="N250" s="620"/>
      <c r="O250" s="620"/>
      <c r="P250" s="620"/>
      <c r="Q250" s="1612"/>
      <c r="R250" s="1612"/>
      <c r="S250" s="1612"/>
      <c r="T250" s="1612"/>
      <c r="U250" s="1612"/>
      <c r="V250" s="554"/>
    </row>
    <row r="251" spans="1:26" ht="17.25" thickTop="1" thickBot="1">
      <c r="A251" s="1610"/>
      <c r="C251" s="1611" t="s">
        <v>1352</v>
      </c>
      <c r="D251" s="1610"/>
      <c r="E251" s="1610"/>
      <c r="F251" s="1610"/>
      <c r="G251" s="1610"/>
      <c r="H251" s="1610"/>
      <c r="I251" s="1610"/>
      <c r="J251" s="1610"/>
      <c r="K251" s="1610"/>
      <c r="L251" s="1610"/>
      <c r="M251" s="1610"/>
      <c r="N251" s="1610"/>
      <c r="O251" s="1610"/>
      <c r="P251" s="1610"/>
      <c r="Q251" s="2057"/>
      <c r="R251" s="2058"/>
      <c r="S251" s="2058"/>
      <c r="T251" s="2058"/>
      <c r="U251" s="2059"/>
      <c r="V251" s="1610"/>
      <c r="W251" s="1610"/>
      <c r="X251" s="1610"/>
      <c r="Y251" s="1610"/>
      <c r="Z251" s="1610"/>
    </row>
    <row r="252" spans="1:26" ht="13.5" thickTop="1">
      <c r="A252" s="614"/>
      <c r="D252" s="576"/>
      <c r="E252" s="576"/>
      <c r="F252" s="576"/>
      <c r="G252" s="576"/>
      <c r="H252" s="576"/>
      <c r="I252" s="576"/>
      <c r="J252" s="576"/>
      <c r="K252" s="576"/>
      <c r="L252" s="576"/>
      <c r="M252" s="576"/>
      <c r="N252" s="576"/>
      <c r="O252" s="576"/>
      <c r="P252" s="576"/>
      <c r="Q252" s="576"/>
      <c r="R252" s="576"/>
      <c r="S252" s="576"/>
      <c r="T252" s="576"/>
      <c r="U252" s="576"/>
      <c r="V252" s="576"/>
      <c r="W252" s="576"/>
      <c r="X252" s="576"/>
      <c r="Y252" s="576"/>
      <c r="Z252" s="576"/>
    </row>
  </sheetData>
  <mergeCells count="390">
    <mergeCell ref="Q232:U232"/>
    <mergeCell ref="Q231:U231"/>
    <mergeCell ref="Q230:U230"/>
    <mergeCell ref="Q229:U229"/>
    <mergeCell ref="A210:Z210"/>
    <mergeCell ref="H75:O75"/>
    <mergeCell ref="C225:O225"/>
    <mergeCell ref="C226:N226"/>
    <mergeCell ref="C227:N227"/>
    <mergeCell ref="C96:D96"/>
    <mergeCell ref="E96:I96"/>
    <mergeCell ref="J96:M96"/>
    <mergeCell ref="N96:Q96"/>
    <mergeCell ref="R96:W96"/>
    <mergeCell ref="A100:Z100"/>
    <mergeCell ref="B105:C105"/>
    <mergeCell ref="D105:G105"/>
    <mergeCell ref="H105:J105"/>
    <mergeCell ref="K105:N105"/>
    <mergeCell ref="O105:R105"/>
    <mergeCell ref="B106:C106"/>
    <mergeCell ref="D106:G106"/>
    <mergeCell ref="H106:J106"/>
    <mergeCell ref="K106:N106"/>
    <mergeCell ref="L245:P245"/>
    <mergeCell ref="L246:P246"/>
    <mergeCell ref="L247:P247"/>
    <mergeCell ref="L248:P248"/>
    <mergeCell ref="L249:P249"/>
    <mergeCell ref="L244:P244"/>
    <mergeCell ref="Q244:U244"/>
    <mergeCell ref="Q234:U234"/>
    <mergeCell ref="Q233:U233"/>
    <mergeCell ref="C233:O233"/>
    <mergeCell ref="Q251:U251"/>
    <mergeCell ref="L212:O212"/>
    <mergeCell ref="C232:P232"/>
    <mergeCell ref="C238:P238"/>
    <mergeCell ref="C237:O237"/>
    <mergeCell ref="G216:S216"/>
    <mergeCell ref="G23:U23"/>
    <mergeCell ref="Q241:U241"/>
    <mergeCell ref="Q239:U239"/>
    <mergeCell ref="Q238:U238"/>
    <mergeCell ref="Q237:U237"/>
    <mergeCell ref="Q249:U249"/>
    <mergeCell ref="Q248:U248"/>
    <mergeCell ref="Q247:U247"/>
    <mergeCell ref="Q246:U246"/>
    <mergeCell ref="Q245:U245"/>
    <mergeCell ref="Q219:U219"/>
    <mergeCell ref="Q220:U220"/>
    <mergeCell ref="Q221:U221"/>
    <mergeCell ref="Q224:U224"/>
    <mergeCell ref="Q225:U225"/>
    <mergeCell ref="Q226:U226"/>
    <mergeCell ref="Q227:U227"/>
    <mergeCell ref="Q228:U228"/>
    <mergeCell ref="G213:S213"/>
    <mergeCell ref="G214:S214"/>
    <mergeCell ref="G215:S215"/>
    <mergeCell ref="B90:B91"/>
    <mergeCell ref="C90:D91"/>
    <mergeCell ref="E90:I91"/>
    <mergeCell ref="J90:M91"/>
    <mergeCell ref="C93:D93"/>
    <mergeCell ref="E93:I93"/>
    <mergeCell ref="J93:M93"/>
    <mergeCell ref="N93:Q93"/>
    <mergeCell ref="R93:W93"/>
    <mergeCell ref="C94:D94"/>
    <mergeCell ref="E94:I94"/>
    <mergeCell ref="J94:M94"/>
    <mergeCell ref="N94:Q94"/>
    <mergeCell ref="R94:W94"/>
    <mergeCell ref="C95:D95"/>
    <mergeCell ref="E95:I95"/>
    <mergeCell ref="J95:M95"/>
    <mergeCell ref="N95:Q95"/>
    <mergeCell ref="R95:W95"/>
    <mergeCell ref="N90:Q91"/>
    <mergeCell ref="B109:C109"/>
    <mergeCell ref="D82:R82"/>
    <mergeCell ref="A84:Z84"/>
    <mergeCell ref="F86:J86"/>
    <mergeCell ref="H66:O66"/>
    <mergeCell ref="Q66:Y66"/>
    <mergeCell ref="A1:Z1"/>
    <mergeCell ref="A3:Z3"/>
    <mergeCell ref="B5:I5"/>
    <mergeCell ref="O5:S5"/>
    <mergeCell ref="B9:E9"/>
    <mergeCell ref="B11:I11"/>
    <mergeCell ref="B29:E29"/>
    <mergeCell ref="B31:C31"/>
    <mergeCell ref="G33:U33"/>
    <mergeCell ref="A35:Z35"/>
    <mergeCell ref="F39:I39"/>
    <mergeCell ref="T44:W44"/>
    <mergeCell ref="A17:Z17"/>
    <mergeCell ref="G19:U19"/>
    <mergeCell ref="G21:U21"/>
    <mergeCell ref="G25:J25"/>
    <mergeCell ref="L25:S25"/>
    <mergeCell ref="G27:N27"/>
    <mergeCell ref="M44:S44"/>
    <mergeCell ref="G68:Z68"/>
    <mergeCell ref="G59:Z59"/>
    <mergeCell ref="G55:Z55"/>
    <mergeCell ref="G70:Z70"/>
    <mergeCell ref="G72:Z72"/>
    <mergeCell ref="H74:O74"/>
    <mergeCell ref="Q74:Y74"/>
    <mergeCell ref="Q75:Y75"/>
    <mergeCell ref="G61:M61"/>
    <mergeCell ref="D81:R81"/>
    <mergeCell ref="P46:Y47"/>
    <mergeCell ref="H65:O65"/>
    <mergeCell ref="Q65:Y65"/>
    <mergeCell ref="AC103:AF103"/>
    <mergeCell ref="B104:C104"/>
    <mergeCell ref="D104:G104"/>
    <mergeCell ref="H104:J104"/>
    <mergeCell ref="K104:N104"/>
    <mergeCell ref="O104:R104"/>
    <mergeCell ref="C97:D97"/>
    <mergeCell ref="E97:I97"/>
    <mergeCell ref="J97:M97"/>
    <mergeCell ref="N97:Q97"/>
    <mergeCell ref="R97:W97"/>
    <mergeCell ref="C98:D98"/>
    <mergeCell ref="E98:I98"/>
    <mergeCell ref="J98:M98"/>
    <mergeCell ref="R98:W98"/>
    <mergeCell ref="C92:D92"/>
    <mergeCell ref="E92:I92"/>
    <mergeCell ref="J92:M92"/>
    <mergeCell ref="R92:W92"/>
    <mergeCell ref="R90:W91"/>
    <mergeCell ref="F87:J87"/>
    <mergeCell ref="F88:J88"/>
    <mergeCell ref="B107:C107"/>
    <mergeCell ref="D107:G107"/>
    <mergeCell ref="H107:J107"/>
    <mergeCell ref="K107:N107"/>
    <mergeCell ref="O107:R107"/>
    <mergeCell ref="B108:C108"/>
    <mergeCell ref="D108:G108"/>
    <mergeCell ref="H108:J108"/>
    <mergeCell ref="K108:N108"/>
    <mergeCell ref="O108:R108"/>
    <mergeCell ref="O106:R106"/>
    <mergeCell ref="D109:G109"/>
    <mergeCell ref="H109:J109"/>
    <mergeCell ref="K109:N109"/>
    <mergeCell ref="O109:R109"/>
    <mergeCell ref="B110:C110"/>
    <mergeCell ref="D110:G110"/>
    <mergeCell ref="H110:J110"/>
    <mergeCell ref="K110:N110"/>
    <mergeCell ref="O110:R110"/>
    <mergeCell ref="B111:C111"/>
    <mergeCell ref="D111:G111"/>
    <mergeCell ref="H111:J111"/>
    <mergeCell ref="K111:N111"/>
    <mergeCell ref="O111:R111"/>
    <mergeCell ref="B112:C112"/>
    <mergeCell ref="D112:G112"/>
    <mergeCell ref="H112:J112"/>
    <mergeCell ref="K112:N112"/>
    <mergeCell ref="O112:R112"/>
    <mergeCell ref="B113:C113"/>
    <mergeCell ref="D113:G113"/>
    <mergeCell ref="H113:J113"/>
    <mergeCell ref="K113:N113"/>
    <mergeCell ref="O113:R113"/>
    <mergeCell ref="B114:C114"/>
    <mergeCell ref="D114:G114"/>
    <mergeCell ref="H114:J114"/>
    <mergeCell ref="K114:N114"/>
    <mergeCell ref="O114:R114"/>
    <mergeCell ref="B115:C115"/>
    <mergeCell ref="D115:G115"/>
    <mergeCell ref="H115:J115"/>
    <mergeCell ref="K115:N115"/>
    <mergeCell ref="O115:R115"/>
    <mergeCell ref="B116:C116"/>
    <mergeCell ref="D116:G116"/>
    <mergeCell ref="H116:J116"/>
    <mergeCell ref="K116:N116"/>
    <mergeCell ref="O116:R116"/>
    <mergeCell ref="D120:G120"/>
    <mergeCell ref="K120:N120"/>
    <mergeCell ref="O120:R120"/>
    <mergeCell ref="K121:N121"/>
    <mergeCell ref="O121:R121"/>
    <mergeCell ref="K123:P123"/>
    <mergeCell ref="B117:C117"/>
    <mergeCell ref="D117:G117"/>
    <mergeCell ref="H117:J117"/>
    <mergeCell ref="K117:N117"/>
    <mergeCell ref="O117:R117"/>
    <mergeCell ref="B118:C118"/>
    <mergeCell ref="D118:G118"/>
    <mergeCell ref="H118:J118"/>
    <mergeCell ref="K118:N118"/>
    <mergeCell ref="O118:R118"/>
    <mergeCell ref="A125:Z125"/>
    <mergeCell ref="G127:K127"/>
    <mergeCell ref="L127:P127"/>
    <mergeCell ref="Q127:U127"/>
    <mergeCell ref="V127:Z127"/>
    <mergeCell ref="G129:H129"/>
    <mergeCell ref="J129:K129"/>
    <mergeCell ref="L129:M129"/>
    <mergeCell ref="O129:P129"/>
    <mergeCell ref="Q129:R129"/>
    <mergeCell ref="G131:K131"/>
    <mergeCell ref="L131:P131"/>
    <mergeCell ref="Q131:U131"/>
    <mergeCell ref="V131:Z131"/>
    <mergeCell ref="G132:K132"/>
    <mergeCell ref="L132:P132"/>
    <mergeCell ref="Q132:U132"/>
    <mergeCell ref="V132:Z132"/>
    <mergeCell ref="T129:U129"/>
    <mergeCell ref="V129:W129"/>
    <mergeCell ref="Y129:Z129"/>
    <mergeCell ref="G130:K130"/>
    <mergeCell ref="L130:P130"/>
    <mergeCell ref="Q130:U130"/>
    <mergeCell ref="V130:Z130"/>
    <mergeCell ref="G137:K137"/>
    <mergeCell ref="B139:F139"/>
    <mergeCell ref="G133:K133"/>
    <mergeCell ref="L133:P133"/>
    <mergeCell ref="Q133:U133"/>
    <mergeCell ref="V133:Z133"/>
    <mergeCell ref="G134:K134"/>
    <mergeCell ref="L134:P134"/>
    <mergeCell ref="Q134:U134"/>
    <mergeCell ref="V134:Z134"/>
    <mergeCell ref="V139:Z139"/>
    <mergeCell ref="G139:K139"/>
    <mergeCell ref="L139:P139"/>
    <mergeCell ref="Q139:U139"/>
    <mergeCell ref="B140:F140"/>
    <mergeCell ref="G140:K140"/>
    <mergeCell ref="L140:P140"/>
    <mergeCell ref="Q140:U140"/>
    <mergeCell ref="V140:Z140"/>
    <mergeCell ref="B141:F141"/>
    <mergeCell ref="G141:K141"/>
    <mergeCell ref="L141:P141"/>
    <mergeCell ref="Q141:U141"/>
    <mergeCell ref="V141:Z141"/>
    <mergeCell ref="B142:F142"/>
    <mergeCell ref="G142:K142"/>
    <mergeCell ref="L142:P142"/>
    <mergeCell ref="Q142:U142"/>
    <mergeCell ref="V142:Z142"/>
    <mergeCell ref="B143:F143"/>
    <mergeCell ref="G143:K143"/>
    <mergeCell ref="L143:P143"/>
    <mergeCell ref="Q143:U143"/>
    <mergeCell ref="V143:Z143"/>
    <mergeCell ref="B146:F146"/>
    <mergeCell ref="G146:K146"/>
    <mergeCell ref="L146:P146"/>
    <mergeCell ref="Q146:U146"/>
    <mergeCell ref="V146:Z146"/>
    <mergeCell ref="B148:F148"/>
    <mergeCell ref="B144:F144"/>
    <mergeCell ref="G144:K144"/>
    <mergeCell ref="L144:P144"/>
    <mergeCell ref="Q144:U144"/>
    <mergeCell ref="V144:Z144"/>
    <mergeCell ref="B145:F145"/>
    <mergeCell ref="G145:K145"/>
    <mergeCell ref="L145:P145"/>
    <mergeCell ref="Q145:U145"/>
    <mergeCell ref="V145:Z145"/>
    <mergeCell ref="B149:F149"/>
    <mergeCell ref="G149:K149"/>
    <mergeCell ref="L149:P149"/>
    <mergeCell ref="Q149:U149"/>
    <mergeCell ref="V149:Z149"/>
    <mergeCell ref="B150:F150"/>
    <mergeCell ref="G150:K150"/>
    <mergeCell ref="L150:P150"/>
    <mergeCell ref="Q150:U150"/>
    <mergeCell ref="V150:Z150"/>
    <mergeCell ref="B151:F151"/>
    <mergeCell ref="G151:K151"/>
    <mergeCell ref="L151:P151"/>
    <mergeCell ref="Q151:U151"/>
    <mergeCell ref="V151:Z151"/>
    <mergeCell ref="G153:K153"/>
    <mergeCell ref="L153:P153"/>
    <mergeCell ref="Q153:U153"/>
    <mergeCell ref="V153:Z153"/>
    <mergeCell ref="G159:K159"/>
    <mergeCell ref="L159:P159"/>
    <mergeCell ref="Q159:U159"/>
    <mergeCell ref="V159:Z159"/>
    <mergeCell ref="A161:Z161"/>
    <mergeCell ref="L163:P163"/>
    <mergeCell ref="Q163:U163"/>
    <mergeCell ref="V163:Z163"/>
    <mergeCell ref="G155:K155"/>
    <mergeCell ref="L155:P155"/>
    <mergeCell ref="Q155:U155"/>
    <mergeCell ref="V155:Z155"/>
    <mergeCell ref="G158:K158"/>
    <mergeCell ref="L158:P158"/>
    <mergeCell ref="Q158:U158"/>
    <mergeCell ref="V158:Z158"/>
    <mergeCell ref="L166:P166"/>
    <mergeCell ref="Q166:U166"/>
    <mergeCell ref="V166:Z166"/>
    <mergeCell ref="L167:P167"/>
    <mergeCell ref="Q167:U167"/>
    <mergeCell ref="V167:Z167"/>
    <mergeCell ref="L164:P164"/>
    <mergeCell ref="Q164:U164"/>
    <mergeCell ref="V164:Z164"/>
    <mergeCell ref="L165:P165"/>
    <mergeCell ref="Q165:U165"/>
    <mergeCell ref="V165:Z165"/>
    <mergeCell ref="L171:P171"/>
    <mergeCell ref="Q171:U171"/>
    <mergeCell ref="V171:Z171"/>
    <mergeCell ref="L173:P173"/>
    <mergeCell ref="Q173:U173"/>
    <mergeCell ref="V173:Z173"/>
    <mergeCell ref="L168:P168"/>
    <mergeCell ref="Q168:U168"/>
    <mergeCell ref="V168:Z168"/>
    <mergeCell ref="L169:P169"/>
    <mergeCell ref="Q169:U169"/>
    <mergeCell ref="V169:Z169"/>
    <mergeCell ref="O181:S181"/>
    <mergeCell ref="T181:X181"/>
    <mergeCell ref="O182:S182"/>
    <mergeCell ref="T182:X182"/>
    <mergeCell ref="O183:S183"/>
    <mergeCell ref="T183:X183"/>
    <mergeCell ref="V174:Z174"/>
    <mergeCell ref="A176:Z176"/>
    <mergeCell ref="O178:S178"/>
    <mergeCell ref="T178:X178"/>
    <mergeCell ref="O180:S180"/>
    <mergeCell ref="T180:X180"/>
    <mergeCell ref="T194:X194"/>
    <mergeCell ref="O187:S187"/>
    <mergeCell ref="T187:X187"/>
    <mergeCell ref="O188:S188"/>
    <mergeCell ref="T188:X188"/>
    <mergeCell ref="O189:S189"/>
    <mergeCell ref="T189:X189"/>
    <mergeCell ref="O184:S184"/>
    <mergeCell ref="T184:X184"/>
    <mergeCell ref="O185:S185"/>
    <mergeCell ref="T185:X185"/>
    <mergeCell ref="O186:S186"/>
    <mergeCell ref="T186:X186"/>
    <mergeCell ref="A2:Z2"/>
    <mergeCell ref="O206:S206"/>
    <mergeCell ref="O208:S208"/>
    <mergeCell ref="O201:S201"/>
    <mergeCell ref="O202:S202"/>
    <mergeCell ref="B203:M203"/>
    <mergeCell ref="O203:S203"/>
    <mergeCell ref="O204:S204"/>
    <mergeCell ref="O205:S205"/>
    <mergeCell ref="O193:S193"/>
    <mergeCell ref="O195:S195"/>
    <mergeCell ref="O194:S194"/>
    <mergeCell ref="T193:X193"/>
    <mergeCell ref="O197:S197"/>
    <mergeCell ref="T197:X197"/>
    <mergeCell ref="B199:E199"/>
    <mergeCell ref="O200:S200"/>
    <mergeCell ref="O190:S190"/>
    <mergeCell ref="T190:X190"/>
    <mergeCell ref="O191:S191"/>
    <mergeCell ref="T191:X191"/>
    <mergeCell ref="O192:S192"/>
    <mergeCell ref="T192:X192"/>
    <mergeCell ref="T195:X195"/>
  </mergeCells>
  <dataValidations disablePrompts="1" count="5">
    <dataValidation type="list" allowBlank="1" showInputMessage="1" showErrorMessage="1" sqref="N93:N97">
      <formula1>"Not Working, Working"</formula1>
    </dataValidation>
    <dataValidation type="list" allowBlank="1" showInputMessage="1" showErrorMessage="1" sqref="E93:E97">
      <formula1>"Wife, Child, Brothers/sisters, Husband, Other"</formula1>
    </dataValidation>
    <dataValidation type="whole" allowBlank="1" showInputMessage="1" showErrorMessage="1" error="Maximum 3 dependants" sqref="F87">
      <formula1>0</formula1>
      <formula2>3</formula2>
    </dataValidation>
    <dataValidation type="list" allowBlank="1" showInputMessage="1" showErrorMessage="1" sqref="H106:H117">
      <formula1>"No, Yes"</formula1>
    </dataValidation>
    <dataValidation type="list" allowBlank="1" showInputMessage="1" showErrorMessage="1" sqref="F86:J86">
      <formula1>"SINGLE,MARRIED,MARRIED+"</formula1>
    </dataValidation>
  </dataValidations>
  <pageMargins left="0.7" right="0.7" top="0.75" bottom="0.75" header="0.3" footer="0.3"/>
  <pageSetup paperSize="9" scale="54" orientation="portrait" r:id="rId1"/>
  <rowBreaks count="2" manualBreakCount="2">
    <brk id="83" max="25" man="1"/>
    <brk id="175" max="25" man="1"/>
  </rowBreaks>
  <colBreaks count="1" manualBreakCount="1">
    <brk id="28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/>
  <dimension ref="A1:AQ673"/>
  <sheetViews>
    <sheetView view="pageBreakPreview" zoomScaleNormal="100" zoomScaleSheetLayoutView="100" workbookViewId="0">
      <selection sqref="A1:AI1"/>
    </sheetView>
  </sheetViews>
  <sheetFormatPr defaultColWidth="9.140625" defaultRowHeight="12.75"/>
  <cols>
    <col min="1" max="1" width="4.42578125" style="639" customWidth="1"/>
    <col min="2" max="2" width="3.85546875" style="639" customWidth="1"/>
    <col min="3" max="3" width="3.28515625" style="639" customWidth="1"/>
    <col min="4" max="4" width="3.7109375" style="639" customWidth="1"/>
    <col min="5" max="6" width="3.85546875" style="639" customWidth="1"/>
    <col min="7" max="7" width="3.28515625" style="639" customWidth="1"/>
    <col min="8" max="10" width="3.85546875" style="639" customWidth="1"/>
    <col min="11" max="11" width="4" style="639" customWidth="1"/>
    <col min="12" max="12" width="3.28515625" style="639" customWidth="1"/>
    <col min="13" max="14" width="3.85546875" style="639" customWidth="1"/>
    <col min="15" max="15" width="6" style="639" customWidth="1"/>
    <col min="16" max="16" width="5.28515625" style="639" customWidth="1"/>
    <col min="17" max="17" width="3.140625" style="639" customWidth="1"/>
    <col min="18" max="19" width="3.7109375" style="639" customWidth="1"/>
    <col min="20" max="20" width="4.42578125" style="639" customWidth="1"/>
    <col min="21" max="23" width="3.85546875" style="639" customWidth="1"/>
    <col min="24" max="24" width="3.42578125" style="639" customWidth="1"/>
    <col min="25" max="25" width="4" style="639" customWidth="1"/>
    <col min="26" max="27" width="5.42578125" style="639" customWidth="1"/>
    <col min="28" max="28" width="3.85546875" style="639" customWidth="1"/>
    <col min="29" max="29" width="3.7109375" style="639" customWidth="1"/>
    <col min="30" max="30" width="4.5703125" style="639" customWidth="1"/>
    <col min="31" max="31" width="3.85546875" style="639" customWidth="1"/>
    <col min="32" max="32" width="2.7109375" style="639" customWidth="1"/>
    <col min="33" max="33" width="3.85546875" style="639" customWidth="1"/>
    <col min="34" max="34" width="4" style="639" customWidth="1"/>
    <col min="35" max="35" width="4.42578125" style="639" customWidth="1"/>
    <col min="36" max="36" width="12.85546875" style="639" bestFit="1" customWidth="1"/>
    <col min="37" max="16384" width="9.140625" style="639"/>
  </cols>
  <sheetData>
    <row r="1" spans="1:35" s="621" customFormat="1" ht="36" customHeight="1" thickBot="1">
      <c r="A1" s="2220" t="s">
        <v>533</v>
      </c>
      <c r="B1" s="2220"/>
      <c r="C1" s="2220"/>
      <c r="D1" s="2220"/>
      <c r="E1" s="2220"/>
      <c r="F1" s="2220"/>
      <c r="G1" s="2220"/>
      <c r="H1" s="2220"/>
      <c r="I1" s="2220"/>
      <c r="J1" s="2220"/>
      <c r="K1" s="2220"/>
      <c r="L1" s="2220"/>
      <c r="M1" s="2220"/>
      <c r="N1" s="2220"/>
      <c r="O1" s="2220"/>
      <c r="P1" s="2220"/>
      <c r="Q1" s="2220"/>
      <c r="R1" s="2220"/>
      <c r="S1" s="2220"/>
      <c r="T1" s="2220"/>
      <c r="U1" s="2220"/>
      <c r="V1" s="2220"/>
      <c r="W1" s="2220"/>
      <c r="X1" s="2220"/>
      <c r="Y1" s="2220"/>
      <c r="Z1" s="2220"/>
      <c r="AA1" s="2220"/>
      <c r="AB1" s="2220"/>
      <c r="AC1" s="2220"/>
      <c r="AD1" s="2220"/>
      <c r="AE1" s="2220"/>
      <c r="AF1" s="2220"/>
      <c r="AG1" s="2220"/>
      <c r="AH1" s="2220"/>
      <c r="AI1" s="2220"/>
    </row>
    <row r="2" spans="1:35" s="623" customFormat="1" ht="13.5" thickTop="1">
      <c r="A2" s="622"/>
      <c r="AC2" s="624"/>
      <c r="AD2" s="624"/>
    </row>
    <row r="3" spans="1:35" s="623" customFormat="1">
      <c r="A3" s="623">
        <v>1</v>
      </c>
      <c r="B3" s="623" t="s">
        <v>534</v>
      </c>
      <c r="AC3" s="624"/>
      <c r="AD3" s="624"/>
    </row>
    <row r="4" spans="1:35" s="623" customFormat="1">
      <c r="A4" s="622"/>
      <c r="B4" s="623" t="s">
        <v>535</v>
      </c>
      <c r="AC4" s="624"/>
      <c r="AD4" s="624"/>
    </row>
    <row r="5" spans="1:35" s="623" customFormat="1">
      <c r="A5" s="623">
        <v>2</v>
      </c>
      <c r="B5" s="623" t="s">
        <v>536</v>
      </c>
      <c r="P5" s="624" t="s">
        <v>537</v>
      </c>
      <c r="Z5" s="623" t="s">
        <v>381</v>
      </c>
      <c r="AC5" s="624"/>
      <c r="AD5" s="624"/>
    </row>
    <row r="6" spans="1:35" s="623" customFormat="1">
      <c r="A6" s="622" t="s">
        <v>538</v>
      </c>
      <c r="Z6" s="623" t="s">
        <v>381</v>
      </c>
      <c r="AD6" s="624"/>
    </row>
    <row r="7" spans="1:35" s="623" customFormat="1" ht="13.5" thickBot="1">
      <c r="V7" s="623" t="s">
        <v>381</v>
      </c>
    </row>
    <row r="8" spans="1:35" s="626" customFormat="1" ht="14.25" thickTop="1" thickBot="1">
      <c r="A8" s="625" t="s">
        <v>539</v>
      </c>
      <c r="B8" s="625"/>
      <c r="K8" s="2217" t="s">
        <v>381</v>
      </c>
      <c r="L8" s="2218"/>
      <c r="M8" s="2218"/>
      <c r="N8" s="2218"/>
      <c r="O8" s="2218"/>
      <c r="P8" s="2218"/>
      <c r="Q8" s="2218"/>
      <c r="R8" s="2218"/>
      <c r="S8" s="2218"/>
      <c r="T8" s="2219"/>
    </row>
    <row r="9" spans="1:35" s="623" customFormat="1" ht="13.5" thickTop="1"/>
    <row r="10" spans="1:35" s="623" customFormat="1">
      <c r="B10" s="627" t="s">
        <v>382</v>
      </c>
      <c r="C10" s="627" t="s">
        <v>540</v>
      </c>
      <c r="D10" s="628"/>
      <c r="E10" s="628"/>
      <c r="F10" s="628"/>
      <c r="G10" s="628"/>
      <c r="H10" s="628"/>
      <c r="I10" s="628"/>
      <c r="J10" s="628"/>
      <c r="K10" s="628"/>
      <c r="L10" s="628"/>
      <c r="M10" s="628"/>
      <c r="N10" s="628"/>
      <c r="O10" s="628"/>
      <c r="P10" s="628"/>
      <c r="Q10" s="628"/>
      <c r="R10" s="629"/>
      <c r="S10" s="629"/>
      <c r="T10" s="629"/>
      <c r="U10" s="629"/>
      <c r="V10" s="629"/>
      <c r="W10" s="628"/>
      <c r="X10" s="628"/>
      <c r="Y10" s="628"/>
      <c r="Z10" s="628"/>
      <c r="AA10" s="628"/>
      <c r="AB10" s="628"/>
      <c r="AC10" s="628"/>
      <c r="AD10" s="628"/>
      <c r="AE10" s="628"/>
      <c r="AF10" s="628"/>
      <c r="AG10" s="628"/>
      <c r="AH10" s="628"/>
      <c r="AI10" s="628"/>
    </row>
    <row r="11" spans="1:35" s="623" customFormat="1" ht="13.5" thickBot="1"/>
    <row r="12" spans="1:35" s="623" customFormat="1" ht="24" customHeight="1" thickTop="1" thickBot="1">
      <c r="A12" s="2179" t="s">
        <v>360</v>
      </c>
      <c r="B12" s="2222" t="s">
        <v>541</v>
      </c>
      <c r="C12" s="2223"/>
      <c r="D12" s="2224"/>
      <c r="E12" s="2222" t="s">
        <v>542</v>
      </c>
      <c r="F12" s="2228"/>
      <c r="G12" s="2231" t="s">
        <v>543</v>
      </c>
      <c r="H12" s="2232"/>
      <c r="I12" s="2232"/>
      <c r="J12" s="2232"/>
      <c r="K12" s="2232"/>
      <c r="L12" s="2232"/>
      <c r="M12" s="2232"/>
      <c r="N12" s="2233"/>
      <c r="O12" s="2222" t="s">
        <v>544</v>
      </c>
      <c r="P12" s="2228"/>
      <c r="Q12" s="2231" t="s">
        <v>545</v>
      </c>
      <c r="R12" s="2232"/>
      <c r="S12" s="2232"/>
      <c r="T12" s="2232"/>
      <c r="U12" s="2232"/>
      <c r="V12" s="2232"/>
      <c r="W12" s="2232"/>
      <c r="X12" s="2233"/>
      <c r="Y12" s="2222" t="s">
        <v>546</v>
      </c>
      <c r="Z12" s="2228"/>
      <c r="AA12" s="2222" t="s">
        <v>547</v>
      </c>
      <c r="AB12" s="2234"/>
      <c r="AC12" s="2234"/>
      <c r="AD12" s="2228"/>
      <c r="AE12" s="2222" t="s">
        <v>548</v>
      </c>
      <c r="AF12" s="2234"/>
      <c r="AG12" s="2234"/>
      <c r="AH12" s="2236"/>
    </row>
    <row r="13" spans="1:35" s="623" customFormat="1" ht="30" customHeight="1" thickTop="1" thickBot="1">
      <c r="A13" s="2221"/>
      <c r="B13" s="2225"/>
      <c r="C13" s="2226"/>
      <c r="D13" s="2227"/>
      <c r="E13" s="2229"/>
      <c r="F13" s="2230"/>
      <c r="G13" s="2231" t="s">
        <v>549</v>
      </c>
      <c r="H13" s="2232"/>
      <c r="I13" s="2232"/>
      <c r="J13" s="2233"/>
      <c r="K13" s="2231" t="s">
        <v>550</v>
      </c>
      <c r="L13" s="2232"/>
      <c r="M13" s="2232"/>
      <c r="N13" s="2233"/>
      <c r="O13" s="2229"/>
      <c r="P13" s="2230"/>
      <c r="Q13" s="2231" t="s">
        <v>549</v>
      </c>
      <c r="R13" s="2232"/>
      <c r="S13" s="2232"/>
      <c r="T13" s="2233"/>
      <c r="U13" s="2231" t="s">
        <v>550</v>
      </c>
      <c r="V13" s="2232"/>
      <c r="W13" s="2232"/>
      <c r="X13" s="2233"/>
      <c r="Y13" s="2229"/>
      <c r="Z13" s="2230"/>
      <c r="AA13" s="2229"/>
      <c r="AB13" s="2235"/>
      <c r="AC13" s="2235"/>
      <c r="AD13" s="2230"/>
      <c r="AE13" s="2229"/>
      <c r="AF13" s="2235"/>
      <c r="AG13" s="2235"/>
      <c r="AH13" s="2237"/>
    </row>
    <row r="14" spans="1:35" s="623" customFormat="1" ht="13.5" thickTop="1">
      <c r="A14" s="630"/>
      <c r="B14" s="631"/>
      <c r="C14" s="632"/>
      <c r="D14" s="633"/>
      <c r="E14" s="631"/>
      <c r="F14" s="633"/>
      <c r="G14" s="631"/>
      <c r="H14" s="632"/>
      <c r="I14" s="632"/>
      <c r="J14" s="633"/>
      <c r="K14" s="631"/>
      <c r="L14" s="632"/>
      <c r="M14" s="632"/>
      <c r="N14" s="633"/>
      <c r="O14" s="631"/>
      <c r="P14" s="633"/>
      <c r="Q14" s="634"/>
      <c r="R14" s="635"/>
      <c r="S14" s="635"/>
      <c r="T14" s="636"/>
      <c r="U14" s="634"/>
      <c r="V14" s="635"/>
      <c r="W14" s="635"/>
      <c r="X14" s="635"/>
      <c r="Y14" s="2238"/>
      <c r="Z14" s="2239"/>
      <c r="AA14" s="635"/>
      <c r="AB14" s="635"/>
      <c r="AC14" s="635"/>
      <c r="AD14" s="636"/>
      <c r="AE14" s="634"/>
      <c r="AF14" s="635"/>
      <c r="AG14" s="635"/>
      <c r="AH14" s="637"/>
    </row>
    <row r="15" spans="1:35">
      <c r="A15" s="1843">
        <v>1</v>
      </c>
      <c r="B15" s="2175"/>
      <c r="C15" s="2175"/>
      <c r="D15" s="2175"/>
      <c r="E15" s="2174"/>
      <c r="F15" s="2174"/>
      <c r="G15" s="2176"/>
      <c r="H15" s="2176"/>
      <c r="I15" s="2176"/>
      <c r="J15" s="2176"/>
      <c r="K15" s="2176"/>
      <c r="L15" s="2176"/>
      <c r="M15" s="2176"/>
      <c r="N15" s="2176"/>
      <c r="O15" s="2177"/>
      <c r="P15" s="2177"/>
      <c r="Q15" s="2088">
        <f t="shared" ref="Q15:Q30" si="0">G15*O15</f>
        <v>0</v>
      </c>
      <c r="R15" s="2088"/>
      <c r="S15" s="2088"/>
      <c r="T15" s="2178"/>
      <c r="U15" s="2087">
        <f t="shared" ref="U15:U30" si="1">K15*O15</f>
        <v>0</v>
      </c>
      <c r="V15" s="2088"/>
      <c r="W15" s="2088"/>
      <c r="X15" s="2088"/>
      <c r="Y15" s="2194"/>
      <c r="Z15" s="2195"/>
      <c r="AA15" s="2197">
        <f>IF(Y15="",U15,Q15*Y15/100)</f>
        <v>0</v>
      </c>
      <c r="AB15" s="2154"/>
      <c r="AC15" s="2154"/>
      <c r="AD15" s="2155"/>
      <c r="AE15" s="2087">
        <f t="shared" ref="AE15:AE30" si="2">IF(AA15=0,U15,IF(U15&gt;(VALUE(AA15)),VALUE(AA15),U15))</f>
        <v>0</v>
      </c>
      <c r="AF15" s="2088"/>
      <c r="AG15" s="2088"/>
      <c r="AH15" s="2089"/>
    </row>
    <row r="16" spans="1:35">
      <c r="A16" s="1844">
        <f>A15+1</f>
        <v>2</v>
      </c>
      <c r="B16" s="2175"/>
      <c r="C16" s="2175"/>
      <c r="D16" s="2175"/>
      <c r="E16" s="2174"/>
      <c r="F16" s="2174"/>
      <c r="G16" s="2176"/>
      <c r="H16" s="2176"/>
      <c r="I16" s="2176"/>
      <c r="J16" s="2176"/>
      <c r="K16" s="2176"/>
      <c r="L16" s="2176"/>
      <c r="M16" s="2176"/>
      <c r="N16" s="2176"/>
      <c r="O16" s="2177"/>
      <c r="P16" s="2177"/>
      <c r="Q16" s="2088">
        <f t="shared" si="0"/>
        <v>0</v>
      </c>
      <c r="R16" s="2088"/>
      <c r="S16" s="2088"/>
      <c r="T16" s="2178"/>
      <c r="U16" s="2087">
        <f t="shared" si="1"/>
        <v>0</v>
      </c>
      <c r="V16" s="2088"/>
      <c r="W16" s="2088"/>
      <c r="X16" s="2088"/>
      <c r="Y16" s="2194"/>
      <c r="Z16" s="2195"/>
      <c r="AA16" s="2197">
        <f t="shared" ref="AA16:AA30" si="3">IF(Y16="",U16,Q16*Y16/100)</f>
        <v>0</v>
      </c>
      <c r="AB16" s="2154"/>
      <c r="AC16" s="2154"/>
      <c r="AD16" s="2155"/>
      <c r="AE16" s="2087">
        <f t="shared" si="2"/>
        <v>0</v>
      </c>
      <c r="AF16" s="2088"/>
      <c r="AG16" s="2088"/>
      <c r="AH16" s="2089"/>
    </row>
    <row r="17" spans="1:34">
      <c r="A17" s="1843">
        <v>3</v>
      </c>
      <c r="B17" s="2175"/>
      <c r="C17" s="2175"/>
      <c r="D17" s="2175"/>
      <c r="E17" s="2174"/>
      <c r="F17" s="2174"/>
      <c r="G17" s="2176"/>
      <c r="H17" s="2176"/>
      <c r="I17" s="2176"/>
      <c r="J17" s="2176"/>
      <c r="K17" s="2176"/>
      <c r="L17" s="2176"/>
      <c r="M17" s="2176"/>
      <c r="N17" s="2176"/>
      <c r="O17" s="2177"/>
      <c r="P17" s="2177"/>
      <c r="Q17" s="2088">
        <f t="shared" ref="Q17:Q20" si="4">G17*O17</f>
        <v>0</v>
      </c>
      <c r="R17" s="2088"/>
      <c r="S17" s="2088"/>
      <c r="T17" s="2178"/>
      <c r="U17" s="2087">
        <f t="shared" ref="U17:U20" si="5">K17*O17</f>
        <v>0</v>
      </c>
      <c r="V17" s="2088"/>
      <c r="W17" s="2088"/>
      <c r="X17" s="2088"/>
      <c r="Y17" s="2194"/>
      <c r="Z17" s="2195"/>
      <c r="AA17" s="2197">
        <f t="shared" ref="AA17:AA20" si="6">IF(Y17="",U17,Q17*Y17/100)</f>
        <v>0</v>
      </c>
      <c r="AB17" s="2154"/>
      <c r="AC17" s="2154"/>
      <c r="AD17" s="2155"/>
      <c r="AE17" s="2087">
        <f t="shared" ref="AE17:AE20" si="7">IF(AA17=0,U17,IF(U17&gt;(VALUE(AA17)),VALUE(AA17),U17))</f>
        <v>0</v>
      </c>
      <c r="AF17" s="2088"/>
      <c r="AG17" s="2088"/>
      <c r="AH17" s="2089"/>
    </row>
    <row r="18" spans="1:34">
      <c r="A18" s="1843">
        <v>4</v>
      </c>
      <c r="B18" s="2175"/>
      <c r="C18" s="2175"/>
      <c r="D18" s="2175"/>
      <c r="E18" s="2174"/>
      <c r="F18" s="2174"/>
      <c r="G18" s="2176"/>
      <c r="H18" s="2176"/>
      <c r="I18" s="2176"/>
      <c r="J18" s="2176"/>
      <c r="K18" s="2176"/>
      <c r="L18" s="2176"/>
      <c r="M18" s="2176"/>
      <c r="N18" s="2176"/>
      <c r="O18" s="2177"/>
      <c r="P18" s="2177"/>
      <c r="Q18" s="2088">
        <f t="shared" si="4"/>
        <v>0</v>
      </c>
      <c r="R18" s="2088"/>
      <c r="S18" s="2088"/>
      <c r="T18" s="2178"/>
      <c r="U18" s="2087">
        <f t="shared" si="5"/>
        <v>0</v>
      </c>
      <c r="V18" s="2088"/>
      <c r="W18" s="2088"/>
      <c r="X18" s="2088"/>
      <c r="Y18" s="2194"/>
      <c r="Z18" s="2195"/>
      <c r="AA18" s="2197">
        <f t="shared" si="6"/>
        <v>0</v>
      </c>
      <c r="AB18" s="2154"/>
      <c r="AC18" s="2154"/>
      <c r="AD18" s="2155"/>
      <c r="AE18" s="2087">
        <f t="shared" si="7"/>
        <v>0</v>
      </c>
      <c r="AF18" s="2088"/>
      <c r="AG18" s="2088"/>
      <c r="AH18" s="2089"/>
    </row>
    <row r="19" spans="1:34">
      <c r="A19" s="1844">
        <v>5</v>
      </c>
      <c r="B19" s="2175"/>
      <c r="C19" s="2175"/>
      <c r="D19" s="2175"/>
      <c r="E19" s="2174"/>
      <c r="F19" s="2174"/>
      <c r="G19" s="2176"/>
      <c r="H19" s="2176"/>
      <c r="I19" s="2176"/>
      <c r="J19" s="2176"/>
      <c r="K19" s="2176"/>
      <c r="L19" s="2176"/>
      <c r="M19" s="2176"/>
      <c r="N19" s="2176"/>
      <c r="O19" s="2177"/>
      <c r="P19" s="2177"/>
      <c r="Q19" s="2088">
        <f t="shared" si="4"/>
        <v>0</v>
      </c>
      <c r="R19" s="2088"/>
      <c r="S19" s="2088"/>
      <c r="T19" s="2178"/>
      <c r="U19" s="2087">
        <f t="shared" si="5"/>
        <v>0</v>
      </c>
      <c r="V19" s="2088"/>
      <c r="W19" s="2088"/>
      <c r="X19" s="2088"/>
      <c r="Y19" s="2194"/>
      <c r="Z19" s="2195"/>
      <c r="AA19" s="2197">
        <f t="shared" si="6"/>
        <v>0</v>
      </c>
      <c r="AB19" s="2154"/>
      <c r="AC19" s="2154"/>
      <c r="AD19" s="2155"/>
      <c r="AE19" s="2087">
        <f t="shared" si="7"/>
        <v>0</v>
      </c>
      <c r="AF19" s="2088"/>
      <c r="AG19" s="2088"/>
      <c r="AH19" s="2089"/>
    </row>
    <row r="20" spans="1:34">
      <c r="A20" s="1843">
        <v>6</v>
      </c>
      <c r="B20" s="2175"/>
      <c r="C20" s="2175"/>
      <c r="D20" s="2175"/>
      <c r="E20" s="2174"/>
      <c r="F20" s="2174"/>
      <c r="G20" s="2176"/>
      <c r="H20" s="2176"/>
      <c r="I20" s="2176"/>
      <c r="J20" s="2176"/>
      <c r="K20" s="2176"/>
      <c r="L20" s="2176"/>
      <c r="M20" s="2176"/>
      <c r="N20" s="2176"/>
      <c r="O20" s="2177"/>
      <c r="P20" s="2177"/>
      <c r="Q20" s="2088">
        <f t="shared" si="4"/>
        <v>0</v>
      </c>
      <c r="R20" s="2088"/>
      <c r="S20" s="2088"/>
      <c r="T20" s="2178"/>
      <c r="U20" s="2087">
        <f t="shared" si="5"/>
        <v>0</v>
      </c>
      <c r="V20" s="2088"/>
      <c r="W20" s="2088"/>
      <c r="X20" s="2088"/>
      <c r="Y20" s="2194"/>
      <c r="Z20" s="2195"/>
      <c r="AA20" s="2197">
        <f t="shared" si="6"/>
        <v>0</v>
      </c>
      <c r="AB20" s="2154"/>
      <c r="AC20" s="2154"/>
      <c r="AD20" s="2155"/>
      <c r="AE20" s="2087">
        <f t="shared" si="7"/>
        <v>0</v>
      </c>
      <c r="AF20" s="2088"/>
      <c r="AG20" s="2088"/>
      <c r="AH20" s="2089"/>
    </row>
    <row r="21" spans="1:34">
      <c r="A21" s="1843">
        <v>7</v>
      </c>
      <c r="B21" s="2175"/>
      <c r="C21" s="2175"/>
      <c r="D21" s="2175"/>
      <c r="E21" s="2174"/>
      <c r="F21" s="2174"/>
      <c r="G21" s="2176"/>
      <c r="H21" s="2176"/>
      <c r="I21" s="2176"/>
      <c r="J21" s="2176"/>
      <c r="K21" s="2176"/>
      <c r="L21" s="2176"/>
      <c r="M21" s="2176"/>
      <c r="N21" s="2176"/>
      <c r="O21" s="2177"/>
      <c r="P21" s="2177"/>
      <c r="Q21" s="2088">
        <f t="shared" si="0"/>
        <v>0</v>
      </c>
      <c r="R21" s="2088"/>
      <c r="S21" s="2088"/>
      <c r="T21" s="2178"/>
      <c r="U21" s="2087">
        <f t="shared" si="1"/>
        <v>0</v>
      </c>
      <c r="V21" s="2088"/>
      <c r="W21" s="2088"/>
      <c r="X21" s="2088"/>
      <c r="Y21" s="2194"/>
      <c r="Z21" s="2195"/>
      <c r="AA21" s="2197">
        <f t="shared" si="3"/>
        <v>0</v>
      </c>
      <c r="AB21" s="2154"/>
      <c r="AC21" s="2154"/>
      <c r="AD21" s="2155"/>
      <c r="AE21" s="2087">
        <f t="shared" si="2"/>
        <v>0</v>
      </c>
      <c r="AF21" s="2088"/>
      <c r="AG21" s="2088"/>
      <c r="AH21" s="2089"/>
    </row>
    <row r="22" spans="1:34">
      <c r="A22" s="1844">
        <v>8</v>
      </c>
      <c r="B22" s="2175"/>
      <c r="C22" s="2175"/>
      <c r="D22" s="2175"/>
      <c r="E22" s="2174"/>
      <c r="F22" s="2174"/>
      <c r="G22" s="2176"/>
      <c r="H22" s="2176"/>
      <c r="I22" s="2176"/>
      <c r="J22" s="2176"/>
      <c r="K22" s="2176"/>
      <c r="L22" s="2176"/>
      <c r="M22" s="2176"/>
      <c r="N22" s="2176"/>
      <c r="O22" s="2177"/>
      <c r="P22" s="2177"/>
      <c r="Q22" s="2088">
        <f t="shared" si="0"/>
        <v>0</v>
      </c>
      <c r="R22" s="2088"/>
      <c r="S22" s="2088"/>
      <c r="T22" s="2178"/>
      <c r="U22" s="2087">
        <f t="shared" si="1"/>
        <v>0</v>
      </c>
      <c r="V22" s="2088"/>
      <c r="W22" s="2088"/>
      <c r="X22" s="2088"/>
      <c r="Y22" s="2194"/>
      <c r="Z22" s="2195"/>
      <c r="AA22" s="2197">
        <f t="shared" si="3"/>
        <v>0</v>
      </c>
      <c r="AB22" s="2154"/>
      <c r="AC22" s="2154"/>
      <c r="AD22" s="2155"/>
      <c r="AE22" s="2087">
        <f t="shared" si="2"/>
        <v>0</v>
      </c>
      <c r="AF22" s="2088"/>
      <c r="AG22" s="2088"/>
      <c r="AH22" s="2089"/>
    </row>
    <row r="23" spans="1:34">
      <c r="A23" s="1843">
        <v>9</v>
      </c>
      <c r="B23" s="2175"/>
      <c r="C23" s="2175"/>
      <c r="D23" s="2175"/>
      <c r="E23" s="2174"/>
      <c r="F23" s="2174"/>
      <c r="G23" s="2176"/>
      <c r="H23" s="2176"/>
      <c r="I23" s="2176"/>
      <c r="J23" s="2176"/>
      <c r="K23" s="2176"/>
      <c r="L23" s="2176"/>
      <c r="M23" s="2176"/>
      <c r="N23" s="2176"/>
      <c r="O23" s="2177"/>
      <c r="P23" s="2177"/>
      <c r="Q23" s="2088">
        <f t="shared" si="0"/>
        <v>0</v>
      </c>
      <c r="R23" s="2088"/>
      <c r="S23" s="2088"/>
      <c r="T23" s="2178"/>
      <c r="U23" s="2087">
        <f t="shared" si="1"/>
        <v>0</v>
      </c>
      <c r="V23" s="2088"/>
      <c r="W23" s="2088"/>
      <c r="X23" s="2088"/>
      <c r="Y23" s="2194"/>
      <c r="Z23" s="2195"/>
      <c r="AA23" s="2197">
        <f t="shared" si="3"/>
        <v>0</v>
      </c>
      <c r="AB23" s="2154"/>
      <c r="AC23" s="2154"/>
      <c r="AD23" s="2155"/>
      <c r="AE23" s="2087">
        <f t="shared" si="2"/>
        <v>0</v>
      </c>
      <c r="AF23" s="2088"/>
      <c r="AG23" s="2088"/>
      <c r="AH23" s="2089"/>
    </row>
    <row r="24" spans="1:34">
      <c r="A24" s="1843">
        <v>10</v>
      </c>
      <c r="B24" s="2175"/>
      <c r="C24" s="2175"/>
      <c r="D24" s="2175"/>
      <c r="E24" s="2174"/>
      <c r="F24" s="2174"/>
      <c r="G24" s="2176"/>
      <c r="H24" s="2176"/>
      <c r="I24" s="2176"/>
      <c r="J24" s="2176"/>
      <c r="K24" s="2176"/>
      <c r="L24" s="2176"/>
      <c r="M24" s="2176"/>
      <c r="N24" s="2176"/>
      <c r="O24" s="2177"/>
      <c r="P24" s="2177"/>
      <c r="Q24" s="2088">
        <f t="shared" si="0"/>
        <v>0</v>
      </c>
      <c r="R24" s="2088"/>
      <c r="S24" s="2088"/>
      <c r="T24" s="2178"/>
      <c r="U24" s="2087">
        <f t="shared" si="1"/>
        <v>0</v>
      </c>
      <c r="V24" s="2088"/>
      <c r="W24" s="2088"/>
      <c r="X24" s="2088"/>
      <c r="Y24" s="2194"/>
      <c r="Z24" s="2195"/>
      <c r="AA24" s="2197">
        <f t="shared" si="3"/>
        <v>0</v>
      </c>
      <c r="AB24" s="2154"/>
      <c r="AC24" s="2154"/>
      <c r="AD24" s="2155"/>
      <c r="AE24" s="2087">
        <f t="shared" si="2"/>
        <v>0</v>
      </c>
      <c r="AF24" s="2088"/>
      <c r="AG24" s="2088"/>
      <c r="AH24" s="2089"/>
    </row>
    <row r="25" spans="1:34">
      <c r="A25" s="1843">
        <v>11</v>
      </c>
      <c r="B25" s="2175"/>
      <c r="C25" s="2175"/>
      <c r="D25" s="2175"/>
      <c r="E25" s="2174"/>
      <c r="F25" s="2174"/>
      <c r="G25" s="2176"/>
      <c r="H25" s="2176"/>
      <c r="I25" s="2176"/>
      <c r="J25" s="2176"/>
      <c r="K25" s="2176"/>
      <c r="L25" s="2176"/>
      <c r="M25" s="2176"/>
      <c r="N25" s="2176"/>
      <c r="O25" s="2177"/>
      <c r="P25" s="2177"/>
      <c r="Q25" s="2088">
        <f t="shared" si="0"/>
        <v>0</v>
      </c>
      <c r="R25" s="2088"/>
      <c r="S25" s="2088"/>
      <c r="T25" s="2178"/>
      <c r="U25" s="2087">
        <f t="shared" si="1"/>
        <v>0</v>
      </c>
      <c r="V25" s="2088"/>
      <c r="W25" s="2088"/>
      <c r="X25" s="2088"/>
      <c r="Y25" s="2194"/>
      <c r="Z25" s="2195"/>
      <c r="AA25" s="2197">
        <f t="shared" si="3"/>
        <v>0</v>
      </c>
      <c r="AB25" s="2154"/>
      <c r="AC25" s="2154"/>
      <c r="AD25" s="2155"/>
      <c r="AE25" s="2087">
        <f t="shared" si="2"/>
        <v>0</v>
      </c>
      <c r="AF25" s="2088"/>
      <c r="AG25" s="2088"/>
      <c r="AH25" s="2089"/>
    </row>
    <row r="26" spans="1:34">
      <c r="A26" s="1843">
        <v>12</v>
      </c>
      <c r="B26" s="2175"/>
      <c r="C26" s="2175"/>
      <c r="D26" s="2175"/>
      <c r="E26" s="2174"/>
      <c r="F26" s="2174"/>
      <c r="G26" s="2176"/>
      <c r="H26" s="2176"/>
      <c r="I26" s="2176"/>
      <c r="J26" s="2176"/>
      <c r="K26" s="2176"/>
      <c r="L26" s="2176"/>
      <c r="M26" s="2176"/>
      <c r="N26" s="2176"/>
      <c r="O26" s="2177"/>
      <c r="P26" s="2177"/>
      <c r="Q26" s="2088">
        <f t="shared" ref="Q26:Q29" si="8">G26*O26</f>
        <v>0</v>
      </c>
      <c r="R26" s="2088"/>
      <c r="S26" s="2088"/>
      <c r="T26" s="2178"/>
      <c r="U26" s="2087">
        <f t="shared" ref="U26:U29" si="9">K26*O26</f>
        <v>0</v>
      </c>
      <c r="V26" s="2088"/>
      <c r="W26" s="2088"/>
      <c r="X26" s="2088"/>
      <c r="Y26" s="2194"/>
      <c r="Z26" s="2195"/>
      <c r="AA26" s="2197">
        <f t="shared" ref="AA26:AA29" si="10">IF(Y26="",U26,Q26*Y26/100)</f>
        <v>0</v>
      </c>
      <c r="AB26" s="2154"/>
      <c r="AC26" s="2154"/>
      <c r="AD26" s="2155"/>
      <c r="AE26" s="2087">
        <f t="shared" ref="AE26:AE29" si="11">IF(AA26=0,U26,IF(U26&gt;(VALUE(AA26)),VALUE(AA26),U26))</f>
        <v>0</v>
      </c>
      <c r="AF26" s="2088"/>
      <c r="AG26" s="2088"/>
      <c r="AH26" s="2089"/>
    </row>
    <row r="27" spans="1:34">
      <c r="A27" s="1844">
        <v>13</v>
      </c>
      <c r="B27" s="2175"/>
      <c r="C27" s="2175"/>
      <c r="D27" s="2175"/>
      <c r="E27" s="2174"/>
      <c r="F27" s="2174"/>
      <c r="G27" s="2176"/>
      <c r="H27" s="2176"/>
      <c r="I27" s="2176"/>
      <c r="J27" s="2176"/>
      <c r="K27" s="2176"/>
      <c r="L27" s="2176"/>
      <c r="M27" s="2176"/>
      <c r="N27" s="2176"/>
      <c r="O27" s="2177"/>
      <c r="P27" s="2177"/>
      <c r="Q27" s="2088">
        <f t="shared" si="8"/>
        <v>0</v>
      </c>
      <c r="R27" s="2088"/>
      <c r="S27" s="2088"/>
      <c r="T27" s="2178"/>
      <c r="U27" s="2087">
        <f t="shared" si="9"/>
        <v>0</v>
      </c>
      <c r="V27" s="2088"/>
      <c r="W27" s="2088"/>
      <c r="X27" s="2088"/>
      <c r="Y27" s="2194"/>
      <c r="Z27" s="2195"/>
      <c r="AA27" s="2197">
        <f t="shared" si="10"/>
        <v>0</v>
      </c>
      <c r="AB27" s="2154"/>
      <c r="AC27" s="2154"/>
      <c r="AD27" s="2155"/>
      <c r="AE27" s="2087">
        <f t="shared" si="11"/>
        <v>0</v>
      </c>
      <c r="AF27" s="2088"/>
      <c r="AG27" s="2088"/>
      <c r="AH27" s="2089"/>
    </row>
    <row r="28" spans="1:34">
      <c r="A28" s="1843">
        <v>14</v>
      </c>
      <c r="B28" s="2175"/>
      <c r="C28" s="2175"/>
      <c r="D28" s="2175"/>
      <c r="E28" s="2174"/>
      <c r="F28" s="2174"/>
      <c r="G28" s="2176"/>
      <c r="H28" s="2176"/>
      <c r="I28" s="2176"/>
      <c r="J28" s="2176"/>
      <c r="K28" s="2176"/>
      <c r="L28" s="2176"/>
      <c r="M28" s="2176"/>
      <c r="N28" s="2176"/>
      <c r="O28" s="2177"/>
      <c r="P28" s="2177"/>
      <c r="Q28" s="2088">
        <f t="shared" si="8"/>
        <v>0</v>
      </c>
      <c r="R28" s="2088"/>
      <c r="S28" s="2088"/>
      <c r="T28" s="2178"/>
      <c r="U28" s="2087">
        <f t="shared" si="9"/>
        <v>0</v>
      </c>
      <c r="V28" s="2088"/>
      <c r="W28" s="2088"/>
      <c r="X28" s="2088"/>
      <c r="Y28" s="2194"/>
      <c r="Z28" s="2195"/>
      <c r="AA28" s="2197">
        <f t="shared" si="10"/>
        <v>0</v>
      </c>
      <c r="AB28" s="2154"/>
      <c r="AC28" s="2154"/>
      <c r="AD28" s="2155"/>
      <c r="AE28" s="2087">
        <f t="shared" si="11"/>
        <v>0</v>
      </c>
      <c r="AF28" s="2088"/>
      <c r="AG28" s="2088"/>
      <c r="AH28" s="2089"/>
    </row>
    <row r="29" spans="1:34">
      <c r="A29" s="1843">
        <v>15</v>
      </c>
      <c r="B29" s="2175"/>
      <c r="C29" s="2175"/>
      <c r="D29" s="2175"/>
      <c r="E29" s="2174"/>
      <c r="F29" s="2174"/>
      <c r="G29" s="2176"/>
      <c r="H29" s="2176"/>
      <c r="I29" s="2176"/>
      <c r="J29" s="2176"/>
      <c r="K29" s="2176"/>
      <c r="L29" s="2176"/>
      <c r="M29" s="2176"/>
      <c r="N29" s="2176"/>
      <c r="O29" s="2177"/>
      <c r="P29" s="2177"/>
      <c r="Q29" s="2088">
        <f t="shared" si="8"/>
        <v>0</v>
      </c>
      <c r="R29" s="2088"/>
      <c r="S29" s="2088"/>
      <c r="T29" s="2178"/>
      <c r="U29" s="2087">
        <f t="shared" si="9"/>
        <v>0</v>
      </c>
      <c r="V29" s="2088"/>
      <c r="W29" s="2088"/>
      <c r="X29" s="2088"/>
      <c r="Y29" s="2194"/>
      <c r="Z29" s="2195"/>
      <c r="AA29" s="2197">
        <f t="shared" si="10"/>
        <v>0</v>
      </c>
      <c r="AB29" s="2154"/>
      <c r="AC29" s="2154"/>
      <c r="AD29" s="2155"/>
      <c r="AE29" s="2087">
        <f t="shared" si="11"/>
        <v>0</v>
      </c>
      <c r="AF29" s="2088"/>
      <c r="AG29" s="2088"/>
      <c r="AH29" s="2089"/>
    </row>
    <row r="30" spans="1:34">
      <c r="A30" s="640" t="s">
        <v>551</v>
      </c>
      <c r="B30" s="2175"/>
      <c r="C30" s="2175"/>
      <c r="D30" s="2175"/>
      <c r="E30" s="2174"/>
      <c r="F30" s="2174"/>
      <c r="G30" s="2176"/>
      <c r="H30" s="2176"/>
      <c r="I30" s="2176"/>
      <c r="J30" s="2176"/>
      <c r="K30" s="2176"/>
      <c r="L30" s="2176"/>
      <c r="M30" s="2176"/>
      <c r="N30" s="2176"/>
      <c r="O30" s="2177"/>
      <c r="P30" s="2177"/>
      <c r="Q30" s="2088">
        <f t="shared" si="0"/>
        <v>0</v>
      </c>
      <c r="R30" s="2088"/>
      <c r="S30" s="2088"/>
      <c r="T30" s="2178"/>
      <c r="U30" s="2087">
        <f t="shared" si="1"/>
        <v>0</v>
      </c>
      <c r="V30" s="2088"/>
      <c r="W30" s="2088"/>
      <c r="X30" s="2088"/>
      <c r="Y30" s="2194"/>
      <c r="Z30" s="2195"/>
      <c r="AA30" s="2197">
        <f t="shared" si="3"/>
        <v>0</v>
      </c>
      <c r="AB30" s="2154"/>
      <c r="AC30" s="2154"/>
      <c r="AD30" s="2155"/>
      <c r="AE30" s="2087">
        <f t="shared" si="2"/>
        <v>0</v>
      </c>
      <c r="AF30" s="2088"/>
      <c r="AG30" s="2088"/>
      <c r="AH30" s="2089"/>
    </row>
    <row r="31" spans="1:34" s="623" customFormat="1" ht="13.5" thickBot="1">
      <c r="A31" s="641"/>
      <c r="B31" s="642"/>
      <c r="C31" s="643"/>
      <c r="D31" s="644"/>
      <c r="E31" s="642"/>
      <c r="F31" s="644"/>
      <c r="G31" s="645"/>
      <c r="H31" s="646"/>
      <c r="I31" s="646"/>
      <c r="J31" s="647"/>
      <c r="K31" s="645"/>
      <c r="L31" s="646"/>
      <c r="M31" s="646"/>
      <c r="N31" s="647"/>
      <c r="O31" s="642"/>
      <c r="P31" s="644"/>
      <c r="Q31" s="648"/>
      <c r="R31" s="649"/>
      <c r="S31" s="649"/>
      <c r="T31" s="650"/>
      <c r="U31" s="648"/>
      <c r="V31" s="649"/>
      <c r="W31" s="649"/>
      <c r="X31" s="649"/>
      <c r="Y31" s="2240"/>
      <c r="Z31" s="2241"/>
      <c r="AA31" s="649"/>
      <c r="AB31" s="649"/>
      <c r="AC31" s="649"/>
      <c r="AD31" s="650"/>
      <c r="AE31" s="648"/>
      <c r="AF31" s="649"/>
      <c r="AG31" s="649"/>
      <c r="AH31" s="651"/>
    </row>
    <row r="32" spans="1:34" s="623" customFormat="1" ht="14.25" thickTop="1" thickBot="1">
      <c r="G32" s="652"/>
      <c r="H32" s="652"/>
      <c r="I32" s="652"/>
      <c r="J32" s="652"/>
      <c r="K32" s="652"/>
      <c r="L32" s="652"/>
      <c r="M32" s="652"/>
      <c r="N32" s="652"/>
      <c r="Q32" s="652"/>
      <c r="R32" s="652"/>
      <c r="S32" s="652"/>
      <c r="T32" s="652"/>
      <c r="U32" s="652"/>
      <c r="V32" s="652"/>
      <c r="W32" s="652"/>
      <c r="X32" s="652"/>
      <c r="AA32" s="652"/>
      <c r="AB32" s="652"/>
      <c r="AC32" s="652"/>
      <c r="AD32" s="652"/>
      <c r="AE32" s="652"/>
      <c r="AF32" s="652"/>
      <c r="AG32" s="652"/>
      <c r="AH32" s="652"/>
    </row>
    <row r="33" spans="1:35" s="623" customFormat="1" ht="14.25" thickTop="1" thickBot="1">
      <c r="B33" s="622" t="s">
        <v>552</v>
      </c>
      <c r="G33" s="2171">
        <f>SUM(G15:J30)</f>
        <v>0</v>
      </c>
      <c r="H33" s="2172"/>
      <c r="I33" s="2172"/>
      <c r="J33" s="2173"/>
      <c r="K33" s="2171">
        <f>+SUM(K15:N31)</f>
        <v>0</v>
      </c>
      <c r="L33" s="2172"/>
      <c r="M33" s="2172"/>
      <c r="N33" s="2173"/>
      <c r="Q33" s="2242">
        <f>+SUM(Q15:T31)</f>
        <v>0</v>
      </c>
      <c r="R33" s="2124"/>
      <c r="S33" s="2124"/>
      <c r="T33" s="2125"/>
      <c r="U33" s="2242">
        <f>+SUM(U15:X31)</f>
        <v>0</v>
      </c>
      <c r="V33" s="2124"/>
      <c r="W33" s="2124"/>
      <c r="X33" s="2125"/>
      <c r="AA33" s="2242">
        <f>+SUM(AA15:AD31)</f>
        <v>0</v>
      </c>
      <c r="AB33" s="2124"/>
      <c r="AC33" s="2124"/>
      <c r="AD33" s="2125"/>
      <c r="AE33" s="2242">
        <f>+SUM(AE15:AH31)</f>
        <v>0</v>
      </c>
      <c r="AF33" s="2124"/>
      <c r="AG33" s="2124"/>
      <c r="AH33" s="2125"/>
    </row>
    <row r="34" spans="1:35" s="623" customFormat="1" ht="13.5" thickTop="1"/>
    <row r="35" spans="1:35" s="623" customFormat="1">
      <c r="B35" s="627" t="s">
        <v>377</v>
      </c>
      <c r="C35" s="627" t="s">
        <v>553</v>
      </c>
      <c r="D35" s="628"/>
      <c r="E35" s="628"/>
      <c r="F35" s="628"/>
      <c r="G35" s="628"/>
      <c r="H35" s="628"/>
      <c r="I35" s="628"/>
      <c r="J35" s="628"/>
      <c r="K35" s="628"/>
      <c r="L35" s="628"/>
      <c r="M35" s="628"/>
      <c r="N35" s="628"/>
      <c r="O35" s="628"/>
      <c r="P35" s="628"/>
      <c r="Q35" s="628"/>
      <c r="R35" s="628"/>
      <c r="S35" s="628"/>
      <c r="T35" s="628"/>
      <c r="U35" s="628"/>
      <c r="V35" s="628"/>
      <c r="W35" s="628"/>
      <c r="X35" s="628"/>
      <c r="Y35" s="628"/>
      <c r="Z35" s="628"/>
      <c r="AA35" s="628"/>
      <c r="AB35" s="628"/>
      <c r="AC35" s="628"/>
      <c r="AD35" s="628"/>
      <c r="AE35" s="628"/>
      <c r="AF35" s="628"/>
      <c r="AG35" s="628"/>
      <c r="AH35" s="628"/>
      <c r="AI35" s="628"/>
    </row>
    <row r="36" spans="1:35" s="623" customFormat="1" ht="13.5" thickBot="1"/>
    <row r="37" spans="1:35" s="623" customFormat="1" ht="24" customHeight="1" thickTop="1" thickBot="1">
      <c r="A37" s="2179" t="s">
        <v>360</v>
      </c>
      <c r="B37" s="2222" t="s">
        <v>541</v>
      </c>
      <c r="C37" s="2223"/>
      <c r="D37" s="2224"/>
      <c r="E37" s="2222" t="s">
        <v>542</v>
      </c>
      <c r="F37" s="2228"/>
      <c r="G37" s="2231" t="s">
        <v>543</v>
      </c>
      <c r="H37" s="2232"/>
      <c r="I37" s="2232"/>
      <c r="J37" s="2232"/>
      <c r="K37" s="2232"/>
      <c r="L37" s="2232"/>
      <c r="M37" s="2232"/>
      <c r="N37" s="2233"/>
      <c r="O37" s="2222" t="s">
        <v>544</v>
      </c>
      <c r="P37" s="2228"/>
      <c r="Q37" s="2231" t="s">
        <v>545</v>
      </c>
      <c r="R37" s="2232"/>
      <c r="S37" s="2232"/>
      <c r="T37" s="2232"/>
      <c r="U37" s="2232"/>
      <c r="V37" s="2232"/>
      <c r="W37" s="2232"/>
      <c r="X37" s="2233"/>
      <c r="Y37" s="2222" t="s">
        <v>546</v>
      </c>
      <c r="Z37" s="2228"/>
      <c r="AA37" s="2222" t="s">
        <v>547</v>
      </c>
      <c r="AB37" s="2234"/>
      <c r="AC37" s="2234"/>
      <c r="AD37" s="2228"/>
      <c r="AE37" s="2222" t="s">
        <v>548</v>
      </c>
      <c r="AF37" s="2234"/>
      <c r="AG37" s="2234"/>
      <c r="AH37" s="2236"/>
    </row>
    <row r="38" spans="1:35" s="623" customFormat="1" ht="30" customHeight="1" thickTop="1" thickBot="1">
      <c r="A38" s="2221"/>
      <c r="B38" s="2225"/>
      <c r="C38" s="2226"/>
      <c r="D38" s="2227"/>
      <c r="E38" s="2229"/>
      <c r="F38" s="2230"/>
      <c r="G38" s="2231" t="s">
        <v>549</v>
      </c>
      <c r="H38" s="2232"/>
      <c r="I38" s="2232"/>
      <c r="J38" s="2233"/>
      <c r="K38" s="2231" t="s">
        <v>550</v>
      </c>
      <c r="L38" s="2232"/>
      <c r="M38" s="2232"/>
      <c r="N38" s="2233"/>
      <c r="O38" s="2229"/>
      <c r="P38" s="2230"/>
      <c r="Q38" s="2231" t="s">
        <v>549</v>
      </c>
      <c r="R38" s="2232"/>
      <c r="S38" s="2232"/>
      <c r="T38" s="2233"/>
      <c r="U38" s="2231" t="s">
        <v>550</v>
      </c>
      <c r="V38" s="2232"/>
      <c r="W38" s="2232"/>
      <c r="X38" s="2233"/>
      <c r="Y38" s="2229"/>
      <c r="Z38" s="2230"/>
      <c r="AA38" s="2229"/>
      <c r="AB38" s="2235"/>
      <c r="AC38" s="2235"/>
      <c r="AD38" s="2230"/>
      <c r="AE38" s="2229"/>
      <c r="AF38" s="2235"/>
      <c r="AG38" s="2235"/>
      <c r="AH38" s="2237"/>
    </row>
    <row r="39" spans="1:35" s="623" customFormat="1" ht="13.5" thickTop="1">
      <c r="A39" s="630"/>
      <c r="B39" s="634"/>
      <c r="C39" s="635"/>
      <c r="D39" s="636"/>
      <c r="E39" s="634"/>
      <c r="F39" s="636"/>
      <c r="G39" s="634"/>
      <c r="H39" s="635"/>
      <c r="I39" s="635"/>
      <c r="J39" s="636"/>
      <c r="K39" s="634"/>
      <c r="L39" s="635"/>
      <c r="M39" s="635"/>
      <c r="N39" s="636"/>
      <c r="O39" s="634"/>
      <c r="P39" s="636"/>
      <c r="Q39" s="634"/>
      <c r="R39" s="635"/>
      <c r="S39" s="635"/>
      <c r="T39" s="636"/>
      <c r="U39" s="634"/>
      <c r="V39" s="635"/>
      <c r="W39" s="635"/>
      <c r="X39" s="636"/>
      <c r="Y39" s="634"/>
      <c r="Z39" s="635"/>
      <c r="AA39" s="634"/>
      <c r="AB39" s="635"/>
      <c r="AC39" s="635"/>
      <c r="AD39" s="636"/>
      <c r="AE39" s="634"/>
      <c r="AF39" s="635"/>
      <c r="AG39" s="635"/>
      <c r="AH39" s="637"/>
    </row>
    <row r="40" spans="1:35">
      <c r="A40" s="638">
        <v>1</v>
      </c>
      <c r="B40" s="2175"/>
      <c r="C40" s="2175"/>
      <c r="D40" s="2175"/>
      <c r="E40" s="2174"/>
      <c r="F40" s="2174"/>
      <c r="G40" s="2176"/>
      <c r="H40" s="2176"/>
      <c r="I40" s="2176"/>
      <c r="J40" s="2176"/>
      <c r="K40" s="2176"/>
      <c r="L40" s="2176"/>
      <c r="M40" s="2176"/>
      <c r="N40" s="2176"/>
      <c r="O40" s="2177"/>
      <c r="P40" s="2177"/>
      <c r="Q40" s="2088">
        <f t="shared" ref="Q40:Q55" si="12">G40*O40</f>
        <v>0</v>
      </c>
      <c r="R40" s="2088"/>
      <c r="S40" s="2088"/>
      <c r="T40" s="2178"/>
      <c r="U40" s="2087">
        <f t="shared" ref="U40:U55" si="13">K40*O40</f>
        <v>0</v>
      </c>
      <c r="V40" s="2088"/>
      <c r="W40" s="2088"/>
      <c r="X40" s="2088"/>
      <c r="Y40" s="2194"/>
      <c r="Z40" s="2195"/>
      <c r="AA40" s="2197">
        <f>IF(Y40="",U40,Q40*Y40/100)</f>
        <v>0</v>
      </c>
      <c r="AB40" s="2154"/>
      <c r="AC40" s="2154"/>
      <c r="AD40" s="2155"/>
      <c r="AE40" s="2087">
        <f t="shared" ref="AE40:AE55" si="14">IF(AA40=0,U40,IF(U40&gt;(VALUE(AA40)),VALUE(AA40),U40))</f>
        <v>0</v>
      </c>
      <c r="AF40" s="2088"/>
      <c r="AG40" s="2088"/>
      <c r="AH40" s="2089"/>
    </row>
    <row r="41" spans="1:35">
      <c r="A41" s="1842">
        <f t="shared" ref="A41:A54" si="15">A40+1</f>
        <v>2</v>
      </c>
      <c r="B41" s="2175"/>
      <c r="C41" s="2175"/>
      <c r="D41" s="2175"/>
      <c r="E41" s="2174"/>
      <c r="F41" s="2174"/>
      <c r="G41" s="2176"/>
      <c r="H41" s="2176"/>
      <c r="I41" s="2176"/>
      <c r="J41" s="2176"/>
      <c r="K41" s="2176"/>
      <c r="L41" s="2176"/>
      <c r="M41" s="2176"/>
      <c r="N41" s="2176"/>
      <c r="O41" s="2177"/>
      <c r="P41" s="2177"/>
      <c r="Q41" s="2088">
        <f t="shared" si="12"/>
        <v>0</v>
      </c>
      <c r="R41" s="2088"/>
      <c r="S41" s="2088"/>
      <c r="T41" s="2178"/>
      <c r="U41" s="2087">
        <f t="shared" si="13"/>
        <v>0</v>
      </c>
      <c r="V41" s="2088"/>
      <c r="W41" s="2088"/>
      <c r="X41" s="2088"/>
      <c r="Y41" s="2194"/>
      <c r="Z41" s="2195"/>
      <c r="AA41" s="2197">
        <f t="shared" ref="AA41:AA55" si="16">IF(Y41="",U41,Q41*Y41/100)</f>
        <v>0</v>
      </c>
      <c r="AB41" s="2154"/>
      <c r="AC41" s="2154"/>
      <c r="AD41" s="2155"/>
      <c r="AE41" s="2087">
        <f t="shared" si="14"/>
        <v>0</v>
      </c>
      <c r="AF41" s="2088"/>
      <c r="AG41" s="2088"/>
      <c r="AH41" s="2089"/>
    </row>
    <row r="42" spans="1:35">
      <c r="A42" s="1842">
        <f t="shared" si="15"/>
        <v>3</v>
      </c>
      <c r="B42" s="2175"/>
      <c r="C42" s="2175"/>
      <c r="D42" s="2175"/>
      <c r="E42" s="2174"/>
      <c r="F42" s="2174"/>
      <c r="G42" s="2176"/>
      <c r="H42" s="2176"/>
      <c r="I42" s="2176"/>
      <c r="J42" s="2176"/>
      <c r="K42" s="2176"/>
      <c r="L42" s="2176"/>
      <c r="M42" s="2176"/>
      <c r="N42" s="2176"/>
      <c r="O42" s="2177"/>
      <c r="P42" s="2177"/>
      <c r="Q42" s="2088">
        <f t="shared" si="12"/>
        <v>0</v>
      </c>
      <c r="R42" s="2088"/>
      <c r="S42" s="2088"/>
      <c r="T42" s="2178"/>
      <c r="U42" s="2087">
        <f t="shared" si="13"/>
        <v>0</v>
      </c>
      <c r="V42" s="2088"/>
      <c r="W42" s="2088"/>
      <c r="X42" s="2088"/>
      <c r="Y42" s="2194"/>
      <c r="Z42" s="2195"/>
      <c r="AA42" s="2197">
        <f t="shared" si="16"/>
        <v>0</v>
      </c>
      <c r="AB42" s="2154"/>
      <c r="AC42" s="2154"/>
      <c r="AD42" s="2155"/>
      <c r="AE42" s="2087">
        <f t="shared" si="14"/>
        <v>0</v>
      </c>
      <c r="AF42" s="2088"/>
      <c r="AG42" s="2088"/>
      <c r="AH42" s="2089"/>
    </row>
    <row r="43" spans="1:35">
      <c r="A43" s="1842">
        <f t="shared" si="15"/>
        <v>4</v>
      </c>
      <c r="B43" s="2175"/>
      <c r="C43" s="2175"/>
      <c r="D43" s="2175"/>
      <c r="E43" s="2174"/>
      <c r="F43" s="2174"/>
      <c r="G43" s="2176"/>
      <c r="H43" s="2176"/>
      <c r="I43" s="2176"/>
      <c r="J43" s="2176"/>
      <c r="K43" s="2176"/>
      <c r="L43" s="2176"/>
      <c r="M43" s="2176"/>
      <c r="N43" s="2176"/>
      <c r="O43" s="2177"/>
      <c r="P43" s="2177"/>
      <c r="Q43" s="2088">
        <f t="shared" si="12"/>
        <v>0</v>
      </c>
      <c r="R43" s="2088"/>
      <c r="S43" s="2088"/>
      <c r="T43" s="2178"/>
      <c r="U43" s="2087">
        <f t="shared" si="13"/>
        <v>0</v>
      </c>
      <c r="V43" s="2088"/>
      <c r="W43" s="2088"/>
      <c r="X43" s="2088"/>
      <c r="Y43" s="2194"/>
      <c r="Z43" s="2195"/>
      <c r="AA43" s="2197">
        <f t="shared" si="16"/>
        <v>0</v>
      </c>
      <c r="AB43" s="2154"/>
      <c r="AC43" s="2154"/>
      <c r="AD43" s="2155"/>
      <c r="AE43" s="2087">
        <f t="shared" si="14"/>
        <v>0</v>
      </c>
      <c r="AF43" s="2088"/>
      <c r="AG43" s="2088"/>
      <c r="AH43" s="2089"/>
    </row>
    <row r="44" spans="1:35">
      <c r="A44" s="1842">
        <f t="shared" si="15"/>
        <v>5</v>
      </c>
      <c r="B44" s="2175"/>
      <c r="C44" s="2175"/>
      <c r="D44" s="2175"/>
      <c r="E44" s="2174"/>
      <c r="F44" s="2174"/>
      <c r="G44" s="2176"/>
      <c r="H44" s="2176"/>
      <c r="I44" s="2176"/>
      <c r="J44" s="2176"/>
      <c r="K44" s="2176"/>
      <c r="L44" s="2176"/>
      <c r="M44" s="2176"/>
      <c r="N44" s="2176"/>
      <c r="O44" s="2177"/>
      <c r="P44" s="2177"/>
      <c r="Q44" s="2088">
        <f t="shared" si="12"/>
        <v>0</v>
      </c>
      <c r="R44" s="2088"/>
      <c r="S44" s="2088"/>
      <c r="T44" s="2178"/>
      <c r="U44" s="2087">
        <f t="shared" si="13"/>
        <v>0</v>
      </c>
      <c r="V44" s="2088"/>
      <c r="W44" s="2088"/>
      <c r="X44" s="2088"/>
      <c r="Y44" s="2194"/>
      <c r="Z44" s="2195"/>
      <c r="AA44" s="2197">
        <f t="shared" si="16"/>
        <v>0</v>
      </c>
      <c r="AB44" s="2154"/>
      <c r="AC44" s="2154"/>
      <c r="AD44" s="2155"/>
      <c r="AE44" s="2087">
        <f t="shared" si="14"/>
        <v>0</v>
      </c>
      <c r="AF44" s="2088"/>
      <c r="AG44" s="2088"/>
      <c r="AH44" s="2089"/>
    </row>
    <row r="45" spans="1:35">
      <c r="A45" s="1842">
        <f t="shared" si="15"/>
        <v>6</v>
      </c>
      <c r="B45" s="2175"/>
      <c r="C45" s="2175"/>
      <c r="D45" s="2175"/>
      <c r="E45" s="2174"/>
      <c r="F45" s="2174"/>
      <c r="G45" s="2176"/>
      <c r="H45" s="2176"/>
      <c r="I45" s="2176"/>
      <c r="J45" s="2176"/>
      <c r="K45" s="2176"/>
      <c r="L45" s="2176"/>
      <c r="M45" s="2176"/>
      <c r="N45" s="2176"/>
      <c r="O45" s="2177"/>
      <c r="P45" s="2177"/>
      <c r="Q45" s="2088">
        <f t="shared" si="12"/>
        <v>0</v>
      </c>
      <c r="R45" s="2088"/>
      <c r="S45" s="2088"/>
      <c r="T45" s="2178"/>
      <c r="U45" s="2087">
        <f t="shared" si="13"/>
        <v>0</v>
      </c>
      <c r="V45" s="2088"/>
      <c r="W45" s="2088"/>
      <c r="X45" s="2088"/>
      <c r="Y45" s="2194"/>
      <c r="Z45" s="2195"/>
      <c r="AA45" s="2197">
        <f t="shared" si="16"/>
        <v>0</v>
      </c>
      <c r="AB45" s="2154"/>
      <c r="AC45" s="2154"/>
      <c r="AD45" s="2155"/>
      <c r="AE45" s="2087">
        <f t="shared" si="14"/>
        <v>0</v>
      </c>
      <c r="AF45" s="2088"/>
      <c r="AG45" s="2088"/>
      <c r="AH45" s="2089"/>
    </row>
    <row r="46" spans="1:35">
      <c r="A46" s="1842">
        <f t="shared" si="15"/>
        <v>7</v>
      </c>
      <c r="B46" s="2175"/>
      <c r="C46" s="2175"/>
      <c r="D46" s="2175"/>
      <c r="E46" s="2174"/>
      <c r="F46" s="2174"/>
      <c r="G46" s="2176"/>
      <c r="H46" s="2176"/>
      <c r="I46" s="2176"/>
      <c r="J46" s="2176"/>
      <c r="K46" s="2176"/>
      <c r="L46" s="2176"/>
      <c r="M46" s="2176"/>
      <c r="N46" s="2176"/>
      <c r="O46" s="2177"/>
      <c r="P46" s="2177"/>
      <c r="Q46" s="2088">
        <f t="shared" ref="Q46:Q50" si="17">G46*O46</f>
        <v>0</v>
      </c>
      <c r="R46" s="2088"/>
      <c r="S46" s="2088"/>
      <c r="T46" s="2178"/>
      <c r="U46" s="2087">
        <f t="shared" ref="U46:U50" si="18">K46*O46</f>
        <v>0</v>
      </c>
      <c r="V46" s="2088"/>
      <c r="W46" s="2088"/>
      <c r="X46" s="2088"/>
      <c r="Y46" s="2194"/>
      <c r="Z46" s="2195"/>
      <c r="AA46" s="2197">
        <f t="shared" ref="AA46:AA50" si="19">IF(Y46="",U46,Q46*Y46/100)</f>
        <v>0</v>
      </c>
      <c r="AB46" s="2154"/>
      <c r="AC46" s="2154"/>
      <c r="AD46" s="2155"/>
      <c r="AE46" s="2087">
        <f t="shared" ref="AE46:AE50" si="20">IF(AA46=0,U46,IF(U46&gt;(VALUE(AA46)),VALUE(AA46),U46))</f>
        <v>0</v>
      </c>
      <c r="AF46" s="2088"/>
      <c r="AG46" s="2088"/>
      <c r="AH46" s="2089"/>
    </row>
    <row r="47" spans="1:35">
      <c r="A47" s="1842">
        <f t="shared" si="15"/>
        <v>8</v>
      </c>
      <c r="B47" s="2175"/>
      <c r="C47" s="2175"/>
      <c r="D47" s="2175"/>
      <c r="E47" s="2174"/>
      <c r="F47" s="2174"/>
      <c r="G47" s="2176"/>
      <c r="H47" s="2176"/>
      <c r="I47" s="2176"/>
      <c r="J47" s="2176"/>
      <c r="K47" s="2176"/>
      <c r="L47" s="2176"/>
      <c r="M47" s="2176"/>
      <c r="N47" s="2176"/>
      <c r="O47" s="2177"/>
      <c r="P47" s="2177"/>
      <c r="Q47" s="2088">
        <f t="shared" si="17"/>
        <v>0</v>
      </c>
      <c r="R47" s="2088"/>
      <c r="S47" s="2088"/>
      <c r="T47" s="2178"/>
      <c r="U47" s="2087">
        <f t="shared" si="18"/>
        <v>0</v>
      </c>
      <c r="V47" s="2088"/>
      <c r="W47" s="2088"/>
      <c r="X47" s="2088"/>
      <c r="Y47" s="2194"/>
      <c r="Z47" s="2195"/>
      <c r="AA47" s="2197">
        <f t="shared" si="19"/>
        <v>0</v>
      </c>
      <c r="AB47" s="2154"/>
      <c r="AC47" s="2154"/>
      <c r="AD47" s="2155"/>
      <c r="AE47" s="2087">
        <f t="shared" si="20"/>
        <v>0</v>
      </c>
      <c r="AF47" s="2088"/>
      <c r="AG47" s="2088"/>
      <c r="AH47" s="2089"/>
    </row>
    <row r="48" spans="1:35">
      <c r="A48" s="1842">
        <f t="shared" si="15"/>
        <v>9</v>
      </c>
      <c r="B48" s="2175"/>
      <c r="C48" s="2175"/>
      <c r="D48" s="2175"/>
      <c r="E48" s="2174"/>
      <c r="F48" s="2174"/>
      <c r="G48" s="2176"/>
      <c r="H48" s="2176"/>
      <c r="I48" s="2176"/>
      <c r="J48" s="2176"/>
      <c r="K48" s="2176"/>
      <c r="L48" s="2176"/>
      <c r="M48" s="2176"/>
      <c r="N48" s="2176"/>
      <c r="O48" s="2177"/>
      <c r="P48" s="2177"/>
      <c r="Q48" s="2088">
        <f t="shared" si="17"/>
        <v>0</v>
      </c>
      <c r="R48" s="2088"/>
      <c r="S48" s="2088"/>
      <c r="T48" s="2178"/>
      <c r="U48" s="2087">
        <f t="shared" si="18"/>
        <v>0</v>
      </c>
      <c r="V48" s="2088"/>
      <c r="W48" s="2088"/>
      <c r="X48" s="2088"/>
      <c r="Y48" s="2194"/>
      <c r="Z48" s="2195"/>
      <c r="AA48" s="2197">
        <f t="shared" si="19"/>
        <v>0</v>
      </c>
      <c r="AB48" s="2154"/>
      <c r="AC48" s="2154"/>
      <c r="AD48" s="2155"/>
      <c r="AE48" s="2087">
        <f t="shared" si="20"/>
        <v>0</v>
      </c>
      <c r="AF48" s="2088"/>
      <c r="AG48" s="2088"/>
      <c r="AH48" s="2089"/>
    </row>
    <row r="49" spans="1:35">
      <c r="A49" s="1842">
        <f t="shared" si="15"/>
        <v>10</v>
      </c>
      <c r="B49" s="2175"/>
      <c r="C49" s="2175"/>
      <c r="D49" s="2175"/>
      <c r="E49" s="2174"/>
      <c r="F49" s="2174"/>
      <c r="G49" s="2176"/>
      <c r="H49" s="2176"/>
      <c r="I49" s="2176"/>
      <c r="J49" s="2176"/>
      <c r="K49" s="2176"/>
      <c r="L49" s="2176"/>
      <c r="M49" s="2176"/>
      <c r="N49" s="2176"/>
      <c r="O49" s="2177"/>
      <c r="P49" s="2177"/>
      <c r="Q49" s="2088">
        <f t="shared" si="17"/>
        <v>0</v>
      </c>
      <c r="R49" s="2088"/>
      <c r="S49" s="2088"/>
      <c r="T49" s="2178"/>
      <c r="U49" s="2087">
        <f t="shared" si="18"/>
        <v>0</v>
      </c>
      <c r="V49" s="2088"/>
      <c r="W49" s="2088"/>
      <c r="X49" s="2088"/>
      <c r="Y49" s="2194"/>
      <c r="Z49" s="2195"/>
      <c r="AA49" s="2197">
        <f t="shared" si="19"/>
        <v>0</v>
      </c>
      <c r="AB49" s="2154"/>
      <c r="AC49" s="2154"/>
      <c r="AD49" s="2155"/>
      <c r="AE49" s="2087">
        <f t="shared" si="20"/>
        <v>0</v>
      </c>
      <c r="AF49" s="2088"/>
      <c r="AG49" s="2088"/>
      <c r="AH49" s="2089"/>
    </row>
    <row r="50" spans="1:35">
      <c r="A50" s="1842">
        <f t="shared" si="15"/>
        <v>11</v>
      </c>
      <c r="B50" s="2175"/>
      <c r="C50" s="2175"/>
      <c r="D50" s="2175"/>
      <c r="E50" s="2174"/>
      <c r="F50" s="2174"/>
      <c r="G50" s="2176"/>
      <c r="H50" s="2176"/>
      <c r="I50" s="2176"/>
      <c r="J50" s="2176"/>
      <c r="K50" s="2176"/>
      <c r="L50" s="2176"/>
      <c r="M50" s="2176"/>
      <c r="N50" s="2176"/>
      <c r="O50" s="2177"/>
      <c r="P50" s="2177"/>
      <c r="Q50" s="2088">
        <f t="shared" si="17"/>
        <v>0</v>
      </c>
      <c r="R50" s="2088"/>
      <c r="S50" s="2088"/>
      <c r="T50" s="2178"/>
      <c r="U50" s="2087">
        <f t="shared" si="18"/>
        <v>0</v>
      </c>
      <c r="V50" s="2088"/>
      <c r="W50" s="2088"/>
      <c r="X50" s="2088"/>
      <c r="Y50" s="2194"/>
      <c r="Z50" s="2195"/>
      <c r="AA50" s="2197">
        <f t="shared" si="19"/>
        <v>0</v>
      </c>
      <c r="AB50" s="2154"/>
      <c r="AC50" s="2154"/>
      <c r="AD50" s="2155"/>
      <c r="AE50" s="2087">
        <f t="shared" si="20"/>
        <v>0</v>
      </c>
      <c r="AF50" s="2088"/>
      <c r="AG50" s="2088"/>
      <c r="AH50" s="2089"/>
    </row>
    <row r="51" spans="1:35">
      <c r="A51" s="1842">
        <f t="shared" si="15"/>
        <v>12</v>
      </c>
      <c r="B51" s="2175"/>
      <c r="C51" s="2175"/>
      <c r="D51" s="2175"/>
      <c r="E51" s="2174"/>
      <c r="F51" s="2174"/>
      <c r="G51" s="2176"/>
      <c r="H51" s="2176"/>
      <c r="I51" s="2176"/>
      <c r="J51" s="2176"/>
      <c r="K51" s="2176"/>
      <c r="L51" s="2176"/>
      <c r="M51" s="2176"/>
      <c r="N51" s="2176"/>
      <c r="O51" s="2177"/>
      <c r="P51" s="2177"/>
      <c r="Q51" s="2088">
        <f t="shared" ref="Q51:Q54" si="21">G51*O51</f>
        <v>0</v>
      </c>
      <c r="R51" s="2088"/>
      <c r="S51" s="2088"/>
      <c r="T51" s="2178"/>
      <c r="U51" s="2087">
        <f t="shared" ref="U51:U54" si="22">K51*O51</f>
        <v>0</v>
      </c>
      <c r="V51" s="2088"/>
      <c r="W51" s="2088"/>
      <c r="X51" s="2088"/>
      <c r="Y51" s="2194"/>
      <c r="Z51" s="2195"/>
      <c r="AA51" s="2197">
        <f t="shared" ref="AA51:AA54" si="23">IF(Y51="",U51,Q51*Y51/100)</f>
        <v>0</v>
      </c>
      <c r="AB51" s="2154"/>
      <c r="AC51" s="2154"/>
      <c r="AD51" s="2155"/>
      <c r="AE51" s="2087">
        <f t="shared" ref="AE51:AE54" si="24">IF(AA51=0,U51,IF(U51&gt;(VALUE(AA51)),VALUE(AA51),U51))</f>
        <v>0</v>
      </c>
      <c r="AF51" s="2088"/>
      <c r="AG51" s="2088"/>
      <c r="AH51" s="2089"/>
    </row>
    <row r="52" spans="1:35">
      <c r="A52" s="1842">
        <f t="shared" si="15"/>
        <v>13</v>
      </c>
      <c r="B52" s="2175"/>
      <c r="C52" s="2175"/>
      <c r="D52" s="2175"/>
      <c r="E52" s="2174"/>
      <c r="F52" s="2174"/>
      <c r="G52" s="2176"/>
      <c r="H52" s="2176"/>
      <c r="I52" s="2176"/>
      <c r="J52" s="2176"/>
      <c r="K52" s="2176"/>
      <c r="L52" s="2176"/>
      <c r="M52" s="2176"/>
      <c r="N52" s="2176"/>
      <c r="O52" s="2177"/>
      <c r="P52" s="2177"/>
      <c r="Q52" s="2088">
        <f t="shared" si="21"/>
        <v>0</v>
      </c>
      <c r="R52" s="2088"/>
      <c r="S52" s="2088"/>
      <c r="T52" s="2178"/>
      <c r="U52" s="2087">
        <f t="shared" si="22"/>
        <v>0</v>
      </c>
      <c r="V52" s="2088"/>
      <c r="W52" s="2088"/>
      <c r="X52" s="2088"/>
      <c r="Y52" s="2194"/>
      <c r="Z52" s="2195"/>
      <c r="AA52" s="2197">
        <f t="shared" si="23"/>
        <v>0</v>
      </c>
      <c r="AB52" s="2154"/>
      <c r="AC52" s="2154"/>
      <c r="AD52" s="2155"/>
      <c r="AE52" s="2087">
        <f t="shared" si="24"/>
        <v>0</v>
      </c>
      <c r="AF52" s="2088"/>
      <c r="AG52" s="2088"/>
      <c r="AH52" s="2089"/>
    </row>
    <row r="53" spans="1:35">
      <c r="A53" s="1842">
        <f t="shared" si="15"/>
        <v>14</v>
      </c>
      <c r="B53" s="2175"/>
      <c r="C53" s="2175"/>
      <c r="D53" s="2175"/>
      <c r="E53" s="2174"/>
      <c r="F53" s="2174"/>
      <c r="G53" s="2176"/>
      <c r="H53" s="2176"/>
      <c r="I53" s="2176"/>
      <c r="J53" s="2176"/>
      <c r="K53" s="2176"/>
      <c r="L53" s="2176"/>
      <c r="M53" s="2176"/>
      <c r="N53" s="2176"/>
      <c r="O53" s="2177"/>
      <c r="P53" s="2177"/>
      <c r="Q53" s="2088">
        <f t="shared" si="21"/>
        <v>0</v>
      </c>
      <c r="R53" s="2088"/>
      <c r="S53" s="2088"/>
      <c r="T53" s="2178"/>
      <c r="U53" s="2087">
        <f t="shared" si="22"/>
        <v>0</v>
      </c>
      <c r="V53" s="2088"/>
      <c r="W53" s="2088"/>
      <c r="X53" s="2088"/>
      <c r="Y53" s="2194"/>
      <c r="Z53" s="2195"/>
      <c r="AA53" s="2197">
        <f t="shared" si="23"/>
        <v>0</v>
      </c>
      <c r="AB53" s="2154"/>
      <c r="AC53" s="2154"/>
      <c r="AD53" s="2155"/>
      <c r="AE53" s="2087">
        <f t="shared" si="24"/>
        <v>0</v>
      </c>
      <c r="AF53" s="2088"/>
      <c r="AG53" s="2088"/>
      <c r="AH53" s="2089"/>
    </row>
    <row r="54" spans="1:35">
      <c r="A54" s="1842">
        <f t="shared" si="15"/>
        <v>15</v>
      </c>
      <c r="B54" s="2175"/>
      <c r="C54" s="2175"/>
      <c r="D54" s="2175"/>
      <c r="E54" s="2174"/>
      <c r="F54" s="2174"/>
      <c r="G54" s="2176"/>
      <c r="H54" s="2176"/>
      <c r="I54" s="2176"/>
      <c r="J54" s="2176"/>
      <c r="K54" s="2176"/>
      <c r="L54" s="2176"/>
      <c r="M54" s="2176"/>
      <c r="N54" s="2176"/>
      <c r="O54" s="2177"/>
      <c r="P54" s="2177"/>
      <c r="Q54" s="2088">
        <f t="shared" si="21"/>
        <v>0</v>
      </c>
      <c r="R54" s="2088"/>
      <c r="S54" s="2088"/>
      <c r="T54" s="2178"/>
      <c r="U54" s="2087">
        <f t="shared" si="22"/>
        <v>0</v>
      </c>
      <c r="V54" s="2088"/>
      <c r="W54" s="2088"/>
      <c r="X54" s="2088"/>
      <c r="Y54" s="2194"/>
      <c r="Z54" s="2195"/>
      <c r="AA54" s="2197">
        <f t="shared" si="23"/>
        <v>0</v>
      </c>
      <c r="AB54" s="2154"/>
      <c r="AC54" s="2154"/>
      <c r="AD54" s="2155"/>
      <c r="AE54" s="2087">
        <f t="shared" si="24"/>
        <v>0</v>
      </c>
      <c r="AF54" s="2088"/>
      <c r="AG54" s="2088"/>
      <c r="AH54" s="2089"/>
    </row>
    <row r="55" spans="1:35">
      <c r="A55" s="640" t="s">
        <v>551</v>
      </c>
      <c r="B55" s="2175"/>
      <c r="C55" s="2175"/>
      <c r="D55" s="2175"/>
      <c r="E55" s="2174"/>
      <c r="F55" s="2174"/>
      <c r="G55" s="2176"/>
      <c r="H55" s="2176"/>
      <c r="I55" s="2176"/>
      <c r="J55" s="2176"/>
      <c r="K55" s="2176"/>
      <c r="L55" s="2176"/>
      <c r="M55" s="2176"/>
      <c r="N55" s="2176"/>
      <c r="O55" s="2177"/>
      <c r="P55" s="2177"/>
      <c r="Q55" s="2088">
        <f t="shared" si="12"/>
        <v>0</v>
      </c>
      <c r="R55" s="2088"/>
      <c r="S55" s="2088"/>
      <c r="T55" s="2178"/>
      <c r="U55" s="2087">
        <f t="shared" si="13"/>
        <v>0</v>
      </c>
      <c r="V55" s="2088"/>
      <c r="W55" s="2088"/>
      <c r="X55" s="2088"/>
      <c r="Y55" s="2194"/>
      <c r="Z55" s="2195"/>
      <c r="AA55" s="2197">
        <f t="shared" si="16"/>
        <v>0</v>
      </c>
      <c r="AB55" s="2154"/>
      <c r="AC55" s="2154"/>
      <c r="AD55" s="2155"/>
      <c r="AE55" s="2087">
        <f t="shared" si="14"/>
        <v>0</v>
      </c>
      <c r="AF55" s="2088"/>
      <c r="AG55" s="2088"/>
      <c r="AH55" s="2089"/>
    </row>
    <row r="56" spans="1:35" s="623" customFormat="1" ht="13.5" thickBot="1">
      <c r="A56" s="641"/>
      <c r="B56" s="653"/>
      <c r="C56" s="654"/>
      <c r="D56" s="655"/>
      <c r="E56" s="653"/>
      <c r="F56" s="655"/>
      <c r="G56" s="653"/>
      <c r="H56" s="654"/>
      <c r="I56" s="654"/>
      <c r="J56" s="655"/>
      <c r="K56" s="653"/>
      <c r="L56" s="654"/>
      <c r="M56" s="654"/>
      <c r="N56" s="655"/>
      <c r="O56" s="653"/>
      <c r="P56" s="655"/>
      <c r="Q56" s="648"/>
      <c r="R56" s="649"/>
      <c r="S56" s="649"/>
      <c r="T56" s="650"/>
      <c r="U56" s="648"/>
      <c r="V56" s="649"/>
      <c r="W56" s="649"/>
      <c r="X56" s="650"/>
      <c r="Y56" s="653"/>
      <c r="Z56" s="654"/>
      <c r="AA56" s="648"/>
      <c r="AB56" s="649"/>
      <c r="AC56" s="649"/>
      <c r="AD56" s="650"/>
      <c r="AE56" s="648"/>
      <c r="AF56" s="649"/>
      <c r="AG56" s="649"/>
      <c r="AH56" s="651"/>
    </row>
    <row r="57" spans="1:35" s="623" customFormat="1" ht="14.25" thickTop="1" thickBot="1">
      <c r="AA57" s="652"/>
      <c r="AB57" s="652"/>
      <c r="AC57" s="652"/>
      <c r="AD57" s="652"/>
      <c r="AE57" s="652"/>
      <c r="AF57" s="652"/>
      <c r="AG57" s="652"/>
      <c r="AH57" s="652"/>
    </row>
    <row r="58" spans="1:35" s="623" customFormat="1" ht="14.25" thickTop="1" thickBot="1">
      <c r="B58" s="622" t="s">
        <v>552</v>
      </c>
      <c r="G58" s="2171">
        <f>+SUM(G40:J56)</f>
        <v>0</v>
      </c>
      <c r="H58" s="2172"/>
      <c r="I58" s="2172"/>
      <c r="J58" s="2173"/>
      <c r="K58" s="2171">
        <f>+SUM(K40:N56)</f>
        <v>0</v>
      </c>
      <c r="L58" s="2172"/>
      <c r="M58" s="2172"/>
      <c r="N58" s="2173"/>
      <c r="Q58" s="2242">
        <f>+SUM(Q40:T56)</f>
        <v>0</v>
      </c>
      <c r="R58" s="2124"/>
      <c r="S58" s="2124"/>
      <c r="T58" s="2125"/>
      <c r="U58" s="2242">
        <f>+SUM(U40:X56)</f>
        <v>0</v>
      </c>
      <c r="V58" s="2124"/>
      <c r="W58" s="2124"/>
      <c r="X58" s="2125"/>
      <c r="AA58" s="2242">
        <f>+SUM(AA40:AD56)</f>
        <v>0</v>
      </c>
      <c r="AB58" s="2124"/>
      <c r="AC58" s="2124"/>
      <c r="AD58" s="2125"/>
      <c r="AE58" s="2242">
        <f>+SUM(AE40:AH56)</f>
        <v>0</v>
      </c>
      <c r="AF58" s="2124"/>
      <c r="AG58" s="2124"/>
      <c r="AH58" s="2125"/>
    </row>
    <row r="59" spans="1:35" s="623" customFormat="1" ht="13.5" collapsed="1" thickTop="1"/>
    <row r="60" spans="1:35" s="623" customFormat="1">
      <c r="B60" s="627" t="s">
        <v>418</v>
      </c>
      <c r="C60" s="627" t="s">
        <v>554</v>
      </c>
      <c r="D60" s="628"/>
      <c r="E60" s="628"/>
      <c r="F60" s="628"/>
      <c r="G60" s="628"/>
      <c r="H60" s="628"/>
      <c r="I60" s="656"/>
      <c r="J60" s="656"/>
      <c r="K60" s="656"/>
      <c r="L60" s="656"/>
      <c r="M60" s="656"/>
      <c r="N60" s="656"/>
      <c r="O60" s="656"/>
      <c r="P60" s="656"/>
      <c r="Q60" s="628"/>
      <c r="R60" s="628"/>
      <c r="S60" s="628"/>
      <c r="T60" s="628"/>
      <c r="U60" s="628"/>
      <c r="V60" s="628"/>
      <c r="W60" s="628"/>
      <c r="X60" s="628"/>
      <c r="Y60" s="628"/>
      <c r="Z60" s="628"/>
      <c r="AA60" s="628"/>
      <c r="AB60" s="628"/>
      <c r="AC60" s="628"/>
      <c r="AD60" s="628"/>
      <c r="AE60" s="628"/>
      <c r="AF60" s="628"/>
      <c r="AG60" s="628"/>
      <c r="AH60" s="628"/>
      <c r="AI60" s="628"/>
    </row>
    <row r="61" spans="1:35" s="623" customFormat="1" ht="13.5" thickBot="1">
      <c r="M61" s="2193"/>
      <c r="N61" s="2193"/>
      <c r="O61" s="2193"/>
      <c r="P61" s="2193"/>
      <c r="Q61" s="2193"/>
      <c r="R61" s="2193"/>
      <c r="S61" s="2193"/>
      <c r="T61" s="2193"/>
      <c r="U61" s="2193"/>
      <c r="V61" s="2193"/>
      <c r="W61" s="2193"/>
      <c r="X61" s="2193"/>
    </row>
    <row r="62" spans="1:35" s="623" customFormat="1" ht="24" customHeight="1" thickTop="1" thickBot="1">
      <c r="A62" s="2179" t="s">
        <v>360</v>
      </c>
      <c r="B62" s="2222" t="s">
        <v>541</v>
      </c>
      <c r="C62" s="2223"/>
      <c r="D62" s="2224"/>
      <c r="E62" s="2222" t="s">
        <v>542</v>
      </c>
      <c r="F62" s="2228"/>
      <c r="G62" s="2231" t="s">
        <v>543</v>
      </c>
      <c r="H62" s="2232"/>
      <c r="I62" s="2232"/>
      <c r="J62" s="2232"/>
      <c r="K62" s="2232"/>
      <c r="L62" s="2232"/>
      <c r="M62" s="2232"/>
      <c r="N62" s="2233"/>
      <c r="O62" s="2222" t="s">
        <v>544</v>
      </c>
      <c r="P62" s="2228"/>
      <c r="Q62" s="2231" t="s">
        <v>545</v>
      </c>
      <c r="R62" s="2232"/>
      <c r="S62" s="2232"/>
      <c r="T62" s="2232"/>
      <c r="U62" s="2232"/>
      <c r="V62" s="2232"/>
      <c r="W62" s="2232"/>
      <c r="X62" s="2233"/>
      <c r="Y62" s="2222" t="s">
        <v>546</v>
      </c>
      <c r="Z62" s="2228"/>
      <c r="AA62" s="2222" t="s">
        <v>547</v>
      </c>
      <c r="AB62" s="2234"/>
      <c r="AC62" s="2234"/>
      <c r="AD62" s="2228"/>
      <c r="AE62" s="2222" t="s">
        <v>548</v>
      </c>
      <c r="AF62" s="2234"/>
      <c r="AG62" s="2234"/>
      <c r="AH62" s="2236"/>
    </row>
    <row r="63" spans="1:35" s="623" customFormat="1" ht="30" customHeight="1" thickTop="1" thickBot="1">
      <c r="A63" s="2221"/>
      <c r="B63" s="2225"/>
      <c r="C63" s="2226"/>
      <c r="D63" s="2227"/>
      <c r="E63" s="2229"/>
      <c r="F63" s="2230"/>
      <c r="G63" s="2231" t="s">
        <v>549</v>
      </c>
      <c r="H63" s="2232"/>
      <c r="I63" s="2232"/>
      <c r="J63" s="2233"/>
      <c r="K63" s="2231" t="s">
        <v>550</v>
      </c>
      <c r="L63" s="2232"/>
      <c r="M63" s="2232"/>
      <c r="N63" s="2233"/>
      <c r="O63" s="2229"/>
      <c r="P63" s="2230"/>
      <c r="Q63" s="2231" t="s">
        <v>549</v>
      </c>
      <c r="R63" s="2232"/>
      <c r="S63" s="2232"/>
      <c r="T63" s="2233"/>
      <c r="U63" s="2231" t="s">
        <v>550</v>
      </c>
      <c r="V63" s="2232"/>
      <c r="W63" s="2232"/>
      <c r="X63" s="2233"/>
      <c r="Y63" s="2229"/>
      <c r="Z63" s="2230"/>
      <c r="AA63" s="2229"/>
      <c r="AB63" s="2235"/>
      <c r="AC63" s="2235"/>
      <c r="AD63" s="2230"/>
      <c r="AE63" s="2229"/>
      <c r="AF63" s="2235"/>
      <c r="AG63" s="2235"/>
      <c r="AH63" s="2237"/>
    </row>
    <row r="64" spans="1:35" s="623" customFormat="1" ht="13.5" thickTop="1">
      <c r="A64" s="630"/>
      <c r="B64" s="634"/>
      <c r="C64" s="635"/>
      <c r="D64" s="636"/>
      <c r="E64" s="634"/>
      <c r="F64" s="636"/>
      <c r="G64" s="634"/>
      <c r="H64" s="635"/>
      <c r="I64" s="635"/>
      <c r="J64" s="636"/>
      <c r="K64" s="634"/>
      <c r="L64" s="635"/>
      <c r="M64" s="635"/>
      <c r="N64" s="636"/>
      <c r="O64" s="634"/>
      <c r="P64" s="636"/>
      <c r="Q64" s="634"/>
      <c r="R64" s="635"/>
      <c r="S64" s="635"/>
      <c r="T64" s="636"/>
      <c r="U64" s="634"/>
      <c r="V64" s="635"/>
      <c r="W64" s="635"/>
      <c r="X64" s="636"/>
      <c r="Y64" s="634"/>
      <c r="Z64" s="635"/>
      <c r="AA64" s="634"/>
      <c r="AB64" s="635"/>
      <c r="AC64" s="635"/>
      <c r="AD64" s="636"/>
      <c r="AE64" s="634"/>
      <c r="AF64" s="635"/>
      <c r="AG64" s="635"/>
      <c r="AH64" s="637"/>
    </row>
    <row r="65" spans="1:34">
      <c r="A65" s="657">
        <v>1</v>
      </c>
      <c r="B65" s="2175"/>
      <c r="C65" s="2175"/>
      <c r="D65" s="2175"/>
      <c r="E65" s="2174"/>
      <c r="F65" s="2174"/>
      <c r="G65" s="2176"/>
      <c r="H65" s="2176"/>
      <c r="I65" s="2176"/>
      <c r="J65" s="2176"/>
      <c r="K65" s="2176"/>
      <c r="L65" s="2176"/>
      <c r="M65" s="2176"/>
      <c r="N65" s="2176"/>
      <c r="O65" s="2177"/>
      <c r="P65" s="2177"/>
      <c r="Q65" s="2088">
        <f t="shared" ref="Q65:Q80" si="25">G65*O65</f>
        <v>0</v>
      </c>
      <c r="R65" s="2088"/>
      <c r="S65" s="2088"/>
      <c r="T65" s="2178"/>
      <c r="U65" s="2087">
        <f t="shared" ref="U65:U80" si="26">K65*O65</f>
        <v>0</v>
      </c>
      <c r="V65" s="2088"/>
      <c r="W65" s="2088"/>
      <c r="X65" s="2088"/>
      <c r="Y65" s="2194"/>
      <c r="Z65" s="2195"/>
      <c r="AA65" s="2196">
        <f t="shared" ref="AA65:AA80" si="27">IF(Y65="",U65,Q65*Y65/100)</f>
        <v>0</v>
      </c>
      <c r="AB65" s="2154"/>
      <c r="AC65" s="2154"/>
      <c r="AD65" s="2155"/>
      <c r="AE65" s="2087">
        <f t="shared" ref="AE65:AE80" si="28">IF(AA65=0,U65,IF(U65&gt;(VALUE(AA65)),VALUE(AA65),U65))</f>
        <v>0</v>
      </c>
      <c r="AF65" s="2088"/>
      <c r="AG65" s="2088"/>
      <c r="AH65" s="2089"/>
    </row>
    <row r="66" spans="1:34">
      <c r="A66" s="1845">
        <f t="shared" ref="A66:A79" si="29">A65+1</f>
        <v>2</v>
      </c>
      <c r="B66" s="2175"/>
      <c r="C66" s="2175"/>
      <c r="D66" s="2175"/>
      <c r="E66" s="2174"/>
      <c r="F66" s="2174"/>
      <c r="G66" s="2176"/>
      <c r="H66" s="2176"/>
      <c r="I66" s="2176"/>
      <c r="J66" s="2176"/>
      <c r="K66" s="2176"/>
      <c r="L66" s="2176"/>
      <c r="M66" s="2176"/>
      <c r="N66" s="2176"/>
      <c r="O66" s="2177"/>
      <c r="P66" s="2177"/>
      <c r="Q66" s="2087">
        <f t="shared" si="25"/>
        <v>0</v>
      </c>
      <c r="R66" s="2088"/>
      <c r="S66" s="2088"/>
      <c r="T66" s="2178"/>
      <c r="U66" s="2087">
        <f t="shared" si="26"/>
        <v>0</v>
      </c>
      <c r="V66" s="2088"/>
      <c r="W66" s="2088"/>
      <c r="X66" s="2178"/>
      <c r="Y66" s="2194"/>
      <c r="Z66" s="2195"/>
      <c r="AA66" s="2196">
        <f t="shared" si="27"/>
        <v>0</v>
      </c>
      <c r="AB66" s="2154"/>
      <c r="AC66" s="2154"/>
      <c r="AD66" s="2155"/>
      <c r="AE66" s="2087">
        <f t="shared" si="28"/>
        <v>0</v>
      </c>
      <c r="AF66" s="2088"/>
      <c r="AG66" s="2088"/>
      <c r="AH66" s="2089"/>
    </row>
    <row r="67" spans="1:34">
      <c r="A67" s="1845">
        <f t="shared" si="29"/>
        <v>3</v>
      </c>
      <c r="B67" s="2175"/>
      <c r="C67" s="2175"/>
      <c r="D67" s="2175"/>
      <c r="E67" s="2174"/>
      <c r="F67" s="2174"/>
      <c r="G67" s="2176"/>
      <c r="H67" s="2176"/>
      <c r="I67" s="2176"/>
      <c r="J67" s="2176"/>
      <c r="K67" s="2176"/>
      <c r="L67" s="2176"/>
      <c r="M67" s="2176"/>
      <c r="N67" s="2176"/>
      <c r="O67" s="2177"/>
      <c r="P67" s="2177"/>
      <c r="Q67" s="2087">
        <f t="shared" si="25"/>
        <v>0</v>
      </c>
      <c r="R67" s="2088"/>
      <c r="S67" s="2088"/>
      <c r="T67" s="2178"/>
      <c r="U67" s="2087">
        <f t="shared" si="26"/>
        <v>0</v>
      </c>
      <c r="V67" s="2088"/>
      <c r="W67" s="2088"/>
      <c r="X67" s="2178"/>
      <c r="Y67" s="2194"/>
      <c r="Z67" s="2195"/>
      <c r="AA67" s="2196">
        <f t="shared" si="27"/>
        <v>0</v>
      </c>
      <c r="AB67" s="2154"/>
      <c r="AC67" s="2154"/>
      <c r="AD67" s="2155"/>
      <c r="AE67" s="2087">
        <f t="shared" si="28"/>
        <v>0</v>
      </c>
      <c r="AF67" s="2088"/>
      <c r="AG67" s="2088"/>
      <c r="AH67" s="2089"/>
    </row>
    <row r="68" spans="1:34">
      <c r="A68" s="1845">
        <f t="shared" si="29"/>
        <v>4</v>
      </c>
      <c r="B68" s="2175"/>
      <c r="C68" s="2175"/>
      <c r="D68" s="2175"/>
      <c r="E68" s="2174"/>
      <c r="F68" s="2174"/>
      <c r="G68" s="2176"/>
      <c r="H68" s="2176"/>
      <c r="I68" s="2176"/>
      <c r="J68" s="2176"/>
      <c r="K68" s="2176"/>
      <c r="L68" s="2176"/>
      <c r="M68" s="2176"/>
      <c r="N68" s="2176"/>
      <c r="O68" s="2177"/>
      <c r="P68" s="2177"/>
      <c r="Q68" s="2087">
        <f t="shared" si="25"/>
        <v>0</v>
      </c>
      <c r="R68" s="2088"/>
      <c r="S68" s="2088"/>
      <c r="T68" s="2178"/>
      <c r="U68" s="2087">
        <f t="shared" si="26"/>
        <v>0</v>
      </c>
      <c r="V68" s="2088"/>
      <c r="W68" s="2088"/>
      <c r="X68" s="2178"/>
      <c r="Y68" s="2194"/>
      <c r="Z68" s="2195"/>
      <c r="AA68" s="2196">
        <f t="shared" si="27"/>
        <v>0</v>
      </c>
      <c r="AB68" s="2154"/>
      <c r="AC68" s="2154"/>
      <c r="AD68" s="2155"/>
      <c r="AE68" s="2087">
        <f t="shared" si="28"/>
        <v>0</v>
      </c>
      <c r="AF68" s="2088"/>
      <c r="AG68" s="2088"/>
      <c r="AH68" s="2089"/>
    </row>
    <row r="69" spans="1:34">
      <c r="A69" s="1845">
        <f t="shared" si="29"/>
        <v>5</v>
      </c>
      <c r="B69" s="2175"/>
      <c r="C69" s="2175"/>
      <c r="D69" s="2175"/>
      <c r="E69" s="2174"/>
      <c r="F69" s="2174"/>
      <c r="G69" s="2176"/>
      <c r="H69" s="2176"/>
      <c r="I69" s="2176"/>
      <c r="J69" s="2176"/>
      <c r="K69" s="2176"/>
      <c r="L69" s="2176"/>
      <c r="M69" s="2176"/>
      <c r="N69" s="2176"/>
      <c r="O69" s="2177"/>
      <c r="P69" s="2177"/>
      <c r="Q69" s="2087">
        <f t="shared" si="25"/>
        <v>0</v>
      </c>
      <c r="R69" s="2088"/>
      <c r="S69" s="2088"/>
      <c r="T69" s="2178"/>
      <c r="U69" s="2087">
        <f t="shared" si="26"/>
        <v>0</v>
      </c>
      <c r="V69" s="2088"/>
      <c r="W69" s="2088"/>
      <c r="X69" s="2178"/>
      <c r="Y69" s="2194"/>
      <c r="Z69" s="2195"/>
      <c r="AA69" s="2196">
        <f t="shared" si="27"/>
        <v>0</v>
      </c>
      <c r="AB69" s="2154"/>
      <c r="AC69" s="2154"/>
      <c r="AD69" s="2155"/>
      <c r="AE69" s="2087">
        <f t="shared" si="28"/>
        <v>0</v>
      </c>
      <c r="AF69" s="2088"/>
      <c r="AG69" s="2088"/>
      <c r="AH69" s="2089"/>
    </row>
    <row r="70" spans="1:34">
      <c r="A70" s="1845">
        <f t="shared" si="29"/>
        <v>6</v>
      </c>
      <c r="B70" s="2175"/>
      <c r="C70" s="2175"/>
      <c r="D70" s="2175"/>
      <c r="E70" s="2174"/>
      <c r="F70" s="2174"/>
      <c r="G70" s="2176"/>
      <c r="H70" s="2176"/>
      <c r="I70" s="2176"/>
      <c r="J70" s="2176"/>
      <c r="K70" s="2176"/>
      <c r="L70" s="2176"/>
      <c r="M70" s="2176"/>
      <c r="N70" s="2176"/>
      <c r="O70" s="2177"/>
      <c r="P70" s="2177"/>
      <c r="Q70" s="2087">
        <f t="shared" si="25"/>
        <v>0</v>
      </c>
      <c r="R70" s="2088"/>
      <c r="S70" s="2088"/>
      <c r="T70" s="2178"/>
      <c r="U70" s="2087">
        <f t="shared" si="26"/>
        <v>0</v>
      </c>
      <c r="V70" s="2088"/>
      <c r="W70" s="2088"/>
      <c r="X70" s="2178"/>
      <c r="Y70" s="2194"/>
      <c r="Z70" s="2195"/>
      <c r="AA70" s="2196">
        <f t="shared" si="27"/>
        <v>0</v>
      </c>
      <c r="AB70" s="2154"/>
      <c r="AC70" s="2154"/>
      <c r="AD70" s="2155"/>
      <c r="AE70" s="2087">
        <f t="shared" si="28"/>
        <v>0</v>
      </c>
      <c r="AF70" s="2088"/>
      <c r="AG70" s="2088"/>
      <c r="AH70" s="2089"/>
    </row>
    <row r="71" spans="1:34">
      <c r="A71" s="1845">
        <f t="shared" si="29"/>
        <v>7</v>
      </c>
      <c r="B71" s="2175"/>
      <c r="C71" s="2175"/>
      <c r="D71" s="2175"/>
      <c r="E71" s="2174"/>
      <c r="F71" s="2174"/>
      <c r="G71" s="2176"/>
      <c r="H71" s="2176"/>
      <c r="I71" s="2176"/>
      <c r="J71" s="2176"/>
      <c r="K71" s="2176"/>
      <c r="L71" s="2176"/>
      <c r="M71" s="2176"/>
      <c r="N71" s="2176"/>
      <c r="O71" s="2177"/>
      <c r="P71" s="2177"/>
      <c r="Q71" s="2087">
        <f t="shared" si="25"/>
        <v>0</v>
      </c>
      <c r="R71" s="2088"/>
      <c r="S71" s="2088"/>
      <c r="T71" s="2178"/>
      <c r="U71" s="2087">
        <f t="shared" si="26"/>
        <v>0</v>
      </c>
      <c r="V71" s="2088"/>
      <c r="W71" s="2088"/>
      <c r="X71" s="2178"/>
      <c r="Y71" s="2194"/>
      <c r="Z71" s="2195"/>
      <c r="AA71" s="2196">
        <f t="shared" si="27"/>
        <v>0</v>
      </c>
      <c r="AB71" s="2154"/>
      <c r="AC71" s="2154"/>
      <c r="AD71" s="2155"/>
      <c r="AE71" s="2087">
        <f t="shared" si="28"/>
        <v>0</v>
      </c>
      <c r="AF71" s="2088"/>
      <c r="AG71" s="2088"/>
      <c r="AH71" s="2089"/>
    </row>
    <row r="72" spans="1:34">
      <c r="A72" s="1845">
        <f t="shared" si="29"/>
        <v>8</v>
      </c>
      <c r="B72" s="2175"/>
      <c r="C72" s="2175"/>
      <c r="D72" s="2175"/>
      <c r="E72" s="2174"/>
      <c r="F72" s="2174"/>
      <c r="G72" s="2176"/>
      <c r="H72" s="2176"/>
      <c r="I72" s="2176"/>
      <c r="J72" s="2176"/>
      <c r="K72" s="2176"/>
      <c r="L72" s="2176"/>
      <c r="M72" s="2176"/>
      <c r="N72" s="2176"/>
      <c r="O72" s="2177"/>
      <c r="P72" s="2177"/>
      <c r="Q72" s="2087">
        <f t="shared" si="25"/>
        <v>0</v>
      </c>
      <c r="R72" s="2088"/>
      <c r="S72" s="2088"/>
      <c r="T72" s="2178"/>
      <c r="U72" s="2087">
        <f t="shared" si="26"/>
        <v>0</v>
      </c>
      <c r="V72" s="2088"/>
      <c r="W72" s="2088"/>
      <c r="X72" s="2178"/>
      <c r="Y72" s="2194"/>
      <c r="Z72" s="2195"/>
      <c r="AA72" s="2196">
        <f t="shared" si="27"/>
        <v>0</v>
      </c>
      <c r="AB72" s="2154"/>
      <c r="AC72" s="2154"/>
      <c r="AD72" s="2155"/>
      <c r="AE72" s="2087">
        <f t="shared" si="28"/>
        <v>0</v>
      </c>
      <c r="AF72" s="2088"/>
      <c r="AG72" s="2088"/>
      <c r="AH72" s="2089"/>
    </row>
    <row r="73" spans="1:34">
      <c r="A73" s="1845">
        <f t="shared" si="29"/>
        <v>9</v>
      </c>
      <c r="B73" s="2175"/>
      <c r="C73" s="2175"/>
      <c r="D73" s="2175"/>
      <c r="E73" s="2174"/>
      <c r="F73" s="2174"/>
      <c r="G73" s="2176"/>
      <c r="H73" s="2176"/>
      <c r="I73" s="2176"/>
      <c r="J73" s="2176"/>
      <c r="K73" s="2176"/>
      <c r="L73" s="2176"/>
      <c r="M73" s="2176"/>
      <c r="N73" s="2176"/>
      <c r="O73" s="2177"/>
      <c r="P73" s="2177"/>
      <c r="Q73" s="2087">
        <f t="shared" si="25"/>
        <v>0</v>
      </c>
      <c r="R73" s="2088"/>
      <c r="S73" s="2088"/>
      <c r="T73" s="2178"/>
      <c r="U73" s="2087">
        <f t="shared" si="26"/>
        <v>0</v>
      </c>
      <c r="V73" s="2088"/>
      <c r="W73" s="2088"/>
      <c r="X73" s="2178"/>
      <c r="Y73" s="2194"/>
      <c r="Z73" s="2195"/>
      <c r="AA73" s="2196">
        <f t="shared" si="27"/>
        <v>0</v>
      </c>
      <c r="AB73" s="2154"/>
      <c r="AC73" s="2154"/>
      <c r="AD73" s="2155"/>
      <c r="AE73" s="2087">
        <f t="shared" si="28"/>
        <v>0</v>
      </c>
      <c r="AF73" s="2088"/>
      <c r="AG73" s="2088"/>
      <c r="AH73" s="2089"/>
    </row>
    <row r="74" spans="1:34">
      <c r="A74" s="1845">
        <f t="shared" si="29"/>
        <v>10</v>
      </c>
      <c r="B74" s="2175"/>
      <c r="C74" s="2175"/>
      <c r="D74" s="2175"/>
      <c r="E74" s="2174"/>
      <c r="F74" s="2174"/>
      <c r="G74" s="2176"/>
      <c r="H74" s="2176"/>
      <c r="I74" s="2176"/>
      <c r="J74" s="2176"/>
      <c r="K74" s="2176"/>
      <c r="L74" s="2176"/>
      <c r="M74" s="2176"/>
      <c r="N74" s="2176"/>
      <c r="O74" s="2177"/>
      <c r="P74" s="2177"/>
      <c r="Q74" s="2087">
        <f t="shared" si="25"/>
        <v>0</v>
      </c>
      <c r="R74" s="2088"/>
      <c r="S74" s="2088"/>
      <c r="T74" s="2178"/>
      <c r="U74" s="2087">
        <f t="shared" si="26"/>
        <v>0</v>
      </c>
      <c r="V74" s="2088"/>
      <c r="W74" s="2088"/>
      <c r="X74" s="2178"/>
      <c r="Y74" s="2194"/>
      <c r="Z74" s="2195"/>
      <c r="AA74" s="2196">
        <f t="shared" si="27"/>
        <v>0</v>
      </c>
      <c r="AB74" s="2154"/>
      <c r="AC74" s="2154"/>
      <c r="AD74" s="2155"/>
      <c r="AE74" s="2087">
        <f t="shared" si="28"/>
        <v>0</v>
      </c>
      <c r="AF74" s="2088"/>
      <c r="AG74" s="2088"/>
      <c r="AH74" s="2089"/>
    </row>
    <row r="75" spans="1:34">
      <c r="A75" s="1845">
        <f t="shared" si="29"/>
        <v>11</v>
      </c>
      <c r="B75" s="2175"/>
      <c r="C75" s="2175"/>
      <c r="D75" s="2175"/>
      <c r="E75" s="2174"/>
      <c r="F75" s="2174"/>
      <c r="G75" s="2176"/>
      <c r="H75" s="2176"/>
      <c r="I75" s="2176"/>
      <c r="J75" s="2176"/>
      <c r="K75" s="2176"/>
      <c r="L75" s="2176"/>
      <c r="M75" s="2176"/>
      <c r="N75" s="2176"/>
      <c r="O75" s="2177"/>
      <c r="P75" s="2177"/>
      <c r="Q75" s="2087">
        <f t="shared" si="25"/>
        <v>0</v>
      </c>
      <c r="R75" s="2088"/>
      <c r="S75" s="2088"/>
      <c r="T75" s="2178"/>
      <c r="U75" s="2087">
        <f t="shared" si="26"/>
        <v>0</v>
      </c>
      <c r="V75" s="2088"/>
      <c r="W75" s="2088"/>
      <c r="X75" s="2178"/>
      <c r="Y75" s="2194"/>
      <c r="Z75" s="2195"/>
      <c r="AA75" s="2196">
        <f t="shared" si="27"/>
        <v>0</v>
      </c>
      <c r="AB75" s="2154"/>
      <c r="AC75" s="2154"/>
      <c r="AD75" s="2155"/>
      <c r="AE75" s="2087">
        <f t="shared" si="28"/>
        <v>0</v>
      </c>
      <c r="AF75" s="2088"/>
      <c r="AG75" s="2088"/>
      <c r="AH75" s="2089"/>
    </row>
    <row r="76" spans="1:34">
      <c r="A76" s="1845">
        <f t="shared" si="29"/>
        <v>12</v>
      </c>
      <c r="B76" s="2175"/>
      <c r="C76" s="2175"/>
      <c r="D76" s="2175"/>
      <c r="E76" s="2174"/>
      <c r="F76" s="2174"/>
      <c r="G76" s="2176"/>
      <c r="H76" s="2176"/>
      <c r="I76" s="2176"/>
      <c r="J76" s="2176"/>
      <c r="K76" s="2176"/>
      <c r="L76" s="2176"/>
      <c r="M76" s="2176"/>
      <c r="N76" s="2176"/>
      <c r="O76" s="2177"/>
      <c r="P76" s="2177"/>
      <c r="Q76" s="2087">
        <f t="shared" si="25"/>
        <v>0</v>
      </c>
      <c r="R76" s="2088"/>
      <c r="S76" s="2088"/>
      <c r="T76" s="2178"/>
      <c r="U76" s="2087">
        <f t="shared" si="26"/>
        <v>0</v>
      </c>
      <c r="V76" s="2088"/>
      <c r="W76" s="2088"/>
      <c r="X76" s="2178"/>
      <c r="Y76" s="2194"/>
      <c r="Z76" s="2195"/>
      <c r="AA76" s="2196">
        <f t="shared" si="27"/>
        <v>0</v>
      </c>
      <c r="AB76" s="2154"/>
      <c r="AC76" s="2154"/>
      <c r="AD76" s="2155"/>
      <c r="AE76" s="2087">
        <f t="shared" si="28"/>
        <v>0</v>
      </c>
      <c r="AF76" s="2088"/>
      <c r="AG76" s="2088"/>
      <c r="AH76" s="2089"/>
    </row>
    <row r="77" spans="1:34">
      <c r="A77" s="1845">
        <f t="shared" si="29"/>
        <v>13</v>
      </c>
      <c r="B77" s="2175"/>
      <c r="C77" s="2175"/>
      <c r="D77" s="2175"/>
      <c r="E77" s="2174"/>
      <c r="F77" s="2174"/>
      <c r="G77" s="2176"/>
      <c r="H77" s="2176"/>
      <c r="I77" s="2176"/>
      <c r="J77" s="2176"/>
      <c r="K77" s="2176"/>
      <c r="L77" s="2176"/>
      <c r="M77" s="2176"/>
      <c r="N77" s="2176"/>
      <c r="O77" s="2177"/>
      <c r="P77" s="2177"/>
      <c r="Q77" s="2087">
        <f t="shared" si="25"/>
        <v>0</v>
      </c>
      <c r="R77" s="2088"/>
      <c r="S77" s="2088"/>
      <c r="T77" s="2178"/>
      <c r="U77" s="2087">
        <f t="shared" si="26"/>
        <v>0</v>
      </c>
      <c r="V77" s="2088"/>
      <c r="W77" s="2088"/>
      <c r="X77" s="2178"/>
      <c r="Y77" s="2194"/>
      <c r="Z77" s="2195"/>
      <c r="AA77" s="2196">
        <f t="shared" si="27"/>
        <v>0</v>
      </c>
      <c r="AB77" s="2154"/>
      <c r="AC77" s="2154"/>
      <c r="AD77" s="2155"/>
      <c r="AE77" s="2087">
        <f t="shared" si="28"/>
        <v>0</v>
      </c>
      <c r="AF77" s="2088"/>
      <c r="AG77" s="2088"/>
      <c r="AH77" s="2089"/>
    </row>
    <row r="78" spans="1:34">
      <c r="A78" s="1845">
        <f t="shared" si="29"/>
        <v>14</v>
      </c>
      <c r="B78" s="2175"/>
      <c r="C78" s="2175"/>
      <c r="D78" s="2175"/>
      <c r="E78" s="2174"/>
      <c r="F78" s="2174"/>
      <c r="G78" s="2176"/>
      <c r="H78" s="2176"/>
      <c r="I78" s="2176"/>
      <c r="J78" s="2176"/>
      <c r="K78" s="2176"/>
      <c r="L78" s="2176"/>
      <c r="M78" s="2176"/>
      <c r="N78" s="2176"/>
      <c r="O78" s="2177"/>
      <c r="P78" s="2177"/>
      <c r="Q78" s="2087">
        <f t="shared" si="25"/>
        <v>0</v>
      </c>
      <c r="R78" s="2088"/>
      <c r="S78" s="2088"/>
      <c r="T78" s="2178"/>
      <c r="U78" s="2087">
        <f t="shared" si="26"/>
        <v>0</v>
      </c>
      <c r="V78" s="2088"/>
      <c r="W78" s="2088"/>
      <c r="X78" s="2178"/>
      <c r="Y78" s="2194"/>
      <c r="Z78" s="2195"/>
      <c r="AA78" s="2196">
        <f t="shared" si="27"/>
        <v>0</v>
      </c>
      <c r="AB78" s="2154"/>
      <c r="AC78" s="2154"/>
      <c r="AD78" s="2155"/>
      <c r="AE78" s="2087">
        <f t="shared" si="28"/>
        <v>0</v>
      </c>
      <c r="AF78" s="2088"/>
      <c r="AG78" s="2088"/>
      <c r="AH78" s="2089"/>
    </row>
    <row r="79" spans="1:34">
      <c r="A79" s="1845">
        <f t="shared" si="29"/>
        <v>15</v>
      </c>
      <c r="B79" s="2175"/>
      <c r="C79" s="2175"/>
      <c r="D79" s="2175"/>
      <c r="E79" s="2174"/>
      <c r="F79" s="2174"/>
      <c r="G79" s="2176"/>
      <c r="H79" s="2176"/>
      <c r="I79" s="2176"/>
      <c r="J79" s="2176"/>
      <c r="K79" s="2176"/>
      <c r="L79" s="2176"/>
      <c r="M79" s="2176"/>
      <c r="N79" s="2176"/>
      <c r="O79" s="2177"/>
      <c r="P79" s="2177"/>
      <c r="Q79" s="2087">
        <f t="shared" ref="Q79" si="30">G79*O79</f>
        <v>0</v>
      </c>
      <c r="R79" s="2088"/>
      <c r="S79" s="2088"/>
      <c r="T79" s="2178"/>
      <c r="U79" s="2087">
        <f t="shared" ref="U79" si="31">K79*O79</f>
        <v>0</v>
      </c>
      <c r="V79" s="2088"/>
      <c r="W79" s="2088"/>
      <c r="X79" s="2178"/>
      <c r="Y79" s="2194"/>
      <c r="Z79" s="2195"/>
      <c r="AA79" s="2196">
        <f t="shared" ref="AA79" si="32">IF(Y79="",U79,Q79*Y79/100)</f>
        <v>0</v>
      </c>
      <c r="AB79" s="2154"/>
      <c r="AC79" s="2154"/>
      <c r="AD79" s="2155"/>
      <c r="AE79" s="2087">
        <f t="shared" ref="AE79" si="33">IF(AA79=0,U79,IF(U79&gt;(VALUE(AA79)),VALUE(AA79),U79))</f>
        <v>0</v>
      </c>
      <c r="AF79" s="2088"/>
      <c r="AG79" s="2088"/>
      <c r="AH79" s="2089"/>
    </row>
    <row r="80" spans="1:34">
      <c r="A80" s="658" t="s">
        <v>551</v>
      </c>
      <c r="B80" s="2175"/>
      <c r="C80" s="2175"/>
      <c r="D80" s="2175"/>
      <c r="E80" s="2174"/>
      <c r="F80" s="2174"/>
      <c r="G80" s="2176"/>
      <c r="H80" s="2176"/>
      <c r="I80" s="2176"/>
      <c r="J80" s="2176"/>
      <c r="K80" s="2176"/>
      <c r="L80" s="2176"/>
      <c r="M80" s="2176"/>
      <c r="N80" s="2176"/>
      <c r="O80" s="2177"/>
      <c r="P80" s="2177"/>
      <c r="Q80" s="2087">
        <f t="shared" si="25"/>
        <v>0</v>
      </c>
      <c r="R80" s="2088"/>
      <c r="S80" s="2088"/>
      <c r="T80" s="2178"/>
      <c r="U80" s="2087">
        <f t="shared" si="26"/>
        <v>0</v>
      </c>
      <c r="V80" s="2088"/>
      <c r="W80" s="2088"/>
      <c r="X80" s="2178"/>
      <c r="Y80" s="2194"/>
      <c r="Z80" s="2195"/>
      <c r="AA80" s="2196">
        <f t="shared" si="27"/>
        <v>0</v>
      </c>
      <c r="AB80" s="2154"/>
      <c r="AC80" s="2154"/>
      <c r="AD80" s="2155"/>
      <c r="AE80" s="2087">
        <f t="shared" si="28"/>
        <v>0</v>
      </c>
      <c r="AF80" s="2088"/>
      <c r="AG80" s="2088"/>
      <c r="AH80" s="2089"/>
    </row>
    <row r="81" spans="1:35" s="623" customFormat="1" ht="13.5" thickBot="1">
      <c r="A81" s="641"/>
      <c r="B81" s="653"/>
      <c r="C81" s="654"/>
      <c r="D81" s="655"/>
      <c r="E81" s="653"/>
      <c r="F81" s="655"/>
      <c r="G81" s="653"/>
      <c r="H81" s="654"/>
      <c r="I81" s="654"/>
      <c r="J81" s="655"/>
      <c r="K81" s="653"/>
      <c r="L81" s="654"/>
      <c r="M81" s="654"/>
      <c r="N81" s="655"/>
      <c r="O81" s="653"/>
      <c r="P81" s="655"/>
      <c r="Q81" s="653"/>
      <c r="R81" s="654"/>
      <c r="S81" s="654"/>
      <c r="T81" s="655"/>
      <c r="U81" s="653"/>
      <c r="V81" s="654"/>
      <c r="W81" s="654"/>
      <c r="X81" s="655"/>
      <c r="Y81" s="653"/>
      <c r="Z81" s="654"/>
      <c r="AA81" s="653"/>
      <c r="AB81" s="654"/>
      <c r="AC81" s="654"/>
      <c r="AD81" s="655"/>
      <c r="AE81" s="653"/>
      <c r="AF81" s="654"/>
      <c r="AG81" s="654"/>
      <c r="AH81" s="659"/>
    </row>
    <row r="82" spans="1:35" s="623" customFormat="1" ht="14.25" thickTop="1" thickBot="1"/>
    <row r="83" spans="1:35" s="623" customFormat="1" ht="14.25" thickTop="1" thickBot="1">
      <c r="B83" s="622" t="s">
        <v>552</v>
      </c>
      <c r="G83" s="2171">
        <f>SUM(G65:J81)</f>
        <v>0</v>
      </c>
      <c r="H83" s="2172"/>
      <c r="I83" s="2172"/>
      <c r="J83" s="2173"/>
      <c r="K83" s="2171">
        <f>SUM(K65:N81)</f>
        <v>0</v>
      </c>
      <c r="L83" s="2172"/>
      <c r="M83" s="2172"/>
      <c r="N83" s="2173"/>
      <c r="Q83" s="2242">
        <f>SUM(Q65:T81)</f>
        <v>0</v>
      </c>
      <c r="R83" s="2124"/>
      <c r="S83" s="2124"/>
      <c r="T83" s="2125"/>
      <c r="U83" s="2242">
        <f>SUM(U65:X81)</f>
        <v>0</v>
      </c>
      <c r="V83" s="2124"/>
      <c r="W83" s="2124"/>
      <c r="X83" s="2125"/>
      <c r="AA83" s="2242">
        <f>SUM(AA65:AD81)</f>
        <v>0</v>
      </c>
      <c r="AB83" s="2124"/>
      <c r="AC83" s="2124"/>
      <c r="AD83" s="2125"/>
      <c r="AE83" s="2242">
        <f>SUM(AE65:AH81)</f>
        <v>0</v>
      </c>
      <c r="AF83" s="2124"/>
      <c r="AG83" s="2124"/>
      <c r="AH83" s="2125"/>
    </row>
    <row r="84" spans="1:35" s="623" customFormat="1" ht="13.5" collapsed="1" thickTop="1"/>
    <row r="85" spans="1:35" s="623" customFormat="1">
      <c r="B85" s="627" t="s">
        <v>421</v>
      </c>
      <c r="C85" s="627" t="s">
        <v>555</v>
      </c>
      <c r="D85" s="628"/>
      <c r="E85" s="628"/>
      <c r="F85" s="628"/>
      <c r="G85" s="628"/>
      <c r="H85" s="628"/>
      <c r="I85" s="628"/>
      <c r="J85" s="628"/>
      <c r="K85" s="628"/>
      <c r="L85" s="628"/>
      <c r="M85" s="628"/>
      <c r="N85" s="628"/>
      <c r="O85" s="628"/>
      <c r="P85" s="628"/>
      <c r="Q85" s="628"/>
      <c r="R85" s="628"/>
      <c r="S85" s="628"/>
      <c r="T85" s="628"/>
      <c r="U85" s="628"/>
      <c r="V85" s="628"/>
      <c r="W85" s="628"/>
      <c r="X85" s="628"/>
      <c r="Y85" s="628"/>
      <c r="Z85" s="628"/>
      <c r="AA85" s="628"/>
      <c r="AB85" s="628"/>
      <c r="AC85" s="628"/>
      <c r="AD85" s="628"/>
      <c r="AE85" s="628"/>
      <c r="AF85" s="628"/>
      <c r="AG85" s="628"/>
      <c r="AH85" s="628"/>
      <c r="AI85" s="628"/>
    </row>
    <row r="86" spans="1:35" ht="13.5" thickBot="1"/>
    <row r="87" spans="1:35" s="660" customFormat="1" ht="27.75" customHeight="1" thickTop="1">
      <c r="A87" s="2255" t="s">
        <v>360</v>
      </c>
      <c r="B87" s="2222" t="s">
        <v>556</v>
      </c>
      <c r="C87" s="2234"/>
      <c r="D87" s="2234"/>
      <c r="E87" s="2228"/>
      <c r="F87" s="2257" t="s">
        <v>542</v>
      </c>
      <c r="G87" s="2257"/>
      <c r="H87" s="2257" t="s">
        <v>557</v>
      </c>
      <c r="I87" s="2257"/>
      <c r="J87" s="2257"/>
      <c r="K87" s="2247" t="s">
        <v>543</v>
      </c>
      <c r="L87" s="2248"/>
      <c r="M87" s="2248"/>
      <c r="N87" s="2248"/>
      <c r="O87" s="2248"/>
      <c r="P87" s="2248"/>
      <c r="Q87" s="2248"/>
      <c r="R87" s="2248"/>
      <c r="S87" s="2248"/>
      <c r="T87" s="2248"/>
      <c r="U87" s="2248"/>
      <c r="V87" s="2248"/>
      <c r="W87" s="2248"/>
      <c r="X87" s="2248"/>
      <c r="Y87" s="2258"/>
      <c r="Z87" s="2222" t="s">
        <v>544</v>
      </c>
      <c r="AA87" s="2228"/>
      <c r="AB87" s="2247" t="s">
        <v>545</v>
      </c>
      <c r="AC87" s="2248"/>
      <c r="AD87" s="2248"/>
      <c r="AE87" s="2248"/>
      <c r="AF87" s="2248"/>
      <c r="AG87" s="2248"/>
      <c r="AH87" s="2248"/>
      <c r="AI87" s="2249"/>
    </row>
    <row r="88" spans="1:35" s="660" customFormat="1" ht="27.75" customHeight="1" thickBot="1">
      <c r="A88" s="2256"/>
      <c r="B88" s="2229"/>
      <c r="C88" s="2235"/>
      <c r="D88" s="2235"/>
      <c r="E88" s="2230"/>
      <c r="F88" s="2250"/>
      <c r="G88" s="2250"/>
      <c r="H88" s="2250"/>
      <c r="I88" s="2250"/>
      <c r="J88" s="2250"/>
      <c r="K88" s="2250" t="s">
        <v>558</v>
      </c>
      <c r="L88" s="2250"/>
      <c r="M88" s="2250"/>
      <c r="N88" s="2250"/>
      <c r="O88" s="2251" t="s">
        <v>559</v>
      </c>
      <c r="P88" s="2252"/>
      <c r="Q88" s="2253"/>
      <c r="R88" s="2250" t="s">
        <v>560</v>
      </c>
      <c r="S88" s="2250"/>
      <c r="T88" s="2250"/>
      <c r="U88" s="2250"/>
      <c r="V88" s="2250" t="s">
        <v>561</v>
      </c>
      <c r="W88" s="2250"/>
      <c r="X88" s="2250"/>
      <c r="Y88" s="2250"/>
      <c r="Z88" s="2229"/>
      <c r="AA88" s="2230"/>
      <c r="AB88" s="2251" t="s">
        <v>562</v>
      </c>
      <c r="AC88" s="2252"/>
      <c r="AD88" s="2252"/>
      <c r="AE88" s="2253"/>
      <c r="AF88" s="2250" t="s">
        <v>561</v>
      </c>
      <c r="AG88" s="2250"/>
      <c r="AH88" s="2250"/>
      <c r="AI88" s="2254"/>
    </row>
    <row r="89" spans="1:35" s="623" customFormat="1" ht="13.5" thickTop="1">
      <c r="A89" s="630"/>
      <c r="B89" s="634"/>
      <c r="C89" s="635"/>
      <c r="D89" s="635"/>
      <c r="E89" s="636"/>
      <c r="F89" s="2243"/>
      <c r="G89" s="2244"/>
      <c r="H89" s="2243"/>
      <c r="I89" s="2245"/>
      <c r="J89" s="2244"/>
      <c r="K89" s="2243"/>
      <c r="L89" s="2245"/>
      <c r="M89" s="2245"/>
      <c r="N89" s="2244"/>
      <c r="O89" s="634"/>
      <c r="P89" s="635"/>
      <c r="Q89" s="636"/>
      <c r="R89" s="2243"/>
      <c r="S89" s="2245"/>
      <c r="T89" s="2245"/>
      <c r="U89" s="2244"/>
      <c r="V89" s="2243"/>
      <c r="W89" s="2245"/>
      <c r="X89" s="2245"/>
      <c r="Y89" s="2244"/>
      <c r="Z89" s="661"/>
      <c r="AA89" s="661"/>
      <c r="AB89" s="634"/>
      <c r="AC89" s="635"/>
      <c r="AD89" s="635"/>
      <c r="AE89" s="636"/>
      <c r="AF89" s="2243"/>
      <c r="AG89" s="2245"/>
      <c r="AH89" s="2245"/>
      <c r="AI89" s="2246"/>
    </row>
    <row r="90" spans="1:35">
      <c r="A90" s="662">
        <v>1</v>
      </c>
      <c r="B90" s="2093"/>
      <c r="C90" s="2094"/>
      <c r="D90" s="2094"/>
      <c r="E90" s="2095"/>
      <c r="F90" s="2174"/>
      <c r="G90" s="2174"/>
      <c r="H90" s="2175"/>
      <c r="I90" s="2175"/>
      <c r="J90" s="2175"/>
      <c r="K90" s="2176"/>
      <c r="L90" s="2176"/>
      <c r="M90" s="2176"/>
      <c r="N90" s="2176"/>
      <c r="O90" s="2176"/>
      <c r="P90" s="2176"/>
      <c r="Q90" s="2176"/>
      <c r="R90" s="2153">
        <f t="shared" ref="R90:R105" si="34">K90-O90</f>
        <v>0</v>
      </c>
      <c r="S90" s="2154"/>
      <c r="T90" s="2154"/>
      <c r="U90" s="2155"/>
      <c r="V90" s="2101"/>
      <c r="W90" s="2102"/>
      <c r="X90" s="2102"/>
      <c r="Y90" s="2103"/>
      <c r="Z90" s="2177"/>
      <c r="AA90" s="2177"/>
      <c r="AB90" s="2087">
        <f t="shared" ref="AB90:AB105" si="35">R90*Z90</f>
        <v>0</v>
      </c>
      <c r="AC90" s="2088"/>
      <c r="AD90" s="2088"/>
      <c r="AE90" s="2178"/>
      <c r="AF90" s="2087">
        <f t="shared" ref="AF90:AF105" si="36">V90*Z90</f>
        <v>0</v>
      </c>
      <c r="AG90" s="2088"/>
      <c r="AH90" s="2088"/>
      <c r="AI90" s="2089"/>
    </row>
    <row r="91" spans="1:35">
      <c r="A91" s="1845">
        <f t="shared" ref="A91:A104" si="37">A90+1</f>
        <v>2</v>
      </c>
      <c r="B91" s="2093"/>
      <c r="C91" s="2094"/>
      <c r="D91" s="2094"/>
      <c r="E91" s="2095"/>
      <c r="F91" s="2174"/>
      <c r="G91" s="2174"/>
      <c r="H91" s="2175"/>
      <c r="I91" s="2175"/>
      <c r="J91" s="2175"/>
      <c r="K91" s="2176"/>
      <c r="L91" s="2176"/>
      <c r="M91" s="2176"/>
      <c r="N91" s="2176"/>
      <c r="O91" s="2176"/>
      <c r="P91" s="2176"/>
      <c r="Q91" s="2176"/>
      <c r="R91" s="2153">
        <f t="shared" si="34"/>
        <v>0</v>
      </c>
      <c r="S91" s="2154"/>
      <c r="T91" s="2154"/>
      <c r="U91" s="2155"/>
      <c r="V91" s="2101"/>
      <c r="W91" s="2102"/>
      <c r="X91" s="2102"/>
      <c r="Y91" s="2103"/>
      <c r="Z91" s="2177"/>
      <c r="AA91" s="2177"/>
      <c r="AB91" s="2087">
        <f t="shared" si="35"/>
        <v>0</v>
      </c>
      <c r="AC91" s="2088"/>
      <c r="AD91" s="2088"/>
      <c r="AE91" s="2178"/>
      <c r="AF91" s="2087">
        <f t="shared" si="36"/>
        <v>0</v>
      </c>
      <c r="AG91" s="2088"/>
      <c r="AH91" s="2088"/>
      <c r="AI91" s="2089"/>
    </row>
    <row r="92" spans="1:35">
      <c r="A92" s="1845">
        <f t="shared" si="37"/>
        <v>3</v>
      </c>
      <c r="B92" s="2093"/>
      <c r="C92" s="2094"/>
      <c r="D92" s="2094"/>
      <c r="E92" s="2095"/>
      <c r="F92" s="2174"/>
      <c r="G92" s="2174"/>
      <c r="H92" s="2175"/>
      <c r="I92" s="2175"/>
      <c r="J92" s="2175"/>
      <c r="K92" s="2176"/>
      <c r="L92" s="2176"/>
      <c r="M92" s="2176"/>
      <c r="N92" s="2176"/>
      <c r="O92" s="2176"/>
      <c r="P92" s="2176"/>
      <c r="Q92" s="2176"/>
      <c r="R92" s="2153">
        <f t="shared" si="34"/>
        <v>0</v>
      </c>
      <c r="S92" s="2154"/>
      <c r="T92" s="2154"/>
      <c r="U92" s="2155"/>
      <c r="V92" s="2101"/>
      <c r="W92" s="2102"/>
      <c r="X92" s="2102"/>
      <c r="Y92" s="2103"/>
      <c r="Z92" s="2177"/>
      <c r="AA92" s="2177"/>
      <c r="AB92" s="2087">
        <f t="shared" si="35"/>
        <v>0</v>
      </c>
      <c r="AC92" s="2088"/>
      <c r="AD92" s="2088"/>
      <c r="AE92" s="2178"/>
      <c r="AF92" s="2087">
        <f t="shared" si="36"/>
        <v>0</v>
      </c>
      <c r="AG92" s="2088"/>
      <c r="AH92" s="2088"/>
      <c r="AI92" s="2089"/>
    </row>
    <row r="93" spans="1:35">
      <c r="A93" s="1845">
        <f t="shared" si="37"/>
        <v>4</v>
      </c>
      <c r="B93" s="2093"/>
      <c r="C93" s="2094"/>
      <c r="D93" s="2094"/>
      <c r="E93" s="2095"/>
      <c r="F93" s="2174"/>
      <c r="G93" s="2174"/>
      <c r="H93" s="2175"/>
      <c r="I93" s="2175"/>
      <c r="J93" s="2175"/>
      <c r="K93" s="2176"/>
      <c r="L93" s="2176"/>
      <c r="M93" s="2176"/>
      <c r="N93" s="2176"/>
      <c r="O93" s="2176"/>
      <c r="P93" s="2176"/>
      <c r="Q93" s="2176"/>
      <c r="R93" s="2153">
        <f t="shared" si="34"/>
        <v>0</v>
      </c>
      <c r="S93" s="2154"/>
      <c r="T93" s="2154"/>
      <c r="U93" s="2155"/>
      <c r="V93" s="2101"/>
      <c r="W93" s="2102"/>
      <c r="X93" s="2102"/>
      <c r="Y93" s="2103"/>
      <c r="Z93" s="2177"/>
      <c r="AA93" s="2177"/>
      <c r="AB93" s="2087">
        <f t="shared" si="35"/>
        <v>0</v>
      </c>
      <c r="AC93" s="2088"/>
      <c r="AD93" s="2088"/>
      <c r="AE93" s="2178"/>
      <c r="AF93" s="2087">
        <f t="shared" si="36"/>
        <v>0</v>
      </c>
      <c r="AG93" s="2088"/>
      <c r="AH93" s="2088"/>
      <c r="AI93" s="2089"/>
    </row>
    <row r="94" spans="1:35">
      <c r="A94" s="1845">
        <f t="shared" si="37"/>
        <v>5</v>
      </c>
      <c r="B94" s="2093"/>
      <c r="C94" s="2094"/>
      <c r="D94" s="2094"/>
      <c r="E94" s="2095"/>
      <c r="F94" s="2174"/>
      <c r="G94" s="2174"/>
      <c r="H94" s="2175"/>
      <c r="I94" s="2175"/>
      <c r="J94" s="2175"/>
      <c r="K94" s="2176"/>
      <c r="L94" s="2176"/>
      <c r="M94" s="2176"/>
      <c r="N94" s="2176"/>
      <c r="O94" s="2176"/>
      <c r="P94" s="2176"/>
      <c r="Q94" s="2176"/>
      <c r="R94" s="2153">
        <f t="shared" si="34"/>
        <v>0</v>
      </c>
      <c r="S94" s="2154"/>
      <c r="T94" s="2154"/>
      <c r="U94" s="2155"/>
      <c r="V94" s="2101"/>
      <c r="W94" s="2102"/>
      <c r="X94" s="2102"/>
      <c r="Y94" s="2103"/>
      <c r="Z94" s="2177"/>
      <c r="AA94" s="2177"/>
      <c r="AB94" s="2087">
        <f t="shared" si="35"/>
        <v>0</v>
      </c>
      <c r="AC94" s="2088"/>
      <c r="AD94" s="2088"/>
      <c r="AE94" s="2178"/>
      <c r="AF94" s="2087">
        <f t="shared" si="36"/>
        <v>0</v>
      </c>
      <c r="AG94" s="2088"/>
      <c r="AH94" s="2088"/>
      <c r="AI94" s="2089"/>
    </row>
    <row r="95" spans="1:35">
      <c r="A95" s="1845">
        <f t="shared" si="37"/>
        <v>6</v>
      </c>
      <c r="B95" s="2093"/>
      <c r="C95" s="2094"/>
      <c r="D95" s="2094"/>
      <c r="E95" s="2095"/>
      <c r="F95" s="2174"/>
      <c r="G95" s="2174"/>
      <c r="H95" s="2175"/>
      <c r="I95" s="2175"/>
      <c r="J95" s="2175"/>
      <c r="K95" s="2176"/>
      <c r="L95" s="2176"/>
      <c r="M95" s="2176"/>
      <c r="N95" s="2176"/>
      <c r="O95" s="2176"/>
      <c r="P95" s="2176"/>
      <c r="Q95" s="2176"/>
      <c r="R95" s="2153">
        <f t="shared" si="34"/>
        <v>0</v>
      </c>
      <c r="S95" s="2154"/>
      <c r="T95" s="2154"/>
      <c r="U95" s="2155"/>
      <c r="V95" s="2101"/>
      <c r="W95" s="2102"/>
      <c r="X95" s="2102"/>
      <c r="Y95" s="2103"/>
      <c r="Z95" s="2177"/>
      <c r="AA95" s="2177"/>
      <c r="AB95" s="2087">
        <f t="shared" si="35"/>
        <v>0</v>
      </c>
      <c r="AC95" s="2088"/>
      <c r="AD95" s="2088"/>
      <c r="AE95" s="2178"/>
      <c r="AF95" s="2087">
        <f t="shared" si="36"/>
        <v>0</v>
      </c>
      <c r="AG95" s="2088"/>
      <c r="AH95" s="2088"/>
      <c r="AI95" s="2089"/>
    </row>
    <row r="96" spans="1:35">
      <c r="A96" s="1845">
        <f t="shared" si="37"/>
        <v>7</v>
      </c>
      <c r="B96" s="2093"/>
      <c r="C96" s="2094"/>
      <c r="D96" s="2094"/>
      <c r="E96" s="2095"/>
      <c r="F96" s="2174"/>
      <c r="G96" s="2174"/>
      <c r="H96" s="2175"/>
      <c r="I96" s="2175"/>
      <c r="J96" s="2175"/>
      <c r="K96" s="2176"/>
      <c r="L96" s="2176"/>
      <c r="M96" s="2176"/>
      <c r="N96" s="2176"/>
      <c r="O96" s="2176"/>
      <c r="P96" s="2176"/>
      <c r="Q96" s="2176"/>
      <c r="R96" s="2153">
        <f t="shared" ref="R96:R100" si="38">K96-O96</f>
        <v>0</v>
      </c>
      <c r="S96" s="2154"/>
      <c r="T96" s="2154"/>
      <c r="U96" s="2155"/>
      <c r="V96" s="2101"/>
      <c r="W96" s="2102"/>
      <c r="X96" s="2102"/>
      <c r="Y96" s="2103"/>
      <c r="Z96" s="2177"/>
      <c r="AA96" s="2177"/>
      <c r="AB96" s="2087">
        <f t="shared" ref="AB96:AB100" si="39">R96*Z96</f>
        <v>0</v>
      </c>
      <c r="AC96" s="2088"/>
      <c r="AD96" s="2088"/>
      <c r="AE96" s="2178"/>
      <c r="AF96" s="2087">
        <f t="shared" ref="AF96:AF100" si="40">V96*Z96</f>
        <v>0</v>
      </c>
      <c r="AG96" s="2088"/>
      <c r="AH96" s="2088"/>
      <c r="AI96" s="2089"/>
    </row>
    <row r="97" spans="1:35">
      <c r="A97" s="1845">
        <f t="shared" si="37"/>
        <v>8</v>
      </c>
      <c r="B97" s="2093"/>
      <c r="C97" s="2094"/>
      <c r="D97" s="2094"/>
      <c r="E97" s="2095"/>
      <c r="F97" s="2174"/>
      <c r="G97" s="2174"/>
      <c r="H97" s="2175"/>
      <c r="I97" s="2175"/>
      <c r="J97" s="2175"/>
      <c r="K97" s="2176"/>
      <c r="L97" s="2176"/>
      <c r="M97" s="2176"/>
      <c r="N97" s="2176"/>
      <c r="O97" s="2176"/>
      <c r="P97" s="2176"/>
      <c r="Q97" s="2176"/>
      <c r="R97" s="2153">
        <f t="shared" si="38"/>
        <v>0</v>
      </c>
      <c r="S97" s="2154"/>
      <c r="T97" s="2154"/>
      <c r="U97" s="2155"/>
      <c r="V97" s="2101"/>
      <c r="W97" s="2102"/>
      <c r="X97" s="2102"/>
      <c r="Y97" s="2103"/>
      <c r="Z97" s="2177"/>
      <c r="AA97" s="2177"/>
      <c r="AB97" s="2087">
        <f t="shared" si="39"/>
        <v>0</v>
      </c>
      <c r="AC97" s="2088"/>
      <c r="AD97" s="2088"/>
      <c r="AE97" s="2178"/>
      <c r="AF97" s="2087">
        <f t="shared" si="40"/>
        <v>0</v>
      </c>
      <c r="AG97" s="2088"/>
      <c r="AH97" s="2088"/>
      <c r="AI97" s="2089"/>
    </row>
    <row r="98" spans="1:35">
      <c r="A98" s="1845">
        <f t="shared" si="37"/>
        <v>9</v>
      </c>
      <c r="B98" s="2093"/>
      <c r="C98" s="2094"/>
      <c r="D98" s="2094"/>
      <c r="E98" s="2095"/>
      <c r="F98" s="2174"/>
      <c r="G98" s="2174"/>
      <c r="H98" s="2175"/>
      <c r="I98" s="2175"/>
      <c r="J98" s="2175"/>
      <c r="K98" s="2176"/>
      <c r="L98" s="2176"/>
      <c r="M98" s="2176"/>
      <c r="N98" s="2176"/>
      <c r="O98" s="2176"/>
      <c r="P98" s="2176"/>
      <c r="Q98" s="2176"/>
      <c r="R98" s="2153">
        <f t="shared" si="38"/>
        <v>0</v>
      </c>
      <c r="S98" s="2154"/>
      <c r="T98" s="2154"/>
      <c r="U98" s="2155"/>
      <c r="V98" s="2101"/>
      <c r="W98" s="2102"/>
      <c r="X98" s="2102"/>
      <c r="Y98" s="2103"/>
      <c r="Z98" s="2177"/>
      <c r="AA98" s="2177"/>
      <c r="AB98" s="2087">
        <f t="shared" si="39"/>
        <v>0</v>
      </c>
      <c r="AC98" s="2088"/>
      <c r="AD98" s="2088"/>
      <c r="AE98" s="2178"/>
      <c r="AF98" s="2087">
        <f t="shared" si="40"/>
        <v>0</v>
      </c>
      <c r="AG98" s="2088"/>
      <c r="AH98" s="2088"/>
      <c r="AI98" s="2089"/>
    </row>
    <row r="99" spans="1:35">
      <c r="A99" s="1845">
        <f t="shared" si="37"/>
        <v>10</v>
      </c>
      <c r="B99" s="2093"/>
      <c r="C99" s="2094"/>
      <c r="D99" s="2094"/>
      <c r="E99" s="2095"/>
      <c r="F99" s="2174"/>
      <c r="G99" s="2174"/>
      <c r="H99" s="2175"/>
      <c r="I99" s="2175"/>
      <c r="J99" s="2175"/>
      <c r="K99" s="2176"/>
      <c r="L99" s="2176"/>
      <c r="M99" s="2176"/>
      <c r="N99" s="2176"/>
      <c r="O99" s="2176"/>
      <c r="P99" s="2176"/>
      <c r="Q99" s="2176"/>
      <c r="R99" s="2153">
        <f t="shared" si="38"/>
        <v>0</v>
      </c>
      <c r="S99" s="2154"/>
      <c r="T99" s="2154"/>
      <c r="U99" s="2155"/>
      <c r="V99" s="2101"/>
      <c r="W99" s="2102"/>
      <c r="X99" s="2102"/>
      <c r="Y99" s="2103"/>
      <c r="Z99" s="2177"/>
      <c r="AA99" s="2177"/>
      <c r="AB99" s="2087">
        <f t="shared" si="39"/>
        <v>0</v>
      </c>
      <c r="AC99" s="2088"/>
      <c r="AD99" s="2088"/>
      <c r="AE99" s="2178"/>
      <c r="AF99" s="2087">
        <f t="shared" si="40"/>
        <v>0</v>
      </c>
      <c r="AG99" s="2088"/>
      <c r="AH99" s="2088"/>
      <c r="AI99" s="2089"/>
    </row>
    <row r="100" spans="1:35">
      <c r="A100" s="1845">
        <f t="shared" si="37"/>
        <v>11</v>
      </c>
      <c r="B100" s="2093"/>
      <c r="C100" s="2094"/>
      <c r="D100" s="2094"/>
      <c r="E100" s="2095"/>
      <c r="F100" s="2174"/>
      <c r="G100" s="2174"/>
      <c r="H100" s="2175"/>
      <c r="I100" s="2175"/>
      <c r="J100" s="2175"/>
      <c r="K100" s="2176"/>
      <c r="L100" s="2176"/>
      <c r="M100" s="2176"/>
      <c r="N100" s="2176"/>
      <c r="O100" s="2176"/>
      <c r="P100" s="2176"/>
      <c r="Q100" s="2176"/>
      <c r="R100" s="2153">
        <f t="shared" si="38"/>
        <v>0</v>
      </c>
      <c r="S100" s="2154"/>
      <c r="T100" s="2154"/>
      <c r="U100" s="2155"/>
      <c r="V100" s="2101"/>
      <c r="W100" s="2102"/>
      <c r="X100" s="2102"/>
      <c r="Y100" s="2103"/>
      <c r="Z100" s="2177"/>
      <c r="AA100" s="2177"/>
      <c r="AB100" s="2087">
        <f t="shared" si="39"/>
        <v>0</v>
      </c>
      <c r="AC100" s="2088"/>
      <c r="AD100" s="2088"/>
      <c r="AE100" s="2178"/>
      <c r="AF100" s="2087">
        <f t="shared" si="40"/>
        <v>0</v>
      </c>
      <c r="AG100" s="2088"/>
      <c r="AH100" s="2088"/>
      <c r="AI100" s="2089"/>
    </row>
    <row r="101" spans="1:35">
      <c r="A101" s="1845">
        <f t="shared" si="37"/>
        <v>12</v>
      </c>
      <c r="B101" s="2093"/>
      <c r="C101" s="2094"/>
      <c r="D101" s="2094"/>
      <c r="E101" s="2095"/>
      <c r="F101" s="2174"/>
      <c r="G101" s="2174"/>
      <c r="H101" s="2175"/>
      <c r="I101" s="2175"/>
      <c r="J101" s="2175"/>
      <c r="K101" s="2176"/>
      <c r="L101" s="2176"/>
      <c r="M101" s="2176"/>
      <c r="N101" s="2176"/>
      <c r="O101" s="2176"/>
      <c r="P101" s="2176"/>
      <c r="Q101" s="2176"/>
      <c r="R101" s="2153">
        <f t="shared" ref="R101:R104" si="41">K101-O101</f>
        <v>0</v>
      </c>
      <c r="S101" s="2154"/>
      <c r="T101" s="2154"/>
      <c r="U101" s="2155"/>
      <c r="V101" s="2101"/>
      <c r="W101" s="2102"/>
      <c r="X101" s="2102"/>
      <c r="Y101" s="2103"/>
      <c r="Z101" s="2177"/>
      <c r="AA101" s="2177"/>
      <c r="AB101" s="2087">
        <f t="shared" ref="AB101:AB104" si="42">R101*Z101</f>
        <v>0</v>
      </c>
      <c r="AC101" s="2088"/>
      <c r="AD101" s="2088"/>
      <c r="AE101" s="2178"/>
      <c r="AF101" s="2087">
        <f t="shared" ref="AF101:AF104" si="43">V101*Z101</f>
        <v>0</v>
      </c>
      <c r="AG101" s="2088"/>
      <c r="AH101" s="2088"/>
      <c r="AI101" s="2089"/>
    </row>
    <row r="102" spans="1:35">
      <c r="A102" s="1845">
        <f t="shared" si="37"/>
        <v>13</v>
      </c>
      <c r="B102" s="2093"/>
      <c r="C102" s="2094"/>
      <c r="D102" s="2094"/>
      <c r="E102" s="2095"/>
      <c r="F102" s="2174"/>
      <c r="G102" s="2174"/>
      <c r="H102" s="2175"/>
      <c r="I102" s="2175"/>
      <c r="J102" s="2175"/>
      <c r="K102" s="2176"/>
      <c r="L102" s="2176"/>
      <c r="M102" s="2176"/>
      <c r="N102" s="2176"/>
      <c r="O102" s="2176"/>
      <c r="P102" s="2176"/>
      <c r="Q102" s="2176"/>
      <c r="R102" s="2153">
        <f t="shared" si="41"/>
        <v>0</v>
      </c>
      <c r="S102" s="2154"/>
      <c r="T102" s="2154"/>
      <c r="U102" s="2155"/>
      <c r="V102" s="2101"/>
      <c r="W102" s="2102"/>
      <c r="X102" s="2102"/>
      <c r="Y102" s="2103"/>
      <c r="Z102" s="2177"/>
      <c r="AA102" s="2177"/>
      <c r="AB102" s="2087">
        <f t="shared" si="42"/>
        <v>0</v>
      </c>
      <c r="AC102" s="2088"/>
      <c r="AD102" s="2088"/>
      <c r="AE102" s="2178"/>
      <c r="AF102" s="2087">
        <f t="shared" si="43"/>
        <v>0</v>
      </c>
      <c r="AG102" s="2088"/>
      <c r="AH102" s="2088"/>
      <c r="AI102" s="2089"/>
    </row>
    <row r="103" spans="1:35">
      <c r="A103" s="1845">
        <f t="shared" si="37"/>
        <v>14</v>
      </c>
      <c r="B103" s="2093"/>
      <c r="C103" s="2094"/>
      <c r="D103" s="2094"/>
      <c r="E103" s="2095"/>
      <c r="F103" s="2174"/>
      <c r="G103" s="2174"/>
      <c r="H103" s="2175"/>
      <c r="I103" s="2175"/>
      <c r="J103" s="2175"/>
      <c r="K103" s="2176"/>
      <c r="L103" s="2176"/>
      <c r="M103" s="2176"/>
      <c r="N103" s="2176"/>
      <c r="O103" s="2176"/>
      <c r="P103" s="2176"/>
      <c r="Q103" s="2176"/>
      <c r="R103" s="2153">
        <f t="shared" si="41"/>
        <v>0</v>
      </c>
      <c r="S103" s="2154"/>
      <c r="T103" s="2154"/>
      <c r="U103" s="2155"/>
      <c r="V103" s="2101"/>
      <c r="W103" s="2102"/>
      <c r="X103" s="2102"/>
      <c r="Y103" s="2103"/>
      <c r="Z103" s="2177"/>
      <c r="AA103" s="2177"/>
      <c r="AB103" s="2087">
        <f t="shared" si="42"/>
        <v>0</v>
      </c>
      <c r="AC103" s="2088"/>
      <c r="AD103" s="2088"/>
      <c r="AE103" s="2178"/>
      <c r="AF103" s="2087">
        <f t="shared" si="43"/>
        <v>0</v>
      </c>
      <c r="AG103" s="2088"/>
      <c r="AH103" s="2088"/>
      <c r="AI103" s="2089"/>
    </row>
    <row r="104" spans="1:35">
      <c r="A104" s="1845">
        <f t="shared" si="37"/>
        <v>15</v>
      </c>
      <c r="B104" s="2093"/>
      <c r="C104" s="2094"/>
      <c r="D104" s="2094"/>
      <c r="E104" s="2095"/>
      <c r="F104" s="2174"/>
      <c r="G104" s="2174"/>
      <c r="H104" s="2175"/>
      <c r="I104" s="2175"/>
      <c r="J104" s="2175"/>
      <c r="K104" s="2176"/>
      <c r="L104" s="2176"/>
      <c r="M104" s="2176"/>
      <c r="N104" s="2176"/>
      <c r="O104" s="2176"/>
      <c r="P104" s="2176"/>
      <c r="Q104" s="2176"/>
      <c r="R104" s="2153">
        <f t="shared" si="41"/>
        <v>0</v>
      </c>
      <c r="S104" s="2154"/>
      <c r="T104" s="2154"/>
      <c r="U104" s="2155"/>
      <c r="V104" s="2101"/>
      <c r="W104" s="2102"/>
      <c r="X104" s="2102"/>
      <c r="Y104" s="2103"/>
      <c r="Z104" s="2177"/>
      <c r="AA104" s="2177"/>
      <c r="AB104" s="2087">
        <f t="shared" si="42"/>
        <v>0</v>
      </c>
      <c r="AC104" s="2088"/>
      <c r="AD104" s="2088"/>
      <c r="AE104" s="2178"/>
      <c r="AF104" s="2087">
        <f t="shared" si="43"/>
        <v>0</v>
      </c>
      <c r="AG104" s="2088"/>
      <c r="AH104" s="2088"/>
      <c r="AI104" s="2089"/>
    </row>
    <row r="105" spans="1:35" s="623" customFormat="1">
      <c r="A105" s="663" t="s">
        <v>551</v>
      </c>
      <c r="B105" s="2147"/>
      <c r="C105" s="2148"/>
      <c r="D105" s="2148"/>
      <c r="E105" s="2149"/>
      <c r="F105" s="2150"/>
      <c r="G105" s="2150"/>
      <c r="H105" s="2151"/>
      <c r="I105" s="2151"/>
      <c r="J105" s="2151"/>
      <c r="K105" s="2152"/>
      <c r="L105" s="2152"/>
      <c r="M105" s="2152"/>
      <c r="N105" s="2152"/>
      <c r="O105" s="2152"/>
      <c r="P105" s="2152"/>
      <c r="Q105" s="2152"/>
      <c r="R105" s="2153">
        <f t="shared" si="34"/>
        <v>0</v>
      </c>
      <c r="S105" s="2154"/>
      <c r="T105" s="2154"/>
      <c r="U105" s="2155"/>
      <c r="V105" s="2181"/>
      <c r="W105" s="2182"/>
      <c r="X105" s="2182"/>
      <c r="Y105" s="2183"/>
      <c r="Z105" s="2177"/>
      <c r="AA105" s="2177"/>
      <c r="AB105" s="2087">
        <f t="shared" si="35"/>
        <v>0</v>
      </c>
      <c r="AC105" s="2088"/>
      <c r="AD105" s="2088"/>
      <c r="AE105" s="2178"/>
      <c r="AF105" s="2087">
        <f t="shared" si="36"/>
        <v>0</v>
      </c>
      <c r="AG105" s="2088"/>
      <c r="AH105" s="2088"/>
      <c r="AI105" s="2089"/>
    </row>
    <row r="106" spans="1:35" s="623" customFormat="1" ht="13.5" thickBot="1">
      <c r="A106" s="641"/>
      <c r="B106" s="653"/>
      <c r="C106" s="654"/>
      <c r="D106" s="654"/>
      <c r="E106" s="655"/>
      <c r="F106" s="2184"/>
      <c r="G106" s="2185"/>
      <c r="H106" s="2184"/>
      <c r="I106" s="2186"/>
      <c r="J106" s="2185"/>
      <c r="K106" s="2184"/>
      <c r="L106" s="2186"/>
      <c r="M106" s="2186"/>
      <c r="N106" s="2185"/>
      <c r="O106" s="653"/>
      <c r="P106" s="654"/>
      <c r="Q106" s="655"/>
      <c r="R106" s="2187"/>
      <c r="S106" s="2188"/>
      <c r="T106" s="2188"/>
      <c r="U106" s="2189"/>
      <c r="V106" s="2187"/>
      <c r="W106" s="2188"/>
      <c r="X106" s="2188"/>
      <c r="Y106" s="2189"/>
      <c r="Z106" s="664"/>
      <c r="AA106" s="664"/>
      <c r="AB106" s="648"/>
      <c r="AC106" s="649"/>
      <c r="AD106" s="649"/>
      <c r="AE106" s="650"/>
      <c r="AF106" s="2190"/>
      <c r="AG106" s="2191"/>
      <c r="AH106" s="2191"/>
      <c r="AI106" s="2192"/>
    </row>
    <row r="107" spans="1:35" s="623" customFormat="1" ht="14.25" thickTop="1" thickBot="1">
      <c r="R107" s="665"/>
      <c r="S107" s="665"/>
      <c r="T107" s="665"/>
      <c r="U107" s="665"/>
      <c r="V107" s="665"/>
      <c r="W107" s="665"/>
      <c r="X107" s="665"/>
      <c r="Y107" s="665"/>
      <c r="AB107" s="652"/>
      <c r="AC107" s="652"/>
      <c r="AD107" s="652"/>
      <c r="AE107" s="652"/>
      <c r="AF107" s="652"/>
      <c r="AG107" s="652"/>
      <c r="AH107" s="652"/>
      <c r="AI107" s="652"/>
    </row>
    <row r="108" spans="1:35" s="623" customFormat="1" ht="14.25" thickTop="1" thickBot="1">
      <c r="B108" s="622" t="s">
        <v>552</v>
      </c>
      <c r="R108" s="2171">
        <f>SUM(R90:U106)</f>
        <v>0</v>
      </c>
      <c r="S108" s="2172"/>
      <c r="T108" s="2172"/>
      <c r="U108" s="2173"/>
      <c r="V108" s="2171">
        <f>SUM(V90:Y106)</f>
        <v>0</v>
      </c>
      <c r="W108" s="2172"/>
      <c r="X108" s="2172"/>
      <c r="Y108" s="2173"/>
      <c r="AB108" s="2198">
        <f>SUM(AB90:AE106)</f>
        <v>0</v>
      </c>
      <c r="AC108" s="2199"/>
      <c r="AD108" s="2199"/>
      <c r="AE108" s="2200"/>
      <c r="AF108" s="2198">
        <f>SUM(AF90:AI106)</f>
        <v>0</v>
      </c>
      <c r="AG108" s="2199"/>
      <c r="AH108" s="2199"/>
      <c r="AI108" s="2200"/>
    </row>
    <row r="109" spans="1:35" ht="13.5" collapsed="1" thickTop="1"/>
    <row r="110" spans="1:35" s="623" customFormat="1">
      <c r="B110" s="666" t="s">
        <v>429</v>
      </c>
      <c r="C110" s="627" t="s">
        <v>563</v>
      </c>
      <c r="D110" s="628"/>
      <c r="E110" s="628"/>
      <c r="F110" s="628"/>
      <c r="G110" s="628"/>
      <c r="H110" s="628"/>
      <c r="I110" s="628"/>
      <c r="J110" s="628"/>
      <c r="K110" s="628"/>
      <c r="L110" s="628"/>
      <c r="M110" s="628"/>
      <c r="N110" s="628"/>
      <c r="O110" s="628"/>
      <c r="P110" s="628"/>
      <c r="Q110" s="628"/>
      <c r="R110" s="628"/>
      <c r="S110" s="628"/>
      <c r="T110" s="628"/>
      <c r="U110" s="628"/>
      <c r="V110" s="628"/>
      <c r="W110" s="628"/>
      <c r="X110" s="628"/>
      <c r="Y110" s="628"/>
      <c r="Z110" s="628"/>
      <c r="AA110" s="628"/>
      <c r="AB110" s="628"/>
      <c r="AC110" s="628"/>
      <c r="AD110" s="628"/>
      <c r="AE110" s="628"/>
      <c r="AF110" s="628"/>
      <c r="AG110" s="628"/>
      <c r="AH110" s="628"/>
      <c r="AI110" s="628"/>
    </row>
    <row r="111" spans="1:35" s="623" customFormat="1" ht="13.5" thickBot="1">
      <c r="D111" s="623" t="s">
        <v>381</v>
      </c>
    </row>
    <row r="112" spans="1:35" s="622" customFormat="1" ht="13.5" thickTop="1">
      <c r="B112" s="2179" t="s">
        <v>360</v>
      </c>
      <c r="C112" s="2156" t="s">
        <v>564</v>
      </c>
      <c r="D112" s="2156"/>
      <c r="E112" s="2156"/>
      <c r="F112" s="2156"/>
      <c r="G112" s="2156"/>
      <c r="H112" s="2156"/>
      <c r="I112" s="2156"/>
      <c r="J112" s="2156"/>
      <c r="K112" s="2156" t="s">
        <v>542</v>
      </c>
      <c r="L112" s="2156"/>
      <c r="M112" s="2156" t="s">
        <v>565</v>
      </c>
      <c r="N112" s="2156"/>
      <c r="O112" s="2156"/>
      <c r="P112" s="2156" t="s">
        <v>543</v>
      </c>
      <c r="Q112" s="2156"/>
      <c r="R112" s="2156"/>
      <c r="S112" s="2156"/>
      <c r="T112" s="2156"/>
      <c r="U112" s="2156" t="s">
        <v>544</v>
      </c>
      <c r="V112" s="2156"/>
      <c r="W112" s="2156"/>
      <c r="X112" s="2156" t="s">
        <v>545</v>
      </c>
      <c r="Y112" s="2156"/>
      <c r="Z112" s="2156"/>
      <c r="AA112" s="2156"/>
      <c r="AB112" s="2157"/>
    </row>
    <row r="113" spans="2:28" s="622" customFormat="1" ht="13.5" thickBot="1">
      <c r="B113" s="2180"/>
      <c r="C113" s="2158"/>
      <c r="D113" s="2158"/>
      <c r="E113" s="2158"/>
      <c r="F113" s="2158"/>
      <c r="G113" s="2158"/>
      <c r="H113" s="2158"/>
      <c r="I113" s="2158"/>
      <c r="J113" s="2158"/>
      <c r="K113" s="2158"/>
      <c r="L113" s="2158"/>
      <c r="M113" s="2158"/>
      <c r="N113" s="2158"/>
      <c r="O113" s="2158"/>
      <c r="P113" s="2158"/>
      <c r="Q113" s="2158"/>
      <c r="R113" s="2158"/>
      <c r="S113" s="2158"/>
      <c r="T113" s="2158"/>
      <c r="U113" s="2158"/>
      <c r="V113" s="2158"/>
      <c r="W113" s="2158"/>
      <c r="X113" s="2158"/>
      <c r="Y113" s="2158"/>
      <c r="Z113" s="2158"/>
      <c r="AA113" s="2158"/>
      <c r="AB113" s="2159"/>
    </row>
    <row r="114" spans="2:28" s="623" customFormat="1" ht="13.5" thickTop="1"/>
    <row r="115" spans="2:28" s="623" customFormat="1">
      <c r="B115" s="622" t="s">
        <v>566</v>
      </c>
    </row>
    <row r="116" spans="2:28" ht="13.5" thickBot="1">
      <c r="X116" s="623"/>
      <c r="Y116" s="623"/>
      <c r="Z116" s="623"/>
      <c r="AA116" s="623"/>
      <c r="AB116" s="623"/>
    </row>
    <row r="117" spans="2:28" ht="13.5" thickTop="1">
      <c r="B117" s="667">
        <v>1</v>
      </c>
      <c r="C117" s="2160"/>
      <c r="D117" s="2161"/>
      <c r="E117" s="2161"/>
      <c r="F117" s="2161"/>
      <c r="G117" s="2161"/>
      <c r="H117" s="2161"/>
      <c r="I117" s="2161"/>
      <c r="J117" s="2162"/>
      <c r="K117" s="2163"/>
      <c r="L117" s="2164"/>
      <c r="M117" s="2165"/>
      <c r="N117" s="2166"/>
      <c r="O117" s="2167"/>
      <c r="P117" s="2168"/>
      <c r="Q117" s="2169"/>
      <c r="R117" s="2169"/>
      <c r="S117" s="2169"/>
      <c r="T117" s="2170"/>
      <c r="U117" s="2214"/>
      <c r="V117" s="2215"/>
      <c r="W117" s="2216"/>
      <c r="X117" s="2138">
        <f t="shared" ref="X117:X127" si="44">P117*U117</f>
        <v>0</v>
      </c>
      <c r="Y117" s="2139"/>
      <c r="Z117" s="2139"/>
      <c r="AA117" s="2139"/>
      <c r="AB117" s="2140"/>
    </row>
    <row r="118" spans="2:28">
      <c r="B118" s="662">
        <v>2</v>
      </c>
      <c r="C118" s="2093"/>
      <c r="D118" s="2094"/>
      <c r="E118" s="2094"/>
      <c r="F118" s="2094"/>
      <c r="G118" s="2094"/>
      <c r="H118" s="2094"/>
      <c r="I118" s="2094"/>
      <c r="J118" s="2095"/>
      <c r="K118" s="2096"/>
      <c r="L118" s="2097"/>
      <c r="M118" s="2098"/>
      <c r="N118" s="2099"/>
      <c r="O118" s="2100"/>
      <c r="P118" s="2101"/>
      <c r="Q118" s="2102"/>
      <c r="R118" s="2102"/>
      <c r="S118" s="2102"/>
      <c r="T118" s="2103"/>
      <c r="U118" s="2141"/>
      <c r="V118" s="2142"/>
      <c r="W118" s="2143"/>
      <c r="X118" s="2087">
        <f t="shared" si="44"/>
        <v>0</v>
      </c>
      <c r="Y118" s="2088"/>
      <c r="Z118" s="2088"/>
      <c r="AA118" s="2088"/>
      <c r="AB118" s="2089"/>
    </row>
    <row r="119" spans="2:28">
      <c r="B119" s="662">
        <v>3</v>
      </c>
      <c r="C119" s="2093"/>
      <c r="D119" s="2094"/>
      <c r="E119" s="2094"/>
      <c r="F119" s="2094"/>
      <c r="G119" s="2094"/>
      <c r="H119" s="2094"/>
      <c r="I119" s="2094"/>
      <c r="J119" s="2095"/>
      <c r="K119" s="2096"/>
      <c r="L119" s="2097"/>
      <c r="M119" s="2098"/>
      <c r="N119" s="2099"/>
      <c r="O119" s="2100"/>
      <c r="P119" s="2101"/>
      <c r="Q119" s="2102"/>
      <c r="R119" s="2102"/>
      <c r="S119" s="2102"/>
      <c r="T119" s="2103"/>
      <c r="U119" s="2141"/>
      <c r="V119" s="2142"/>
      <c r="W119" s="2143"/>
      <c r="X119" s="2087">
        <f t="shared" si="44"/>
        <v>0</v>
      </c>
      <c r="Y119" s="2088"/>
      <c r="Z119" s="2088"/>
      <c r="AA119" s="2088"/>
      <c r="AB119" s="2089"/>
    </row>
    <row r="120" spans="2:28">
      <c r="B120" s="662">
        <v>4</v>
      </c>
      <c r="C120" s="2093"/>
      <c r="D120" s="2094"/>
      <c r="E120" s="2094"/>
      <c r="F120" s="2094"/>
      <c r="G120" s="2094"/>
      <c r="H120" s="2094"/>
      <c r="I120" s="2094"/>
      <c r="J120" s="2095"/>
      <c r="K120" s="2096"/>
      <c r="L120" s="2097"/>
      <c r="M120" s="2098"/>
      <c r="N120" s="2099"/>
      <c r="O120" s="2100"/>
      <c r="P120" s="2101"/>
      <c r="Q120" s="2102"/>
      <c r="R120" s="2102"/>
      <c r="S120" s="2102"/>
      <c r="T120" s="2103"/>
      <c r="U120" s="2141"/>
      <c r="V120" s="2142"/>
      <c r="W120" s="2143"/>
      <c r="X120" s="2087">
        <f t="shared" si="44"/>
        <v>0</v>
      </c>
      <c r="Y120" s="2088"/>
      <c r="Z120" s="2088"/>
      <c r="AA120" s="2088"/>
      <c r="AB120" s="2089"/>
    </row>
    <row r="121" spans="2:28">
      <c r="B121" s="658">
        <v>5</v>
      </c>
      <c r="C121" s="2259"/>
      <c r="D121" s="2260"/>
      <c r="E121" s="2260"/>
      <c r="F121" s="2260"/>
      <c r="G121" s="2260"/>
      <c r="H121" s="2260"/>
      <c r="I121" s="2260"/>
      <c r="J121" s="2261"/>
      <c r="K121" s="2262"/>
      <c r="L121" s="2263"/>
      <c r="M121" s="2264"/>
      <c r="N121" s="2265"/>
      <c r="O121" s="2266"/>
      <c r="P121" s="2267"/>
      <c r="Q121" s="2268"/>
      <c r="R121" s="2268"/>
      <c r="S121" s="2268"/>
      <c r="T121" s="2269"/>
      <c r="U121" s="2110"/>
      <c r="V121" s="2111"/>
      <c r="W121" s="2112"/>
      <c r="X121" s="2113">
        <f t="shared" si="44"/>
        <v>0</v>
      </c>
      <c r="Y121" s="2270"/>
      <c r="Z121" s="2270"/>
      <c r="AA121" s="2270"/>
      <c r="AB121" s="2271"/>
    </row>
    <row r="122" spans="2:28">
      <c r="B122" s="662">
        <v>6</v>
      </c>
      <c r="C122" s="2093"/>
      <c r="D122" s="2094"/>
      <c r="E122" s="2094"/>
      <c r="F122" s="2094"/>
      <c r="G122" s="2094"/>
      <c r="H122" s="2094"/>
      <c r="I122" s="2094"/>
      <c r="J122" s="2095"/>
      <c r="K122" s="2096"/>
      <c r="L122" s="2097"/>
      <c r="M122" s="2098"/>
      <c r="N122" s="2099"/>
      <c r="O122" s="2100"/>
      <c r="P122" s="2101"/>
      <c r="Q122" s="2102"/>
      <c r="R122" s="2102"/>
      <c r="S122" s="2102"/>
      <c r="T122" s="2103"/>
      <c r="U122" s="2141"/>
      <c r="V122" s="2142"/>
      <c r="W122" s="2143"/>
      <c r="X122" s="2087">
        <f t="shared" si="44"/>
        <v>0</v>
      </c>
      <c r="Y122" s="2088"/>
      <c r="Z122" s="2088"/>
      <c r="AA122" s="2088"/>
      <c r="AB122" s="2089"/>
    </row>
    <row r="123" spans="2:28">
      <c r="B123" s="662">
        <v>7</v>
      </c>
      <c r="C123" s="2093"/>
      <c r="D123" s="2094"/>
      <c r="E123" s="2094"/>
      <c r="F123" s="2094"/>
      <c r="G123" s="2094"/>
      <c r="H123" s="2094"/>
      <c r="I123" s="2094"/>
      <c r="J123" s="2095"/>
      <c r="K123" s="2096"/>
      <c r="L123" s="2097"/>
      <c r="M123" s="2098"/>
      <c r="N123" s="2099"/>
      <c r="O123" s="2100"/>
      <c r="P123" s="2101"/>
      <c r="Q123" s="2102"/>
      <c r="R123" s="2102"/>
      <c r="S123" s="2102"/>
      <c r="T123" s="2103"/>
      <c r="U123" s="2141"/>
      <c r="V123" s="2142"/>
      <c r="W123" s="2143"/>
      <c r="X123" s="2087">
        <f t="shared" si="44"/>
        <v>0</v>
      </c>
      <c r="Y123" s="2088"/>
      <c r="Z123" s="2088"/>
      <c r="AA123" s="2088"/>
      <c r="AB123" s="2089"/>
    </row>
    <row r="124" spans="2:28">
      <c r="B124" s="662">
        <v>8</v>
      </c>
      <c r="C124" s="2093"/>
      <c r="D124" s="2094"/>
      <c r="E124" s="2094"/>
      <c r="F124" s="2094"/>
      <c r="G124" s="2094"/>
      <c r="H124" s="2094"/>
      <c r="I124" s="2094"/>
      <c r="J124" s="2095"/>
      <c r="K124" s="2096"/>
      <c r="L124" s="2097"/>
      <c r="M124" s="2098"/>
      <c r="N124" s="2099"/>
      <c r="O124" s="2100"/>
      <c r="P124" s="2101"/>
      <c r="Q124" s="2102"/>
      <c r="R124" s="2102"/>
      <c r="S124" s="2102"/>
      <c r="T124" s="2103"/>
      <c r="U124" s="2141"/>
      <c r="V124" s="2142"/>
      <c r="W124" s="2143"/>
      <c r="X124" s="2087">
        <f t="shared" si="44"/>
        <v>0</v>
      </c>
      <c r="Y124" s="2088"/>
      <c r="Z124" s="2088"/>
      <c r="AA124" s="2088"/>
      <c r="AB124" s="2089"/>
    </row>
    <row r="125" spans="2:28">
      <c r="B125" s="662">
        <v>9</v>
      </c>
      <c r="C125" s="2093"/>
      <c r="D125" s="2094"/>
      <c r="E125" s="2094"/>
      <c r="F125" s="2094"/>
      <c r="G125" s="2094"/>
      <c r="H125" s="2094"/>
      <c r="I125" s="2094"/>
      <c r="J125" s="2095"/>
      <c r="K125" s="2096"/>
      <c r="L125" s="2097"/>
      <c r="M125" s="2098"/>
      <c r="N125" s="2099"/>
      <c r="O125" s="2100"/>
      <c r="P125" s="2101"/>
      <c r="Q125" s="2102"/>
      <c r="R125" s="2102"/>
      <c r="S125" s="2102"/>
      <c r="T125" s="2103"/>
      <c r="U125" s="2141"/>
      <c r="V125" s="2142"/>
      <c r="W125" s="2143"/>
      <c r="X125" s="2087">
        <f t="shared" si="44"/>
        <v>0</v>
      </c>
      <c r="Y125" s="2088"/>
      <c r="Z125" s="2088"/>
      <c r="AA125" s="2088"/>
      <c r="AB125" s="2089"/>
    </row>
    <row r="126" spans="2:28">
      <c r="B126" s="662">
        <v>10</v>
      </c>
      <c r="C126" s="2093"/>
      <c r="D126" s="2094"/>
      <c r="E126" s="2094"/>
      <c r="F126" s="2094"/>
      <c r="G126" s="2094"/>
      <c r="H126" s="2094"/>
      <c r="I126" s="2094"/>
      <c r="J126" s="2095"/>
      <c r="K126" s="2096"/>
      <c r="L126" s="2097"/>
      <c r="M126" s="2098"/>
      <c r="N126" s="2099"/>
      <c r="O126" s="2100"/>
      <c r="P126" s="2101"/>
      <c r="Q126" s="2102"/>
      <c r="R126" s="2102"/>
      <c r="S126" s="2102"/>
      <c r="T126" s="2103"/>
      <c r="U126" s="2141"/>
      <c r="V126" s="2142"/>
      <c r="W126" s="2143"/>
      <c r="X126" s="2087">
        <f t="shared" si="44"/>
        <v>0</v>
      </c>
      <c r="Y126" s="2088"/>
      <c r="Z126" s="2088"/>
      <c r="AA126" s="2088"/>
      <c r="AB126" s="2089"/>
    </row>
    <row r="127" spans="2:28" ht="13.5" thickBot="1">
      <c r="B127" s="668" t="s">
        <v>551</v>
      </c>
      <c r="C127" s="2126"/>
      <c r="D127" s="2127"/>
      <c r="E127" s="2127"/>
      <c r="F127" s="2127"/>
      <c r="G127" s="2127"/>
      <c r="H127" s="2127"/>
      <c r="I127" s="2127"/>
      <c r="J127" s="2128"/>
      <c r="K127" s="2129"/>
      <c r="L127" s="2130"/>
      <c r="M127" s="2090"/>
      <c r="N127" s="2091"/>
      <c r="O127" s="2092"/>
      <c r="P127" s="2107"/>
      <c r="Q127" s="2108"/>
      <c r="R127" s="2108"/>
      <c r="S127" s="2108"/>
      <c r="T127" s="2109"/>
      <c r="U127" s="2131"/>
      <c r="V127" s="2132"/>
      <c r="W127" s="2133"/>
      <c r="X127" s="2134">
        <f t="shared" si="44"/>
        <v>0</v>
      </c>
      <c r="Y127" s="2114"/>
      <c r="Z127" s="2114"/>
      <c r="AA127" s="2114"/>
      <c r="AB127" s="2115"/>
    </row>
    <row r="128" spans="2:28" ht="14.25" thickTop="1" thickBot="1">
      <c r="M128" s="669"/>
      <c r="N128" s="669"/>
      <c r="O128" s="669"/>
      <c r="P128" s="670"/>
      <c r="Q128" s="670"/>
      <c r="R128" s="670"/>
      <c r="S128" s="670"/>
      <c r="T128" s="670"/>
      <c r="U128" s="671"/>
      <c r="V128" s="671"/>
      <c r="W128" s="671"/>
      <c r="X128" s="672"/>
      <c r="Y128" s="672"/>
      <c r="Z128" s="672"/>
      <c r="AA128" s="672"/>
      <c r="AB128" s="672"/>
    </row>
    <row r="129" spans="1:29" ht="14.25" thickTop="1" thickBot="1">
      <c r="A129" s="623"/>
      <c r="B129" s="623" t="s">
        <v>567</v>
      </c>
      <c r="C129" s="623"/>
      <c r="D129" s="623"/>
      <c r="E129" s="623"/>
      <c r="F129" s="623"/>
      <c r="G129" s="623"/>
      <c r="H129" s="623"/>
      <c r="I129" s="623"/>
      <c r="J129" s="623"/>
      <c r="K129" s="623"/>
      <c r="L129" s="623"/>
      <c r="M129" s="673"/>
      <c r="N129" s="673"/>
      <c r="O129" s="673"/>
      <c r="P129" s="2171">
        <f>SUM(P117:T127)</f>
        <v>0</v>
      </c>
      <c r="Q129" s="2172"/>
      <c r="R129" s="2172"/>
      <c r="S129" s="2172"/>
      <c r="T129" s="2173"/>
      <c r="U129" s="674"/>
      <c r="V129" s="674"/>
      <c r="W129" s="674"/>
      <c r="X129" s="2198">
        <f>SUM(X117:AB127)</f>
        <v>0</v>
      </c>
      <c r="Y129" s="2199"/>
      <c r="Z129" s="2199"/>
      <c r="AA129" s="2199"/>
      <c r="AB129" s="2200"/>
      <c r="AC129" s="623"/>
    </row>
    <row r="130" spans="1:29" ht="13.5" thickTop="1">
      <c r="A130" s="623"/>
      <c r="B130" s="623"/>
      <c r="C130" s="623"/>
      <c r="D130" s="623"/>
      <c r="E130" s="623"/>
      <c r="F130" s="623"/>
      <c r="G130" s="623"/>
      <c r="H130" s="623"/>
      <c r="I130" s="623"/>
      <c r="J130" s="623"/>
      <c r="K130" s="623"/>
      <c r="L130" s="623"/>
      <c r="M130" s="673"/>
      <c r="N130" s="673"/>
      <c r="O130" s="673"/>
      <c r="P130" s="675"/>
      <c r="Q130" s="675"/>
      <c r="R130" s="675"/>
      <c r="S130" s="675"/>
      <c r="T130" s="675"/>
      <c r="U130" s="674"/>
      <c r="V130" s="674"/>
      <c r="W130" s="674"/>
      <c r="X130" s="674"/>
      <c r="Y130" s="674"/>
      <c r="Z130" s="674"/>
      <c r="AA130" s="674"/>
      <c r="AB130" s="674"/>
      <c r="AC130" s="623"/>
    </row>
    <row r="131" spans="1:29">
      <c r="A131" s="623"/>
      <c r="B131" s="622" t="s">
        <v>568</v>
      </c>
      <c r="C131" s="623"/>
      <c r="D131" s="623"/>
      <c r="E131" s="623"/>
      <c r="F131" s="623"/>
      <c r="G131" s="623"/>
      <c r="H131" s="623"/>
      <c r="I131" s="623"/>
      <c r="J131" s="623"/>
      <c r="K131" s="623"/>
      <c r="L131" s="623"/>
      <c r="M131" s="673"/>
      <c r="N131" s="673"/>
      <c r="O131" s="673"/>
      <c r="P131" s="675"/>
      <c r="Q131" s="675"/>
      <c r="R131" s="675"/>
      <c r="S131" s="675"/>
      <c r="T131" s="675"/>
      <c r="U131" s="674"/>
      <c r="V131" s="674"/>
      <c r="W131" s="674"/>
      <c r="X131" s="674"/>
      <c r="Y131" s="674"/>
      <c r="Z131" s="674"/>
      <c r="AA131" s="674"/>
      <c r="AB131" s="674"/>
      <c r="AC131" s="623"/>
    </row>
    <row r="132" spans="1:29" ht="13.5" thickBot="1">
      <c r="M132" s="669"/>
      <c r="N132" s="669"/>
      <c r="O132" s="669"/>
      <c r="P132" s="676"/>
      <c r="Q132" s="676"/>
      <c r="R132" s="676"/>
      <c r="S132" s="676"/>
      <c r="T132" s="676"/>
      <c r="U132" s="671"/>
      <c r="V132" s="671"/>
      <c r="W132" s="671"/>
      <c r="X132" s="674"/>
      <c r="Y132" s="674"/>
      <c r="Z132" s="674"/>
      <c r="AA132" s="674"/>
      <c r="AB132" s="674"/>
    </row>
    <row r="133" spans="1:29" ht="13.5" thickTop="1">
      <c r="B133" s="667">
        <v>1</v>
      </c>
      <c r="C133" s="2160"/>
      <c r="D133" s="2161"/>
      <c r="E133" s="2161"/>
      <c r="F133" s="2161"/>
      <c r="G133" s="2161"/>
      <c r="H133" s="2161"/>
      <c r="I133" s="2161"/>
      <c r="J133" s="2162"/>
      <c r="K133" s="2163"/>
      <c r="L133" s="2164"/>
      <c r="M133" s="2165"/>
      <c r="N133" s="2166"/>
      <c r="O133" s="2167"/>
      <c r="P133" s="2168"/>
      <c r="Q133" s="2169"/>
      <c r="R133" s="2169"/>
      <c r="S133" s="2169"/>
      <c r="T133" s="2170"/>
      <c r="U133" s="2214"/>
      <c r="V133" s="2215"/>
      <c r="W133" s="2216"/>
      <c r="X133" s="2138">
        <f t="shared" ref="X133:X143" si="45">P133*U133</f>
        <v>0</v>
      </c>
      <c r="Y133" s="2139"/>
      <c r="Z133" s="2139"/>
      <c r="AA133" s="2139"/>
      <c r="AB133" s="2140"/>
    </row>
    <row r="134" spans="1:29">
      <c r="B134" s="662">
        <v>2</v>
      </c>
      <c r="C134" s="2093"/>
      <c r="D134" s="2094"/>
      <c r="E134" s="2094"/>
      <c r="F134" s="2094"/>
      <c r="G134" s="2094"/>
      <c r="H134" s="2094"/>
      <c r="I134" s="2094"/>
      <c r="J134" s="2095"/>
      <c r="K134" s="2096"/>
      <c r="L134" s="2097"/>
      <c r="M134" s="2098"/>
      <c r="N134" s="2099"/>
      <c r="O134" s="2100"/>
      <c r="P134" s="2101"/>
      <c r="Q134" s="2102"/>
      <c r="R134" s="2102"/>
      <c r="S134" s="2102"/>
      <c r="T134" s="2103"/>
      <c r="U134" s="2141"/>
      <c r="V134" s="2142"/>
      <c r="W134" s="2143"/>
      <c r="X134" s="2087">
        <f t="shared" si="45"/>
        <v>0</v>
      </c>
      <c r="Y134" s="2088"/>
      <c r="Z134" s="2088"/>
      <c r="AA134" s="2088"/>
      <c r="AB134" s="2089"/>
    </row>
    <row r="135" spans="1:29">
      <c r="B135" s="662">
        <v>3</v>
      </c>
      <c r="C135" s="2093"/>
      <c r="D135" s="2094"/>
      <c r="E135" s="2094"/>
      <c r="F135" s="2094"/>
      <c r="G135" s="2094"/>
      <c r="H135" s="2094"/>
      <c r="I135" s="2094"/>
      <c r="J135" s="2095"/>
      <c r="K135" s="2096"/>
      <c r="L135" s="2097"/>
      <c r="M135" s="2098"/>
      <c r="N135" s="2099"/>
      <c r="O135" s="2100"/>
      <c r="P135" s="2101"/>
      <c r="Q135" s="2102"/>
      <c r="R135" s="2102"/>
      <c r="S135" s="2102"/>
      <c r="T135" s="2103"/>
      <c r="U135" s="2141"/>
      <c r="V135" s="2142"/>
      <c r="W135" s="2143"/>
      <c r="X135" s="2087">
        <f t="shared" si="45"/>
        <v>0</v>
      </c>
      <c r="Y135" s="2088"/>
      <c r="Z135" s="2088"/>
      <c r="AA135" s="2088"/>
      <c r="AB135" s="2089"/>
    </row>
    <row r="136" spans="1:29">
      <c r="B136" s="662">
        <v>4</v>
      </c>
      <c r="C136" s="2093"/>
      <c r="D136" s="2094"/>
      <c r="E136" s="2094"/>
      <c r="F136" s="2094"/>
      <c r="G136" s="2094"/>
      <c r="H136" s="2094"/>
      <c r="I136" s="2094"/>
      <c r="J136" s="2095"/>
      <c r="K136" s="2096"/>
      <c r="L136" s="2097"/>
      <c r="M136" s="2098"/>
      <c r="N136" s="2099"/>
      <c r="O136" s="2100"/>
      <c r="P136" s="2101"/>
      <c r="Q136" s="2102"/>
      <c r="R136" s="2102"/>
      <c r="S136" s="2102"/>
      <c r="T136" s="2103"/>
      <c r="U136" s="2141"/>
      <c r="V136" s="2142"/>
      <c r="W136" s="2143"/>
      <c r="X136" s="2087">
        <f t="shared" si="45"/>
        <v>0</v>
      </c>
      <c r="Y136" s="2088"/>
      <c r="Z136" s="2088"/>
      <c r="AA136" s="2088"/>
      <c r="AB136" s="2089"/>
    </row>
    <row r="137" spans="1:29">
      <c r="B137" s="662">
        <v>5</v>
      </c>
      <c r="C137" s="2093"/>
      <c r="D137" s="2094"/>
      <c r="E137" s="2094"/>
      <c r="F137" s="2094"/>
      <c r="G137" s="2094"/>
      <c r="H137" s="2094"/>
      <c r="I137" s="2094"/>
      <c r="J137" s="2095"/>
      <c r="K137" s="2096"/>
      <c r="L137" s="2097"/>
      <c r="M137" s="2098"/>
      <c r="N137" s="2099"/>
      <c r="O137" s="2100"/>
      <c r="P137" s="2101"/>
      <c r="Q137" s="2102"/>
      <c r="R137" s="2102"/>
      <c r="S137" s="2102"/>
      <c r="T137" s="2103"/>
      <c r="U137" s="2141"/>
      <c r="V137" s="2142"/>
      <c r="W137" s="2143"/>
      <c r="X137" s="2087">
        <f t="shared" si="45"/>
        <v>0</v>
      </c>
      <c r="Y137" s="2088"/>
      <c r="Z137" s="2088"/>
      <c r="AA137" s="2088"/>
      <c r="AB137" s="2089"/>
    </row>
    <row r="138" spans="1:29">
      <c r="B138" s="662">
        <v>6</v>
      </c>
      <c r="C138" s="2093"/>
      <c r="D138" s="2094"/>
      <c r="E138" s="2094"/>
      <c r="F138" s="2094"/>
      <c r="G138" s="2094"/>
      <c r="H138" s="2094"/>
      <c r="I138" s="2094"/>
      <c r="J138" s="2095"/>
      <c r="K138" s="2096"/>
      <c r="L138" s="2097"/>
      <c r="M138" s="2098"/>
      <c r="N138" s="2099"/>
      <c r="O138" s="2100"/>
      <c r="P138" s="2101"/>
      <c r="Q138" s="2102"/>
      <c r="R138" s="2102"/>
      <c r="S138" s="2102"/>
      <c r="T138" s="2103"/>
      <c r="U138" s="2141"/>
      <c r="V138" s="2142"/>
      <c r="W138" s="2143"/>
      <c r="X138" s="2087">
        <f t="shared" si="45"/>
        <v>0</v>
      </c>
      <c r="Y138" s="2088"/>
      <c r="Z138" s="2088"/>
      <c r="AA138" s="2088"/>
      <c r="AB138" s="2089"/>
    </row>
    <row r="139" spans="1:29">
      <c r="B139" s="662">
        <v>7</v>
      </c>
      <c r="C139" s="2093"/>
      <c r="D139" s="2094"/>
      <c r="E139" s="2094"/>
      <c r="F139" s="2094"/>
      <c r="G139" s="2094"/>
      <c r="H139" s="2094"/>
      <c r="I139" s="2094"/>
      <c r="J139" s="2095"/>
      <c r="K139" s="2096"/>
      <c r="L139" s="2097"/>
      <c r="M139" s="2098"/>
      <c r="N139" s="2099"/>
      <c r="O139" s="2100"/>
      <c r="P139" s="2101"/>
      <c r="Q139" s="2102"/>
      <c r="R139" s="2102"/>
      <c r="S139" s="2102"/>
      <c r="T139" s="2103"/>
      <c r="U139" s="2141"/>
      <c r="V139" s="2142"/>
      <c r="W139" s="2143"/>
      <c r="X139" s="2087">
        <f t="shared" si="45"/>
        <v>0</v>
      </c>
      <c r="Y139" s="2088"/>
      <c r="Z139" s="2088"/>
      <c r="AA139" s="2088"/>
      <c r="AB139" s="2089"/>
    </row>
    <row r="140" spans="1:29">
      <c r="B140" s="662">
        <v>8</v>
      </c>
      <c r="C140" s="2093"/>
      <c r="D140" s="2094"/>
      <c r="E140" s="2094"/>
      <c r="F140" s="2094"/>
      <c r="G140" s="2094"/>
      <c r="H140" s="2094"/>
      <c r="I140" s="2094"/>
      <c r="J140" s="2095"/>
      <c r="K140" s="2096"/>
      <c r="L140" s="2097"/>
      <c r="M140" s="2098"/>
      <c r="N140" s="2099"/>
      <c r="O140" s="2100"/>
      <c r="P140" s="2101"/>
      <c r="Q140" s="2102"/>
      <c r="R140" s="2102"/>
      <c r="S140" s="2102"/>
      <c r="T140" s="2103"/>
      <c r="U140" s="2141"/>
      <c r="V140" s="2142"/>
      <c r="W140" s="2143"/>
      <c r="X140" s="2087">
        <f t="shared" si="45"/>
        <v>0</v>
      </c>
      <c r="Y140" s="2088"/>
      <c r="Z140" s="2088"/>
      <c r="AA140" s="2088"/>
      <c r="AB140" s="2089"/>
    </row>
    <row r="141" spans="1:29">
      <c r="B141" s="662">
        <v>9</v>
      </c>
      <c r="C141" s="2093"/>
      <c r="D141" s="2094"/>
      <c r="E141" s="2094"/>
      <c r="F141" s="2094"/>
      <c r="G141" s="2094"/>
      <c r="H141" s="2094"/>
      <c r="I141" s="2094"/>
      <c r="J141" s="2095"/>
      <c r="K141" s="2096"/>
      <c r="L141" s="2097"/>
      <c r="M141" s="2098"/>
      <c r="N141" s="2099"/>
      <c r="O141" s="2100"/>
      <c r="P141" s="2101"/>
      <c r="Q141" s="2102"/>
      <c r="R141" s="2102"/>
      <c r="S141" s="2102"/>
      <c r="T141" s="2103"/>
      <c r="U141" s="2141"/>
      <c r="V141" s="2142"/>
      <c r="W141" s="2143"/>
      <c r="X141" s="2087">
        <f t="shared" si="45"/>
        <v>0</v>
      </c>
      <c r="Y141" s="2088"/>
      <c r="Z141" s="2088"/>
      <c r="AA141" s="2088"/>
      <c r="AB141" s="2089"/>
    </row>
    <row r="142" spans="1:29">
      <c r="B142" s="662">
        <v>10</v>
      </c>
      <c r="C142" s="2093"/>
      <c r="D142" s="2094"/>
      <c r="E142" s="2094"/>
      <c r="F142" s="2094"/>
      <c r="G142" s="2094"/>
      <c r="H142" s="2094"/>
      <c r="I142" s="2094"/>
      <c r="J142" s="2095"/>
      <c r="K142" s="2096"/>
      <c r="L142" s="2097"/>
      <c r="M142" s="2098"/>
      <c r="N142" s="2099"/>
      <c r="O142" s="2100"/>
      <c r="P142" s="2101"/>
      <c r="Q142" s="2102"/>
      <c r="R142" s="2102"/>
      <c r="S142" s="2102"/>
      <c r="T142" s="2103"/>
      <c r="U142" s="2141"/>
      <c r="V142" s="2142"/>
      <c r="W142" s="2143"/>
      <c r="X142" s="2087">
        <f t="shared" si="45"/>
        <v>0</v>
      </c>
      <c r="Y142" s="2088"/>
      <c r="Z142" s="2088"/>
      <c r="AA142" s="2088"/>
      <c r="AB142" s="2089"/>
    </row>
    <row r="143" spans="1:29" ht="13.5" thickBot="1">
      <c r="B143" s="668" t="s">
        <v>551</v>
      </c>
      <c r="C143" s="2126"/>
      <c r="D143" s="2127"/>
      <c r="E143" s="2127"/>
      <c r="F143" s="2127"/>
      <c r="G143" s="2127"/>
      <c r="H143" s="2127"/>
      <c r="I143" s="2127"/>
      <c r="J143" s="2128"/>
      <c r="K143" s="2129"/>
      <c r="L143" s="2130"/>
      <c r="M143" s="2090"/>
      <c r="N143" s="2091"/>
      <c r="O143" s="2092"/>
      <c r="P143" s="2107"/>
      <c r="Q143" s="2108"/>
      <c r="R143" s="2108"/>
      <c r="S143" s="2108"/>
      <c r="T143" s="2109"/>
      <c r="U143" s="2211"/>
      <c r="V143" s="2212"/>
      <c r="W143" s="2213"/>
      <c r="X143" s="2134">
        <f t="shared" si="45"/>
        <v>0</v>
      </c>
      <c r="Y143" s="2114"/>
      <c r="Z143" s="2114"/>
      <c r="AA143" s="2114"/>
      <c r="AB143" s="2115"/>
    </row>
    <row r="144" spans="1:29" ht="14.25" thickTop="1" thickBot="1">
      <c r="X144" s="674"/>
      <c r="Y144" s="674"/>
      <c r="Z144" s="674"/>
      <c r="AA144" s="674"/>
      <c r="AB144" s="674"/>
    </row>
    <row r="145" spans="1:28" ht="14.25" thickTop="1" thickBot="1">
      <c r="B145" s="623" t="s">
        <v>569</v>
      </c>
      <c r="C145" s="623"/>
      <c r="D145" s="623"/>
      <c r="E145" s="623"/>
      <c r="F145" s="623"/>
      <c r="G145" s="623"/>
      <c r="H145" s="623"/>
      <c r="I145" s="623"/>
      <c r="J145" s="623"/>
      <c r="K145" s="623"/>
      <c r="L145" s="623"/>
      <c r="M145" s="623"/>
      <c r="N145" s="623"/>
      <c r="P145" s="2171">
        <f>SUM(P133:T143)</f>
        <v>0</v>
      </c>
      <c r="Q145" s="2172"/>
      <c r="R145" s="2172"/>
      <c r="S145" s="2172"/>
      <c r="T145" s="2173"/>
      <c r="U145" s="623"/>
      <c r="V145" s="623"/>
      <c r="W145" s="623"/>
      <c r="X145" s="2198">
        <f>SUM(X133:AB143)</f>
        <v>0</v>
      </c>
      <c r="Y145" s="2199"/>
      <c r="Z145" s="2199"/>
      <c r="AA145" s="2199"/>
      <c r="AB145" s="2200"/>
    </row>
    <row r="146" spans="1:28" ht="13.5" thickTop="1">
      <c r="B146" s="623"/>
      <c r="C146" s="623"/>
      <c r="D146" s="623"/>
      <c r="E146" s="623"/>
      <c r="F146" s="623"/>
      <c r="G146" s="623"/>
      <c r="H146" s="623"/>
      <c r="I146" s="623"/>
      <c r="J146" s="623"/>
      <c r="K146" s="623"/>
      <c r="L146" s="623"/>
      <c r="M146" s="623"/>
      <c r="N146" s="623"/>
      <c r="X146" s="623"/>
      <c r="Y146" s="623"/>
      <c r="Z146" s="623"/>
      <c r="AA146" s="623"/>
      <c r="AB146" s="623"/>
    </row>
    <row r="147" spans="1:28">
      <c r="B147" s="622" t="s">
        <v>570</v>
      </c>
      <c r="C147" s="623"/>
      <c r="D147" s="623"/>
      <c r="E147" s="623"/>
      <c r="F147" s="623"/>
      <c r="G147" s="623"/>
      <c r="H147" s="623"/>
      <c r="I147" s="623"/>
      <c r="J147" s="623"/>
      <c r="K147" s="623"/>
      <c r="L147" s="623"/>
      <c r="M147" s="623"/>
      <c r="N147" s="623"/>
      <c r="X147" s="623"/>
      <c r="Y147" s="623"/>
      <c r="Z147" s="623"/>
      <c r="AA147" s="623"/>
      <c r="AB147" s="623"/>
    </row>
    <row r="148" spans="1:28" ht="13.5" thickBot="1">
      <c r="B148" s="623"/>
      <c r="C148" s="623"/>
      <c r="D148" s="623"/>
      <c r="E148" s="623"/>
      <c r="F148" s="623"/>
      <c r="G148" s="623"/>
      <c r="H148" s="623"/>
      <c r="I148" s="623"/>
      <c r="J148" s="623"/>
      <c r="K148" s="623"/>
      <c r="L148" s="623"/>
      <c r="M148" s="623"/>
      <c r="N148" s="623"/>
      <c r="X148" s="623"/>
      <c r="Y148" s="623"/>
      <c r="Z148" s="623"/>
      <c r="AA148" s="623"/>
      <c r="AB148" s="623"/>
    </row>
    <row r="149" spans="1:28" ht="13.5" thickTop="1">
      <c r="B149" s="623" t="s">
        <v>571</v>
      </c>
      <c r="C149" s="623"/>
      <c r="D149" s="623"/>
      <c r="E149" s="623"/>
      <c r="F149" s="623"/>
      <c r="G149" s="623"/>
      <c r="H149" s="623"/>
      <c r="I149" s="623"/>
      <c r="J149" s="623"/>
      <c r="K149" s="623"/>
      <c r="L149" s="623"/>
      <c r="M149" s="623"/>
      <c r="N149" s="623"/>
      <c r="P149" s="2205"/>
      <c r="Q149" s="2206"/>
      <c r="R149" s="2206"/>
      <c r="S149" s="2206"/>
      <c r="T149" s="2207"/>
      <c r="X149" s="623"/>
      <c r="Y149" s="623"/>
      <c r="Z149" s="623"/>
      <c r="AA149" s="623"/>
      <c r="AB149" s="623"/>
    </row>
    <row r="150" spans="1:28">
      <c r="B150" s="623" t="s">
        <v>572</v>
      </c>
      <c r="C150" s="623"/>
      <c r="D150" s="623"/>
      <c r="E150" s="623"/>
      <c r="F150" s="623"/>
      <c r="G150" s="623"/>
      <c r="H150" s="623"/>
      <c r="I150" s="623"/>
      <c r="J150" s="623"/>
      <c r="K150" s="623"/>
      <c r="L150" s="623"/>
      <c r="M150" s="623"/>
      <c r="N150" s="623"/>
      <c r="P150" s="2208"/>
      <c r="Q150" s="2209"/>
      <c r="R150" s="2209"/>
      <c r="S150" s="2209"/>
      <c r="T150" s="2210"/>
      <c r="X150" s="623"/>
      <c r="Y150" s="623"/>
      <c r="Z150" s="623"/>
      <c r="AA150" s="623"/>
      <c r="AB150" s="623"/>
    </row>
    <row r="151" spans="1:28" ht="13.5" thickBot="1">
      <c r="B151" s="623" t="s">
        <v>573</v>
      </c>
      <c r="C151" s="623"/>
      <c r="D151" s="623"/>
      <c r="E151" s="623"/>
      <c r="F151" s="623"/>
      <c r="G151" s="623"/>
      <c r="H151" s="623"/>
      <c r="I151" s="623"/>
      <c r="J151" s="623"/>
      <c r="K151" s="623"/>
      <c r="L151" s="623"/>
      <c r="M151" s="623"/>
      <c r="N151" s="623"/>
      <c r="P151" s="2116">
        <v>0.05</v>
      </c>
      <c r="Q151" s="2117"/>
      <c r="R151" s="2117"/>
      <c r="S151" s="2117"/>
      <c r="T151" s="2118"/>
      <c r="X151" s="623"/>
      <c r="Y151" s="623"/>
      <c r="Z151" s="623"/>
      <c r="AA151" s="623"/>
      <c r="AB151" s="623"/>
    </row>
    <row r="152" spans="1:28" ht="14.25" thickTop="1" thickBot="1">
      <c r="B152" s="623" t="s">
        <v>574</v>
      </c>
      <c r="C152" s="623"/>
      <c r="D152" s="623"/>
      <c r="E152" s="623"/>
      <c r="F152" s="623"/>
      <c r="G152" s="623"/>
      <c r="H152" s="623"/>
      <c r="I152" s="623"/>
      <c r="J152" s="623"/>
      <c r="K152" s="623"/>
      <c r="L152" s="623"/>
      <c r="M152" s="623"/>
      <c r="N152" s="623"/>
      <c r="P152" s="2119">
        <v>0</v>
      </c>
      <c r="Q152" s="2120"/>
      <c r="R152" s="2120"/>
      <c r="S152" s="2120"/>
      <c r="T152" s="2121"/>
      <c r="U152" s="2122"/>
      <c r="V152" s="2122"/>
      <c r="W152" s="2122"/>
      <c r="X152" s="2123">
        <f>P152*U152</f>
        <v>0</v>
      </c>
      <c r="Y152" s="2124"/>
      <c r="Z152" s="2124"/>
      <c r="AA152" s="2124"/>
      <c r="AB152" s="2125"/>
    </row>
    <row r="153" spans="1:28" ht="14.25" thickTop="1" thickBot="1">
      <c r="B153" s="623"/>
      <c r="C153" s="623"/>
      <c r="D153" s="623"/>
      <c r="E153" s="623"/>
      <c r="F153" s="623"/>
      <c r="G153" s="623"/>
      <c r="H153" s="623"/>
      <c r="I153" s="623"/>
      <c r="J153" s="623"/>
      <c r="K153" s="623"/>
      <c r="L153" s="623"/>
      <c r="M153" s="623"/>
      <c r="N153" s="623"/>
      <c r="P153" s="623"/>
      <c r="Q153" s="623"/>
      <c r="R153" s="623"/>
      <c r="S153" s="623"/>
      <c r="T153" s="623"/>
      <c r="X153" s="623"/>
      <c r="Y153" s="623"/>
      <c r="Z153" s="623"/>
      <c r="AA153" s="623"/>
      <c r="AB153" s="623"/>
    </row>
    <row r="154" spans="1:28" ht="14.25" thickTop="1" thickBot="1">
      <c r="B154" s="622" t="s">
        <v>575</v>
      </c>
      <c r="C154" s="622"/>
      <c r="D154" s="622"/>
      <c r="E154" s="623"/>
      <c r="F154" s="623"/>
      <c r="G154" s="623"/>
      <c r="H154" s="623"/>
      <c r="I154" s="623"/>
      <c r="J154" s="623"/>
      <c r="K154" s="623"/>
      <c r="L154" s="623"/>
      <c r="M154" s="623"/>
      <c r="N154" s="623"/>
      <c r="P154" s="2198">
        <f>P129-P145-P152</f>
        <v>0</v>
      </c>
      <c r="Q154" s="2199"/>
      <c r="R154" s="2199"/>
      <c r="S154" s="2199"/>
      <c r="T154" s="2200"/>
      <c r="X154" s="2198">
        <f>X129-X145-X152</f>
        <v>0</v>
      </c>
      <c r="Y154" s="2199"/>
      <c r="Z154" s="2199"/>
      <c r="AA154" s="2199"/>
      <c r="AB154" s="2200"/>
    </row>
    <row r="155" spans="1:28" ht="14.25" thickTop="1" thickBot="1">
      <c r="B155" s="623"/>
      <c r="C155" s="623"/>
      <c r="D155" s="623"/>
      <c r="E155" s="623"/>
      <c r="F155" s="623"/>
      <c r="G155" s="623"/>
      <c r="H155" s="623"/>
      <c r="I155" s="623"/>
      <c r="J155" s="623"/>
      <c r="K155" s="623"/>
      <c r="L155" s="623"/>
      <c r="M155" s="623"/>
      <c r="N155" s="623"/>
      <c r="X155" s="623"/>
      <c r="Y155" s="623"/>
      <c r="Z155" s="623"/>
      <c r="AA155" s="623"/>
      <c r="AB155" s="623"/>
    </row>
    <row r="156" spans="1:28" ht="14.25" thickTop="1" thickBot="1">
      <c r="B156" s="622" t="s">
        <v>561</v>
      </c>
      <c r="C156" s="622"/>
      <c r="D156" s="622"/>
      <c r="E156" s="622"/>
      <c r="F156" s="622"/>
      <c r="G156" s="623"/>
      <c r="H156" s="623"/>
      <c r="I156" s="623"/>
      <c r="J156" s="623"/>
      <c r="K156" s="623"/>
      <c r="L156" s="623"/>
      <c r="M156" s="623"/>
      <c r="N156" s="623"/>
      <c r="P156" s="2201">
        <v>0</v>
      </c>
      <c r="Q156" s="2202"/>
      <c r="R156" s="2202"/>
      <c r="S156" s="2202"/>
      <c r="T156" s="2202"/>
      <c r="U156" s="2122"/>
      <c r="V156" s="2122"/>
      <c r="W156" s="2122"/>
      <c r="X156" s="2203">
        <f>P156*U156</f>
        <v>0</v>
      </c>
      <c r="Y156" s="2203"/>
      <c r="Z156" s="2203"/>
      <c r="AA156" s="2203"/>
      <c r="AB156" s="2204"/>
    </row>
    <row r="157" spans="1:28" ht="13.5" collapsed="1" thickTop="1">
      <c r="B157" s="623"/>
      <c r="C157" s="623"/>
      <c r="D157" s="623"/>
      <c r="E157" s="623"/>
      <c r="F157" s="623"/>
      <c r="G157" s="623"/>
      <c r="H157" s="623"/>
      <c r="I157" s="623"/>
      <c r="J157" s="623"/>
      <c r="K157" s="623"/>
      <c r="L157" s="623"/>
      <c r="M157" s="623"/>
      <c r="N157" s="623"/>
    </row>
    <row r="158" spans="1:28" ht="13.5" thickBot="1"/>
    <row r="159" spans="1:28" s="626" customFormat="1" ht="14.25" thickTop="1" thickBot="1">
      <c r="A159" s="625" t="s">
        <v>576</v>
      </c>
      <c r="B159" s="625"/>
      <c r="K159" s="2217" t="s">
        <v>381</v>
      </c>
      <c r="L159" s="2218"/>
      <c r="M159" s="2218"/>
      <c r="N159" s="2218"/>
      <c r="O159" s="2218"/>
      <c r="P159" s="2218"/>
      <c r="Q159" s="2218"/>
      <c r="R159" s="2218"/>
      <c r="S159" s="2218"/>
      <c r="T159" s="2219"/>
    </row>
    <row r="160" spans="1:28" s="623" customFormat="1" ht="13.5" thickTop="1"/>
    <row r="161" spans="1:35" s="623" customFormat="1">
      <c r="B161" s="627" t="s">
        <v>382</v>
      </c>
      <c r="C161" s="627" t="s">
        <v>540</v>
      </c>
      <c r="D161" s="628"/>
      <c r="E161" s="628"/>
      <c r="F161" s="628"/>
      <c r="G161" s="628"/>
      <c r="H161" s="628"/>
      <c r="I161" s="628"/>
      <c r="J161" s="628"/>
      <c r="K161" s="628"/>
      <c r="L161" s="628"/>
      <c r="M161" s="628"/>
      <c r="N161" s="628"/>
      <c r="O161" s="628"/>
      <c r="P161" s="628"/>
      <c r="Q161" s="628"/>
      <c r="R161" s="629"/>
      <c r="S161" s="629"/>
      <c r="T161" s="629"/>
      <c r="U161" s="629"/>
      <c r="V161" s="629"/>
      <c r="W161" s="628"/>
      <c r="X161" s="628"/>
      <c r="Y161" s="628"/>
      <c r="Z161" s="628"/>
      <c r="AA161" s="628"/>
      <c r="AB161" s="628"/>
      <c r="AC161" s="628"/>
      <c r="AD161" s="628"/>
      <c r="AE161" s="628"/>
      <c r="AF161" s="628"/>
      <c r="AG161" s="628"/>
      <c r="AH161" s="628"/>
      <c r="AI161" s="628"/>
    </row>
    <row r="162" spans="1:35" s="623" customFormat="1" ht="13.5" thickBot="1"/>
    <row r="163" spans="1:35" s="623" customFormat="1" ht="24" customHeight="1" thickTop="1" thickBot="1">
      <c r="A163" s="2179" t="s">
        <v>360</v>
      </c>
      <c r="B163" s="2222" t="s">
        <v>541</v>
      </c>
      <c r="C163" s="2223"/>
      <c r="D163" s="2224"/>
      <c r="E163" s="2222" t="s">
        <v>542</v>
      </c>
      <c r="F163" s="2228"/>
      <c r="G163" s="2231" t="s">
        <v>543</v>
      </c>
      <c r="H163" s="2232"/>
      <c r="I163" s="2232"/>
      <c r="J163" s="2232"/>
      <c r="K163" s="2232"/>
      <c r="L163" s="2232"/>
      <c r="M163" s="2232"/>
      <c r="N163" s="2233"/>
      <c r="O163" s="2222" t="s">
        <v>544</v>
      </c>
      <c r="P163" s="2228"/>
      <c r="Q163" s="2231" t="s">
        <v>545</v>
      </c>
      <c r="R163" s="2232"/>
      <c r="S163" s="2232"/>
      <c r="T163" s="2232"/>
      <c r="U163" s="2232"/>
      <c r="V163" s="2232"/>
      <c r="W163" s="2232"/>
      <c r="X163" s="2233"/>
      <c r="Y163" s="2222" t="s">
        <v>546</v>
      </c>
      <c r="Z163" s="2228"/>
      <c r="AA163" s="2222" t="s">
        <v>547</v>
      </c>
      <c r="AB163" s="2234"/>
      <c r="AC163" s="2234"/>
      <c r="AD163" s="2228"/>
      <c r="AE163" s="2222" t="s">
        <v>548</v>
      </c>
      <c r="AF163" s="2234"/>
      <c r="AG163" s="2234"/>
      <c r="AH163" s="2236"/>
    </row>
    <row r="164" spans="1:35" s="623" customFormat="1" ht="30" customHeight="1" thickTop="1" thickBot="1">
      <c r="A164" s="2221"/>
      <c r="B164" s="2225"/>
      <c r="C164" s="2226"/>
      <c r="D164" s="2227"/>
      <c r="E164" s="2229"/>
      <c r="F164" s="2230"/>
      <c r="G164" s="2231" t="s">
        <v>549</v>
      </c>
      <c r="H164" s="2232"/>
      <c r="I164" s="2232"/>
      <c r="J164" s="2233"/>
      <c r="K164" s="2231" t="s">
        <v>550</v>
      </c>
      <c r="L164" s="2232"/>
      <c r="M164" s="2232"/>
      <c r="N164" s="2233"/>
      <c r="O164" s="2229"/>
      <c r="P164" s="2230"/>
      <c r="Q164" s="2231" t="s">
        <v>549</v>
      </c>
      <c r="R164" s="2232"/>
      <c r="S164" s="2232"/>
      <c r="T164" s="2233"/>
      <c r="U164" s="2231" t="s">
        <v>550</v>
      </c>
      <c r="V164" s="2232"/>
      <c r="W164" s="2232"/>
      <c r="X164" s="2233"/>
      <c r="Y164" s="2229"/>
      <c r="Z164" s="2230"/>
      <c r="AA164" s="2229"/>
      <c r="AB164" s="2235"/>
      <c r="AC164" s="2235"/>
      <c r="AD164" s="2230"/>
      <c r="AE164" s="2229"/>
      <c r="AF164" s="2235"/>
      <c r="AG164" s="2235"/>
      <c r="AH164" s="2237"/>
    </row>
    <row r="165" spans="1:35" s="623" customFormat="1" ht="13.5" thickTop="1">
      <c r="A165" s="630"/>
      <c r="B165" s="631"/>
      <c r="C165" s="632"/>
      <c r="D165" s="633"/>
      <c r="E165" s="631"/>
      <c r="F165" s="633"/>
      <c r="G165" s="631"/>
      <c r="H165" s="632"/>
      <c r="I165" s="632"/>
      <c r="J165" s="633"/>
      <c r="K165" s="631"/>
      <c r="L165" s="632"/>
      <c r="M165" s="632"/>
      <c r="N165" s="633"/>
      <c r="O165" s="631"/>
      <c r="P165" s="633"/>
      <c r="Q165" s="634"/>
      <c r="R165" s="635"/>
      <c r="S165" s="635"/>
      <c r="T165" s="636"/>
      <c r="U165" s="634"/>
      <c r="V165" s="635"/>
      <c r="W165" s="635"/>
      <c r="X165" s="635"/>
      <c r="Y165" s="2238"/>
      <c r="Z165" s="2239"/>
      <c r="AA165" s="635"/>
      <c r="AB165" s="635"/>
      <c r="AC165" s="635"/>
      <c r="AD165" s="636"/>
      <c r="AE165" s="634"/>
      <c r="AF165" s="635"/>
      <c r="AG165" s="635"/>
      <c r="AH165" s="637"/>
    </row>
    <row r="166" spans="1:35">
      <c r="A166" s="638">
        <v>1</v>
      </c>
      <c r="B166" s="2175"/>
      <c r="C166" s="2175"/>
      <c r="D166" s="2175"/>
      <c r="E166" s="2174"/>
      <c r="F166" s="2174"/>
      <c r="G166" s="2176"/>
      <c r="H166" s="2176"/>
      <c r="I166" s="2176"/>
      <c r="J166" s="2176"/>
      <c r="K166" s="2176"/>
      <c r="L166" s="2176"/>
      <c r="M166" s="2176"/>
      <c r="N166" s="2176"/>
      <c r="O166" s="2177"/>
      <c r="P166" s="2177"/>
      <c r="Q166" s="2088">
        <f t="shared" ref="Q166:Q181" si="46">G166*O166</f>
        <v>0</v>
      </c>
      <c r="R166" s="2088"/>
      <c r="S166" s="2088"/>
      <c r="T166" s="2178"/>
      <c r="U166" s="2087">
        <f t="shared" ref="U166:U181" si="47">K166*O166</f>
        <v>0</v>
      </c>
      <c r="V166" s="2088"/>
      <c r="W166" s="2088"/>
      <c r="X166" s="2088"/>
      <c r="Y166" s="2194"/>
      <c r="Z166" s="2195"/>
      <c r="AA166" s="2197">
        <f>IF(Y166="",U166,Q166*Y166/100)</f>
        <v>0</v>
      </c>
      <c r="AB166" s="2154"/>
      <c r="AC166" s="2154"/>
      <c r="AD166" s="2155"/>
      <c r="AE166" s="2087">
        <f t="shared" ref="AE166:AE181" si="48">IF(AA166=0,U166,IF(U166&gt;(VALUE(AA166)),VALUE(AA166),U166))</f>
        <v>0</v>
      </c>
      <c r="AF166" s="2088"/>
      <c r="AG166" s="2088"/>
      <c r="AH166" s="2089"/>
    </row>
    <row r="167" spans="1:35">
      <c r="A167" s="1842">
        <f t="shared" ref="A167:A180" si="49">A166+1</f>
        <v>2</v>
      </c>
      <c r="B167" s="2175"/>
      <c r="C167" s="2175"/>
      <c r="D167" s="2175"/>
      <c r="E167" s="2174"/>
      <c r="F167" s="2174"/>
      <c r="G167" s="2176"/>
      <c r="H167" s="2176"/>
      <c r="I167" s="2176"/>
      <c r="J167" s="2176"/>
      <c r="K167" s="2176"/>
      <c r="L167" s="2176"/>
      <c r="M167" s="2176"/>
      <c r="N167" s="2176"/>
      <c r="O167" s="2177"/>
      <c r="P167" s="2177"/>
      <c r="Q167" s="2088">
        <f t="shared" si="46"/>
        <v>0</v>
      </c>
      <c r="R167" s="2088"/>
      <c r="S167" s="2088"/>
      <c r="T167" s="2178"/>
      <c r="U167" s="2087">
        <f t="shared" si="47"/>
        <v>0</v>
      </c>
      <c r="V167" s="2088"/>
      <c r="W167" s="2088"/>
      <c r="X167" s="2088"/>
      <c r="Y167" s="2194"/>
      <c r="Z167" s="2195"/>
      <c r="AA167" s="2197">
        <f t="shared" ref="AA167:AA181" si="50">IF(Y167="",U167,Q167*Y167/100)</f>
        <v>0</v>
      </c>
      <c r="AB167" s="2154"/>
      <c r="AC167" s="2154"/>
      <c r="AD167" s="2155"/>
      <c r="AE167" s="2087">
        <f t="shared" si="48"/>
        <v>0</v>
      </c>
      <c r="AF167" s="2088"/>
      <c r="AG167" s="2088"/>
      <c r="AH167" s="2089"/>
    </row>
    <row r="168" spans="1:35">
      <c r="A168" s="1842">
        <f t="shared" si="49"/>
        <v>3</v>
      </c>
      <c r="B168" s="2175"/>
      <c r="C168" s="2175"/>
      <c r="D168" s="2175"/>
      <c r="E168" s="2174"/>
      <c r="F168" s="2174"/>
      <c r="G168" s="2176"/>
      <c r="H168" s="2176"/>
      <c r="I168" s="2176"/>
      <c r="J168" s="2176"/>
      <c r="K168" s="2176"/>
      <c r="L168" s="2176"/>
      <c r="M168" s="2176"/>
      <c r="N168" s="2176"/>
      <c r="O168" s="2177"/>
      <c r="P168" s="2177"/>
      <c r="Q168" s="2088">
        <f t="shared" si="46"/>
        <v>0</v>
      </c>
      <c r="R168" s="2088"/>
      <c r="S168" s="2088"/>
      <c r="T168" s="2178"/>
      <c r="U168" s="2087">
        <f t="shared" si="47"/>
        <v>0</v>
      </c>
      <c r="V168" s="2088"/>
      <c r="W168" s="2088"/>
      <c r="X168" s="2088"/>
      <c r="Y168" s="2194"/>
      <c r="Z168" s="2195"/>
      <c r="AA168" s="2197">
        <f t="shared" si="50"/>
        <v>0</v>
      </c>
      <c r="AB168" s="2154"/>
      <c r="AC168" s="2154"/>
      <c r="AD168" s="2155"/>
      <c r="AE168" s="2087">
        <f t="shared" si="48"/>
        <v>0</v>
      </c>
      <c r="AF168" s="2088"/>
      <c r="AG168" s="2088"/>
      <c r="AH168" s="2089"/>
    </row>
    <row r="169" spans="1:35">
      <c r="A169" s="1842">
        <f t="shared" si="49"/>
        <v>4</v>
      </c>
      <c r="B169" s="2175"/>
      <c r="C169" s="2175"/>
      <c r="D169" s="2175"/>
      <c r="E169" s="2174"/>
      <c r="F169" s="2174"/>
      <c r="G169" s="2176"/>
      <c r="H169" s="2176"/>
      <c r="I169" s="2176"/>
      <c r="J169" s="2176"/>
      <c r="K169" s="2176"/>
      <c r="L169" s="2176"/>
      <c r="M169" s="2176"/>
      <c r="N169" s="2176"/>
      <c r="O169" s="2177"/>
      <c r="P169" s="2177"/>
      <c r="Q169" s="2088">
        <f t="shared" si="46"/>
        <v>0</v>
      </c>
      <c r="R169" s="2088"/>
      <c r="S169" s="2088"/>
      <c r="T169" s="2178"/>
      <c r="U169" s="2087">
        <f t="shared" si="47"/>
        <v>0</v>
      </c>
      <c r="V169" s="2088"/>
      <c r="W169" s="2088"/>
      <c r="X169" s="2088"/>
      <c r="Y169" s="2194"/>
      <c r="Z169" s="2195"/>
      <c r="AA169" s="2197">
        <f t="shared" si="50"/>
        <v>0</v>
      </c>
      <c r="AB169" s="2154"/>
      <c r="AC169" s="2154"/>
      <c r="AD169" s="2155"/>
      <c r="AE169" s="2087">
        <f t="shared" si="48"/>
        <v>0</v>
      </c>
      <c r="AF169" s="2088"/>
      <c r="AG169" s="2088"/>
      <c r="AH169" s="2089"/>
    </row>
    <row r="170" spans="1:35">
      <c r="A170" s="1842">
        <f t="shared" si="49"/>
        <v>5</v>
      </c>
      <c r="B170" s="2175"/>
      <c r="C170" s="2175"/>
      <c r="D170" s="2175"/>
      <c r="E170" s="2174"/>
      <c r="F170" s="2174"/>
      <c r="G170" s="2176"/>
      <c r="H170" s="2176"/>
      <c r="I170" s="2176"/>
      <c r="J170" s="2176"/>
      <c r="K170" s="2176"/>
      <c r="L170" s="2176"/>
      <c r="M170" s="2176"/>
      <c r="N170" s="2176"/>
      <c r="O170" s="2177"/>
      <c r="P170" s="2177"/>
      <c r="Q170" s="2088">
        <f t="shared" si="46"/>
        <v>0</v>
      </c>
      <c r="R170" s="2088"/>
      <c r="S170" s="2088"/>
      <c r="T170" s="2178"/>
      <c r="U170" s="2087">
        <f t="shared" si="47"/>
        <v>0</v>
      </c>
      <c r="V170" s="2088"/>
      <c r="W170" s="2088"/>
      <c r="X170" s="2088"/>
      <c r="Y170" s="2194"/>
      <c r="Z170" s="2195"/>
      <c r="AA170" s="2197">
        <f t="shared" si="50"/>
        <v>0</v>
      </c>
      <c r="AB170" s="2154"/>
      <c r="AC170" s="2154"/>
      <c r="AD170" s="2155"/>
      <c r="AE170" s="2087">
        <f t="shared" si="48"/>
        <v>0</v>
      </c>
      <c r="AF170" s="2088"/>
      <c r="AG170" s="2088"/>
      <c r="AH170" s="2089"/>
    </row>
    <row r="171" spans="1:35">
      <c r="A171" s="1842">
        <f t="shared" si="49"/>
        <v>6</v>
      </c>
      <c r="B171" s="2175"/>
      <c r="C171" s="2175"/>
      <c r="D171" s="2175"/>
      <c r="E171" s="2174"/>
      <c r="F171" s="2174"/>
      <c r="G171" s="2176"/>
      <c r="H171" s="2176"/>
      <c r="I171" s="2176"/>
      <c r="J171" s="2176"/>
      <c r="K171" s="2176"/>
      <c r="L171" s="2176"/>
      <c r="M171" s="2176"/>
      <c r="N171" s="2176"/>
      <c r="O171" s="2177"/>
      <c r="P171" s="2177"/>
      <c r="Q171" s="2088">
        <f t="shared" si="46"/>
        <v>0</v>
      </c>
      <c r="R171" s="2088"/>
      <c r="S171" s="2088"/>
      <c r="T171" s="2178"/>
      <c r="U171" s="2087">
        <f t="shared" si="47"/>
        <v>0</v>
      </c>
      <c r="V171" s="2088"/>
      <c r="W171" s="2088"/>
      <c r="X171" s="2088"/>
      <c r="Y171" s="2194"/>
      <c r="Z171" s="2195"/>
      <c r="AA171" s="2197">
        <f t="shared" si="50"/>
        <v>0</v>
      </c>
      <c r="AB171" s="2154"/>
      <c r="AC171" s="2154"/>
      <c r="AD171" s="2155"/>
      <c r="AE171" s="2087">
        <f t="shared" si="48"/>
        <v>0</v>
      </c>
      <c r="AF171" s="2088"/>
      <c r="AG171" s="2088"/>
      <c r="AH171" s="2089"/>
    </row>
    <row r="172" spans="1:35">
      <c r="A172" s="1842">
        <f t="shared" si="49"/>
        <v>7</v>
      </c>
      <c r="B172" s="2175"/>
      <c r="C172" s="2175"/>
      <c r="D172" s="2175"/>
      <c r="E172" s="2174"/>
      <c r="F172" s="2174"/>
      <c r="G172" s="2176"/>
      <c r="H172" s="2176"/>
      <c r="I172" s="2176"/>
      <c r="J172" s="2176"/>
      <c r="K172" s="2176"/>
      <c r="L172" s="2176"/>
      <c r="M172" s="2176"/>
      <c r="N172" s="2176"/>
      <c r="O172" s="2177"/>
      <c r="P172" s="2177"/>
      <c r="Q172" s="2088">
        <f t="shared" ref="Q172:Q176" si="51">G172*O172</f>
        <v>0</v>
      </c>
      <c r="R172" s="2088"/>
      <c r="S172" s="2088"/>
      <c r="T172" s="2178"/>
      <c r="U172" s="2087">
        <f t="shared" ref="U172:U176" si="52">K172*O172</f>
        <v>0</v>
      </c>
      <c r="V172" s="2088"/>
      <c r="W172" s="2088"/>
      <c r="X172" s="2088"/>
      <c r="Y172" s="2194"/>
      <c r="Z172" s="2195"/>
      <c r="AA172" s="2197">
        <f t="shared" ref="AA172:AA176" si="53">IF(Y172="",U172,Q172*Y172/100)</f>
        <v>0</v>
      </c>
      <c r="AB172" s="2154"/>
      <c r="AC172" s="2154"/>
      <c r="AD172" s="2155"/>
      <c r="AE172" s="2087">
        <f t="shared" ref="AE172:AE176" si="54">IF(AA172=0,U172,IF(U172&gt;(VALUE(AA172)),VALUE(AA172),U172))</f>
        <v>0</v>
      </c>
      <c r="AF172" s="2088"/>
      <c r="AG172" s="2088"/>
      <c r="AH172" s="2089"/>
    </row>
    <row r="173" spans="1:35">
      <c r="A173" s="1842">
        <f t="shared" si="49"/>
        <v>8</v>
      </c>
      <c r="B173" s="2175"/>
      <c r="C173" s="2175"/>
      <c r="D173" s="2175"/>
      <c r="E173" s="2174"/>
      <c r="F173" s="2174"/>
      <c r="G173" s="2176"/>
      <c r="H173" s="2176"/>
      <c r="I173" s="2176"/>
      <c r="J173" s="2176"/>
      <c r="K173" s="2176"/>
      <c r="L173" s="2176"/>
      <c r="M173" s="2176"/>
      <c r="N173" s="2176"/>
      <c r="O173" s="2177"/>
      <c r="P173" s="2177"/>
      <c r="Q173" s="2088">
        <f t="shared" si="51"/>
        <v>0</v>
      </c>
      <c r="R173" s="2088"/>
      <c r="S173" s="2088"/>
      <c r="T173" s="2178"/>
      <c r="U173" s="2087">
        <f t="shared" si="52"/>
        <v>0</v>
      </c>
      <c r="V173" s="2088"/>
      <c r="W173" s="2088"/>
      <c r="X173" s="2088"/>
      <c r="Y173" s="2194"/>
      <c r="Z173" s="2195"/>
      <c r="AA173" s="2197">
        <f t="shared" si="53"/>
        <v>0</v>
      </c>
      <c r="AB173" s="2154"/>
      <c r="AC173" s="2154"/>
      <c r="AD173" s="2155"/>
      <c r="AE173" s="2087">
        <f t="shared" si="54"/>
        <v>0</v>
      </c>
      <c r="AF173" s="2088"/>
      <c r="AG173" s="2088"/>
      <c r="AH173" s="2089"/>
    </row>
    <row r="174" spans="1:35">
      <c r="A174" s="1842">
        <f t="shared" si="49"/>
        <v>9</v>
      </c>
      <c r="B174" s="2175"/>
      <c r="C174" s="2175"/>
      <c r="D174" s="2175"/>
      <c r="E174" s="2174"/>
      <c r="F174" s="2174"/>
      <c r="G174" s="2176"/>
      <c r="H174" s="2176"/>
      <c r="I174" s="2176"/>
      <c r="J174" s="2176"/>
      <c r="K174" s="2176"/>
      <c r="L174" s="2176"/>
      <c r="M174" s="2176"/>
      <c r="N174" s="2176"/>
      <c r="O174" s="2177"/>
      <c r="P174" s="2177"/>
      <c r="Q174" s="2088">
        <f t="shared" si="51"/>
        <v>0</v>
      </c>
      <c r="R174" s="2088"/>
      <c r="S174" s="2088"/>
      <c r="T174" s="2178"/>
      <c r="U174" s="2087">
        <f t="shared" si="52"/>
        <v>0</v>
      </c>
      <c r="V174" s="2088"/>
      <c r="W174" s="2088"/>
      <c r="X174" s="2088"/>
      <c r="Y174" s="2194"/>
      <c r="Z174" s="2195"/>
      <c r="AA174" s="2197">
        <f t="shared" si="53"/>
        <v>0</v>
      </c>
      <c r="AB174" s="2154"/>
      <c r="AC174" s="2154"/>
      <c r="AD174" s="2155"/>
      <c r="AE174" s="2087">
        <f t="shared" si="54"/>
        <v>0</v>
      </c>
      <c r="AF174" s="2088"/>
      <c r="AG174" s="2088"/>
      <c r="AH174" s="2089"/>
    </row>
    <row r="175" spans="1:35">
      <c r="A175" s="1842">
        <f t="shared" si="49"/>
        <v>10</v>
      </c>
      <c r="B175" s="2175"/>
      <c r="C175" s="2175"/>
      <c r="D175" s="2175"/>
      <c r="E175" s="2174"/>
      <c r="F175" s="2174"/>
      <c r="G175" s="2176"/>
      <c r="H175" s="2176"/>
      <c r="I175" s="2176"/>
      <c r="J175" s="2176"/>
      <c r="K175" s="2176"/>
      <c r="L175" s="2176"/>
      <c r="M175" s="2176"/>
      <c r="N175" s="2176"/>
      <c r="O175" s="2177"/>
      <c r="P175" s="2177"/>
      <c r="Q175" s="2088">
        <f t="shared" si="51"/>
        <v>0</v>
      </c>
      <c r="R175" s="2088"/>
      <c r="S175" s="2088"/>
      <c r="T175" s="2178"/>
      <c r="U175" s="2087">
        <f t="shared" si="52"/>
        <v>0</v>
      </c>
      <c r="V175" s="2088"/>
      <c r="W175" s="2088"/>
      <c r="X175" s="2088"/>
      <c r="Y175" s="2194"/>
      <c r="Z175" s="2195"/>
      <c r="AA175" s="2197">
        <f t="shared" si="53"/>
        <v>0</v>
      </c>
      <c r="AB175" s="2154"/>
      <c r="AC175" s="2154"/>
      <c r="AD175" s="2155"/>
      <c r="AE175" s="2087">
        <f t="shared" si="54"/>
        <v>0</v>
      </c>
      <c r="AF175" s="2088"/>
      <c r="AG175" s="2088"/>
      <c r="AH175" s="2089"/>
    </row>
    <row r="176" spans="1:35">
      <c r="A176" s="1842">
        <f t="shared" si="49"/>
        <v>11</v>
      </c>
      <c r="B176" s="2175"/>
      <c r="C176" s="2175"/>
      <c r="D176" s="2175"/>
      <c r="E176" s="2174"/>
      <c r="F176" s="2174"/>
      <c r="G176" s="2176"/>
      <c r="H176" s="2176"/>
      <c r="I176" s="2176"/>
      <c r="J176" s="2176"/>
      <c r="K176" s="2176"/>
      <c r="L176" s="2176"/>
      <c r="M176" s="2176"/>
      <c r="N176" s="2176"/>
      <c r="O176" s="2177"/>
      <c r="P176" s="2177"/>
      <c r="Q176" s="2088">
        <f t="shared" si="51"/>
        <v>0</v>
      </c>
      <c r="R176" s="2088"/>
      <c r="S176" s="2088"/>
      <c r="T176" s="2178"/>
      <c r="U176" s="2087">
        <f t="shared" si="52"/>
        <v>0</v>
      </c>
      <c r="V176" s="2088"/>
      <c r="W176" s="2088"/>
      <c r="X176" s="2088"/>
      <c r="Y176" s="2194"/>
      <c r="Z176" s="2195"/>
      <c r="AA176" s="2197">
        <f t="shared" si="53"/>
        <v>0</v>
      </c>
      <c r="AB176" s="2154"/>
      <c r="AC176" s="2154"/>
      <c r="AD176" s="2155"/>
      <c r="AE176" s="2087">
        <f t="shared" si="54"/>
        <v>0</v>
      </c>
      <c r="AF176" s="2088"/>
      <c r="AG176" s="2088"/>
      <c r="AH176" s="2089"/>
    </row>
    <row r="177" spans="1:35">
      <c r="A177" s="1842">
        <f t="shared" si="49"/>
        <v>12</v>
      </c>
      <c r="B177" s="2175"/>
      <c r="C177" s="2175"/>
      <c r="D177" s="2175"/>
      <c r="E177" s="2174"/>
      <c r="F177" s="2174"/>
      <c r="G177" s="2176"/>
      <c r="H177" s="2176"/>
      <c r="I177" s="2176"/>
      <c r="J177" s="2176"/>
      <c r="K177" s="2176"/>
      <c r="L177" s="2176"/>
      <c r="M177" s="2176"/>
      <c r="N177" s="2176"/>
      <c r="O177" s="2177"/>
      <c r="P177" s="2177"/>
      <c r="Q177" s="2088">
        <f t="shared" ref="Q177:Q180" si="55">G177*O177</f>
        <v>0</v>
      </c>
      <c r="R177" s="2088"/>
      <c r="S177" s="2088"/>
      <c r="T177" s="2178"/>
      <c r="U177" s="2087">
        <f t="shared" ref="U177:U180" si="56">K177*O177</f>
        <v>0</v>
      </c>
      <c r="V177" s="2088"/>
      <c r="W177" s="2088"/>
      <c r="X177" s="2088"/>
      <c r="Y177" s="2194"/>
      <c r="Z177" s="2195"/>
      <c r="AA177" s="2197">
        <f t="shared" ref="AA177:AA180" si="57">IF(Y177="",U177,Q177*Y177/100)</f>
        <v>0</v>
      </c>
      <c r="AB177" s="2154"/>
      <c r="AC177" s="2154"/>
      <c r="AD177" s="2155"/>
      <c r="AE177" s="2087">
        <f t="shared" ref="AE177:AE180" si="58">IF(AA177=0,U177,IF(U177&gt;(VALUE(AA177)),VALUE(AA177),U177))</f>
        <v>0</v>
      </c>
      <c r="AF177" s="2088"/>
      <c r="AG177" s="2088"/>
      <c r="AH177" s="2089"/>
    </row>
    <row r="178" spans="1:35">
      <c r="A178" s="1842">
        <f t="shared" si="49"/>
        <v>13</v>
      </c>
      <c r="B178" s="2175"/>
      <c r="C178" s="2175"/>
      <c r="D178" s="2175"/>
      <c r="E178" s="2174"/>
      <c r="F178" s="2174"/>
      <c r="G178" s="2176"/>
      <c r="H178" s="2176"/>
      <c r="I178" s="2176"/>
      <c r="J178" s="2176"/>
      <c r="K178" s="2176"/>
      <c r="L178" s="2176"/>
      <c r="M178" s="2176"/>
      <c r="N178" s="2176"/>
      <c r="O178" s="2177"/>
      <c r="P178" s="2177"/>
      <c r="Q178" s="2088">
        <f t="shared" si="55"/>
        <v>0</v>
      </c>
      <c r="R178" s="2088"/>
      <c r="S178" s="2088"/>
      <c r="T178" s="2178"/>
      <c r="U178" s="2087">
        <f t="shared" si="56"/>
        <v>0</v>
      </c>
      <c r="V178" s="2088"/>
      <c r="W178" s="2088"/>
      <c r="X178" s="2088"/>
      <c r="Y178" s="2194"/>
      <c r="Z178" s="2195"/>
      <c r="AA178" s="2197">
        <f t="shared" si="57"/>
        <v>0</v>
      </c>
      <c r="AB178" s="2154"/>
      <c r="AC178" s="2154"/>
      <c r="AD178" s="2155"/>
      <c r="AE178" s="2087">
        <f t="shared" si="58"/>
        <v>0</v>
      </c>
      <c r="AF178" s="2088"/>
      <c r="AG178" s="2088"/>
      <c r="AH178" s="2089"/>
    </row>
    <row r="179" spans="1:35">
      <c r="A179" s="1842">
        <f t="shared" si="49"/>
        <v>14</v>
      </c>
      <c r="B179" s="2175"/>
      <c r="C179" s="2175"/>
      <c r="D179" s="2175"/>
      <c r="E179" s="2174"/>
      <c r="F179" s="2174"/>
      <c r="G179" s="2176"/>
      <c r="H179" s="2176"/>
      <c r="I179" s="2176"/>
      <c r="J179" s="2176"/>
      <c r="K179" s="2176"/>
      <c r="L179" s="2176"/>
      <c r="M179" s="2176"/>
      <c r="N179" s="2176"/>
      <c r="O179" s="2177"/>
      <c r="P179" s="2177"/>
      <c r="Q179" s="2088">
        <f t="shared" si="55"/>
        <v>0</v>
      </c>
      <c r="R179" s="2088"/>
      <c r="S179" s="2088"/>
      <c r="T179" s="2178"/>
      <c r="U179" s="2087">
        <f t="shared" si="56"/>
        <v>0</v>
      </c>
      <c r="V179" s="2088"/>
      <c r="W179" s="2088"/>
      <c r="X179" s="2088"/>
      <c r="Y179" s="2194"/>
      <c r="Z179" s="2195"/>
      <c r="AA179" s="2197">
        <f t="shared" si="57"/>
        <v>0</v>
      </c>
      <c r="AB179" s="2154"/>
      <c r="AC179" s="2154"/>
      <c r="AD179" s="2155"/>
      <c r="AE179" s="2087">
        <f t="shared" si="58"/>
        <v>0</v>
      </c>
      <c r="AF179" s="2088"/>
      <c r="AG179" s="2088"/>
      <c r="AH179" s="2089"/>
    </row>
    <row r="180" spans="1:35">
      <c r="A180" s="1842">
        <f t="shared" si="49"/>
        <v>15</v>
      </c>
      <c r="B180" s="2175"/>
      <c r="C180" s="2175"/>
      <c r="D180" s="2175"/>
      <c r="E180" s="2174"/>
      <c r="F180" s="2174"/>
      <c r="G180" s="2176"/>
      <c r="H180" s="2176"/>
      <c r="I180" s="2176"/>
      <c r="J180" s="2176"/>
      <c r="K180" s="2176"/>
      <c r="L180" s="2176"/>
      <c r="M180" s="2176"/>
      <c r="N180" s="2176"/>
      <c r="O180" s="2177"/>
      <c r="P180" s="2177"/>
      <c r="Q180" s="2088">
        <f t="shared" si="55"/>
        <v>0</v>
      </c>
      <c r="R180" s="2088"/>
      <c r="S180" s="2088"/>
      <c r="T180" s="2178"/>
      <c r="U180" s="2087">
        <f t="shared" si="56"/>
        <v>0</v>
      </c>
      <c r="V180" s="2088"/>
      <c r="W180" s="2088"/>
      <c r="X180" s="2088"/>
      <c r="Y180" s="2194"/>
      <c r="Z180" s="2195"/>
      <c r="AA180" s="2197">
        <f t="shared" si="57"/>
        <v>0</v>
      </c>
      <c r="AB180" s="2154"/>
      <c r="AC180" s="2154"/>
      <c r="AD180" s="2155"/>
      <c r="AE180" s="2087">
        <f t="shared" si="58"/>
        <v>0</v>
      </c>
      <c r="AF180" s="2088"/>
      <c r="AG180" s="2088"/>
      <c r="AH180" s="2089"/>
    </row>
    <row r="181" spans="1:35">
      <c r="A181" s="640" t="s">
        <v>551</v>
      </c>
      <c r="B181" s="2175"/>
      <c r="C181" s="2175"/>
      <c r="D181" s="2175"/>
      <c r="E181" s="2174"/>
      <c r="F181" s="2174"/>
      <c r="G181" s="2176"/>
      <c r="H181" s="2176"/>
      <c r="I181" s="2176"/>
      <c r="J181" s="2176"/>
      <c r="K181" s="2176"/>
      <c r="L181" s="2176"/>
      <c r="M181" s="2176"/>
      <c r="N181" s="2176"/>
      <c r="O181" s="2177"/>
      <c r="P181" s="2177"/>
      <c r="Q181" s="2088">
        <f t="shared" si="46"/>
        <v>0</v>
      </c>
      <c r="R181" s="2088"/>
      <c r="S181" s="2088"/>
      <c r="T181" s="2178"/>
      <c r="U181" s="2087">
        <f t="shared" si="47"/>
        <v>0</v>
      </c>
      <c r="V181" s="2088"/>
      <c r="W181" s="2088"/>
      <c r="X181" s="2088"/>
      <c r="Y181" s="2194"/>
      <c r="Z181" s="2195"/>
      <c r="AA181" s="2197">
        <f t="shared" si="50"/>
        <v>0</v>
      </c>
      <c r="AB181" s="2154"/>
      <c r="AC181" s="2154"/>
      <c r="AD181" s="2155"/>
      <c r="AE181" s="2087">
        <f t="shared" si="48"/>
        <v>0</v>
      </c>
      <c r="AF181" s="2088"/>
      <c r="AG181" s="2088"/>
      <c r="AH181" s="2089"/>
    </row>
    <row r="182" spans="1:35" s="623" customFormat="1" ht="13.5" thickBot="1">
      <c r="A182" s="641"/>
      <c r="B182" s="642"/>
      <c r="C182" s="643"/>
      <c r="D182" s="644"/>
      <c r="E182" s="642"/>
      <c r="F182" s="644"/>
      <c r="G182" s="645"/>
      <c r="H182" s="646"/>
      <c r="I182" s="646"/>
      <c r="J182" s="647"/>
      <c r="K182" s="645"/>
      <c r="L182" s="646"/>
      <c r="M182" s="646"/>
      <c r="N182" s="647"/>
      <c r="O182" s="642"/>
      <c r="P182" s="644"/>
      <c r="Q182" s="648"/>
      <c r="R182" s="649"/>
      <c r="S182" s="649"/>
      <c r="T182" s="650"/>
      <c r="U182" s="648"/>
      <c r="V182" s="649"/>
      <c r="W182" s="649"/>
      <c r="X182" s="649"/>
      <c r="Y182" s="2240"/>
      <c r="Z182" s="2241"/>
      <c r="AA182" s="649"/>
      <c r="AB182" s="649"/>
      <c r="AC182" s="649"/>
      <c r="AD182" s="650"/>
      <c r="AE182" s="648"/>
      <c r="AF182" s="649"/>
      <c r="AG182" s="649"/>
      <c r="AH182" s="651"/>
    </row>
    <row r="183" spans="1:35" s="623" customFormat="1" ht="14.25" thickTop="1" thickBot="1">
      <c r="G183" s="652"/>
      <c r="H183" s="652"/>
      <c r="I183" s="652"/>
      <c r="J183" s="652"/>
      <c r="K183" s="652"/>
      <c r="L183" s="652"/>
      <c r="M183" s="652"/>
      <c r="N183" s="652"/>
      <c r="Q183" s="652"/>
      <c r="R183" s="652"/>
      <c r="S183" s="652"/>
      <c r="T183" s="652"/>
      <c r="U183" s="652"/>
      <c r="V183" s="652"/>
      <c r="W183" s="652"/>
      <c r="X183" s="652"/>
      <c r="AA183" s="652"/>
      <c r="AB183" s="652"/>
      <c r="AC183" s="652"/>
      <c r="AD183" s="652"/>
      <c r="AE183" s="652"/>
      <c r="AF183" s="652"/>
      <c r="AG183" s="652"/>
      <c r="AH183" s="652"/>
    </row>
    <row r="184" spans="1:35" s="623" customFormat="1" ht="14.25" thickTop="1" thickBot="1">
      <c r="B184" s="622" t="s">
        <v>552</v>
      </c>
      <c r="G184" s="2171">
        <f>SUM(G166:J181)</f>
        <v>0</v>
      </c>
      <c r="H184" s="2172"/>
      <c r="I184" s="2172"/>
      <c r="J184" s="2173"/>
      <c r="K184" s="2171">
        <f>+SUM(K166:N182)</f>
        <v>0</v>
      </c>
      <c r="L184" s="2172"/>
      <c r="M184" s="2172"/>
      <c r="N184" s="2173"/>
      <c r="Q184" s="2242">
        <f>+SUM(Q166:T182)</f>
        <v>0</v>
      </c>
      <c r="R184" s="2124"/>
      <c r="S184" s="2124"/>
      <c r="T184" s="2125"/>
      <c r="U184" s="2242">
        <f>+SUM(U166:X182)</f>
        <v>0</v>
      </c>
      <c r="V184" s="2124"/>
      <c r="W184" s="2124"/>
      <c r="X184" s="2125"/>
      <c r="AA184" s="2242">
        <f>+SUM(AA166:AD182)</f>
        <v>0</v>
      </c>
      <c r="AB184" s="2124"/>
      <c r="AC184" s="2124"/>
      <c r="AD184" s="2125"/>
      <c r="AE184" s="2242">
        <f>+SUM(AE166:AH182)</f>
        <v>0</v>
      </c>
      <c r="AF184" s="2124"/>
      <c r="AG184" s="2124"/>
      <c r="AH184" s="2125"/>
    </row>
    <row r="185" spans="1:35" s="623" customFormat="1" ht="13.5" thickTop="1"/>
    <row r="186" spans="1:35" s="623" customFormat="1">
      <c r="B186" s="627" t="s">
        <v>377</v>
      </c>
      <c r="C186" s="627" t="s">
        <v>553</v>
      </c>
      <c r="D186" s="628"/>
      <c r="E186" s="628"/>
      <c r="F186" s="628"/>
      <c r="G186" s="628"/>
      <c r="H186" s="628"/>
      <c r="I186" s="628"/>
      <c r="J186" s="628"/>
      <c r="K186" s="628"/>
      <c r="L186" s="628"/>
      <c r="M186" s="628"/>
      <c r="N186" s="628"/>
      <c r="O186" s="628"/>
      <c r="P186" s="628"/>
      <c r="Q186" s="628"/>
      <c r="R186" s="628"/>
      <c r="S186" s="628"/>
      <c r="T186" s="628"/>
      <c r="U186" s="628"/>
      <c r="V186" s="628"/>
      <c r="W186" s="628"/>
      <c r="X186" s="628"/>
      <c r="Y186" s="628"/>
      <c r="Z186" s="628"/>
      <c r="AA186" s="628"/>
      <c r="AB186" s="628"/>
      <c r="AC186" s="628"/>
      <c r="AD186" s="628"/>
      <c r="AE186" s="628"/>
      <c r="AF186" s="628"/>
      <c r="AG186" s="628"/>
      <c r="AH186" s="628"/>
      <c r="AI186" s="628"/>
    </row>
    <row r="187" spans="1:35" s="623" customFormat="1" ht="13.5" thickBot="1"/>
    <row r="188" spans="1:35" s="623" customFormat="1" ht="24" customHeight="1" thickTop="1" thickBot="1">
      <c r="A188" s="2179" t="s">
        <v>360</v>
      </c>
      <c r="B188" s="2222" t="s">
        <v>541</v>
      </c>
      <c r="C188" s="2223"/>
      <c r="D188" s="2224"/>
      <c r="E188" s="2222" t="s">
        <v>542</v>
      </c>
      <c r="F188" s="2228"/>
      <c r="G188" s="2231" t="s">
        <v>543</v>
      </c>
      <c r="H188" s="2232"/>
      <c r="I188" s="2232"/>
      <c r="J188" s="2232"/>
      <c r="K188" s="2232"/>
      <c r="L188" s="2232"/>
      <c r="M188" s="2232"/>
      <c r="N188" s="2233"/>
      <c r="O188" s="2222" t="s">
        <v>544</v>
      </c>
      <c r="P188" s="2228"/>
      <c r="Q188" s="2231" t="s">
        <v>545</v>
      </c>
      <c r="R188" s="2232"/>
      <c r="S188" s="2232"/>
      <c r="T188" s="2232"/>
      <c r="U188" s="2232"/>
      <c r="V188" s="2232"/>
      <c r="W188" s="2232"/>
      <c r="X188" s="2233"/>
      <c r="Y188" s="2222" t="s">
        <v>546</v>
      </c>
      <c r="Z188" s="2228"/>
      <c r="AA188" s="2222" t="s">
        <v>547</v>
      </c>
      <c r="AB188" s="2234"/>
      <c r="AC188" s="2234"/>
      <c r="AD188" s="2228"/>
      <c r="AE188" s="2222" t="s">
        <v>548</v>
      </c>
      <c r="AF188" s="2234"/>
      <c r="AG188" s="2234"/>
      <c r="AH188" s="2236"/>
    </row>
    <row r="189" spans="1:35" s="623" customFormat="1" ht="30" customHeight="1" thickTop="1" thickBot="1">
      <c r="A189" s="2221"/>
      <c r="B189" s="2225"/>
      <c r="C189" s="2226"/>
      <c r="D189" s="2227"/>
      <c r="E189" s="2229"/>
      <c r="F189" s="2230"/>
      <c r="G189" s="2231" t="s">
        <v>549</v>
      </c>
      <c r="H189" s="2232"/>
      <c r="I189" s="2232"/>
      <c r="J189" s="2233"/>
      <c r="K189" s="2231" t="s">
        <v>550</v>
      </c>
      <c r="L189" s="2232"/>
      <c r="M189" s="2232"/>
      <c r="N189" s="2233"/>
      <c r="O189" s="2229"/>
      <c r="P189" s="2230"/>
      <c r="Q189" s="2231" t="s">
        <v>549</v>
      </c>
      <c r="R189" s="2232"/>
      <c r="S189" s="2232"/>
      <c r="T189" s="2233"/>
      <c r="U189" s="2231" t="s">
        <v>550</v>
      </c>
      <c r="V189" s="2232"/>
      <c r="W189" s="2232"/>
      <c r="X189" s="2233"/>
      <c r="Y189" s="2229"/>
      <c r="Z189" s="2230"/>
      <c r="AA189" s="2229"/>
      <c r="AB189" s="2235"/>
      <c r="AC189" s="2235"/>
      <c r="AD189" s="2230"/>
      <c r="AE189" s="2229"/>
      <c r="AF189" s="2235"/>
      <c r="AG189" s="2235"/>
      <c r="AH189" s="2237"/>
    </row>
    <row r="190" spans="1:35" s="623" customFormat="1" ht="13.5" thickTop="1">
      <c r="A190" s="630"/>
      <c r="B190" s="634"/>
      <c r="C190" s="635"/>
      <c r="D190" s="636"/>
      <c r="E190" s="634"/>
      <c r="F190" s="636"/>
      <c r="G190" s="634"/>
      <c r="H190" s="635"/>
      <c r="I190" s="635"/>
      <c r="J190" s="636"/>
      <c r="K190" s="634"/>
      <c r="L190" s="635"/>
      <c r="M190" s="635"/>
      <c r="N190" s="636"/>
      <c r="O190" s="634"/>
      <c r="P190" s="636"/>
      <c r="Q190" s="634"/>
      <c r="R190" s="635"/>
      <c r="S190" s="635"/>
      <c r="T190" s="636"/>
      <c r="U190" s="634"/>
      <c r="V190" s="635"/>
      <c r="W190" s="635"/>
      <c r="X190" s="636"/>
      <c r="Y190" s="634"/>
      <c r="Z190" s="635"/>
      <c r="AA190" s="634"/>
      <c r="AB190" s="635"/>
      <c r="AC190" s="635"/>
      <c r="AD190" s="636"/>
      <c r="AE190" s="634"/>
      <c r="AF190" s="635"/>
      <c r="AG190" s="635"/>
      <c r="AH190" s="637"/>
    </row>
    <row r="191" spans="1:35">
      <c r="A191" s="638">
        <v>1</v>
      </c>
      <c r="B191" s="2175"/>
      <c r="C191" s="2175"/>
      <c r="D191" s="2175"/>
      <c r="E191" s="2174"/>
      <c r="F191" s="2174"/>
      <c r="G191" s="2176"/>
      <c r="H191" s="2176"/>
      <c r="I191" s="2176"/>
      <c r="J191" s="2176"/>
      <c r="K191" s="2176"/>
      <c r="L191" s="2176"/>
      <c r="M191" s="2176"/>
      <c r="N191" s="2176"/>
      <c r="O191" s="2177"/>
      <c r="P191" s="2177"/>
      <c r="Q191" s="2088">
        <f t="shared" ref="Q191:Q206" si="59">G191*O191</f>
        <v>0</v>
      </c>
      <c r="R191" s="2088"/>
      <c r="S191" s="2088"/>
      <c r="T191" s="2178"/>
      <c r="U191" s="2087">
        <f t="shared" ref="U191:U206" si="60">K191*O191</f>
        <v>0</v>
      </c>
      <c r="V191" s="2088"/>
      <c r="W191" s="2088"/>
      <c r="X191" s="2088"/>
      <c r="Y191" s="2194"/>
      <c r="Z191" s="2195"/>
      <c r="AA191" s="2197">
        <f>IF(Y191="",U191,Q191*Y191/100)</f>
        <v>0</v>
      </c>
      <c r="AB191" s="2154"/>
      <c r="AC191" s="2154"/>
      <c r="AD191" s="2155"/>
      <c r="AE191" s="2087">
        <f t="shared" ref="AE191:AE206" si="61">IF(AA191=0,U191,IF(U191&gt;(VALUE(AA191)),VALUE(AA191),U191))</f>
        <v>0</v>
      </c>
      <c r="AF191" s="2088"/>
      <c r="AG191" s="2088"/>
      <c r="AH191" s="2089"/>
    </row>
    <row r="192" spans="1:35">
      <c r="A192" s="1842">
        <f t="shared" ref="A192:A205" si="62">A191+1</f>
        <v>2</v>
      </c>
      <c r="B192" s="2175"/>
      <c r="C192" s="2175"/>
      <c r="D192" s="2175"/>
      <c r="E192" s="2174"/>
      <c r="F192" s="2174"/>
      <c r="G192" s="2176"/>
      <c r="H192" s="2176"/>
      <c r="I192" s="2176"/>
      <c r="J192" s="2176"/>
      <c r="K192" s="2176"/>
      <c r="L192" s="2176"/>
      <c r="M192" s="2176"/>
      <c r="N192" s="2176"/>
      <c r="O192" s="2177"/>
      <c r="P192" s="2177"/>
      <c r="Q192" s="2088">
        <f t="shared" si="59"/>
        <v>0</v>
      </c>
      <c r="R192" s="2088"/>
      <c r="S192" s="2088"/>
      <c r="T192" s="2178"/>
      <c r="U192" s="2087">
        <f t="shared" si="60"/>
        <v>0</v>
      </c>
      <c r="V192" s="2088"/>
      <c r="W192" s="2088"/>
      <c r="X192" s="2088"/>
      <c r="Y192" s="2194"/>
      <c r="Z192" s="2195"/>
      <c r="AA192" s="2197">
        <f t="shared" ref="AA192:AA206" si="63">IF(Y192="",U192,Q192*Y192/100)</f>
        <v>0</v>
      </c>
      <c r="AB192" s="2154"/>
      <c r="AC192" s="2154"/>
      <c r="AD192" s="2155"/>
      <c r="AE192" s="2087">
        <f t="shared" si="61"/>
        <v>0</v>
      </c>
      <c r="AF192" s="2088"/>
      <c r="AG192" s="2088"/>
      <c r="AH192" s="2089"/>
    </row>
    <row r="193" spans="1:34">
      <c r="A193" s="1842">
        <f t="shared" si="62"/>
        <v>3</v>
      </c>
      <c r="B193" s="2175"/>
      <c r="C193" s="2175"/>
      <c r="D193" s="2175"/>
      <c r="E193" s="2174"/>
      <c r="F193" s="2174"/>
      <c r="G193" s="2176"/>
      <c r="H193" s="2176"/>
      <c r="I193" s="2176"/>
      <c r="J193" s="2176"/>
      <c r="K193" s="2176"/>
      <c r="L193" s="2176"/>
      <c r="M193" s="2176"/>
      <c r="N193" s="2176"/>
      <c r="O193" s="2177"/>
      <c r="P193" s="2177"/>
      <c r="Q193" s="2088">
        <f t="shared" si="59"/>
        <v>0</v>
      </c>
      <c r="R193" s="2088"/>
      <c r="S193" s="2088"/>
      <c r="T193" s="2178"/>
      <c r="U193" s="2087">
        <f t="shared" si="60"/>
        <v>0</v>
      </c>
      <c r="V193" s="2088"/>
      <c r="W193" s="2088"/>
      <c r="X193" s="2088"/>
      <c r="Y193" s="2194"/>
      <c r="Z193" s="2195"/>
      <c r="AA193" s="2197">
        <f t="shared" si="63"/>
        <v>0</v>
      </c>
      <c r="AB193" s="2154"/>
      <c r="AC193" s="2154"/>
      <c r="AD193" s="2155"/>
      <c r="AE193" s="2087">
        <f t="shared" si="61"/>
        <v>0</v>
      </c>
      <c r="AF193" s="2088"/>
      <c r="AG193" s="2088"/>
      <c r="AH193" s="2089"/>
    </row>
    <row r="194" spans="1:34">
      <c r="A194" s="1842">
        <f t="shared" si="62"/>
        <v>4</v>
      </c>
      <c r="B194" s="2175"/>
      <c r="C194" s="2175"/>
      <c r="D194" s="2175"/>
      <c r="E194" s="2174"/>
      <c r="F194" s="2174"/>
      <c r="G194" s="2176"/>
      <c r="H194" s="2176"/>
      <c r="I194" s="2176"/>
      <c r="J194" s="2176"/>
      <c r="K194" s="2176"/>
      <c r="L194" s="2176"/>
      <c r="M194" s="2176"/>
      <c r="N194" s="2176"/>
      <c r="O194" s="2177"/>
      <c r="P194" s="2177"/>
      <c r="Q194" s="2088">
        <f t="shared" si="59"/>
        <v>0</v>
      </c>
      <c r="R194" s="2088"/>
      <c r="S194" s="2088"/>
      <c r="T194" s="2178"/>
      <c r="U194" s="2087">
        <f t="shared" si="60"/>
        <v>0</v>
      </c>
      <c r="V194" s="2088"/>
      <c r="W194" s="2088"/>
      <c r="X194" s="2088"/>
      <c r="Y194" s="2194"/>
      <c r="Z194" s="2195"/>
      <c r="AA194" s="2197">
        <f t="shared" si="63"/>
        <v>0</v>
      </c>
      <c r="AB194" s="2154"/>
      <c r="AC194" s="2154"/>
      <c r="AD194" s="2155"/>
      <c r="AE194" s="2087">
        <f t="shared" si="61"/>
        <v>0</v>
      </c>
      <c r="AF194" s="2088"/>
      <c r="AG194" s="2088"/>
      <c r="AH194" s="2089"/>
    </row>
    <row r="195" spans="1:34">
      <c r="A195" s="1842">
        <f t="shared" si="62"/>
        <v>5</v>
      </c>
      <c r="B195" s="2175"/>
      <c r="C195" s="2175"/>
      <c r="D195" s="2175"/>
      <c r="E195" s="2174"/>
      <c r="F195" s="2174"/>
      <c r="G195" s="2176"/>
      <c r="H195" s="2176"/>
      <c r="I195" s="2176"/>
      <c r="J195" s="2176"/>
      <c r="K195" s="2176"/>
      <c r="L195" s="2176"/>
      <c r="M195" s="2176"/>
      <c r="N195" s="2176"/>
      <c r="O195" s="2177"/>
      <c r="P195" s="2177"/>
      <c r="Q195" s="2088">
        <f t="shared" si="59"/>
        <v>0</v>
      </c>
      <c r="R195" s="2088"/>
      <c r="S195" s="2088"/>
      <c r="T195" s="2178"/>
      <c r="U195" s="2087">
        <f t="shared" si="60"/>
        <v>0</v>
      </c>
      <c r="V195" s="2088"/>
      <c r="W195" s="2088"/>
      <c r="X195" s="2088"/>
      <c r="Y195" s="2194"/>
      <c r="Z195" s="2195"/>
      <c r="AA195" s="2197">
        <f t="shared" si="63"/>
        <v>0</v>
      </c>
      <c r="AB195" s="2154"/>
      <c r="AC195" s="2154"/>
      <c r="AD195" s="2155"/>
      <c r="AE195" s="2087">
        <f t="shared" si="61"/>
        <v>0</v>
      </c>
      <c r="AF195" s="2088"/>
      <c r="AG195" s="2088"/>
      <c r="AH195" s="2089"/>
    </row>
    <row r="196" spans="1:34">
      <c r="A196" s="1842">
        <f t="shared" si="62"/>
        <v>6</v>
      </c>
      <c r="B196" s="2175"/>
      <c r="C196" s="2175"/>
      <c r="D196" s="2175"/>
      <c r="E196" s="2174"/>
      <c r="F196" s="2174"/>
      <c r="G196" s="2176"/>
      <c r="H196" s="2176"/>
      <c r="I196" s="2176"/>
      <c r="J196" s="2176"/>
      <c r="K196" s="2176"/>
      <c r="L196" s="2176"/>
      <c r="M196" s="2176"/>
      <c r="N196" s="2176"/>
      <c r="O196" s="2177"/>
      <c r="P196" s="2177"/>
      <c r="Q196" s="2088">
        <f t="shared" si="59"/>
        <v>0</v>
      </c>
      <c r="R196" s="2088"/>
      <c r="S196" s="2088"/>
      <c r="T196" s="2178"/>
      <c r="U196" s="2087">
        <f t="shared" si="60"/>
        <v>0</v>
      </c>
      <c r="V196" s="2088"/>
      <c r="W196" s="2088"/>
      <c r="X196" s="2088"/>
      <c r="Y196" s="2194"/>
      <c r="Z196" s="2195"/>
      <c r="AA196" s="2197">
        <f t="shared" si="63"/>
        <v>0</v>
      </c>
      <c r="AB196" s="2154"/>
      <c r="AC196" s="2154"/>
      <c r="AD196" s="2155"/>
      <c r="AE196" s="2087">
        <f t="shared" si="61"/>
        <v>0</v>
      </c>
      <c r="AF196" s="2088"/>
      <c r="AG196" s="2088"/>
      <c r="AH196" s="2089"/>
    </row>
    <row r="197" spans="1:34">
      <c r="A197" s="1842">
        <f t="shared" si="62"/>
        <v>7</v>
      </c>
      <c r="B197" s="2175"/>
      <c r="C197" s="2175"/>
      <c r="D197" s="2175"/>
      <c r="E197" s="2174"/>
      <c r="F197" s="2174"/>
      <c r="G197" s="2176"/>
      <c r="H197" s="2176"/>
      <c r="I197" s="2176"/>
      <c r="J197" s="2176"/>
      <c r="K197" s="2176"/>
      <c r="L197" s="2176"/>
      <c r="M197" s="2176"/>
      <c r="N197" s="2176"/>
      <c r="O197" s="2177"/>
      <c r="P197" s="2177"/>
      <c r="Q197" s="2088">
        <f t="shared" ref="Q197:Q201" si="64">G197*O197</f>
        <v>0</v>
      </c>
      <c r="R197" s="2088"/>
      <c r="S197" s="2088"/>
      <c r="T197" s="2178"/>
      <c r="U197" s="2087">
        <f t="shared" ref="U197:U201" si="65">K197*O197</f>
        <v>0</v>
      </c>
      <c r="V197" s="2088"/>
      <c r="W197" s="2088"/>
      <c r="X197" s="2088"/>
      <c r="Y197" s="2194"/>
      <c r="Z197" s="2195"/>
      <c r="AA197" s="2197">
        <f t="shared" ref="AA197:AA201" si="66">IF(Y197="",U197,Q197*Y197/100)</f>
        <v>0</v>
      </c>
      <c r="AB197" s="2154"/>
      <c r="AC197" s="2154"/>
      <c r="AD197" s="2155"/>
      <c r="AE197" s="2087">
        <f t="shared" ref="AE197:AE201" si="67">IF(AA197=0,U197,IF(U197&gt;(VALUE(AA197)),VALUE(AA197),U197))</f>
        <v>0</v>
      </c>
      <c r="AF197" s="2088"/>
      <c r="AG197" s="2088"/>
      <c r="AH197" s="2089"/>
    </row>
    <row r="198" spans="1:34">
      <c r="A198" s="1842">
        <f t="shared" si="62"/>
        <v>8</v>
      </c>
      <c r="B198" s="2175"/>
      <c r="C198" s="2175"/>
      <c r="D198" s="2175"/>
      <c r="E198" s="2174"/>
      <c r="F198" s="2174"/>
      <c r="G198" s="2176"/>
      <c r="H198" s="2176"/>
      <c r="I198" s="2176"/>
      <c r="J198" s="2176"/>
      <c r="K198" s="2176"/>
      <c r="L198" s="2176"/>
      <c r="M198" s="2176"/>
      <c r="N198" s="2176"/>
      <c r="O198" s="2177"/>
      <c r="P198" s="2177"/>
      <c r="Q198" s="2088">
        <f t="shared" si="64"/>
        <v>0</v>
      </c>
      <c r="R198" s="2088"/>
      <c r="S198" s="2088"/>
      <c r="T198" s="2178"/>
      <c r="U198" s="2087">
        <f t="shared" si="65"/>
        <v>0</v>
      </c>
      <c r="V198" s="2088"/>
      <c r="W198" s="2088"/>
      <c r="X198" s="2088"/>
      <c r="Y198" s="2194"/>
      <c r="Z198" s="2195"/>
      <c r="AA198" s="2197">
        <f t="shared" si="66"/>
        <v>0</v>
      </c>
      <c r="AB198" s="2154"/>
      <c r="AC198" s="2154"/>
      <c r="AD198" s="2155"/>
      <c r="AE198" s="2087">
        <f t="shared" si="67"/>
        <v>0</v>
      </c>
      <c r="AF198" s="2088"/>
      <c r="AG198" s="2088"/>
      <c r="AH198" s="2089"/>
    </row>
    <row r="199" spans="1:34">
      <c r="A199" s="1842">
        <f t="shared" si="62"/>
        <v>9</v>
      </c>
      <c r="B199" s="2175"/>
      <c r="C199" s="2175"/>
      <c r="D199" s="2175"/>
      <c r="E199" s="2174"/>
      <c r="F199" s="2174"/>
      <c r="G199" s="2176"/>
      <c r="H199" s="2176"/>
      <c r="I199" s="2176"/>
      <c r="J199" s="2176"/>
      <c r="K199" s="2176"/>
      <c r="L199" s="2176"/>
      <c r="M199" s="2176"/>
      <c r="N199" s="2176"/>
      <c r="O199" s="2177"/>
      <c r="P199" s="2177"/>
      <c r="Q199" s="2088">
        <f t="shared" si="64"/>
        <v>0</v>
      </c>
      <c r="R199" s="2088"/>
      <c r="S199" s="2088"/>
      <c r="T199" s="2178"/>
      <c r="U199" s="2087">
        <f t="shared" si="65"/>
        <v>0</v>
      </c>
      <c r="V199" s="2088"/>
      <c r="W199" s="2088"/>
      <c r="X199" s="2088"/>
      <c r="Y199" s="2194"/>
      <c r="Z199" s="2195"/>
      <c r="AA199" s="2197">
        <f t="shared" si="66"/>
        <v>0</v>
      </c>
      <c r="AB199" s="2154"/>
      <c r="AC199" s="2154"/>
      <c r="AD199" s="2155"/>
      <c r="AE199" s="2087">
        <f t="shared" si="67"/>
        <v>0</v>
      </c>
      <c r="AF199" s="2088"/>
      <c r="AG199" s="2088"/>
      <c r="AH199" s="2089"/>
    </row>
    <row r="200" spans="1:34">
      <c r="A200" s="1842">
        <f t="shared" si="62"/>
        <v>10</v>
      </c>
      <c r="B200" s="2175"/>
      <c r="C200" s="2175"/>
      <c r="D200" s="2175"/>
      <c r="E200" s="2174"/>
      <c r="F200" s="2174"/>
      <c r="G200" s="2176"/>
      <c r="H200" s="2176"/>
      <c r="I200" s="2176"/>
      <c r="J200" s="2176"/>
      <c r="K200" s="2176"/>
      <c r="L200" s="2176"/>
      <c r="M200" s="2176"/>
      <c r="N200" s="2176"/>
      <c r="O200" s="2177"/>
      <c r="P200" s="2177"/>
      <c r="Q200" s="2088">
        <f t="shared" si="64"/>
        <v>0</v>
      </c>
      <c r="R200" s="2088"/>
      <c r="S200" s="2088"/>
      <c r="T200" s="2178"/>
      <c r="U200" s="2087">
        <f t="shared" si="65"/>
        <v>0</v>
      </c>
      <c r="V200" s="2088"/>
      <c r="W200" s="2088"/>
      <c r="X200" s="2088"/>
      <c r="Y200" s="2194"/>
      <c r="Z200" s="2195"/>
      <c r="AA200" s="2197">
        <f t="shared" si="66"/>
        <v>0</v>
      </c>
      <c r="AB200" s="2154"/>
      <c r="AC200" s="2154"/>
      <c r="AD200" s="2155"/>
      <c r="AE200" s="2087">
        <f t="shared" si="67"/>
        <v>0</v>
      </c>
      <c r="AF200" s="2088"/>
      <c r="AG200" s="2088"/>
      <c r="AH200" s="2089"/>
    </row>
    <row r="201" spans="1:34">
      <c r="A201" s="1842">
        <f t="shared" si="62"/>
        <v>11</v>
      </c>
      <c r="B201" s="2175"/>
      <c r="C201" s="2175"/>
      <c r="D201" s="2175"/>
      <c r="E201" s="2174"/>
      <c r="F201" s="2174"/>
      <c r="G201" s="2176"/>
      <c r="H201" s="2176"/>
      <c r="I201" s="2176"/>
      <c r="J201" s="2176"/>
      <c r="K201" s="2176"/>
      <c r="L201" s="2176"/>
      <c r="M201" s="2176"/>
      <c r="N201" s="2176"/>
      <c r="O201" s="2177"/>
      <c r="P201" s="2177"/>
      <c r="Q201" s="2088">
        <f t="shared" si="64"/>
        <v>0</v>
      </c>
      <c r="R201" s="2088"/>
      <c r="S201" s="2088"/>
      <c r="T201" s="2178"/>
      <c r="U201" s="2087">
        <f t="shared" si="65"/>
        <v>0</v>
      </c>
      <c r="V201" s="2088"/>
      <c r="W201" s="2088"/>
      <c r="X201" s="2088"/>
      <c r="Y201" s="2194"/>
      <c r="Z201" s="2195"/>
      <c r="AA201" s="2197">
        <f t="shared" si="66"/>
        <v>0</v>
      </c>
      <c r="AB201" s="2154"/>
      <c r="AC201" s="2154"/>
      <c r="AD201" s="2155"/>
      <c r="AE201" s="2087">
        <f t="shared" si="67"/>
        <v>0</v>
      </c>
      <c r="AF201" s="2088"/>
      <c r="AG201" s="2088"/>
      <c r="AH201" s="2089"/>
    </row>
    <row r="202" spans="1:34">
      <c r="A202" s="1842">
        <f t="shared" si="62"/>
        <v>12</v>
      </c>
      <c r="B202" s="2175"/>
      <c r="C202" s="2175"/>
      <c r="D202" s="2175"/>
      <c r="E202" s="2174"/>
      <c r="F202" s="2174"/>
      <c r="G202" s="2176"/>
      <c r="H202" s="2176"/>
      <c r="I202" s="2176"/>
      <c r="J202" s="2176"/>
      <c r="K202" s="2176"/>
      <c r="L202" s="2176"/>
      <c r="M202" s="2176"/>
      <c r="N202" s="2176"/>
      <c r="O202" s="2177"/>
      <c r="P202" s="2177"/>
      <c r="Q202" s="2088">
        <f t="shared" ref="Q202:Q205" si="68">G202*O202</f>
        <v>0</v>
      </c>
      <c r="R202" s="2088"/>
      <c r="S202" s="2088"/>
      <c r="T202" s="2178"/>
      <c r="U202" s="2087">
        <f t="shared" ref="U202:U205" si="69">K202*O202</f>
        <v>0</v>
      </c>
      <c r="V202" s="2088"/>
      <c r="W202" s="2088"/>
      <c r="X202" s="2088"/>
      <c r="Y202" s="2194"/>
      <c r="Z202" s="2195"/>
      <c r="AA202" s="2197">
        <f t="shared" ref="AA202:AA205" si="70">IF(Y202="",U202,Q202*Y202/100)</f>
        <v>0</v>
      </c>
      <c r="AB202" s="2154"/>
      <c r="AC202" s="2154"/>
      <c r="AD202" s="2155"/>
      <c r="AE202" s="2087">
        <f t="shared" ref="AE202:AE205" si="71">IF(AA202=0,U202,IF(U202&gt;(VALUE(AA202)),VALUE(AA202),U202))</f>
        <v>0</v>
      </c>
      <c r="AF202" s="2088"/>
      <c r="AG202" s="2088"/>
      <c r="AH202" s="2089"/>
    </row>
    <row r="203" spans="1:34">
      <c r="A203" s="1842">
        <f t="shared" si="62"/>
        <v>13</v>
      </c>
      <c r="B203" s="2175"/>
      <c r="C203" s="2175"/>
      <c r="D203" s="2175"/>
      <c r="E203" s="2174"/>
      <c r="F203" s="2174"/>
      <c r="G203" s="2176"/>
      <c r="H203" s="2176"/>
      <c r="I203" s="2176"/>
      <c r="J203" s="2176"/>
      <c r="K203" s="2176"/>
      <c r="L203" s="2176"/>
      <c r="M203" s="2176"/>
      <c r="N203" s="2176"/>
      <c r="O203" s="2177"/>
      <c r="P203" s="2177"/>
      <c r="Q203" s="2088">
        <f t="shared" si="68"/>
        <v>0</v>
      </c>
      <c r="R203" s="2088"/>
      <c r="S203" s="2088"/>
      <c r="T203" s="2178"/>
      <c r="U203" s="2087">
        <f t="shared" si="69"/>
        <v>0</v>
      </c>
      <c r="V203" s="2088"/>
      <c r="W203" s="2088"/>
      <c r="X203" s="2088"/>
      <c r="Y203" s="2194"/>
      <c r="Z203" s="2195"/>
      <c r="AA203" s="2197">
        <f t="shared" si="70"/>
        <v>0</v>
      </c>
      <c r="AB203" s="2154"/>
      <c r="AC203" s="2154"/>
      <c r="AD203" s="2155"/>
      <c r="AE203" s="2087">
        <f t="shared" si="71"/>
        <v>0</v>
      </c>
      <c r="AF203" s="2088"/>
      <c r="AG203" s="2088"/>
      <c r="AH203" s="2089"/>
    </row>
    <row r="204" spans="1:34">
      <c r="A204" s="1842">
        <f t="shared" si="62"/>
        <v>14</v>
      </c>
      <c r="B204" s="2175"/>
      <c r="C204" s="2175"/>
      <c r="D204" s="2175"/>
      <c r="E204" s="2174"/>
      <c r="F204" s="2174"/>
      <c r="G204" s="2176"/>
      <c r="H204" s="2176"/>
      <c r="I204" s="2176"/>
      <c r="J204" s="2176"/>
      <c r="K204" s="2176"/>
      <c r="L204" s="2176"/>
      <c r="M204" s="2176"/>
      <c r="N204" s="2176"/>
      <c r="O204" s="2177"/>
      <c r="P204" s="2177"/>
      <c r="Q204" s="2088">
        <f t="shared" si="68"/>
        <v>0</v>
      </c>
      <c r="R204" s="2088"/>
      <c r="S204" s="2088"/>
      <c r="T204" s="2178"/>
      <c r="U204" s="2087">
        <f t="shared" si="69"/>
        <v>0</v>
      </c>
      <c r="V204" s="2088"/>
      <c r="W204" s="2088"/>
      <c r="X204" s="2088"/>
      <c r="Y204" s="2194"/>
      <c r="Z204" s="2195"/>
      <c r="AA204" s="2197">
        <f t="shared" si="70"/>
        <v>0</v>
      </c>
      <c r="AB204" s="2154"/>
      <c r="AC204" s="2154"/>
      <c r="AD204" s="2155"/>
      <c r="AE204" s="2087">
        <f t="shared" si="71"/>
        <v>0</v>
      </c>
      <c r="AF204" s="2088"/>
      <c r="AG204" s="2088"/>
      <c r="AH204" s="2089"/>
    </row>
    <row r="205" spans="1:34">
      <c r="A205" s="1842">
        <f t="shared" si="62"/>
        <v>15</v>
      </c>
      <c r="B205" s="2175"/>
      <c r="C205" s="2175"/>
      <c r="D205" s="2175"/>
      <c r="E205" s="2174"/>
      <c r="F205" s="2174"/>
      <c r="G205" s="2176"/>
      <c r="H205" s="2176"/>
      <c r="I205" s="2176"/>
      <c r="J205" s="2176"/>
      <c r="K205" s="2176"/>
      <c r="L205" s="2176"/>
      <c r="M205" s="2176"/>
      <c r="N205" s="2176"/>
      <c r="O205" s="2177"/>
      <c r="P205" s="2177"/>
      <c r="Q205" s="2088">
        <f t="shared" si="68"/>
        <v>0</v>
      </c>
      <c r="R205" s="2088"/>
      <c r="S205" s="2088"/>
      <c r="T205" s="2178"/>
      <c r="U205" s="2087">
        <f t="shared" si="69"/>
        <v>0</v>
      </c>
      <c r="V205" s="2088"/>
      <c r="W205" s="2088"/>
      <c r="X205" s="2088"/>
      <c r="Y205" s="2194"/>
      <c r="Z205" s="2195"/>
      <c r="AA205" s="2197">
        <f t="shared" si="70"/>
        <v>0</v>
      </c>
      <c r="AB205" s="2154"/>
      <c r="AC205" s="2154"/>
      <c r="AD205" s="2155"/>
      <c r="AE205" s="2087">
        <f t="shared" si="71"/>
        <v>0</v>
      </c>
      <c r="AF205" s="2088"/>
      <c r="AG205" s="2088"/>
      <c r="AH205" s="2089"/>
    </row>
    <row r="206" spans="1:34">
      <c r="A206" s="640" t="s">
        <v>551</v>
      </c>
      <c r="B206" s="2175"/>
      <c r="C206" s="2175"/>
      <c r="D206" s="2175"/>
      <c r="E206" s="2174"/>
      <c r="F206" s="2174"/>
      <c r="G206" s="2176"/>
      <c r="H206" s="2176"/>
      <c r="I206" s="2176"/>
      <c r="J206" s="2176"/>
      <c r="K206" s="2176"/>
      <c r="L206" s="2176"/>
      <c r="M206" s="2176"/>
      <c r="N206" s="2176"/>
      <c r="O206" s="2177"/>
      <c r="P206" s="2177"/>
      <c r="Q206" s="2088">
        <f t="shared" si="59"/>
        <v>0</v>
      </c>
      <c r="R206" s="2088"/>
      <c r="S206" s="2088"/>
      <c r="T206" s="2178"/>
      <c r="U206" s="2087">
        <f t="shared" si="60"/>
        <v>0</v>
      </c>
      <c r="V206" s="2088"/>
      <c r="W206" s="2088"/>
      <c r="X206" s="2088"/>
      <c r="Y206" s="2194"/>
      <c r="Z206" s="2195"/>
      <c r="AA206" s="2197">
        <f t="shared" si="63"/>
        <v>0</v>
      </c>
      <c r="AB206" s="2154"/>
      <c r="AC206" s="2154"/>
      <c r="AD206" s="2155"/>
      <c r="AE206" s="2087">
        <f t="shared" si="61"/>
        <v>0</v>
      </c>
      <c r="AF206" s="2088"/>
      <c r="AG206" s="2088"/>
      <c r="AH206" s="2089"/>
    </row>
    <row r="207" spans="1:34" s="623" customFormat="1" ht="13.5" thickBot="1">
      <c r="A207" s="641"/>
      <c r="B207" s="653"/>
      <c r="C207" s="654"/>
      <c r="D207" s="655"/>
      <c r="E207" s="653"/>
      <c r="F207" s="655"/>
      <c r="G207" s="653"/>
      <c r="H207" s="654"/>
      <c r="I207" s="654"/>
      <c r="J207" s="655"/>
      <c r="K207" s="653"/>
      <c r="L207" s="654"/>
      <c r="M207" s="654"/>
      <c r="N207" s="655"/>
      <c r="O207" s="653"/>
      <c r="P207" s="655"/>
      <c r="Q207" s="648"/>
      <c r="R207" s="649"/>
      <c r="S207" s="649"/>
      <c r="T207" s="650"/>
      <c r="U207" s="648"/>
      <c r="V207" s="649"/>
      <c r="W207" s="649"/>
      <c r="X207" s="650"/>
      <c r="Y207" s="653"/>
      <c r="Z207" s="654"/>
      <c r="AA207" s="648"/>
      <c r="AB207" s="649"/>
      <c r="AC207" s="649"/>
      <c r="AD207" s="650"/>
      <c r="AE207" s="648"/>
      <c r="AF207" s="649"/>
      <c r="AG207" s="649"/>
      <c r="AH207" s="651"/>
    </row>
    <row r="208" spans="1:34" s="623" customFormat="1" ht="14.25" thickTop="1" thickBot="1">
      <c r="AA208" s="652"/>
      <c r="AB208" s="652"/>
      <c r="AC208" s="652"/>
      <c r="AD208" s="652"/>
      <c r="AE208" s="652"/>
      <c r="AF208" s="652"/>
      <c r="AG208" s="652"/>
      <c r="AH208" s="652"/>
    </row>
    <row r="209" spans="1:35" s="623" customFormat="1" ht="14.25" thickTop="1" thickBot="1">
      <c r="B209" s="622" t="s">
        <v>552</v>
      </c>
      <c r="G209" s="2171">
        <f>+SUM(G191:J207)</f>
        <v>0</v>
      </c>
      <c r="H209" s="2172"/>
      <c r="I209" s="2172"/>
      <c r="J209" s="2173"/>
      <c r="K209" s="2171">
        <f>+SUM(K191:N207)</f>
        <v>0</v>
      </c>
      <c r="L209" s="2172"/>
      <c r="M209" s="2172"/>
      <c r="N209" s="2173"/>
      <c r="Q209" s="2242">
        <f>+SUM(Q191:T207)</f>
        <v>0</v>
      </c>
      <c r="R209" s="2124"/>
      <c r="S209" s="2124"/>
      <c r="T209" s="2125"/>
      <c r="U209" s="2242">
        <f>+SUM(U191:X207)</f>
        <v>0</v>
      </c>
      <c r="V209" s="2124"/>
      <c r="W209" s="2124"/>
      <c r="X209" s="2125"/>
      <c r="AA209" s="2242">
        <f>+SUM(AA191:AD207)</f>
        <v>0</v>
      </c>
      <c r="AB209" s="2124"/>
      <c r="AC209" s="2124"/>
      <c r="AD209" s="2125"/>
      <c r="AE209" s="2242">
        <f>+SUM(AE191:AH207)</f>
        <v>0</v>
      </c>
      <c r="AF209" s="2124"/>
      <c r="AG209" s="2124"/>
      <c r="AH209" s="2125"/>
    </row>
    <row r="210" spans="1:35" s="623" customFormat="1" ht="13.5" collapsed="1" thickTop="1"/>
    <row r="211" spans="1:35" s="623" customFormat="1">
      <c r="B211" s="627" t="s">
        <v>418</v>
      </c>
      <c r="C211" s="627" t="s">
        <v>554</v>
      </c>
      <c r="D211" s="628"/>
      <c r="E211" s="628"/>
      <c r="F211" s="628"/>
      <c r="G211" s="628"/>
      <c r="H211" s="628"/>
      <c r="I211" s="656"/>
      <c r="J211" s="656"/>
      <c r="K211" s="656"/>
      <c r="L211" s="656"/>
      <c r="M211" s="656"/>
      <c r="N211" s="656"/>
      <c r="O211" s="656"/>
      <c r="P211" s="656"/>
      <c r="Q211" s="628"/>
      <c r="R211" s="628"/>
      <c r="S211" s="628"/>
      <c r="T211" s="628"/>
      <c r="U211" s="628"/>
      <c r="V211" s="628"/>
      <c r="W211" s="628"/>
      <c r="X211" s="628"/>
      <c r="Y211" s="628"/>
      <c r="Z211" s="628"/>
      <c r="AA211" s="628"/>
      <c r="AB211" s="628"/>
      <c r="AC211" s="628"/>
      <c r="AD211" s="628"/>
      <c r="AE211" s="628"/>
      <c r="AF211" s="628"/>
      <c r="AG211" s="628"/>
      <c r="AH211" s="628"/>
      <c r="AI211" s="628"/>
    </row>
    <row r="212" spans="1:35" s="623" customFormat="1" ht="13.5" thickBot="1">
      <c r="M212" s="2193"/>
      <c r="N212" s="2193"/>
      <c r="O212" s="2193"/>
      <c r="P212" s="2193"/>
      <c r="Q212" s="2193"/>
      <c r="R212" s="2193"/>
      <c r="S212" s="2193"/>
      <c r="T212" s="2193"/>
      <c r="U212" s="2193"/>
      <c r="V212" s="2193"/>
      <c r="W212" s="2193"/>
      <c r="X212" s="2193"/>
    </row>
    <row r="213" spans="1:35" s="623" customFormat="1" ht="24" customHeight="1" thickTop="1" thickBot="1">
      <c r="A213" s="2179" t="s">
        <v>360</v>
      </c>
      <c r="B213" s="2222" t="s">
        <v>541</v>
      </c>
      <c r="C213" s="2223"/>
      <c r="D213" s="2224"/>
      <c r="E213" s="2222" t="s">
        <v>542</v>
      </c>
      <c r="F213" s="2228"/>
      <c r="G213" s="2231" t="s">
        <v>543</v>
      </c>
      <c r="H213" s="2232"/>
      <c r="I213" s="2232"/>
      <c r="J213" s="2232"/>
      <c r="K213" s="2232"/>
      <c r="L213" s="2232"/>
      <c r="M213" s="2232"/>
      <c r="N213" s="2233"/>
      <c r="O213" s="2222" t="s">
        <v>544</v>
      </c>
      <c r="P213" s="2228"/>
      <c r="Q213" s="2231" t="s">
        <v>545</v>
      </c>
      <c r="R213" s="2232"/>
      <c r="S213" s="2232"/>
      <c r="T213" s="2232"/>
      <c r="U213" s="2232"/>
      <c r="V213" s="2232"/>
      <c r="W213" s="2232"/>
      <c r="X213" s="2233"/>
      <c r="Y213" s="2222" t="s">
        <v>546</v>
      </c>
      <c r="Z213" s="2228"/>
      <c r="AA213" s="2222" t="s">
        <v>547</v>
      </c>
      <c r="AB213" s="2234"/>
      <c r="AC213" s="2234"/>
      <c r="AD213" s="2228"/>
      <c r="AE213" s="2222" t="s">
        <v>548</v>
      </c>
      <c r="AF213" s="2234"/>
      <c r="AG213" s="2234"/>
      <c r="AH213" s="2236"/>
    </row>
    <row r="214" spans="1:35" s="623" customFormat="1" ht="30" customHeight="1" thickTop="1" thickBot="1">
      <c r="A214" s="2221"/>
      <c r="B214" s="2225"/>
      <c r="C214" s="2226"/>
      <c r="D214" s="2227"/>
      <c r="E214" s="2229"/>
      <c r="F214" s="2230"/>
      <c r="G214" s="2231" t="s">
        <v>549</v>
      </c>
      <c r="H214" s="2232"/>
      <c r="I214" s="2232"/>
      <c r="J214" s="2233"/>
      <c r="K214" s="2231" t="s">
        <v>550</v>
      </c>
      <c r="L214" s="2232"/>
      <c r="M214" s="2232"/>
      <c r="N214" s="2233"/>
      <c r="O214" s="2229"/>
      <c r="P214" s="2230"/>
      <c r="Q214" s="2231" t="s">
        <v>549</v>
      </c>
      <c r="R214" s="2232"/>
      <c r="S214" s="2232"/>
      <c r="T214" s="2233"/>
      <c r="U214" s="2231" t="s">
        <v>550</v>
      </c>
      <c r="V214" s="2232"/>
      <c r="W214" s="2232"/>
      <c r="X214" s="2233"/>
      <c r="Y214" s="2229"/>
      <c r="Z214" s="2230"/>
      <c r="AA214" s="2229"/>
      <c r="AB214" s="2235"/>
      <c r="AC214" s="2235"/>
      <c r="AD214" s="2230"/>
      <c r="AE214" s="2229"/>
      <c r="AF214" s="2235"/>
      <c r="AG214" s="2235"/>
      <c r="AH214" s="2237"/>
    </row>
    <row r="215" spans="1:35" s="623" customFormat="1" ht="13.5" thickTop="1">
      <c r="A215" s="630"/>
      <c r="B215" s="634"/>
      <c r="C215" s="635"/>
      <c r="D215" s="636"/>
      <c r="E215" s="634"/>
      <c r="F215" s="636"/>
      <c r="G215" s="634"/>
      <c r="H215" s="635"/>
      <c r="I215" s="635"/>
      <c r="J215" s="636"/>
      <c r="K215" s="634"/>
      <c r="L215" s="635"/>
      <c r="M215" s="635"/>
      <c r="N215" s="636"/>
      <c r="O215" s="634"/>
      <c r="P215" s="636"/>
      <c r="Q215" s="634"/>
      <c r="R215" s="635"/>
      <c r="S215" s="635"/>
      <c r="T215" s="636"/>
      <c r="U215" s="634"/>
      <c r="V215" s="635"/>
      <c r="W215" s="635"/>
      <c r="X215" s="636"/>
      <c r="Y215" s="634"/>
      <c r="Z215" s="635"/>
      <c r="AA215" s="634"/>
      <c r="AB215" s="635"/>
      <c r="AC215" s="635"/>
      <c r="AD215" s="636"/>
      <c r="AE215" s="634"/>
      <c r="AF215" s="635"/>
      <c r="AG215" s="635"/>
      <c r="AH215" s="637"/>
    </row>
    <row r="216" spans="1:35">
      <c r="A216" s="657">
        <v>1</v>
      </c>
      <c r="B216" s="2175"/>
      <c r="C216" s="2175"/>
      <c r="D216" s="2175"/>
      <c r="E216" s="2174"/>
      <c r="F216" s="2174"/>
      <c r="G216" s="2176"/>
      <c r="H216" s="2176"/>
      <c r="I216" s="2176"/>
      <c r="J216" s="2176"/>
      <c r="K216" s="2176"/>
      <c r="L216" s="2176"/>
      <c r="M216" s="2176"/>
      <c r="N216" s="2176"/>
      <c r="O216" s="2177"/>
      <c r="P216" s="2177"/>
      <c r="Q216" s="2088">
        <f t="shared" ref="Q216:Q231" si="72">G216*O216</f>
        <v>0</v>
      </c>
      <c r="R216" s="2088"/>
      <c r="S216" s="2088"/>
      <c r="T216" s="2178"/>
      <c r="U216" s="2087">
        <f t="shared" ref="U216:U231" si="73">K216*O216</f>
        <v>0</v>
      </c>
      <c r="V216" s="2088"/>
      <c r="W216" s="2088"/>
      <c r="X216" s="2088"/>
      <c r="Y216" s="2194"/>
      <c r="Z216" s="2195"/>
      <c r="AA216" s="2196">
        <f t="shared" ref="AA216:AA231" si="74">IF(Y216="",U216,Q216*Y216/100)</f>
        <v>0</v>
      </c>
      <c r="AB216" s="2154"/>
      <c r="AC216" s="2154"/>
      <c r="AD216" s="2155"/>
      <c r="AE216" s="2087">
        <f t="shared" ref="AE216:AE231" si="75">IF(AA216=0,U216,IF(U216&gt;(VALUE(AA216)),VALUE(AA216),U216))</f>
        <v>0</v>
      </c>
      <c r="AF216" s="2088"/>
      <c r="AG216" s="2088"/>
      <c r="AH216" s="2089"/>
    </row>
    <row r="217" spans="1:35">
      <c r="A217" s="1845">
        <f t="shared" ref="A217:A230" si="76">A216+1</f>
        <v>2</v>
      </c>
      <c r="B217" s="2175"/>
      <c r="C217" s="2175"/>
      <c r="D217" s="2175"/>
      <c r="E217" s="2174"/>
      <c r="F217" s="2174"/>
      <c r="G217" s="2176"/>
      <c r="H217" s="2176"/>
      <c r="I217" s="2176"/>
      <c r="J217" s="2176"/>
      <c r="K217" s="2176"/>
      <c r="L217" s="2176"/>
      <c r="M217" s="2176"/>
      <c r="N217" s="2176"/>
      <c r="O217" s="2177"/>
      <c r="P217" s="2177"/>
      <c r="Q217" s="2087">
        <f t="shared" si="72"/>
        <v>0</v>
      </c>
      <c r="R217" s="2088"/>
      <c r="S217" s="2088"/>
      <c r="T217" s="2178"/>
      <c r="U217" s="2087">
        <f t="shared" si="73"/>
        <v>0</v>
      </c>
      <c r="V217" s="2088"/>
      <c r="W217" s="2088"/>
      <c r="X217" s="2178"/>
      <c r="Y217" s="2194"/>
      <c r="Z217" s="2195"/>
      <c r="AA217" s="2196">
        <f t="shared" si="74"/>
        <v>0</v>
      </c>
      <c r="AB217" s="2154"/>
      <c r="AC217" s="2154"/>
      <c r="AD217" s="2155"/>
      <c r="AE217" s="2087">
        <f t="shared" si="75"/>
        <v>0</v>
      </c>
      <c r="AF217" s="2088"/>
      <c r="AG217" s="2088"/>
      <c r="AH217" s="2089"/>
    </row>
    <row r="218" spans="1:35">
      <c r="A218" s="1845">
        <f t="shared" si="76"/>
        <v>3</v>
      </c>
      <c r="B218" s="2175"/>
      <c r="C218" s="2175"/>
      <c r="D218" s="2175"/>
      <c r="E218" s="2174"/>
      <c r="F218" s="2174"/>
      <c r="G218" s="2176"/>
      <c r="H218" s="2176"/>
      <c r="I218" s="2176"/>
      <c r="J218" s="2176"/>
      <c r="K218" s="2176"/>
      <c r="L218" s="2176"/>
      <c r="M218" s="2176"/>
      <c r="N218" s="2176"/>
      <c r="O218" s="2177"/>
      <c r="P218" s="2177"/>
      <c r="Q218" s="2087">
        <f t="shared" si="72"/>
        <v>0</v>
      </c>
      <c r="R218" s="2088"/>
      <c r="S218" s="2088"/>
      <c r="T218" s="2178"/>
      <c r="U218" s="2087">
        <f t="shared" si="73"/>
        <v>0</v>
      </c>
      <c r="V218" s="2088"/>
      <c r="W218" s="2088"/>
      <c r="X218" s="2178"/>
      <c r="Y218" s="2194"/>
      <c r="Z218" s="2195"/>
      <c r="AA218" s="2196">
        <f t="shared" si="74"/>
        <v>0</v>
      </c>
      <c r="AB218" s="2154"/>
      <c r="AC218" s="2154"/>
      <c r="AD218" s="2155"/>
      <c r="AE218" s="2087">
        <f t="shared" si="75"/>
        <v>0</v>
      </c>
      <c r="AF218" s="2088"/>
      <c r="AG218" s="2088"/>
      <c r="AH218" s="2089"/>
    </row>
    <row r="219" spans="1:35">
      <c r="A219" s="1845">
        <f t="shared" si="76"/>
        <v>4</v>
      </c>
      <c r="B219" s="2175"/>
      <c r="C219" s="2175"/>
      <c r="D219" s="2175"/>
      <c r="E219" s="2174"/>
      <c r="F219" s="2174"/>
      <c r="G219" s="2176"/>
      <c r="H219" s="2176"/>
      <c r="I219" s="2176"/>
      <c r="J219" s="2176"/>
      <c r="K219" s="2176"/>
      <c r="L219" s="2176"/>
      <c r="M219" s="2176"/>
      <c r="N219" s="2176"/>
      <c r="O219" s="2177"/>
      <c r="P219" s="2177"/>
      <c r="Q219" s="2087">
        <f t="shared" si="72"/>
        <v>0</v>
      </c>
      <c r="R219" s="2088"/>
      <c r="S219" s="2088"/>
      <c r="T219" s="2178"/>
      <c r="U219" s="2087">
        <f t="shared" si="73"/>
        <v>0</v>
      </c>
      <c r="V219" s="2088"/>
      <c r="W219" s="2088"/>
      <c r="X219" s="2178"/>
      <c r="Y219" s="2194"/>
      <c r="Z219" s="2195"/>
      <c r="AA219" s="2196">
        <f t="shared" si="74"/>
        <v>0</v>
      </c>
      <c r="AB219" s="2154"/>
      <c r="AC219" s="2154"/>
      <c r="AD219" s="2155"/>
      <c r="AE219" s="2087">
        <f t="shared" si="75"/>
        <v>0</v>
      </c>
      <c r="AF219" s="2088"/>
      <c r="AG219" s="2088"/>
      <c r="AH219" s="2089"/>
    </row>
    <row r="220" spans="1:35">
      <c r="A220" s="1845">
        <f t="shared" si="76"/>
        <v>5</v>
      </c>
      <c r="B220" s="2175"/>
      <c r="C220" s="2175"/>
      <c r="D220" s="2175"/>
      <c r="E220" s="2174"/>
      <c r="F220" s="2174"/>
      <c r="G220" s="2176"/>
      <c r="H220" s="2176"/>
      <c r="I220" s="2176"/>
      <c r="J220" s="2176"/>
      <c r="K220" s="2176"/>
      <c r="L220" s="2176"/>
      <c r="M220" s="2176"/>
      <c r="N220" s="2176"/>
      <c r="O220" s="2177"/>
      <c r="P220" s="2177"/>
      <c r="Q220" s="2087">
        <f t="shared" si="72"/>
        <v>0</v>
      </c>
      <c r="R220" s="2088"/>
      <c r="S220" s="2088"/>
      <c r="T220" s="2178"/>
      <c r="U220" s="2087">
        <f t="shared" si="73"/>
        <v>0</v>
      </c>
      <c r="V220" s="2088"/>
      <c r="W220" s="2088"/>
      <c r="X220" s="2178"/>
      <c r="Y220" s="2194"/>
      <c r="Z220" s="2195"/>
      <c r="AA220" s="2196">
        <f t="shared" si="74"/>
        <v>0</v>
      </c>
      <c r="AB220" s="2154"/>
      <c r="AC220" s="2154"/>
      <c r="AD220" s="2155"/>
      <c r="AE220" s="2087">
        <f t="shared" si="75"/>
        <v>0</v>
      </c>
      <c r="AF220" s="2088"/>
      <c r="AG220" s="2088"/>
      <c r="AH220" s="2089"/>
    </row>
    <row r="221" spans="1:35">
      <c r="A221" s="1845">
        <f t="shared" si="76"/>
        <v>6</v>
      </c>
      <c r="B221" s="2175"/>
      <c r="C221" s="2175"/>
      <c r="D221" s="2175"/>
      <c r="E221" s="2174"/>
      <c r="F221" s="2174"/>
      <c r="G221" s="2176"/>
      <c r="H221" s="2176"/>
      <c r="I221" s="2176"/>
      <c r="J221" s="2176"/>
      <c r="K221" s="2176"/>
      <c r="L221" s="2176"/>
      <c r="M221" s="2176"/>
      <c r="N221" s="2176"/>
      <c r="O221" s="2177"/>
      <c r="P221" s="2177"/>
      <c r="Q221" s="2087">
        <f t="shared" si="72"/>
        <v>0</v>
      </c>
      <c r="R221" s="2088"/>
      <c r="S221" s="2088"/>
      <c r="T221" s="2178"/>
      <c r="U221" s="2087">
        <f t="shared" si="73"/>
        <v>0</v>
      </c>
      <c r="V221" s="2088"/>
      <c r="W221" s="2088"/>
      <c r="X221" s="2178"/>
      <c r="Y221" s="2194"/>
      <c r="Z221" s="2195"/>
      <c r="AA221" s="2196">
        <f t="shared" si="74"/>
        <v>0</v>
      </c>
      <c r="AB221" s="2154"/>
      <c r="AC221" s="2154"/>
      <c r="AD221" s="2155"/>
      <c r="AE221" s="2087">
        <f t="shared" si="75"/>
        <v>0</v>
      </c>
      <c r="AF221" s="2088"/>
      <c r="AG221" s="2088"/>
      <c r="AH221" s="2089"/>
    </row>
    <row r="222" spans="1:35">
      <c r="A222" s="1845">
        <f t="shared" si="76"/>
        <v>7</v>
      </c>
      <c r="B222" s="2175"/>
      <c r="C222" s="2175"/>
      <c r="D222" s="2175"/>
      <c r="E222" s="2174"/>
      <c r="F222" s="2174"/>
      <c r="G222" s="2176"/>
      <c r="H222" s="2176"/>
      <c r="I222" s="2176"/>
      <c r="J222" s="2176"/>
      <c r="K222" s="2176"/>
      <c r="L222" s="2176"/>
      <c r="M222" s="2176"/>
      <c r="N222" s="2176"/>
      <c r="O222" s="2177"/>
      <c r="P222" s="2177"/>
      <c r="Q222" s="2087">
        <f t="shared" si="72"/>
        <v>0</v>
      </c>
      <c r="R222" s="2088"/>
      <c r="S222" s="2088"/>
      <c r="T222" s="2178"/>
      <c r="U222" s="2087">
        <f t="shared" si="73"/>
        <v>0</v>
      </c>
      <c r="V222" s="2088"/>
      <c r="W222" s="2088"/>
      <c r="X222" s="2178"/>
      <c r="Y222" s="2194"/>
      <c r="Z222" s="2195"/>
      <c r="AA222" s="2196">
        <f t="shared" si="74"/>
        <v>0</v>
      </c>
      <c r="AB222" s="2154"/>
      <c r="AC222" s="2154"/>
      <c r="AD222" s="2155"/>
      <c r="AE222" s="2087">
        <f t="shared" si="75"/>
        <v>0</v>
      </c>
      <c r="AF222" s="2088"/>
      <c r="AG222" s="2088"/>
      <c r="AH222" s="2089"/>
    </row>
    <row r="223" spans="1:35">
      <c r="A223" s="1845">
        <f t="shared" si="76"/>
        <v>8</v>
      </c>
      <c r="B223" s="2175"/>
      <c r="C223" s="2175"/>
      <c r="D223" s="2175"/>
      <c r="E223" s="2174"/>
      <c r="F223" s="2174"/>
      <c r="G223" s="2176"/>
      <c r="H223" s="2176"/>
      <c r="I223" s="2176"/>
      <c r="J223" s="2176"/>
      <c r="K223" s="2176"/>
      <c r="L223" s="2176"/>
      <c r="M223" s="2176"/>
      <c r="N223" s="2176"/>
      <c r="O223" s="2177"/>
      <c r="P223" s="2177"/>
      <c r="Q223" s="2087">
        <f t="shared" si="72"/>
        <v>0</v>
      </c>
      <c r="R223" s="2088"/>
      <c r="S223" s="2088"/>
      <c r="T223" s="2178"/>
      <c r="U223" s="2087">
        <f t="shared" si="73"/>
        <v>0</v>
      </c>
      <c r="V223" s="2088"/>
      <c r="W223" s="2088"/>
      <c r="X223" s="2178"/>
      <c r="Y223" s="2194"/>
      <c r="Z223" s="2195"/>
      <c r="AA223" s="2196">
        <f t="shared" si="74"/>
        <v>0</v>
      </c>
      <c r="AB223" s="2154"/>
      <c r="AC223" s="2154"/>
      <c r="AD223" s="2155"/>
      <c r="AE223" s="2087">
        <f t="shared" si="75"/>
        <v>0</v>
      </c>
      <c r="AF223" s="2088"/>
      <c r="AG223" s="2088"/>
      <c r="AH223" s="2089"/>
    </row>
    <row r="224" spans="1:35">
      <c r="A224" s="1845">
        <f t="shared" si="76"/>
        <v>9</v>
      </c>
      <c r="B224" s="2175"/>
      <c r="C224" s="2175"/>
      <c r="D224" s="2175"/>
      <c r="E224" s="2174"/>
      <c r="F224" s="2174"/>
      <c r="G224" s="2176"/>
      <c r="H224" s="2176"/>
      <c r="I224" s="2176"/>
      <c r="J224" s="2176"/>
      <c r="K224" s="2176"/>
      <c r="L224" s="2176"/>
      <c r="M224" s="2176"/>
      <c r="N224" s="2176"/>
      <c r="O224" s="2177"/>
      <c r="P224" s="2177"/>
      <c r="Q224" s="2087">
        <f t="shared" si="72"/>
        <v>0</v>
      </c>
      <c r="R224" s="2088"/>
      <c r="S224" s="2088"/>
      <c r="T224" s="2178"/>
      <c r="U224" s="2087">
        <f t="shared" si="73"/>
        <v>0</v>
      </c>
      <c r="V224" s="2088"/>
      <c r="W224" s="2088"/>
      <c r="X224" s="2178"/>
      <c r="Y224" s="2194"/>
      <c r="Z224" s="2195"/>
      <c r="AA224" s="2196">
        <f t="shared" si="74"/>
        <v>0</v>
      </c>
      <c r="AB224" s="2154"/>
      <c r="AC224" s="2154"/>
      <c r="AD224" s="2155"/>
      <c r="AE224" s="2087">
        <f t="shared" si="75"/>
        <v>0</v>
      </c>
      <c r="AF224" s="2088"/>
      <c r="AG224" s="2088"/>
      <c r="AH224" s="2089"/>
    </row>
    <row r="225" spans="1:35">
      <c r="A225" s="1845">
        <f t="shared" si="76"/>
        <v>10</v>
      </c>
      <c r="B225" s="2175"/>
      <c r="C225" s="2175"/>
      <c r="D225" s="2175"/>
      <c r="E225" s="2174"/>
      <c r="F225" s="2174"/>
      <c r="G225" s="2176"/>
      <c r="H225" s="2176"/>
      <c r="I225" s="2176"/>
      <c r="J225" s="2176"/>
      <c r="K225" s="2176"/>
      <c r="L225" s="2176"/>
      <c r="M225" s="2176"/>
      <c r="N225" s="2176"/>
      <c r="O225" s="2177"/>
      <c r="P225" s="2177"/>
      <c r="Q225" s="2087">
        <f t="shared" si="72"/>
        <v>0</v>
      </c>
      <c r="R225" s="2088"/>
      <c r="S225" s="2088"/>
      <c r="T225" s="2178"/>
      <c r="U225" s="2087">
        <f t="shared" si="73"/>
        <v>0</v>
      </c>
      <c r="V225" s="2088"/>
      <c r="W225" s="2088"/>
      <c r="X225" s="2178"/>
      <c r="Y225" s="2194"/>
      <c r="Z225" s="2195"/>
      <c r="AA225" s="2196">
        <f t="shared" si="74"/>
        <v>0</v>
      </c>
      <c r="AB225" s="2154"/>
      <c r="AC225" s="2154"/>
      <c r="AD225" s="2155"/>
      <c r="AE225" s="2087">
        <f t="shared" si="75"/>
        <v>0</v>
      </c>
      <c r="AF225" s="2088"/>
      <c r="AG225" s="2088"/>
      <c r="AH225" s="2089"/>
    </row>
    <row r="226" spans="1:35">
      <c r="A226" s="1845">
        <f t="shared" si="76"/>
        <v>11</v>
      </c>
      <c r="B226" s="2175"/>
      <c r="C226" s="2175"/>
      <c r="D226" s="2175"/>
      <c r="E226" s="2174"/>
      <c r="F226" s="2174"/>
      <c r="G226" s="2176"/>
      <c r="H226" s="2176"/>
      <c r="I226" s="2176"/>
      <c r="J226" s="2176"/>
      <c r="K226" s="2176"/>
      <c r="L226" s="2176"/>
      <c r="M226" s="2176"/>
      <c r="N226" s="2176"/>
      <c r="O226" s="2177"/>
      <c r="P226" s="2177"/>
      <c r="Q226" s="2087">
        <f t="shared" si="72"/>
        <v>0</v>
      </c>
      <c r="R226" s="2088"/>
      <c r="S226" s="2088"/>
      <c r="T226" s="2178"/>
      <c r="U226" s="2087">
        <f t="shared" si="73"/>
        <v>0</v>
      </c>
      <c r="V226" s="2088"/>
      <c r="W226" s="2088"/>
      <c r="X226" s="2178"/>
      <c r="Y226" s="2194"/>
      <c r="Z226" s="2195"/>
      <c r="AA226" s="2196">
        <f t="shared" si="74"/>
        <v>0</v>
      </c>
      <c r="AB226" s="2154"/>
      <c r="AC226" s="2154"/>
      <c r="AD226" s="2155"/>
      <c r="AE226" s="2087">
        <f t="shared" si="75"/>
        <v>0</v>
      </c>
      <c r="AF226" s="2088"/>
      <c r="AG226" s="2088"/>
      <c r="AH226" s="2089"/>
    </row>
    <row r="227" spans="1:35">
      <c r="A227" s="1845">
        <f t="shared" si="76"/>
        <v>12</v>
      </c>
      <c r="B227" s="2175"/>
      <c r="C227" s="2175"/>
      <c r="D227" s="2175"/>
      <c r="E227" s="2174"/>
      <c r="F227" s="2174"/>
      <c r="G227" s="2176"/>
      <c r="H227" s="2176"/>
      <c r="I227" s="2176"/>
      <c r="J227" s="2176"/>
      <c r="K227" s="2176"/>
      <c r="L227" s="2176"/>
      <c r="M227" s="2176"/>
      <c r="N227" s="2176"/>
      <c r="O227" s="2177"/>
      <c r="P227" s="2177"/>
      <c r="Q227" s="2087">
        <f t="shared" si="72"/>
        <v>0</v>
      </c>
      <c r="R227" s="2088"/>
      <c r="S227" s="2088"/>
      <c r="T227" s="2178"/>
      <c r="U227" s="2087">
        <f t="shared" si="73"/>
        <v>0</v>
      </c>
      <c r="V227" s="2088"/>
      <c r="W227" s="2088"/>
      <c r="X227" s="2178"/>
      <c r="Y227" s="2194"/>
      <c r="Z227" s="2195"/>
      <c r="AA227" s="2196">
        <f t="shared" si="74"/>
        <v>0</v>
      </c>
      <c r="AB227" s="2154"/>
      <c r="AC227" s="2154"/>
      <c r="AD227" s="2155"/>
      <c r="AE227" s="2087">
        <f t="shared" si="75"/>
        <v>0</v>
      </c>
      <c r="AF227" s="2088"/>
      <c r="AG227" s="2088"/>
      <c r="AH227" s="2089"/>
    </row>
    <row r="228" spans="1:35">
      <c r="A228" s="1845">
        <f t="shared" si="76"/>
        <v>13</v>
      </c>
      <c r="B228" s="2175"/>
      <c r="C228" s="2175"/>
      <c r="D228" s="2175"/>
      <c r="E228" s="2174"/>
      <c r="F228" s="2174"/>
      <c r="G228" s="2176"/>
      <c r="H228" s="2176"/>
      <c r="I228" s="2176"/>
      <c r="J228" s="2176"/>
      <c r="K228" s="2176"/>
      <c r="L228" s="2176"/>
      <c r="M228" s="2176"/>
      <c r="N228" s="2176"/>
      <c r="O228" s="2177"/>
      <c r="P228" s="2177"/>
      <c r="Q228" s="2087">
        <f t="shared" si="72"/>
        <v>0</v>
      </c>
      <c r="R228" s="2088"/>
      <c r="S228" s="2088"/>
      <c r="T228" s="2178"/>
      <c r="U228" s="2087">
        <f t="shared" si="73"/>
        <v>0</v>
      </c>
      <c r="V228" s="2088"/>
      <c r="W228" s="2088"/>
      <c r="X228" s="2178"/>
      <c r="Y228" s="2194"/>
      <c r="Z228" s="2195"/>
      <c r="AA228" s="2196">
        <f t="shared" si="74"/>
        <v>0</v>
      </c>
      <c r="AB228" s="2154"/>
      <c r="AC228" s="2154"/>
      <c r="AD228" s="2155"/>
      <c r="AE228" s="2087">
        <f t="shared" si="75"/>
        <v>0</v>
      </c>
      <c r="AF228" s="2088"/>
      <c r="AG228" s="2088"/>
      <c r="AH228" s="2089"/>
    </row>
    <row r="229" spans="1:35">
      <c r="A229" s="1845">
        <f t="shared" si="76"/>
        <v>14</v>
      </c>
      <c r="B229" s="2175"/>
      <c r="C229" s="2175"/>
      <c r="D229" s="2175"/>
      <c r="E229" s="2174"/>
      <c r="F229" s="2174"/>
      <c r="G229" s="2176"/>
      <c r="H229" s="2176"/>
      <c r="I229" s="2176"/>
      <c r="J229" s="2176"/>
      <c r="K229" s="2176"/>
      <c r="L229" s="2176"/>
      <c r="M229" s="2176"/>
      <c r="N229" s="2176"/>
      <c r="O229" s="2177"/>
      <c r="P229" s="2177"/>
      <c r="Q229" s="2087">
        <f t="shared" si="72"/>
        <v>0</v>
      </c>
      <c r="R229" s="2088"/>
      <c r="S229" s="2088"/>
      <c r="T229" s="2178"/>
      <c r="U229" s="2087">
        <f t="shared" si="73"/>
        <v>0</v>
      </c>
      <c r="V229" s="2088"/>
      <c r="W229" s="2088"/>
      <c r="X229" s="2178"/>
      <c r="Y229" s="2194"/>
      <c r="Z229" s="2195"/>
      <c r="AA229" s="2196">
        <f t="shared" si="74"/>
        <v>0</v>
      </c>
      <c r="AB229" s="2154"/>
      <c r="AC229" s="2154"/>
      <c r="AD229" s="2155"/>
      <c r="AE229" s="2087">
        <f t="shared" si="75"/>
        <v>0</v>
      </c>
      <c r="AF229" s="2088"/>
      <c r="AG229" s="2088"/>
      <c r="AH229" s="2089"/>
    </row>
    <row r="230" spans="1:35">
      <c r="A230" s="1845">
        <f t="shared" si="76"/>
        <v>15</v>
      </c>
      <c r="B230" s="2175"/>
      <c r="C230" s="2175"/>
      <c r="D230" s="2175"/>
      <c r="E230" s="2174"/>
      <c r="F230" s="2174"/>
      <c r="G230" s="2176"/>
      <c r="H230" s="2176"/>
      <c r="I230" s="2176"/>
      <c r="J230" s="2176"/>
      <c r="K230" s="2176"/>
      <c r="L230" s="2176"/>
      <c r="M230" s="2176"/>
      <c r="N230" s="2176"/>
      <c r="O230" s="2177"/>
      <c r="P230" s="2177"/>
      <c r="Q230" s="2087">
        <f t="shared" ref="Q230" si="77">G230*O230</f>
        <v>0</v>
      </c>
      <c r="R230" s="2088"/>
      <c r="S230" s="2088"/>
      <c r="T230" s="2178"/>
      <c r="U230" s="2087">
        <f t="shared" ref="U230" si="78">K230*O230</f>
        <v>0</v>
      </c>
      <c r="V230" s="2088"/>
      <c r="W230" s="2088"/>
      <c r="X230" s="2178"/>
      <c r="Y230" s="2194"/>
      <c r="Z230" s="2195"/>
      <c r="AA230" s="2196">
        <f t="shared" ref="AA230" si="79">IF(Y230="",U230,Q230*Y230/100)</f>
        <v>0</v>
      </c>
      <c r="AB230" s="2154"/>
      <c r="AC230" s="2154"/>
      <c r="AD230" s="2155"/>
      <c r="AE230" s="2087">
        <f t="shared" ref="AE230" si="80">IF(AA230=0,U230,IF(U230&gt;(VALUE(AA230)),VALUE(AA230),U230))</f>
        <v>0</v>
      </c>
      <c r="AF230" s="2088"/>
      <c r="AG230" s="2088"/>
      <c r="AH230" s="2089"/>
    </row>
    <row r="231" spans="1:35">
      <c r="A231" s="658" t="s">
        <v>551</v>
      </c>
      <c r="B231" s="2175"/>
      <c r="C231" s="2175"/>
      <c r="D231" s="2175"/>
      <c r="E231" s="2174"/>
      <c r="F231" s="2174"/>
      <c r="G231" s="2176"/>
      <c r="H231" s="2176"/>
      <c r="I231" s="2176"/>
      <c r="J231" s="2176"/>
      <c r="K231" s="2176"/>
      <c r="L231" s="2176"/>
      <c r="M231" s="2176"/>
      <c r="N231" s="2176"/>
      <c r="O231" s="2177"/>
      <c r="P231" s="2177"/>
      <c r="Q231" s="2087">
        <f t="shared" si="72"/>
        <v>0</v>
      </c>
      <c r="R231" s="2088"/>
      <c r="S231" s="2088"/>
      <c r="T231" s="2178"/>
      <c r="U231" s="2087">
        <f t="shared" si="73"/>
        <v>0</v>
      </c>
      <c r="V231" s="2088"/>
      <c r="W231" s="2088"/>
      <c r="X231" s="2178"/>
      <c r="Y231" s="2194"/>
      <c r="Z231" s="2195"/>
      <c r="AA231" s="2196">
        <f t="shared" si="74"/>
        <v>0</v>
      </c>
      <c r="AB231" s="2154"/>
      <c r="AC231" s="2154"/>
      <c r="AD231" s="2155"/>
      <c r="AE231" s="2087">
        <f t="shared" si="75"/>
        <v>0</v>
      </c>
      <c r="AF231" s="2088"/>
      <c r="AG231" s="2088"/>
      <c r="AH231" s="2089"/>
    </row>
    <row r="232" spans="1:35" s="623" customFormat="1" ht="13.5" thickBot="1">
      <c r="A232" s="641"/>
      <c r="B232" s="653"/>
      <c r="C232" s="654"/>
      <c r="D232" s="655"/>
      <c r="E232" s="653"/>
      <c r="F232" s="655"/>
      <c r="G232" s="653"/>
      <c r="H232" s="654"/>
      <c r="I232" s="654"/>
      <c r="J232" s="655"/>
      <c r="K232" s="653"/>
      <c r="L232" s="654"/>
      <c r="M232" s="654"/>
      <c r="N232" s="655"/>
      <c r="O232" s="653"/>
      <c r="P232" s="655"/>
      <c r="Q232" s="653"/>
      <c r="R232" s="654"/>
      <c r="S232" s="654"/>
      <c r="T232" s="655"/>
      <c r="U232" s="653"/>
      <c r="V232" s="654"/>
      <c r="W232" s="654"/>
      <c r="X232" s="655"/>
      <c r="Y232" s="653"/>
      <c r="Z232" s="654"/>
      <c r="AA232" s="653"/>
      <c r="AB232" s="654"/>
      <c r="AC232" s="654"/>
      <c r="AD232" s="655"/>
      <c r="AE232" s="653"/>
      <c r="AF232" s="654"/>
      <c r="AG232" s="654"/>
      <c r="AH232" s="659"/>
    </row>
    <row r="233" spans="1:35" s="623" customFormat="1" ht="14.25" thickTop="1" thickBot="1"/>
    <row r="234" spans="1:35" s="623" customFormat="1" ht="14.25" thickTop="1" thickBot="1">
      <c r="B234" s="622" t="s">
        <v>552</v>
      </c>
      <c r="G234" s="2171">
        <f>SUM(G216:J232)</f>
        <v>0</v>
      </c>
      <c r="H234" s="2172"/>
      <c r="I234" s="2172"/>
      <c r="J234" s="2173"/>
      <c r="K234" s="2171">
        <f>SUM(K216:N232)</f>
        <v>0</v>
      </c>
      <c r="L234" s="2172"/>
      <c r="M234" s="2172"/>
      <c r="N234" s="2173"/>
      <c r="Q234" s="2242">
        <f>SUM(Q216:T232)</f>
        <v>0</v>
      </c>
      <c r="R234" s="2124"/>
      <c r="S234" s="2124"/>
      <c r="T234" s="2125"/>
      <c r="U234" s="2242">
        <f>SUM(U216:X232)</f>
        <v>0</v>
      </c>
      <c r="V234" s="2124"/>
      <c r="W234" s="2124"/>
      <c r="X234" s="2125"/>
      <c r="AA234" s="2242">
        <f>SUM(AA216:AD232)</f>
        <v>0</v>
      </c>
      <c r="AB234" s="2124"/>
      <c r="AC234" s="2124"/>
      <c r="AD234" s="2125"/>
      <c r="AE234" s="2242">
        <f>SUM(AE216:AH232)</f>
        <v>0</v>
      </c>
      <c r="AF234" s="2124"/>
      <c r="AG234" s="2124"/>
      <c r="AH234" s="2125"/>
    </row>
    <row r="235" spans="1:35" s="623" customFormat="1" ht="13.5" collapsed="1" thickTop="1"/>
    <row r="236" spans="1:35" s="623" customFormat="1">
      <c r="B236" s="627" t="s">
        <v>421</v>
      </c>
      <c r="C236" s="627" t="s">
        <v>555</v>
      </c>
      <c r="D236" s="628"/>
      <c r="E236" s="628"/>
      <c r="F236" s="628"/>
      <c r="G236" s="628"/>
      <c r="H236" s="628"/>
      <c r="I236" s="628"/>
      <c r="J236" s="628"/>
      <c r="K236" s="628"/>
      <c r="L236" s="628"/>
      <c r="M236" s="628"/>
      <c r="N236" s="628"/>
      <c r="O236" s="628"/>
      <c r="P236" s="628"/>
      <c r="Q236" s="628"/>
      <c r="R236" s="628"/>
      <c r="S236" s="628"/>
      <c r="T236" s="628"/>
      <c r="U236" s="628"/>
      <c r="V236" s="628"/>
      <c r="W236" s="628"/>
      <c r="X236" s="628"/>
      <c r="Y236" s="628"/>
      <c r="Z236" s="628"/>
      <c r="AA236" s="628"/>
      <c r="AB236" s="628"/>
      <c r="AC236" s="628"/>
      <c r="AD236" s="628"/>
      <c r="AE236" s="628"/>
      <c r="AF236" s="628"/>
      <c r="AG236" s="628"/>
      <c r="AH236" s="628"/>
      <c r="AI236" s="628"/>
    </row>
    <row r="237" spans="1:35" ht="13.5" thickBot="1"/>
    <row r="238" spans="1:35" s="660" customFormat="1" ht="27.75" customHeight="1" thickTop="1">
      <c r="A238" s="2255" t="s">
        <v>360</v>
      </c>
      <c r="B238" s="2222" t="s">
        <v>556</v>
      </c>
      <c r="C238" s="2234"/>
      <c r="D238" s="2234"/>
      <c r="E238" s="2228"/>
      <c r="F238" s="2257" t="s">
        <v>542</v>
      </c>
      <c r="G238" s="2257"/>
      <c r="H238" s="2257" t="s">
        <v>557</v>
      </c>
      <c r="I238" s="2257"/>
      <c r="J238" s="2257"/>
      <c r="K238" s="2247" t="s">
        <v>543</v>
      </c>
      <c r="L238" s="2248"/>
      <c r="M238" s="2248"/>
      <c r="N238" s="2248"/>
      <c r="O238" s="2248"/>
      <c r="P238" s="2248"/>
      <c r="Q238" s="2248"/>
      <c r="R238" s="2248"/>
      <c r="S238" s="2248"/>
      <c r="T238" s="2248"/>
      <c r="U238" s="2248"/>
      <c r="V238" s="2248"/>
      <c r="W238" s="2248"/>
      <c r="X238" s="2248"/>
      <c r="Y238" s="2258"/>
      <c r="Z238" s="2222" t="s">
        <v>544</v>
      </c>
      <c r="AA238" s="2228"/>
      <c r="AB238" s="2247" t="s">
        <v>545</v>
      </c>
      <c r="AC238" s="2248"/>
      <c r="AD238" s="2248"/>
      <c r="AE238" s="2248"/>
      <c r="AF238" s="2248"/>
      <c r="AG238" s="2248"/>
      <c r="AH238" s="2248"/>
      <c r="AI238" s="2249"/>
    </row>
    <row r="239" spans="1:35" s="660" customFormat="1" ht="27.75" customHeight="1" thickBot="1">
      <c r="A239" s="2256"/>
      <c r="B239" s="2229"/>
      <c r="C239" s="2235"/>
      <c r="D239" s="2235"/>
      <c r="E239" s="2230"/>
      <c r="F239" s="2250"/>
      <c r="G239" s="2250"/>
      <c r="H239" s="2250"/>
      <c r="I239" s="2250"/>
      <c r="J239" s="2250"/>
      <c r="K239" s="2250" t="s">
        <v>558</v>
      </c>
      <c r="L239" s="2250"/>
      <c r="M239" s="2250"/>
      <c r="N239" s="2250"/>
      <c r="O239" s="2251" t="s">
        <v>559</v>
      </c>
      <c r="P239" s="2252"/>
      <c r="Q239" s="2253"/>
      <c r="R239" s="2250" t="s">
        <v>560</v>
      </c>
      <c r="S239" s="2250"/>
      <c r="T239" s="2250"/>
      <c r="U239" s="2250"/>
      <c r="V239" s="2250" t="s">
        <v>561</v>
      </c>
      <c r="W239" s="2250"/>
      <c r="X239" s="2250"/>
      <c r="Y239" s="2250"/>
      <c r="Z239" s="2229"/>
      <c r="AA239" s="2230"/>
      <c r="AB239" s="2251" t="s">
        <v>562</v>
      </c>
      <c r="AC239" s="2252"/>
      <c r="AD239" s="2252"/>
      <c r="AE239" s="2253"/>
      <c r="AF239" s="2250" t="s">
        <v>561</v>
      </c>
      <c r="AG239" s="2250"/>
      <c r="AH239" s="2250"/>
      <c r="AI239" s="2254"/>
    </row>
    <row r="240" spans="1:35" s="623" customFormat="1" ht="13.5" thickTop="1">
      <c r="A240" s="630"/>
      <c r="B240" s="634"/>
      <c r="C240" s="635"/>
      <c r="D240" s="635"/>
      <c r="E240" s="636"/>
      <c r="F240" s="2243"/>
      <c r="G240" s="2244"/>
      <c r="H240" s="2243"/>
      <c r="I240" s="2245"/>
      <c r="J240" s="2244"/>
      <c r="K240" s="2243"/>
      <c r="L240" s="2245"/>
      <c r="M240" s="2245"/>
      <c r="N240" s="2244"/>
      <c r="O240" s="634"/>
      <c r="P240" s="635"/>
      <c r="Q240" s="636"/>
      <c r="R240" s="2243"/>
      <c r="S240" s="2245"/>
      <c r="T240" s="2245"/>
      <c r="U240" s="2244"/>
      <c r="V240" s="2243"/>
      <c r="W240" s="2245"/>
      <c r="X240" s="2245"/>
      <c r="Y240" s="2244"/>
      <c r="Z240" s="661"/>
      <c r="AA240" s="661"/>
      <c r="AB240" s="634"/>
      <c r="AC240" s="635"/>
      <c r="AD240" s="635"/>
      <c r="AE240" s="636"/>
      <c r="AF240" s="2243"/>
      <c r="AG240" s="2245"/>
      <c r="AH240" s="2245"/>
      <c r="AI240" s="2246"/>
    </row>
    <row r="241" spans="1:35">
      <c r="A241" s="662">
        <v>1</v>
      </c>
      <c r="B241" s="2093"/>
      <c r="C241" s="2094"/>
      <c r="D241" s="2094"/>
      <c r="E241" s="2095"/>
      <c r="F241" s="2174"/>
      <c r="G241" s="2174"/>
      <c r="H241" s="2175"/>
      <c r="I241" s="2175"/>
      <c r="J241" s="2175"/>
      <c r="K241" s="2176"/>
      <c r="L241" s="2176"/>
      <c r="M241" s="2176"/>
      <c r="N241" s="2176"/>
      <c r="O241" s="2176"/>
      <c r="P241" s="2176"/>
      <c r="Q241" s="2176"/>
      <c r="R241" s="2153">
        <f t="shared" ref="R241:R256" si="81">K241-O241</f>
        <v>0</v>
      </c>
      <c r="S241" s="2154"/>
      <c r="T241" s="2154"/>
      <c r="U241" s="2155"/>
      <c r="V241" s="2101"/>
      <c r="W241" s="2102"/>
      <c r="X241" s="2102"/>
      <c r="Y241" s="2103"/>
      <c r="Z241" s="2177"/>
      <c r="AA241" s="2177"/>
      <c r="AB241" s="2087">
        <f t="shared" ref="AB241:AB256" si="82">R241*Z241</f>
        <v>0</v>
      </c>
      <c r="AC241" s="2088"/>
      <c r="AD241" s="2088"/>
      <c r="AE241" s="2178"/>
      <c r="AF241" s="2087">
        <f t="shared" ref="AF241:AF256" si="83">V241*Z241</f>
        <v>0</v>
      </c>
      <c r="AG241" s="2088"/>
      <c r="AH241" s="2088"/>
      <c r="AI241" s="2089"/>
    </row>
    <row r="242" spans="1:35">
      <c r="A242" s="1845">
        <f t="shared" ref="A242:A255" si="84">A241+1</f>
        <v>2</v>
      </c>
      <c r="B242" s="2093"/>
      <c r="C242" s="2094"/>
      <c r="D242" s="2094"/>
      <c r="E242" s="2095"/>
      <c r="F242" s="2174"/>
      <c r="G242" s="2174"/>
      <c r="H242" s="2175"/>
      <c r="I242" s="2175"/>
      <c r="J242" s="2175"/>
      <c r="K242" s="2176"/>
      <c r="L242" s="2176"/>
      <c r="M242" s="2176"/>
      <c r="N242" s="2176"/>
      <c r="O242" s="2176"/>
      <c r="P242" s="2176"/>
      <c r="Q242" s="2176"/>
      <c r="R242" s="2153">
        <f t="shared" si="81"/>
        <v>0</v>
      </c>
      <c r="S242" s="2154"/>
      <c r="T242" s="2154"/>
      <c r="U242" s="2155"/>
      <c r="V242" s="2101"/>
      <c r="W242" s="2102"/>
      <c r="X242" s="2102"/>
      <c r="Y242" s="2103"/>
      <c r="Z242" s="2177"/>
      <c r="AA242" s="2177"/>
      <c r="AB242" s="2087">
        <f t="shared" si="82"/>
        <v>0</v>
      </c>
      <c r="AC242" s="2088"/>
      <c r="AD242" s="2088"/>
      <c r="AE242" s="2178"/>
      <c r="AF242" s="2087">
        <f t="shared" si="83"/>
        <v>0</v>
      </c>
      <c r="AG242" s="2088"/>
      <c r="AH242" s="2088"/>
      <c r="AI242" s="2089"/>
    </row>
    <row r="243" spans="1:35">
      <c r="A243" s="1845">
        <f t="shared" si="84"/>
        <v>3</v>
      </c>
      <c r="B243" s="2093"/>
      <c r="C243" s="2094"/>
      <c r="D243" s="2094"/>
      <c r="E243" s="2095"/>
      <c r="F243" s="2174"/>
      <c r="G243" s="2174"/>
      <c r="H243" s="2175"/>
      <c r="I243" s="2175"/>
      <c r="J243" s="2175"/>
      <c r="K243" s="2176"/>
      <c r="L243" s="2176"/>
      <c r="M243" s="2176"/>
      <c r="N243" s="2176"/>
      <c r="O243" s="2176"/>
      <c r="P243" s="2176"/>
      <c r="Q243" s="2176"/>
      <c r="R243" s="2153">
        <f t="shared" si="81"/>
        <v>0</v>
      </c>
      <c r="S243" s="2154"/>
      <c r="T243" s="2154"/>
      <c r="U243" s="2155"/>
      <c r="V243" s="2101"/>
      <c r="W243" s="2102"/>
      <c r="X243" s="2102"/>
      <c r="Y243" s="2103"/>
      <c r="Z243" s="2177"/>
      <c r="AA243" s="2177"/>
      <c r="AB243" s="2087">
        <f t="shared" si="82"/>
        <v>0</v>
      </c>
      <c r="AC243" s="2088"/>
      <c r="AD243" s="2088"/>
      <c r="AE243" s="2178"/>
      <c r="AF243" s="2087">
        <f t="shared" si="83"/>
        <v>0</v>
      </c>
      <c r="AG243" s="2088"/>
      <c r="AH243" s="2088"/>
      <c r="AI243" s="2089"/>
    </row>
    <row r="244" spans="1:35">
      <c r="A244" s="1845">
        <f t="shared" si="84"/>
        <v>4</v>
      </c>
      <c r="B244" s="2093"/>
      <c r="C244" s="2094"/>
      <c r="D244" s="2094"/>
      <c r="E244" s="2095"/>
      <c r="F244" s="2174"/>
      <c r="G244" s="2174"/>
      <c r="H244" s="2175"/>
      <c r="I244" s="2175"/>
      <c r="J244" s="2175"/>
      <c r="K244" s="2176"/>
      <c r="L244" s="2176"/>
      <c r="M244" s="2176"/>
      <c r="N244" s="2176"/>
      <c r="O244" s="2176"/>
      <c r="P244" s="2176"/>
      <c r="Q244" s="2176"/>
      <c r="R244" s="2153">
        <f t="shared" si="81"/>
        <v>0</v>
      </c>
      <c r="S244" s="2154"/>
      <c r="T244" s="2154"/>
      <c r="U244" s="2155"/>
      <c r="V244" s="2101"/>
      <c r="W244" s="2102"/>
      <c r="X244" s="2102"/>
      <c r="Y244" s="2103"/>
      <c r="Z244" s="2177"/>
      <c r="AA244" s="2177"/>
      <c r="AB244" s="2087">
        <f t="shared" si="82"/>
        <v>0</v>
      </c>
      <c r="AC244" s="2088"/>
      <c r="AD244" s="2088"/>
      <c r="AE244" s="2178"/>
      <c r="AF244" s="2087">
        <f t="shared" si="83"/>
        <v>0</v>
      </c>
      <c r="AG244" s="2088"/>
      <c r="AH244" s="2088"/>
      <c r="AI244" s="2089"/>
    </row>
    <row r="245" spans="1:35">
      <c r="A245" s="1845">
        <f t="shared" si="84"/>
        <v>5</v>
      </c>
      <c r="B245" s="2093"/>
      <c r="C245" s="2094"/>
      <c r="D245" s="2094"/>
      <c r="E245" s="2095"/>
      <c r="F245" s="2174"/>
      <c r="G245" s="2174"/>
      <c r="H245" s="2175"/>
      <c r="I245" s="2175"/>
      <c r="J245" s="2175"/>
      <c r="K245" s="2176"/>
      <c r="L245" s="2176"/>
      <c r="M245" s="2176"/>
      <c r="N245" s="2176"/>
      <c r="O245" s="2176"/>
      <c r="P245" s="2176"/>
      <c r="Q245" s="2176"/>
      <c r="R245" s="2153">
        <f t="shared" si="81"/>
        <v>0</v>
      </c>
      <c r="S245" s="2154"/>
      <c r="T245" s="2154"/>
      <c r="U245" s="2155"/>
      <c r="V245" s="2101"/>
      <c r="W245" s="2102"/>
      <c r="X245" s="2102"/>
      <c r="Y245" s="2103"/>
      <c r="Z245" s="2177"/>
      <c r="AA245" s="2177"/>
      <c r="AB245" s="2087">
        <f t="shared" si="82"/>
        <v>0</v>
      </c>
      <c r="AC245" s="2088"/>
      <c r="AD245" s="2088"/>
      <c r="AE245" s="2178"/>
      <c r="AF245" s="2087">
        <f t="shared" si="83"/>
        <v>0</v>
      </c>
      <c r="AG245" s="2088"/>
      <c r="AH245" s="2088"/>
      <c r="AI245" s="2089"/>
    </row>
    <row r="246" spans="1:35">
      <c r="A246" s="1845">
        <f t="shared" si="84"/>
        <v>6</v>
      </c>
      <c r="B246" s="2093"/>
      <c r="C246" s="2094"/>
      <c r="D246" s="2094"/>
      <c r="E246" s="2095"/>
      <c r="F246" s="2174"/>
      <c r="G246" s="2174"/>
      <c r="H246" s="2175"/>
      <c r="I246" s="2175"/>
      <c r="J246" s="2175"/>
      <c r="K246" s="2176"/>
      <c r="L246" s="2176"/>
      <c r="M246" s="2176"/>
      <c r="N246" s="2176"/>
      <c r="O246" s="2176"/>
      <c r="P246" s="2176"/>
      <c r="Q246" s="2176"/>
      <c r="R246" s="2153">
        <f t="shared" si="81"/>
        <v>0</v>
      </c>
      <c r="S246" s="2154"/>
      <c r="T246" s="2154"/>
      <c r="U246" s="2155"/>
      <c r="V246" s="2101"/>
      <c r="W246" s="2102"/>
      <c r="X246" s="2102"/>
      <c r="Y246" s="2103"/>
      <c r="Z246" s="2177"/>
      <c r="AA246" s="2177"/>
      <c r="AB246" s="2087">
        <f t="shared" si="82"/>
        <v>0</v>
      </c>
      <c r="AC246" s="2088"/>
      <c r="AD246" s="2088"/>
      <c r="AE246" s="2178"/>
      <c r="AF246" s="2087">
        <f t="shared" si="83"/>
        <v>0</v>
      </c>
      <c r="AG246" s="2088"/>
      <c r="AH246" s="2088"/>
      <c r="AI246" s="2089"/>
    </row>
    <row r="247" spans="1:35">
      <c r="A247" s="1845">
        <f t="shared" si="84"/>
        <v>7</v>
      </c>
      <c r="B247" s="2093"/>
      <c r="C247" s="2094"/>
      <c r="D247" s="2094"/>
      <c r="E247" s="2095"/>
      <c r="F247" s="2174"/>
      <c r="G247" s="2174"/>
      <c r="H247" s="2175"/>
      <c r="I247" s="2175"/>
      <c r="J247" s="2175"/>
      <c r="K247" s="2176"/>
      <c r="L247" s="2176"/>
      <c r="M247" s="2176"/>
      <c r="N247" s="2176"/>
      <c r="O247" s="2176"/>
      <c r="P247" s="2176"/>
      <c r="Q247" s="2176"/>
      <c r="R247" s="2153">
        <f t="shared" ref="R247:R251" si="85">K247-O247</f>
        <v>0</v>
      </c>
      <c r="S247" s="2154"/>
      <c r="T247" s="2154"/>
      <c r="U247" s="2155"/>
      <c r="V247" s="2101"/>
      <c r="W247" s="2102"/>
      <c r="X247" s="2102"/>
      <c r="Y247" s="2103"/>
      <c r="Z247" s="2177"/>
      <c r="AA247" s="2177"/>
      <c r="AB247" s="2087">
        <f t="shared" ref="AB247:AB251" si="86">R247*Z247</f>
        <v>0</v>
      </c>
      <c r="AC247" s="2088"/>
      <c r="AD247" s="2088"/>
      <c r="AE247" s="2178"/>
      <c r="AF247" s="2087">
        <f t="shared" ref="AF247:AF251" si="87">V247*Z247</f>
        <v>0</v>
      </c>
      <c r="AG247" s="2088"/>
      <c r="AH247" s="2088"/>
      <c r="AI247" s="2089"/>
    </row>
    <row r="248" spans="1:35">
      <c r="A248" s="1845">
        <f t="shared" si="84"/>
        <v>8</v>
      </c>
      <c r="B248" s="2093"/>
      <c r="C248" s="2094"/>
      <c r="D248" s="2094"/>
      <c r="E248" s="2095"/>
      <c r="F248" s="2174"/>
      <c r="G248" s="2174"/>
      <c r="H248" s="2175"/>
      <c r="I248" s="2175"/>
      <c r="J248" s="2175"/>
      <c r="K248" s="2176"/>
      <c r="L248" s="2176"/>
      <c r="M248" s="2176"/>
      <c r="N248" s="2176"/>
      <c r="O248" s="2176"/>
      <c r="P248" s="2176"/>
      <c r="Q248" s="2176"/>
      <c r="R248" s="2153">
        <f t="shared" si="85"/>
        <v>0</v>
      </c>
      <c r="S248" s="2154"/>
      <c r="T248" s="2154"/>
      <c r="U248" s="2155"/>
      <c r="V248" s="2101"/>
      <c r="W248" s="2102"/>
      <c r="X248" s="2102"/>
      <c r="Y248" s="2103"/>
      <c r="Z248" s="2177"/>
      <c r="AA248" s="2177"/>
      <c r="AB248" s="2087">
        <f t="shared" si="86"/>
        <v>0</v>
      </c>
      <c r="AC248" s="2088"/>
      <c r="AD248" s="2088"/>
      <c r="AE248" s="2178"/>
      <c r="AF248" s="2087">
        <f t="shared" si="87"/>
        <v>0</v>
      </c>
      <c r="AG248" s="2088"/>
      <c r="AH248" s="2088"/>
      <c r="AI248" s="2089"/>
    </row>
    <row r="249" spans="1:35">
      <c r="A249" s="1845">
        <f t="shared" si="84"/>
        <v>9</v>
      </c>
      <c r="B249" s="2093"/>
      <c r="C249" s="2094"/>
      <c r="D249" s="2094"/>
      <c r="E249" s="2095"/>
      <c r="F249" s="2174"/>
      <c r="G249" s="2174"/>
      <c r="H249" s="2175"/>
      <c r="I249" s="2175"/>
      <c r="J249" s="2175"/>
      <c r="K249" s="2176"/>
      <c r="L249" s="2176"/>
      <c r="M249" s="2176"/>
      <c r="N249" s="2176"/>
      <c r="O249" s="2176"/>
      <c r="P249" s="2176"/>
      <c r="Q249" s="2176"/>
      <c r="R249" s="2153">
        <f t="shared" si="85"/>
        <v>0</v>
      </c>
      <c r="S249" s="2154"/>
      <c r="T249" s="2154"/>
      <c r="U249" s="2155"/>
      <c r="V249" s="2101"/>
      <c r="W249" s="2102"/>
      <c r="X249" s="2102"/>
      <c r="Y249" s="2103"/>
      <c r="Z249" s="2177"/>
      <c r="AA249" s="2177"/>
      <c r="AB249" s="2087">
        <f t="shared" si="86"/>
        <v>0</v>
      </c>
      <c r="AC249" s="2088"/>
      <c r="AD249" s="2088"/>
      <c r="AE249" s="2178"/>
      <c r="AF249" s="2087">
        <f t="shared" si="87"/>
        <v>0</v>
      </c>
      <c r="AG249" s="2088"/>
      <c r="AH249" s="2088"/>
      <c r="AI249" s="2089"/>
    </row>
    <row r="250" spans="1:35">
      <c r="A250" s="1845">
        <f t="shared" si="84"/>
        <v>10</v>
      </c>
      <c r="B250" s="2093"/>
      <c r="C250" s="2094"/>
      <c r="D250" s="2094"/>
      <c r="E250" s="2095"/>
      <c r="F250" s="2174"/>
      <c r="G250" s="2174"/>
      <c r="H250" s="2175"/>
      <c r="I250" s="2175"/>
      <c r="J250" s="2175"/>
      <c r="K250" s="2176"/>
      <c r="L250" s="2176"/>
      <c r="M250" s="2176"/>
      <c r="N250" s="2176"/>
      <c r="O250" s="2176"/>
      <c r="P250" s="2176"/>
      <c r="Q250" s="2176"/>
      <c r="R250" s="2153">
        <f t="shared" si="85"/>
        <v>0</v>
      </c>
      <c r="S250" s="2154"/>
      <c r="T250" s="2154"/>
      <c r="U250" s="2155"/>
      <c r="V250" s="2101"/>
      <c r="W250" s="2102"/>
      <c r="X250" s="2102"/>
      <c r="Y250" s="2103"/>
      <c r="Z250" s="2177"/>
      <c r="AA250" s="2177"/>
      <c r="AB250" s="2087">
        <f t="shared" si="86"/>
        <v>0</v>
      </c>
      <c r="AC250" s="2088"/>
      <c r="AD250" s="2088"/>
      <c r="AE250" s="2178"/>
      <c r="AF250" s="2087">
        <f t="shared" si="87"/>
        <v>0</v>
      </c>
      <c r="AG250" s="2088"/>
      <c r="AH250" s="2088"/>
      <c r="AI250" s="2089"/>
    </row>
    <row r="251" spans="1:35">
      <c r="A251" s="1845">
        <f t="shared" si="84"/>
        <v>11</v>
      </c>
      <c r="B251" s="2093"/>
      <c r="C251" s="2094"/>
      <c r="D251" s="2094"/>
      <c r="E251" s="2095"/>
      <c r="F251" s="2174"/>
      <c r="G251" s="2174"/>
      <c r="H251" s="2175"/>
      <c r="I251" s="2175"/>
      <c r="J251" s="2175"/>
      <c r="K251" s="2176"/>
      <c r="L251" s="2176"/>
      <c r="M251" s="2176"/>
      <c r="N251" s="2176"/>
      <c r="O251" s="2176"/>
      <c r="P251" s="2176"/>
      <c r="Q251" s="2176"/>
      <c r="R251" s="2153">
        <f t="shared" si="85"/>
        <v>0</v>
      </c>
      <c r="S251" s="2154"/>
      <c r="T251" s="2154"/>
      <c r="U251" s="2155"/>
      <c r="V251" s="2101"/>
      <c r="W251" s="2102"/>
      <c r="X251" s="2102"/>
      <c r="Y251" s="2103"/>
      <c r="Z251" s="2177"/>
      <c r="AA251" s="2177"/>
      <c r="AB251" s="2087">
        <f t="shared" si="86"/>
        <v>0</v>
      </c>
      <c r="AC251" s="2088"/>
      <c r="AD251" s="2088"/>
      <c r="AE251" s="2178"/>
      <c r="AF251" s="2087">
        <f t="shared" si="87"/>
        <v>0</v>
      </c>
      <c r="AG251" s="2088"/>
      <c r="AH251" s="2088"/>
      <c r="AI251" s="2089"/>
    </row>
    <row r="252" spans="1:35">
      <c r="A252" s="1845">
        <f t="shared" si="84"/>
        <v>12</v>
      </c>
      <c r="B252" s="2093"/>
      <c r="C252" s="2094"/>
      <c r="D252" s="2094"/>
      <c r="E252" s="2095"/>
      <c r="F252" s="2174"/>
      <c r="G252" s="2174"/>
      <c r="H252" s="2175"/>
      <c r="I252" s="2175"/>
      <c r="J252" s="2175"/>
      <c r="K252" s="2176"/>
      <c r="L252" s="2176"/>
      <c r="M252" s="2176"/>
      <c r="N252" s="2176"/>
      <c r="O252" s="2176"/>
      <c r="P252" s="2176"/>
      <c r="Q252" s="2176"/>
      <c r="R252" s="2153">
        <f t="shared" ref="R252:R255" si="88">K252-O252</f>
        <v>0</v>
      </c>
      <c r="S252" s="2154"/>
      <c r="T252" s="2154"/>
      <c r="U252" s="2155"/>
      <c r="V252" s="2101"/>
      <c r="W252" s="2102"/>
      <c r="X252" s="2102"/>
      <c r="Y252" s="2103"/>
      <c r="Z252" s="2177"/>
      <c r="AA252" s="2177"/>
      <c r="AB252" s="2087">
        <f t="shared" ref="AB252:AB255" si="89">R252*Z252</f>
        <v>0</v>
      </c>
      <c r="AC252" s="2088"/>
      <c r="AD252" s="2088"/>
      <c r="AE252" s="2178"/>
      <c r="AF252" s="2087">
        <f t="shared" ref="AF252:AF255" si="90">V252*Z252</f>
        <v>0</v>
      </c>
      <c r="AG252" s="2088"/>
      <c r="AH252" s="2088"/>
      <c r="AI252" s="2089"/>
    </row>
    <row r="253" spans="1:35">
      <c r="A253" s="1845">
        <f t="shared" si="84"/>
        <v>13</v>
      </c>
      <c r="B253" s="2093"/>
      <c r="C253" s="2094"/>
      <c r="D253" s="2094"/>
      <c r="E253" s="2095"/>
      <c r="F253" s="2174"/>
      <c r="G253" s="2174"/>
      <c r="H253" s="2175"/>
      <c r="I253" s="2175"/>
      <c r="J253" s="2175"/>
      <c r="K253" s="2176"/>
      <c r="L253" s="2176"/>
      <c r="M253" s="2176"/>
      <c r="N253" s="2176"/>
      <c r="O253" s="2176"/>
      <c r="P253" s="2176"/>
      <c r="Q253" s="2176"/>
      <c r="R253" s="2153">
        <f t="shared" si="88"/>
        <v>0</v>
      </c>
      <c r="S253" s="2154"/>
      <c r="T253" s="2154"/>
      <c r="U253" s="2155"/>
      <c r="V253" s="2101"/>
      <c r="W253" s="2102"/>
      <c r="X253" s="2102"/>
      <c r="Y253" s="2103"/>
      <c r="Z253" s="2177"/>
      <c r="AA253" s="2177"/>
      <c r="AB253" s="2087">
        <f t="shared" si="89"/>
        <v>0</v>
      </c>
      <c r="AC253" s="2088"/>
      <c r="AD253" s="2088"/>
      <c r="AE253" s="2178"/>
      <c r="AF253" s="2087">
        <f t="shared" si="90"/>
        <v>0</v>
      </c>
      <c r="AG253" s="2088"/>
      <c r="AH253" s="2088"/>
      <c r="AI253" s="2089"/>
    </row>
    <row r="254" spans="1:35">
      <c r="A254" s="1845">
        <f t="shared" si="84"/>
        <v>14</v>
      </c>
      <c r="B254" s="2093"/>
      <c r="C254" s="2094"/>
      <c r="D254" s="2094"/>
      <c r="E254" s="2095"/>
      <c r="F254" s="2174"/>
      <c r="G254" s="2174"/>
      <c r="H254" s="2175"/>
      <c r="I254" s="2175"/>
      <c r="J254" s="2175"/>
      <c r="K254" s="2176"/>
      <c r="L254" s="2176"/>
      <c r="M254" s="2176"/>
      <c r="N254" s="2176"/>
      <c r="O254" s="2176"/>
      <c r="P254" s="2176"/>
      <c r="Q254" s="2176"/>
      <c r="R254" s="2153">
        <f t="shared" si="88"/>
        <v>0</v>
      </c>
      <c r="S254" s="2154"/>
      <c r="T254" s="2154"/>
      <c r="U254" s="2155"/>
      <c r="V254" s="2101"/>
      <c r="W254" s="2102"/>
      <c r="X254" s="2102"/>
      <c r="Y254" s="2103"/>
      <c r="Z254" s="2177"/>
      <c r="AA254" s="2177"/>
      <c r="AB254" s="2087">
        <f t="shared" si="89"/>
        <v>0</v>
      </c>
      <c r="AC254" s="2088"/>
      <c r="AD254" s="2088"/>
      <c r="AE254" s="2178"/>
      <c r="AF254" s="2087">
        <f t="shared" si="90"/>
        <v>0</v>
      </c>
      <c r="AG254" s="2088"/>
      <c r="AH254" s="2088"/>
      <c r="AI254" s="2089"/>
    </row>
    <row r="255" spans="1:35">
      <c r="A255" s="1845">
        <f t="shared" si="84"/>
        <v>15</v>
      </c>
      <c r="B255" s="2093"/>
      <c r="C255" s="2094"/>
      <c r="D255" s="2094"/>
      <c r="E255" s="2095"/>
      <c r="F255" s="2174"/>
      <c r="G255" s="2174"/>
      <c r="H255" s="2175"/>
      <c r="I255" s="2175"/>
      <c r="J255" s="2175"/>
      <c r="K255" s="2176"/>
      <c r="L255" s="2176"/>
      <c r="M255" s="2176"/>
      <c r="N255" s="2176"/>
      <c r="O255" s="2176"/>
      <c r="P255" s="2176"/>
      <c r="Q255" s="2176"/>
      <c r="R255" s="2153">
        <f t="shared" si="88"/>
        <v>0</v>
      </c>
      <c r="S255" s="2154"/>
      <c r="T255" s="2154"/>
      <c r="U255" s="2155"/>
      <c r="V255" s="2101"/>
      <c r="W255" s="2102"/>
      <c r="X255" s="2102"/>
      <c r="Y255" s="2103"/>
      <c r="Z255" s="2177"/>
      <c r="AA255" s="2177"/>
      <c r="AB255" s="2087">
        <f t="shared" si="89"/>
        <v>0</v>
      </c>
      <c r="AC255" s="2088"/>
      <c r="AD255" s="2088"/>
      <c r="AE255" s="2178"/>
      <c r="AF255" s="2087">
        <f t="shared" si="90"/>
        <v>0</v>
      </c>
      <c r="AG255" s="2088"/>
      <c r="AH255" s="2088"/>
      <c r="AI255" s="2089"/>
    </row>
    <row r="256" spans="1:35" s="623" customFormat="1">
      <c r="A256" s="663" t="s">
        <v>551</v>
      </c>
      <c r="B256" s="2147"/>
      <c r="C256" s="2148"/>
      <c r="D256" s="2148"/>
      <c r="E256" s="2149"/>
      <c r="F256" s="2150"/>
      <c r="G256" s="2150"/>
      <c r="H256" s="2151"/>
      <c r="I256" s="2151"/>
      <c r="J256" s="2151"/>
      <c r="K256" s="2152"/>
      <c r="L256" s="2152"/>
      <c r="M256" s="2152"/>
      <c r="N256" s="2152"/>
      <c r="O256" s="2152"/>
      <c r="P256" s="2152"/>
      <c r="Q256" s="2152"/>
      <c r="R256" s="2153">
        <f t="shared" si="81"/>
        <v>0</v>
      </c>
      <c r="S256" s="2154"/>
      <c r="T256" s="2154"/>
      <c r="U256" s="2155"/>
      <c r="V256" s="2181"/>
      <c r="W256" s="2182"/>
      <c r="X256" s="2182"/>
      <c r="Y256" s="2183"/>
      <c r="Z256" s="2177"/>
      <c r="AA256" s="2177"/>
      <c r="AB256" s="2087">
        <f t="shared" si="82"/>
        <v>0</v>
      </c>
      <c r="AC256" s="2088"/>
      <c r="AD256" s="2088"/>
      <c r="AE256" s="2178"/>
      <c r="AF256" s="2087">
        <f t="shared" si="83"/>
        <v>0</v>
      </c>
      <c r="AG256" s="2088"/>
      <c r="AH256" s="2088"/>
      <c r="AI256" s="2089"/>
    </row>
    <row r="257" spans="1:35" s="623" customFormat="1" ht="13.5" thickBot="1">
      <c r="A257" s="641"/>
      <c r="B257" s="653"/>
      <c r="C257" s="654"/>
      <c r="D257" s="654"/>
      <c r="E257" s="655"/>
      <c r="F257" s="2184"/>
      <c r="G257" s="2185"/>
      <c r="H257" s="2184"/>
      <c r="I257" s="2186"/>
      <c r="J257" s="2185"/>
      <c r="K257" s="2184"/>
      <c r="L257" s="2186"/>
      <c r="M257" s="2186"/>
      <c r="N257" s="2185"/>
      <c r="O257" s="653"/>
      <c r="P257" s="654"/>
      <c r="Q257" s="655"/>
      <c r="R257" s="2187"/>
      <c r="S257" s="2188"/>
      <c r="T257" s="2188"/>
      <c r="U257" s="2189"/>
      <c r="V257" s="2187"/>
      <c r="W257" s="2188"/>
      <c r="X257" s="2188"/>
      <c r="Y257" s="2189"/>
      <c r="Z257" s="664"/>
      <c r="AA257" s="664"/>
      <c r="AB257" s="648"/>
      <c r="AC257" s="649"/>
      <c r="AD257" s="649"/>
      <c r="AE257" s="650"/>
      <c r="AF257" s="2190"/>
      <c r="AG257" s="2191"/>
      <c r="AH257" s="2191"/>
      <c r="AI257" s="2192"/>
    </row>
    <row r="258" spans="1:35" s="623" customFormat="1" ht="14.25" thickTop="1" thickBot="1">
      <c r="R258" s="665"/>
      <c r="S258" s="665"/>
      <c r="T258" s="665"/>
      <c r="U258" s="665"/>
      <c r="V258" s="665"/>
      <c r="W258" s="665"/>
      <c r="X258" s="665"/>
      <c r="Y258" s="665"/>
      <c r="AB258" s="652"/>
      <c r="AC258" s="652"/>
      <c r="AD258" s="652"/>
      <c r="AE258" s="652"/>
      <c r="AF258" s="652"/>
      <c r="AG258" s="652"/>
      <c r="AH258" s="652"/>
      <c r="AI258" s="652"/>
    </row>
    <row r="259" spans="1:35" s="623" customFormat="1" ht="14.25" thickTop="1" thickBot="1">
      <c r="B259" s="622" t="s">
        <v>552</v>
      </c>
      <c r="R259" s="2171">
        <f>SUM(R241:U257)</f>
        <v>0</v>
      </c>
      <c r="S259" s="2172"/>
      <c r="T259" s="2172"/>
      <c r="U259" s="2173"/>
      <c r="V259" s="2171">
        <f>SUM(V241:Y257)</f>
        <v>0</v>
      </c>
      <c r="W259" s="2172"/>
      <c r="X259" s="2172"/>
      <c r="Y259" s="2173"/>
      <c r="AB259" s="2198">
        <f>SUM(AB241:AE257)</f>
        <v>0</v>
      </c>
      <c r="AC259" s="2199"/>
      <c r="AD259" s="2199"/>
      <c r="AE259" s="2200"/>
      <c r="AF259" s="2198">
        <f>SUM(AF241:AI257)</f>
        <v>0</v>
      </c>
      <c r="AG259" s="2199"/>
      <c r="AH259" s="2199"/>
      <c r="AI259" s="2200"/>
    </row>
    <row r="260" spans="1:35" ht="13.5" collapsed="1" thickTop="1"/>
    <row r="261" spans="1:35" s="623" customFormat="1">
      <c r="B261" s="666" t="s">
        <v>429</v>
      </c>
      <c r="C261" s="627" t="s">
        <v>563</v>
      </c>
      <c r="D261" s="628"/>
      <c r="E261" s="628"/>
      <c r="F261" s="628"/>
      <c r="G261" s="628"/>
      <c r="H261" s="628"/>
      <c r="I261" s="628"/>
      <c r="J261" s="628"/>
      <c r="K261" s="628"/>
      <c r="L261" s="628"/>
      <c r="M261" s="628"/>
      <c r="N261" s="628"/>
      <c r="O261" s="628"/>
      <c r="P261" s="628"/>
      <c r="Q261" s="628"/>
      <c r="R261" s="628"/>
      <c r="S261" s="628"/>
      <c r="T261" s="628"/>
      <c r="U261" s="628"/>
      <c r="V261" s="628"/>
      <c r="W261" s="628"/>
      <c r="X261" s="628"/>
      <c r="Y261" s="628"/>
      <c r="Z261" s="628"/>
      <c r="AA261" s="628"/>
      <c r="AB261" s="628"/>
      <c r="AC261" s="628"/>
      <c r="AD261" s="628"/>
      <c r="AE261" s="628"/>
      <c r="AF261" s="628"/>
      <c r="AG261" s="628"/>
      <c r="AH261" s="628"/>
      <c r="AI261" s="628"/>
    </row>
    <row r="262" spans="1:35" s="623" customFormat="1" ht="13.5" thickBot="1">
      <c r="D262" s="623" t="s">
        <v>381</v>
      </c>
    </row>
    <row r="263" spans="1:35" s="622" customFormat="1" ht="13.5" thickTop="1">
      <c r="B263" s="2179" t="s">
        <v>360</v>
      </c>
      <c r="C263" s="2156" t="s">
        <v>564</v>
      </c>
      <c r="D263" s="2156"/>
      <c r="E263" s="2156"/>
      <c r="F263" s="2156"/>
      <c r="G263" s="2156"/>
      <c r="H263" s="2156"/>
      <c r="I263" s="2156"/>
      <c r="J263" s="2156"/>
      <c r="K263" s="2156" t="s">
        <v>542</v>
      </c>
      <c r="L263" s="2156"/>
      <c r="M263" s="2156" t="s">
        <v>565</v>
      </c>
      <c r="N263" s="2156"/>
      <c r="O263" s="2156"/>
      <c r="P263" s="2156" t="s">
        <v>543</v>
      </c>
      <c r="Q263" s="2156"/>
      <c r="R263" s="2156"/>
      <c r="S263" s="2156"/>
      <c r="T263" s="2156"/>
      <c r="U263" s="2156" t="s">
        <v>544</v>
      </c>
      <c r="V263" s="2156"/>
      <c r="W263" s="2156"/>
      <c r="X263" s="2156" t="s">
        <v>545</v>
      </c>
      <c r="Y263" s="2156"/>
      <c r="Z263" s="2156"/>
      <c r="AA263" s="2156"/>
      <c r="AB263" s="2157"/>
    </row>
    <row r="264" spans="1:35" s="622" customFormat="1" ht="13.5" thickBot="1">
      <c r="B264" s="2180"/>
      <c r="C264" s="2158"/>
      <c r="D264" s="2158"/>
      <c r="E264" s="2158"/>
      <c r="F264" s="2158"/>
      <c r="G264" s="2158"/>
      <c r="H264" s="2158"/>
      <c r="I264" s="2158"/>
      <c r="J264" s="2158"/>
      <c r="K264" s="2158"/>
      <c r="L264" s="2158"/>
      <c r="M264" s="2158"/>
      <c r="N264" s="2158"/>
      <c r="O264" s="2158"/>
      <c r="P264" s="2158"/>
      <c r="Q264" s="2158"/>
      <c r="R264" s="2158"/>
      <c r="S264" s="2158"/>
      <c r="T264" s="2158"/>
      <c r="U264" s="2158"/>
      <c r="V264" s="2158"/>
      <c r="W264" s="2158"/>
      <c r="X264" s="2158"/>
      <c r="Y264" s="2158"/>
      <c r="Z264" s="2158"/>
      <c r="AA264" s="2158"/>
      <c r="AB264" s="2159"/>
    </row>
    <row r="265" spans="1:35" s="623" customFormat="1" ht="13.5" thickTop="1"/>
    <row r="266" spans="1:35" s="623" customFormat="1">
      <c r="B266" s="622" t="s">
        <v>566</v>
      </c>
    </row>
    <row r="267" spans="1:35" ht="13.5" thickBot="1">
      <c r="X267" s="623"/>
      <c r="Y267" s="623"/>
      <c r="Z267" s="623"/>
      <c r="AA267" s="623"/>
      <c r="AB267" s="623"/>
    </row>
    <row r="268" spans="1:35" ht="13.5" thickTop="1">
      <c r="B268" s="667">
        <v>1</v>
      </c>
      <c r="C268" s="2160"/>
      <c r="D268" s="2161"/>
      <c r="E268" s="2161"/>
      <c r="F268" s="2161"/>
      <c r="G268" s="2161"/>
      <c r="H268" s="2161"/>
      <c r="I268" s="2161"/>
      <c r="J268" s="2162"/>
      <c r="K268" s="2163"/>
      <c r="L268" s="2164"/>
      <c r="M268" s="2165"/>
      <c r="N268" s="2166"/>
      <c r="O268" s="2167"/>
      <c r="P268" s="2168"/>
      <c r="Q268" s="2169"/>
      <c r="R268" s="2169"/>
      <c r="S268" s="2169"/>
      <c r="T268" s="2170"/>
      <c r="U268" s="2135"/>
      <c r="V268" s="2136"/>
      <c r="W268" s="2137"/>
      <c r="X268" s="2138">
        <f t="shared" ref="X268:X278" si="91">P268*U268</f>
        <v>0</v>
      </c>
      <c r="Y268" s="2139"/>
      <c r="Z268" s="2139"/>
      <c r="AA268" s="2139"/>
      <c r="AB268" s="2140"/>
    </row>
    <row r="269" spans="1:35">
      <c r="B269" s="662">
        <v>2</v>
      </c>
      <c r="C269" s="2093"/>
      <c r="D269" s="2094"/>
      <c r="E269" s="2094"/>
      <c r="F269" s="2094"/>
      <c r="G269" s="2094"/>
      <c r="H269" s="2094"/>
      <c r="I269" s="2094"/>
      <c r="J269" s="2095"/>
      <c r="K269" s="2096"/>
      <c r="L269" s="2097"/>
      <c r="M269" s="2098"/>
      <c r="N269" s="2099"/>
      <c r="O269" s="2100"/>
      <c r="P269" s="2101"/>
      <c r="Q269" s="2102"/>
      <c r="R269" s="2102"/>
      <c r="S269" s="2102"/>
      <c r="T269" s="2103"/>
      <c r="U269" s="2110"/>
      <c r="V269" s="2111"/>
      <c r="W269" s="2112"/>
      <c r="X269" s="2087">
        <f t="shared" si="91"/>
        <v>0</v>
      </c>
      <c r="Y269" s="2088"/>
      <c r="Z269" s="2088"/>
      <c r="AA269" s="2088"/>
      <c r="AB269" s="2089"/>
    </row>
    <row r="270" spans="1:35">
      <c r="B270" s="662">
        <v>3</v>
      </c>
      <c r="C270" s="2093"/>
      <c r="D270" s="2094"/>
      <c r="E270" s="2094"/>
      <c r="F270" s="2094"/>
      <c r="G270" s="2094"/>
      <c r="H270" s="2094"/>
      <c r="I270" s="2094"/>
      <c r="J270" s="2095"/>
      <c r="K270" s="2096"/>
      <c r="L270" s="2097"/>
      <c r="M270" s="2098"/>
      <c r="N270" s="2099"/>
      <c r="O270" s="2100"/>
      <c r="P270" s="2101"/>
      <c r="Q270" s="2102"/>
      <c r="R270" s="2102"/>
      <c r="S270" s="2102"/>
      <c r="T270" s="2103"/>
      <c r="U270" s="2110"/>
      <c r="V270" s="2111"/>
      <c r="W270" s="2112"/>
      <c r="X270" s="2087">
        <f t="shared" si="91"/>
        <v>0</v>
      </c>
      <c r="Y270" s="2088"/>
      <c r="Z270" s="2088"/>
      <c r="AA270" s="2088"/>
      <c r="AB270" s="2089"/>
    </row>
    <row r="271" spans="1:35">
      <c r="B271" s="662">
        <v>4</v>
      </c>
      <c r="C271" s="2093"/>
      <c r="D271" s="2094"/>
      <c r="E271" s="2094"/>
      <c r="F271" s="2094"/>
      <c r="G271" s="2094"/>
      <c r="H271" s="2094"/>
      <c r="I271" s="2094"/>
      <c r="J271" s="2095"/>
      <c r="K271" s="2096"/>
      <c r="L271" s="2097"/>
      <c r="M271" s="2098"/>
      <c r="N271" s="2099"/>
      <c r="O271" s="2100"/>
      <c r="P271" s="2101"/>
      <c r="Q271" s="2102"/>
      <c r="R271" s="2102"/>
      <c r="S271" s="2102"/>
      <c r="T271" s="2103"/>
      <c r="U271" s="2110"/>
      <c r="V271" s="2111"/>
      <c r="W271" s="2112"/>
      <c r="X271" s="2087">
        <f t="shared" si="91"/>
        <v>0</v>
      </c>
      <c r="Y271" s="2088"/>
      <c r="Z271" s="2088"/>
      <c r="AA271" s="2088"/>
      <c r="AB271" s="2089"/>
    </row>
    <row r="272" spans="1:35">
      <c r="B272" s="662">
        <v>5</v>
      </c>
      <c r="C272" s="2093"/>
      <c r="D272" s="2094"/>
      <c r="E272" s="2094"/>
      <c r="F272" s="2094"/>
      <c r="G272" s="2094"/>
      <c r="H272" s="2094"/>
      <c r="I272" s="2094"/>
      <c r="J272" s="2095"/>
      <c r="K272" s="2096"/>
      <c r="L272" s="2097"/>
      <c r="M272" s="2098"/>
      <c r="N272" s="2099"/>
      <c r="O272" s="2100"/>
      <c r="P272" s="2101"/>
      <c r="Q272" s="2102"/>
      <c r="R272" s="2102"/>
      <c r="S272" s="2102"/>
      <c r="T272" s="2103"/>
      <c r="U272" s="2110"/>
      <c r="V272" s="2111"/>
      <c r="W272" s="2112"/>
      <c r="X272" s="2087">
        <f t="shared" si="91"/>
        <v>0</v>
      </c>
      <c r="Y272" s="2088"/>
      <c r="Z272" s="2088"/>
      <c r="AA272" s="2088"/>
      <c r="AB272" s="2089"/>
    </row>
    <row r="273" spans="1:29">
      <c r="B273" s="662">
        <v>6</v>
      </c>
      <c r="C273" s="2093"/>
      <c r="D273" s="2094"/>
      <c r="E273" s="2094"/>
      <c r="F273" s="2094"/>
      <c r="G273" s="2094"/>
      <c r="H273" s="2094"/>
      <c r="I273" s="2094"/>
      <c r="J273" s="2095"/>
      <c r="K273" s="2096"/>
      <c r="L273" s="2097"/>
      <c r="M273" s="2098"/>
      <c r="N273" s="2099"/>
      <c r="O273" s="2100"/>
      <c r="P273" s="2101"/>
      <c r="Q273" s="2102"/>
      <c r="R273" s="2102"/>
      <c r="S273" s="2102"/>
      <c r="T273" s="2103"/>
      <c r="U273" s="2110"/>
      <c r="V273" s="2111"/>
      <c r="W273" s="2112"/>
      <c r="X273" s="2087">
        <f t="shared" si="91"/>
        <v>0</v>
      </c>
      <c r="Y273" s="2088"/>
      <c r="Z273" s="2088"/>
      <c r="AA273" s="2088"/>
      <c r="AB273" s="2089"/>
    </row>
    <row r="274" spans="1:29">
      <c r="B274" s="662">
        <v>7</v>
      </c>
      <c r="C274" s="2093"/>
      <c r="D274" s="2094"/>
      <c r="E274" s="2094"/>
      <c r="F274" s="2094"/>
      <c r="G274" s="2094"/>
      <c r="H274" s="2094"/>
      <c r="I274" s="2094"/>
      <c r="J274" s="2095"/>
      <c r="K274" s="2096"/>
      <c r="L274" s="2097"/>
      <c r="M274" s="2098"/>
      <c r="N274" s="2099"/>
      <c r="O274" s="2100"/>
      <c r="P274" s="2101"/>
      <c r="Q274" s="2102"/>
      <c r="R274" s="2102"/>
      <c r="S274" s="2102"/>
      <c r="T274" s="2103"/>
      <c r="U274" s="2110"/>
      <c r="V274" s="2111"/>
      <c r="W274" s="2112"/>
      <c r="X274" s="2087">
        <f t="shared" si="91"/>
        <v>0</v>
      </c>
      <c r="Y274" s="2088"/>
      <c r="Z274" s="2088"/>
      <c r="AA274" s="2088"/>
      <c r="AB274" s="2089"/>
    </row>
    <row r="275" spans="1:29">
      <c r="B275" s="662">
        <v>8</v>
      </c>
      <c r="C275" s="2093"/>
      <c r="D275" s="2094"/>
      <c r="E275" s="2094"/>
      <c r="F275" s="2094"/>
      <c r="G275" s="2094"/>
      <c r="H275" s="2094"/>
      <c r="I275" s="2094"/>
      <c r="J275" s="2095"/>
      <c r="K275" s="2096"/>
      <c r="L275" s="2097"/>
      <c r="M275" s="2098"/>
      <c r="N275" s="2099"/>
      <c r="O275" s="2100"/>
      <c r="P275" s="2101"/>
      <c r="Q275" s="2102"/>
      <c r="R275" s="2102"/>
      <c r="S275" s="2102"/>
      <c r="T275" s="2103"/>
      <c r="U275" s="2110"/>
      <c r="V275" s="2111"/>
      <c r="W275" s="2112"/>
      <c r="X275" s="2087">
        <f t="shared" si="91"/>
        <v>0</v>
      </c>
      <c r="Y275" s="2088"/>
      <c r="Z275" s="2088"/>
      <c r="AA275" s="2088"/>
      <c r="AB275" s="2089"/>
    </row>
    <row r="276" spans="1:29">
      <c r="B276" s="662">
        <v>9</v>
      </c>
      <c r="C276" s="2093"/>
      <c r="D276" s="2094"/>
      <c r="E276" s="2094"/>
      <c r="F276" s="2094"/>
      <c r="G276" s="2094"/>
      <c r="H276" s="2094"/>
      <c r="I276" s="2094"/>
      <c r="J276" s="2095"/>
      <c r="K276" s="2096"/>
      <c r="L276" s="2097"/>
      <c r="M276" s="2098"/>
      <c r="N276" s="2099"/>
      <c r="O276" s="2100"/>
      <c r="P276" s="2101"/>
      <c r="Q276" s="2102"/>
      <c r="R276" s="2102"/>
      <c r="S276" s="2102"/>
      <c r="T276" s="2103"/>
      <c r="U276" s="2110"/>
      <c r="V276" s="2111"/>
      <c r="W276" s="2112"/>
      <c r="X276" s="2087">
        <f t="shared" si="91"/>
        <v>0</v>
      </c>
      <c r="Y276" s="2088"/>
      <c r="Z276" s="2088"/>
      <c r="AA276" s="2088"/>
      <c r="AB276" s="2089"/>
    </row>
    <row r="277" spans="1:29">
      <c r="B277" s="662">
        <v>10</v>
      </c>
      <c r="C277" s="2093"/>
      <c r="D277" s="2094"/>
      <c r="E277" s="2094"/>
      <c r="F277" s="2094"/>
      <c r="G277" s="2094"/>
      <c r="H277" s="2094"/>
      <c r="I277" s="2094"/>
      <c r="J277" s="2095"/>
      <c r="K277" s="2096"/>
      <c r="L277" s="2097"/>
      <c r="M277" s="2098"/>
      <c r="N277" s="2099"/>
      <c r="O277" s="2100"/>
      <c r="P277" s="2101"/>
      <c r="Q277" s="2102"/>
      <c r="R277" s="2102"/>
      <c r="S277" s="2102"/>
      <c r="T277" s="2103"/>
      <c r="U277" s="2110"/>
      <c r="V277" s="2111"/>
      <c r="W277" s="2112"/>
      <c r="X277" s="2087">
        <f t="shared" si="91"/>
        <v>0</v>
      </c>
      <c r="Y277" s="2088"/>
      <c r="Z277" s="2088"/>
      <c r="AA277" s="2088"/>
      <c r="AB277" s="2089"/>
    </row>
    <row r="278" spans="1:29" ht="13.5" thickBot="1">
      <c r="B278" s="668" t="s">
        <v>551</v>
      </c>
      <c r="C278" s="2126"/>
      <c r="D278" s="2127"/>
      <c r="E278" s="2127"/>
      <c r="F278" s="2127"/>
      <c r="G278" s="2127"/>
      <c r="H278" s="2127"/>
      <c r="I278" s="2127"/>
      <c r="J278" s="2128"/>
      <c r="K278" s="2129"/>
      <c r="L278" s="2130"/>
      <c r="M278" s="2090"/>
      <c r="N278" s="2091"/>
      <c r="O278" s="2092"/>
      <c r="P278" s="2107"/>
      <c r="Q278" s="2108"/>
      <c r="R278" s="2108"/>
      <c r="S278" s="2108"/>
      <c r="T278" s="2109"/>
      <c r="U278" s="2211"/>
      <c r="V278" s="2212"/>
      <c r="W278" s="2213"/>
      <c r="X278" s="2134">
        <f t="shared" si="91"/>
        <v>0</v>
      </c>
      <c r="Y278" s="2114"/>
      <c r="Z278" s="2114"/>
      <c r="AA278" s="2114"/>
      <c r="AB278" s="2115"/>
    </row>
    <row r="279" spans="1:29" ht="14.25" thickTop="1" thickBot="1">
      <c r="M279" s="669"/>
      <c r="N279" s="669"/>
      <c r="O279" s="669"/>
      <c r="P279" s="670"/>
      <c r="Q279" s="670"/>
      <c r="R279" s="670"/>
      <c r="S279" s="670"/>
      <c r="T279" s="670"/>
      <c r="U279" s="671"/>
      <c r="V279" s="671"/>
      <c r="W279" s="671"/>
      <c r="X279" s="672"/>
      <c r="Y279" s="672"/>
      <c r="Z279" s="672"/>
      <c r="AA279" s="672"/>
      <c r="AB279" s="672"/>
    </row>
    <row r="280" spans="1:29" ht="14.25" thickTop="1" thickBot="1">
      <c r="A280" s="623"/>
      <c r="B280" s="623" t="s">
        <v>567</v>
      </c>
      <c r="C280" s="623"/>
      <c r="D280" s="623"/>
      <c r="E280" s="623"/>
      <c r="F280" s="623"/>
      <c r="G280" s="623"/>
      <c r="H280" s="623"/>
      <c r="I280" s="623"/>
      <c r="J280" s="623"/>
      <c r="K280" s="623"/>
      <c r="L280" s="623"/>
      <c r="M280" s="673"/>
      <c r="N280" s="673"/>
      <c r="O280" s="673"/>
      <c r="P280" s="2171">
        <f>SUM(P268:T278)</f>
        <v>0</v>
      </c>
      <c r="Q280" s="2172"/>
      <c r="R280" s="2172"/>
      <c r="S280" s="2172"/>
      <c r="T280" s="2173"/>
      <c r="U280" s="674"/>
      <c r="V280" s="674"/>
      <c r="W280" s="674"/>
      <c r="X280" s="2198">
        <f>SUM(X268:AB278)</f>
        <v>0</v>
      </c>
      <c r="Y280" s="2199"/>
      <c r="Z280" s="2199"/>
      <c r="AA280" s="2199"/>
      <c r="AB280" s="2200"/>
      <c r="AC280" s="623"/>
    </row>
    <row r="281" spans="1:29" ht="13.5" thickTop="1">
      <c r="A281" s="623"/>
      <c r="B281" s="623"/>
      <c r="C281" s="623"/>
      <c r="D281" s="623"/>
      <c r="E281" s="623"/>
      <c r="F281" s="623"/>
      <c r="G281" s="623"/>
      <c r="H281" s="623"/>
      <c r="I281" s="623"/>
      <c r="J281" s="623"/>
      <c r="K281" s="623"/>
      <c r="L281" s="623"/>
      <c r="M281" s="673"/>
      <c r="N281" s="673"/>
      <c r="O281" s="673"/>
      <c r="P281" s="675"/>
      <c r="Q281" s="675"/>
      <c r="R281" s="675"/>
      <c r="S281" s="675"/>
      <c r="T281" s="675"/>
      <c r="U281" s="674"/>
      <c r="V281" s="674"/>
      <c r="W281" s="674"/>
      <c r="X281" s="674"/>
      <c r="Y281" s="674"/>
      <c r="Z281" s="674"/>
      <c r="AA281" s="674"/>
      <c r="AB281" s="674"/>
      <c r="AC281" s="623"/>
    </row>
    <row r="282" spans="1:29">
      <c r="A282" s="623"/>
      <c r="B282" s="622" t="s">
        <v>568</v>
      </c>
      <c r="C282" s="623"/>
      <c r="D282" s="623"/>
      <c r="E282" s="623"/>
      <c r="F282" s="623"/>
      <c r="G282" s="623"/>
      <c r="H282" s="623"/>
      <c r="I282" s="623"/>
      <c r="J282" s="623"/>
      <c r="K282" s="623"/>
      <c r="L282" s="623"/>
      <c r="M282" s="673"/>
      <c r="N282" s="673"/>
      <c r="O282" s="673"/>
      <c r="P282" s="675"/>
      <c r="Q282" s="675"/>
      <c r="R282" s="675"/>
      <c r="S282" s="675"/>
      <c r="T282" s="675"/>
      <c r="U282" s="674"/>
      <c r="V282" s="674"/>
      <c r="W282" s="674"/>
      <c r="X282" s="674"/>
      <c r="Y282" s="674"/>
      <c r="Z282" s="674"/>
      <c r="AA282" s="674"/>
      <c r="AB282" s="674"/>
      <c r="AC282" s="623"/>
    </row>
    <row r="283" spans="1:29" ht="13.5" thickBot="1">
      <c r="M283" s="669"/>
      <c r="N283" s="669"/>
      <c r="O283" s="669"/>
      <c r="P283" s="676"/>
      <c r="Q283" s="676"/>
      <c r="R283" s="676"/>
      <c r="S283" s="676"/>
      <c r="T283" s="676"/>
      <c r="U283" s="671"/>
      <c r="V283" s="671"/>
      <c r="W283" s="671"/>
      <c r="X283" s="674"/>
      <c r="Y283" s="674"/>
      <c r="Z283" s="674"/>
      <c r="AA283" s="674"/>
      <c r="AB283" s="674"/>
    </row>
    <row r="284" spans="1:29" ht="13.5" thickTop="1">
      <c r="B284" s="667">
        <v>1</v>
      </c>
      <c r="C284" s="2160"/>
      <c r="D284" s="2161"/>
      <c r="E284" s="2161"/>
      <c r="F284" s="2161"/>
      <c r="G284" s="2161"/>
      <c r="H284" s="2161"/>
      <c r="I284" s="2161"/>
      <c r="J284" s="2162"/>
      <c r="K284" s="2163"/>
      <c r="L284" s="2164"/>
      <c r="M284" s="2165"/>
      <c r="N284" s="2166"/>
      <c r="O284" s="2167"/>
      <c r="P284" s="2168"/>
      <c r="Q284" s="2169"/>
      <c r="R284" s="2169"/>
      <c r="S284" s="2169"/>
      <c r="T284" s="2170"/>
      <c r="U284" s="2214"/>
      <c r="V284" s="2215"/>
      <c r="W284" s="2216"/>
      <c r="X284" s="2138">
        <f t="shared" ref="X284:X294" si="92">P284*U284</f>
        <v>0</v>
      </c>
      <c r="Y284" s="2139"/>
      <c r="Z284" s="2139"/>
      <c r="AA284" s="2139"/>
      <c r="AB284" s="2140"/>
    </row>
    <row r="285" spans="1:29">
      <c r="B285" s="662">
        <v>2</v>
      </c>
      <c r="C285" s="2093"/>
      <c r="D285" s="2094"/>
      <c r="E285" s="2094"/>
      <c r="F285" s="2094"/>
      <c r="G285" s="2094"/>
      <c r="H285" s="2094"/>
      <c r="I285" s="2094"/>
      <c r="J285" s="2095"/>
      <c r="K285" s="2096"/>
      <c r="L285" s="2097"/>
      <c r="M285" s="2098"/>
      <c r="N285" s="2099"/>
      <c r="O285" s="2100"/>
      <c r="P285" s="2101"/>
      <c r="Q285" s="2102"/>
      <c r="R285" s="2102"/>
      <c r="S285" s="2102"/>
      <c r="T285" s="2103"/>
      <c r="U285" s="2104"/>
      <c r="V285" s="2105"/>
      <c r="W285" s="2106"/>
      <c r="X285" s="2087">
        <f t="shared" si="92"/>
        <v>0</v>
      </c>
      <c r="Y285" s="2088"/>
      <c r="Z285" s="2088"/>
      <c r="AA285" s="2088"/>
      <c r="AB285" s="2089"/>
    </row>
    <row r="286" spans="1:29">
      <c r="B286" s="662">
        <v>3</v>
      </c>
      <c r="C286" s="2093"/>
      <c r="D286" s="2094"/>
      <c r="E286" s="2094"/>
      <c r="F286" s="2094"/>
      <c r="G286" s="2094"/>
      <c r="H286" s="2094"/>
      <c r="I286" s="2094"/>
      <c r="J286" s="2095"/>
      <c r="K286" s="2096"/>
      <c r="L286" s="2097"/>
      <c r="M286" s="2098"/>
      <c r="N286" s="2099"/>
      <c r="O286" s="2100"/>
      <c r="P286" s="2101"/>
      <c r="Q286" s="2102"/>
      <c r="R286" s="2102"/>
      <c r="S286" s="2102"/>
      <c r="T286" s="2103"/>
      <c r="U286" s="2110"/>
      <c r="V286" s="2111"/>
      <c r="W286" s="2112"/>
      <c r="X286" s="2087">
        <f t="shared" si="92"/>
        <v>0</v>
      </c>
      <c r="Y286" s="2088"/>
      <c r="Z286" s="2088"/>
      <c r="AA286" s="2088"/>
      <c r="AB286" s="2089"/>
    </row>
    <row r="287" spans="1:29">
      <c r="B287" s="662">
        <v>4</v>
      </c>
      <c r="C287" s="2093"/>
      <c r="D287" s="2094"/>
      <c r="E287" s="2094"/>
      <c r="F287" s="2094"/>
      <c r="G287" s="2094"/>
      <c r="H287" s="2094"/>
      <c r="I287" s="2094"/>
      <c r="J287" s="2095"/>
      <c r="K287" s="2096"/>
      <c r="L287" s="2097"/>
      <c r="M287" s="2098"/>
      <c r="N287" s="2099"/>
      <c r="O287" s="2100"/>
      <c r="P287" s="2101"/>
      <c r="Q287" s="2102"/>
      <c r="R287" s="2102"/>
      <c r="S287" s="2102"/>
      <c r="T287" s="2103"/>
      <c r="U287" s="2141"/>
      <c r="V287" s="2142"/>
      <c r="W287" s="2143"/>
      <c r="X287" s="2087">
        <f t="shared" si="92"/>
        <v>0</v>
      </c>
      <c r="Y287" s="2088"/>
      <c r="Z287" s="2088"/>
      <c r="AA287" s="2088"/>
      <c r="AB287" s="2089"/>
    </row>
    <row r="288" spans="1:29">
      <c r="B288" s="662">
        <v>5</v>
      </c>
      <c r="C288" s="2093"/>
      <c r="D288" s="2094"/>
      <c r="E288" s="2094"/>
      <c r="F288" s="2094"/>
      <c r="G288" s="2094"/>
      <c r="H288" s="2094"/>
      <c r="I288" s="2094"/>
      <c r="J288" s="2095"/>
      <c r="K288" s="2096"/>
      <c r="L288" s="2097"/>
      <c r="M288" s="2098"/>
      <c r="N288" s="2099"/>
      <c r="O288" s="2100"/>
      <c r="P288" s="2101"/>
      <c r="Q288" s="2102"/>
      <c r="R288" s="2102"/>
      <c r="S288" s="2102"/>
      <c r="T288" s="2103"/>
      <c r="U288" s="2104"/>
      <c r="V288" s="2105"/>
      <c r="W288" s="2106"/>
      <c r="X288" s="2087">
        <f t="shared" si="92"/>
        <v>0</v>
      </c>
      <c r="Y288" s="2088"/>
      <c r="Z288" s="2088"/>
      <c r="AA288" s="2088"/>
      <c r="AB288" s="2089"/>
    </row>
    <row r="289" spans="2:28">
      <c r="B289" s="662">
        <v>6</v>
      </c>
      <c r="C289" s="2093"/>
      <c r="D289" s="2094"/>
      <c r="E289" s="2094"/>
      <c r="F289" s="2094"/>
      <c r="G289" s="2094"/>
      <c r="H289" s="2094"/>
      <c r="I289" s="2094"/>
      <c r="J289" s="2095"/>
      <c r="K289" s="2096"/>
      <c r="L289" s="2097"/>
      <c r="M289" s="2098"/>
      <c r="N289" s="2099"/>
      <c r="O289" s="2100"/>
      <c r="P289" s="2101"/>
      <c r="Q289" s="2102"/>
      <c r="R289" s="2102"/>
      <c r="S289" s="2102"/>
      <c r="T289" s="2103"/>
      <c r="U289" s="2110"/>
      <c r="V289" s="2111"/>
      <c r="W289" s="2112"/>
      <c r="X289" s="2087">
        <f t="shared" si="92"/>
        <v>0</v>
      </c>
      <c r="Y289" s="2088"/>
      <c r="Z289" s="2088"/>
      <c r="AA289" s="2088"/>
      <c r="AB289" s="2089"/>
    </row>
    <row r="290" spans="2:28">
      <c r="B290" s="662">
        <v>7</v>
      </c>
      <c r="C290" s="2093"/>
      <c r="D290" s="2094"/>
      <c r="E290" s="2094"/>
      <c r="F290" s="2094"/>
      <c r="G290" s="2094"/>
      <c r="H290" s="2094"/>
      <c r="I290" s="2094"/>
      <c r="J290" s="2095"/>
      <c r="K290" s="2096"/>
      <c r="L290" s="2097"/>
      <c r="M290" s="2098"/>
      <c r="N290" s="2099"/>
      <c r="O290" s="2100"/>
      <c r="P290" s="2101"/>
      <c r="Q290" s="2102"/>
      <c r="R290" s="2102"/>
      <c r="S290" s="2102"/>
      <c r="T290" s="2103"/>
      <c r="U290" s="2141"/>
      <c r="V290" s="2142"/>
      <c r="W290" s="2143"/>
      <c r="X290" s="2087">
        <f t="shared" si="92"/>
        <v>0</v>
      </c>
      <c r="Y290" s="2088"/>
      <c r="Z290" s="2088"/>
      <c r="AA290" s="2088"/>
      <c r="AB290" s="2089"/>
    </row>
    <row r="291" spans="2:28">
      <c r="B291" s="662">
        <v>8</v>
      </c>
      <c r="C291" s="2093"/>
      <c r="D291" s="2094"/>
      <c r="E291" s="2094"/>
      <c r="F291" s="2094"/>
      <c r="G291" s="2094"/>
      <c r="H291" s="2094"/>
      <c r="I291" s="2094"/>
      <c r="J291" s="2095"/>
      <c r="K291" s="2096"/>
      <c r="L291" s="2097"/>
      <c r="M291" s="2098"/>
      <c r="N291" s="2099"/>
      <c r="O291" s="2100"/>
      <c r="P291" s="2101"/>
      <c r="Q291" s="2102"/>
      <c r="R291" s="2102"/>
      <c r="S291" s="2102"/>
      <c r="T291" s="2103"/>
      <c r="U291" s="2104"/>
      <c r="V291" s="2105"/>
      <c r="W291" s="2106"/>
      <c r="X291" s="2087">
        <f t="shared" si="92"/>
        <v>0</v>
      </c>
      <c r="Y291" s="2088"/>
      <c r="Z291" s="2088"/>
      <c r="AA291" s="2088"/>
      <c r="AB291" s="2089"/>
    </row>
    <row r="292" spans="2:28">
      <c r="B292" s="662">
        <v>9</v>
      </c>
      <c r="C292" s="2093"/>
      <c r="D292" s="2094"/>
      <c r="E292" s="2094"/>
      <c r="F292" s="2094"/>
      <c r="G292" s="2094"/>
      <c r="H292" s="2094"/>
      <c r="I292" s="2094"/>
      <c r="J292" s="2095"/>
      <c r="K292" s="2096"/>
      <c r="L292" s="2097"/>
      <c r="M292" s="2098"/>
      <c r="N292" s="2099"/>
      <c r="O292" s="2100"/>
      <c r="P292" s="2101"/>
      <c r="Q292" s="2102"/>
      <c r="R292" s="2102"/>
      <c r="S292" s="2102"/>
      <c r="T292" s="2103"/>
      <c r="U292" s="2110"/>
      <c r="V292" s="2111"/>
      <c r="W292" s="2112"/>
      <c r="X292" s="2087">
        <f t="shared" si="92"/>
        <v>0</v>
      </c>
      <c r="Y292" s="2088"/>
      <c r="Z292" s="2088"/>
      <c r="AA292" s="2088"/>
      <c r="AB292" s="2089"/>
    </row>
    <row r="293" spans="2:28">
      <c r="B293" s="662">
        <v>10</v>
      </c>
      <c r="C293" s="2093"/>
      <c r="D293" s="2094"/>
      <c r="E293" s="2094"/>
      <c r="F293" s="2094"/>
      <c r="G293" s="2094"/>
      <c r="H293" s="2094"/>
      <c r="I293" s="2094"/>
      <c r="J293" s="2095"/>
      <c r="K293" s="2096"/>
      <c r="L293" s="2097"/>
      <c r="M293" s="2098"/>
      <c r="N293" s="2099"/>
      <c r="O293" s="2100"/>
      <c r="P293" s="2101"/>
      <c r="Q293" s="2102"/>
      <c r="R293" s="2102"/>
      <c r="S293" s="2102"/>
      <c r="T293" s="2103"/>
      <c r="U293" s="2141"/>
      <c r="V293" s="2142"/>
      <c r="W293" s="2143"/>
      <c r="X293" s="2087">
        <f t="shared" si="92"/>
        <v>0</v>
      </c>
      <c r="Y293" s="2088"/>
      <c r="Z293" s="2088"/>
      <c r="AA293" s="2088"/>
      <c r="AB293" s="2089"/>
    </row>
    <row r="294" spans="2:28" ht="13.5" thickBot="1">
      <c r="B294" s="668" t="s">
        <v>551</v>
      </c>
      <c r="C294" s="2126"/>
      <c r="D294" s="2127"/>
      <c r="E294" s="2127"/>
      <c r="F294" s="2127"/>
      <c r="G294" s="2127"/>
      <c r="H294" s="2127"/>
      <c r="I294" s="2127"/>
      <c r="J294" s="2128"/>
      <c r="K294" s="2129"/>
      <c r="L294" s="2130"/>
      <c r="M294" s="2090"/>
      <c r="N294" s="2091"/>
      <c r="O294" s="2092"/>
      <c r="P294" s="2107"/>
      <c r="Q294" s="2108"/>
      <c r="R294" s="2108"/>
      <c r="S294" s="2108"/>
      <c r="T294" s="2109"/>
      <c r="U294" s="2104"/>
      <c r="V294" s="2105"/>
      <c r="W294" s="2106"/>
      <c r="X294" s="2134">
        <f t="shared" si="92"/>
        <v>0</v>
      </c>
      <c r="Y294" s="2114"/>
      <c r="Z294" s="2114"/>
      <c r="AA294" s="2114"/>
      <c r="AB294" s="2115"/>
    </row>
    <row r="295" spans="2:28" ht="14.25" thickTop="1" thickBot="1">
      <c r="U295" s="677"/>
      <c r="V295" s="677"/>
      <c r="W295" s="677"/>
      <c r="X295" s="674"/>
      <c r="Y295" s="674"/>
      <c r="Z295" s="674"/>
      <c r="AA295" s="674"/>
      <c r="AB295" s="674"/>
    </row>
    <row r="296" spans="2:28" ht="14.25" thickTop="1" thickBot="1">
      <c r="B296" s="623" t="s">
        <v>569</v>
      </c>
      <c r="C296" s="623"/>
      <c r="D296" s="623"/>
      <c r="E296" s="623"/>
      <c r="F296" s="623"/>
      <c r="G296" s="623"/>
      <c r="H296" s="623"/>
      <c r="I296" s="623"/>
      <c r="J296" s="623"/>
      <c r="K296" s="623"/>
      <c r="L296" s="623"/>
      <c r="M296" s="623"/>
      <c r="N296" s="623"/>
      <c r="P296" s="2171">
        <f>SUM(P284:T294)</f>
        <v>0</v>
      </c>
      <c r="Q296" s="2172"/>
      <c r="R296" s="2172"/>
      <c r="S296" s="2172"/>
      <c r="T296" s="2173"/>
      <c r="U296" s="623"/>
      <c r="V296" s="623"/>
      <c r="W296" s="623"/>
      <c r="X296" s="2198">
        <f>SUM(X284:AB294)</f>
        <v>0</v>
      </c>
      <c r="Y296" s="2199"/>
      <c r="Z296" s="2199"/>
      <c r="AA296" s="2199"/>
      <c r="AB296" s="2200"/>
    </row>
    <row r="297" spans="2:28" ht="13.5" thickTop="1">
      <c r="B297" s="623"/>
      <c r="C297" s="623"/>
      <c r="D297" s="623"/>
      <c r="E297" s="623"/>
      <c r="F297" s="623"/>
      <c r="G297" s="623"/>
      <c r="H297" s="623"/>
      <c r="I297" s="623"/>
      <c r="J297" s="623"/>
      <c r="K297" s="623"/>
      <c r="L297" s="623"/>
      <c r="M297" s="623"/>
      <c r="N297" s="623"/>
      <c r="X297" s="623"/>
      <c r="Y297" s="623"/>
      <c r="Z297" s="623"/>
      <c r="AA297" s="623"/>
      <c r="AB297" s="623"/>
    </row>
    <row r="298" spans="2:28">
      <c r="B298" s="622" t="s">
        <v>570</v>
      </c>
      <c r="C298" s="623"/>
      <c r="D298" s="623"/>
      <c r="E298" s="623"/>
      <c r="F298" s="623"/>
      <c r="G298" s="623"/>
      <c r="H298" s="623"/>
      <c r="I298" s="623"/>
      <c r="J298" s="623"/>
      <c r="K298" s="623"/>
      <c r="L298" s="623"/>
      <c r="M298" s="623"/>
      <c r="N298" s="623"/>
      <c r="X298" s="623"/>
      <c r="Y298" s="623"/>
      <c r="Z298" s="623"/>
      <c r="AA298" s="623"/>
      <c r="AB298" s="623"/>
    </row>
    <row r="299" spans="2:28" ht="13.5" thickBot="1">
      <c r="B299" s="623"/>
      <c r="C299" s="623"/>
      <c r="D299" s="623"/>
      <c r="E299" s="623"/>
      <c r="F299" s="623"/>
      <c r="G299" s="623"/>
      <c r="H299" s="623"/>
      <c r="I299" s="623"/>
      <c r="J299" s="623"/>
      <c r="K299" s="623"/>
      <c r="L299" s="623"/>
      <c r="M299" s="623"/>
      <c r="N299" s="623"/>
      <c r="X299" s="623"/>
      <c r="Y299" s="623"/>
      <c r="Z299" s="623"/>
      <c r="AA299" s="623"/>
      <c r="AB299" s="623"/>
    </row>
    <row r="300" spans="2:28" ht="13.5" thickTop="1">
      <c r="B300" s="623" t="s">
        <v>571</v>
      </c>
      <c r="C300" s="623"/>
      <c r="D300" s="623"/>
      <c r="E300" s="623"/>
      <c r="F300" s="623"/>
      <c r="G300" s="623"/>
      <c r="H300" s="623"/>
      <c r="I300" s="623"/>
      <c r="J300" s="623"/>
      <c r="K300" s="623"/>
      <c r="L300" s="623"/>
      <c r="M300" s="623"/>
      <c r="N300" s="623"/>
      <c r="P300" s="2205"/>
      <c r="Q300" s="2206"/>
      <c r="R300" s="2206"/>
      <c r="S300" s="2206"/>
      <c r="T300" s="2207"/>
      <c r="X300" s="623"/>
      <c r="Y300" s="623"/>
      <c r="Z300" s="623"/>
      <c r="AA300" s="623"/>
      <c r="AB300" s="623"/>
    </row>
    <row r="301" spans="2:28">
      <c r="B301" s="623" t="s">
        <v>572</v>
      </c>
      <c r="C301" s="623"/>
      <c r="D301" s="623"/>
      <c r="E301" s="623"/>
      <c r="F301" s="623"/>
      <c r="G301" s="623"/>
      <c r="H301" s="623"/>
      <c r="I301" s="623"/>
      <c r="J301" s="623"/>
      <c r="K301" s="623"/>
      <c r="L301" s="623"/>
      <c r="M301" s="623"/>
      <c r="N301" s="623"/>
      <c r="P301" s="2208"/>
      <c r="Q301" s="2209"/>
      <c r="R301" s="2209"/>
      <c r="S301" s="2209"/>
      <c r="T301" s="2210"/>
      <c r="X301" s="623"/>
      <c r="Y301" s="623"/>
      <c r="Z301" s="623"/>
      <c r="AA301" s="623"/>
      <c r="AB301" s="623"/>
    </row>
    <row r="302" spans="2:28" ht="13.5" thickBot="1">
      <c r="B302" s="623" t="s">
        <v>573</v>
      </c>
      <c r="C302" s="623"/>
      <c r="D302" s="623"/>
      <c r="E302" s="623"/>
      <c r="F302" s="623"/>
      <c r="G302" s="623"/>
      <c r="H302" s="623"/>
      <c r="I302" s="623"/>
      <c r="J302" s="623"/>
      <c r="K302" s="623"/>
      <c r="L302" s="623"/>
      <c r="M302" s="623"/>
      <c r="N302" s="623"/>
      <c r="P302" s="2116">
        <v>0.05</v>
      </c>
      <c r="Q302" s="2117"/>
      <c r="R302" s="2117"/>
      <c r="S302" s="2117"/>
      <c r="T302" s="2118"/>
      <c r="X302" s="623"/>
      <c r="Y302" s="623"/>
      <c r="Z302" s="623"/>
      <c r="AA302" s="623"/>
      <c r="AB302" s="623"/>
    </row>
    <row r="303" spans="2:28" ht="14.25" thickTop="1" thickBot="1">
      <c r="B303" s="623" t="s">
        <v>574</v>
      </c>
      <c r="C303" s="623"/>
      <c r="D303" s="623"/>
      <c r="E303" s="623"/>
      <c r="F303" s="623"/>
      <c r="G303" s="623"/>
      <c r="H303" s="623"/>
      <c r="I303" s="623"/>
      <c r="J303" s="623"/>
      <c r="K303" s="623"/>
      <c r="L303" s="623"/>
      <c r="M303" s="623"/>
      <c r="N303" s="623"/>
      <c r="P303" s="2119">
        <v>0</v>
      </c>
      <c r="Q303" s="2120"/>
      <c r="R303" s="2120"/>
      <c r="S303" s="2120"/>
      <c r="T303" s="2121"/>
      <c r="U303" s="2122"/>
      <c r="V303" s="2122"/>
      <c r="W303" s="2122"/>
      <c r="X303" s="2123">
        <f>P303*U303</f>
        <v>0</v>
      </c>
      <c r="Y303" s="2124"/>
      <c r="Z303" s="2124"/>
      <c r="AA303" s="2124"/>
      <c r="AB303" s="2125"/>
    </row>
    <row r="304" spans="2:28" ht="14.25" thickTop="1" thickBot="1">
      <c r="B304" s="623"/>
      <c r="C304" s="623"/>
      <c r="D304" s="623"/>
      <c r="E304" s="623"/>
      <c r="F304" s="623"/>
      <c r="G304" s="623"/>
      <c r="H304" s="623"/>
      <c r="I304" s="623"/>
      <c r="J304" s="623"/>
      <c r="K304" s="623"/>
      <c r="L304" s="623"/>
      <c r="M304" s="623"/>
      <c r="N304" s="623"/>
      <c r="P304" s="623"/>
      <c r="Q304" s="623"/>
      <c r="R304" s="623"/>
      <c r="S304" s="623"/>
      <c r="T304" s="623"/>
      <c r="X304" s="623"/>
      <c r="Y304" s="623"/>
      <c r="Z304" s="623"/>
      <c r="AA304" s="623"/>
      <c r="AB304" s="623"/>
    </row>
    <row r="305" spans="1:35" ht="14.25" thickTop="1" thickBot="1">
      <c r="B305" s="622" t="s">
        <v>575</v>
      </c>
      <c r="C305" s="622"/>
      <c r="D305" s="622"/>
      <c r="E305" s="623"/>
      <c r="F305" s="623"/>
      <c r="G305" s="623"/>
      <c r="H305" s="623"/>
      <c r="I305" s="623"/>
      <c r="J305" s="623"/>
      <c r="K305" s="623"/>
      <c r="L305" s="623"/>
      <c r="M305" s="623"/>
      <c r="N305" s="623"/>
      <c r="P305" s="2198">
        <f>P280-P296-P303</f>
        <v>0</v>
      </c>
      <c r="Q305" s="2199"/>
      <c r="R305" s="2199"/>
      <c r="S305" s="2199"/>
      <c r="T305" s="2200"/>
      <c r="X305" s="2198">
        <f>X280-X296-X303</f>
        <v>0</v>
      </c>
      <c r="Y305" s="2199"/>
      <c r="Z305" s="2199"/>
      <c r="AA305" s="2199"/>
      <c r="AB305" s="2200"/>
    </row>
    <row r="306" spans="1:35" ht="14.25" thickTop="1" thickBot="1">
      <c r="B306" s="623"/>
      <c r="C306" s="623"/>
      <c r="D306" s="623"/>
      <c r="E306" s="623"/>
      <c r="F306" s="623"/>
      <c r="G306" s="623"/>
      <c r="H306" s="623"/>
      <c r="I306" s="623"/>
      <c r="J306" s="623"/>
      <c r="K306" s="623"/>
      <c r="L306" s="623"/>
      <c r="M306" s="623"/>
      <c r="N306" s="623"/>
      <c r="X306" s="623"/>
      <c r="Y306" s="623"/>
      <c r="Z306" s="623"/>
      <c r="AA306" s="623"/>
      <c r="AB306" s="623"/>
    </row>
    <row r="307" spans="1:35" ht="14.25" thickTop="1" thickBot="1">
      <c r="B307" s="622" t="s">
        <v>561</v>
      </c>
      <c r="C307" s="622"/>
      <c r="D307" s="622"/>
      <c r="E307" s="622"/>
      <c r="F307" s="622"/>
      <c r="G307" s="623"/>
      <c r="H307" s="623"/>
      <c r="I307" s="623"/>
      <c r="J307" s="623"/>
      <c r="K307" s="623"/>
      <c r="L307" s="623"/>
      <c r="M307" s="623"/>
      <c r="N307" s="623"/>
      <c r="P307" s="2201">
        <v>0</v>
      </c>
      <c r="Q307" s="2202"/>
      <c r="R307" s="2202"/>
      <c r="S307" s="2202"/>
      <c r="T307" s="2202"/>
      <c r="U307" s="2122"/>
      <c r="V307" s="2122"/>
      <c r="W307" s="2122"/>
      <c r="X307" s="2203">
        <f>P307*U307</f>
        <v>0</v>
      </c>
      <c r="Y307" s="2203"/>
      <c r="Z307" s="2203"/>
      <c r="AA307" s="2203"/>
      <c r="AB307" s="2204"/>
    </row>
    <row r="308" spans="1:35" ht="13.5" collapsed="1" thickTop="1">
      <c r="B308" s="623"/>
      <c r="C308" s="623"/>
      <c r="D308" s="623"/>
      <c r="E308" s="623"/>
      <c r="F308" s="623"/>
      <c r="G308" s="623"/>
      <c r="H308" s="623"/>
      <c r="I308" s="623"/>
      <c r="J308" s="623"/>
      <c r="K308" s="623"/>
      <c r="L308" s="623"/>
      <c r="M308" s="623"/>
      <c r="N308" s="623"/>
    </row>
    <row r="309" spans="1:35" ht="13.5" thickBot="1"/>
    <row r="310" spans="1:35" s="626" customFormat="1" ht="14.25" thickTop="1" thickBot="1">
      <c r="A310" s="625" t="s">
        <v>577</v>
      </c>
      <c r="B310" s="625"/>
      <c r="K310" s="2217" t="s">
        <v>381</v>
      </c>
      <c r="L310" s="2218"/>
      <c r="M310" s="2218"/>
      <c r="N310" s="2218"/>
      <c r="O310" s="2218"/>
      <c r="P310" s="2218"/>
      <c r="Q310" s="2218"/>
      <c r="R310" s="2218"/>
      <c r="S310" s="2218"/>
      <c r="T310" s="2219"/>
    </row>
    <row r="311" spans="1:35" s="623" customFormat="1" ht="13.5" thickTop="1"/>
    <row r="312" spans="1:35" s="623" customFormat="1">
      <c r="B312" s="627" t="s">
        <v>382</v>
      </c>
      <c r="C312" s="627" t="s">
        <v>540</v>
      </c>
      <c r="D312" s="628"/>
      <c r="E312" s="628"/>
      <c r="F312" s="628"/>
      <c r="G312" s="628"/>
      <c r="H312" s="628"/>
      <c r="I312" s="628"/>
      <c r="J312" s="628"/>
      <c r="K312" s="628"/>
      <c r="L312" s="628"/>
      <c r="M312" s="628"/>
      <c r="N312" s="628"/>
      <c r="O312" s="628"/>
      <c r="P312" s="628"/>
      <c r="Q312" s="628"/>
      <c r="R312" s="629"/>
      <c r="S312" s="629"/>
      <c r="T312" s="629"/>
      <c r="U312" s="629"/>
      <c r="V312" s="629"/>
      <c r="W312" s="628"/>
      <c r="X312" s="628"/>
      <c r="Y312" s="628"/>
      <c r="Z312" s="628"/>
      <c r="AA312" s="628"/>
      <c r="AB312" s="628"/>
      <c r="AC312" s="628"/>
      <c r="AD312" s="628"/>
      <c r="AE312" s="628"/>
      <c r="AF312" s="628"/>
      <c r="AG312" s="628"/>
      <c r="AH312" s="628"/>
      <c r="AI312" s="628"/>
    </row>
    <row r="313" spans="1:35" s="623" customFormat="1" ht="13.5" thickBot="1"/>
    <row r="314" spans="1:35" s="623" customFormat="1" ht="24" customHeight="1" thickTop="1" thickBot="1">
      <c r="A314" s="2179" t="s">
        <v>360</v>
      </c>
      <c r="B314" s="2222" t="s">
        <v>541</v>
      </c>
      <c r="C314" s="2223"/>
      <c r="D314" s="2224"/>
      <c r="E314" s="2222" t="s">
        <v>542</v>
      </c>
      <c r="F314" s="2228"/>
      <c r="G314" s="2231" t="s">
        <v>543</v>
      </c>
      <c r="H314" s="2232"/>
      <c r="I314" s="2232"/>
      <c r="J314" s="2232"/>
      <c r="K314" s="2232"/>
      <c r="L314" s="2232"/>
      <c r="M314" s="2232"/>
      <c r="N314" s="2233"/>
      <c r="O314" s="2222" t="s">
        <v>544</v>
      </c>
      <c r="P314" s="2228"/>
      <c r="Q314" s="2231" t="s">
        <v>545</v>
      </c>
      <c r="R314" s="2232"/>
      <c r="S314" s="2232"/>
      <c r="T314" s="2232"/>
      <c r="U314" s="2232"/>
      <c r="V314" s="2232"/>
      <c r="W314" s="2232"/>
      <c r="X314" s="2233"/>
      <c r="Y314" s="2222" t="s">
        <v>546</v>
      </c>
      <c r="Z314" s="2228"/>
      <c r="AA314" s="2222" t="s">
        <v>547</v>
      </c>
      <c r="AB314" s="2234"/>
      <c r="AC314" s="2234"/>
      <c r="AD314" s="2228"/>
      <c r="AE314" s="2222" t="s">
        <v>548</v>
      </c>
      <c r="AF314" s="2234"/>
      <c r="AG314" s="2234"/>
      <c r="AH314" s="2236"/>
    </row>
    <row r="315" spans="1:35" s="623" customFormat="1" ht="30" customHeight="1" thickTop="1" thickBot="1">
      <c r="A315" s="2221"/>
      <c r="B315" s="2225"/>
      <c r="C315" s="2226"/>
      <c r="D315" s="2227"/>
      <c r="E315" s="2229"/>
      <c r="F315" s="2230"/>
      <c r="G315" s="2231" t="s">
        <v>549</v>
      </c>
      <c r="H315" s="2232"/>
      <c r="I315" s="2232"/>
      <c r="J315" s="2233"/>
      <c r="K315" s="2231" t="s">
        <v>550</v>
      </c>
      <c r="L315" s="2232"/>
      <c r="M315" s="2232"/>
      <c r="N315" s="2233"/>
      <c r="O315" s="2229"/>
      <c r="P315" s="2230"/>
      <c r="Q315" s="2231" t="s">
        <v>549</v>
      </c>
      <c r="R315" s="2232"/>
      <c r="S315" s="2232"/>
      <c r="T315" s="2233"/>
      <c r="U315" s="2231" t="s">
        <v>550</v>
      </c>
      <c r="V315" s="2232"/>
      <c r="W315" s="2232"/>
      <c r="X315" s="2233"/>
      <c r="Y315" s="2229"/>
      <c r="Z315" s="2230"/>
      <c r="AA315" s="2229"/>
      <c r="AB315" s="2235"/>
      <c r="AC315" s="2235"/>
      <c r="AD315" s="2230"/>
      <c r="AE315" s="2229"/>
      <c r="AF315" s="2235"/>
      <c r="AG315" s="2235"/>
      <c r="AH315" s="2237"/>
    </row>
    <row r="316" spans="1:35" s="623" customFormat="1" ht="13.5" thickTop="1">
      <c r="A316" s="630"/>
      <c r="B316" s="631"/>
      <c r="C316" s="632"/>
      <c r="D316" s="633"/>
      <c r="E316" s="631"/>
      <c r="F316" s="633"/>
      <c r="G316" s="631"/>
      <c r="H316" s="632"/>
      <c r="I316" s="632"/>
      <c r="J316" s="633"/>
      <c r="K316" s="631"/>
      <c r="L316" s="632"/>
      <c r="M316" s="632"/>
      <c r="N316" s="633"/>
      <c r="O316" s="631"/>
      <c r="P316" s="633"/>
      <c r="Q316" s="634"/>
      <c r="R316" s="635"/>
      <c r="S316" s="635"/>
      <c r="T316" s="636"/>
      <c r="U316" s="634"/>
      <c r="V316" s="635"/>
      <c r="W316" s="635"/>
      <c r="X316" s="635"/>
      <c r="Y316" s="2238"/>
      <c r="Z316" s="2239"/>
      <c r="AA316" s="635"/>
      <c r="AB316" s="635"/>
      <c r="AC316" s="635"/>
      <c r="AD316" s="636"/>
      <c r="AE316" s="634"/>
      <c r="AF316" s="635"/>
      <c r="AG316" s="635"/>
      <c r="AH316" s="637"/>
    </row>
    <row r="317" spans="1:35">
      <c r="A317" s="638">
        <v>1</v>
      </c>
      <c r="B317" s="2175"/>
      <c r="C317" s="2175"/>
      <c r="D317" s="2175"/>
      <c r="E317" s="2174"/>
      <c r="F317" s="2174"/>
      <c r="G317" s="2176"/>
      <c r="H317" s="2176"/>
      <c r="I317" s="2176"/>
      <c r="J317" s="2176"/>
      <c r="K317" s="2176"/>
      <c r="L317" s="2176"/>
      <c r="M317" s="2176"/>
      <c r="N317" s="2176"/>
      <c r="O317" s="2177"/>
      <c r="P317" s="2177"/>
      <c r="Q317" s="2088">
        <f t="shared" ref="Q317:Q332" si="93">G317*O317</f>
        <v>0</v>
      </c>
      <c r="R317" s="2088"/>
      <c r="S317" s="2088"/>
      <c r="T317" s="2178"/>
      <c r="U317" s="2087">
        <f t="shared" ref="U317:U332" si="94">K317*O317</f>
        <v>0</v>
      </c>
      <c r="V317" s="2088"/>
      <c r="W317" s="2088"/>
      <c r="X317" s="2088"/>
      <c r="Y317" s="2194"/>
      <c r="Z317" s="2195"/>
      <c r="AA317" s="2197">
        <f>IF(Y317="",U317,Q317*Y317/100)</f>
        <v>0</v>
      </c>
      <c r="AB317" s="2154"/>
      <c r="AC317" s="2154"/>
      <c r="AD317" s="2155"/>
      <c r="AE317" s="2087">
        <f t="shared" ref="AE317:AE332" si="95">IF(AA317=0,U317,IF(U317&gt;(VALUE(AA317)),VALUE(AA317),U317))</f>
        <v>0</v>
      </c>
      <c r="AF317" s="2088"/>
      <c r="AG317" s="2088"/>
      <c r="AH317" s="2089"/>
    </row>
    <row r="318" spans="1:35">
      <c r="A318" s="1842">
        <f t="shared" ref="A318:A331" si="96">A317+1</f>
        <v>2</v>
      </c>
      <c r="B318" s="2175"/>
      <c r="C318" s="2175"/>
      <c r="D318" s="2175"/>
      <c r="E318" s="2174"/>
      <c r="F318" s="2174"/>
      <c r="G318" s="2176"/>
      <c r="H318" s="2176"/>
      <c r="I318" s="2176"/>
      <c r="J318" s="2176"/>
      <c r="K318" s="2176"/>
      <c r="L318" s="2176"/>
      <c r="M318" s="2176"/>
      <c r="N318" s="2176"/>
      <c r="O318" s="2177"/>
      <c r="P318" s="2177"/>
      <c r="Q318" s="2088">
        <f t="shared" si="93"/>
        <v>0</v>
      </c>
      <c r="R318" s="2088"/>
      <c r="S318" s="2088"/>
      <c r="T318" s="2178"/>
      <c r="U318" s="2087">
        <f t="shared" si="94"/>
        <v>0</v>
      </c>
      <c r="V318" s="2088"/>
      <c r="W318" s="2088"/>
      <c r="X318" s="2088"/>
      <c r="Y318" s="2194"/>
      <c r="Z318" s="2195"/>
      <c r="AA318" s="2197">
        <f t="shared" ref="AA318:AA332" si="97">IF(Y318="",U318,Q318*Y318/100)</f>
        <v>0</v>
      </c>
      <c r="AB318" s="2154"/>
      <c r="AC318" s="2154"/>
      <c r="AD318" s="2155"/>
      <c r="AE318" s="2087">
        <f t="shared" si="95"/>
        <v>0</v>
      </c>
      <c r="AF318" s="2088"/>
      <c r="AG318" s="2088"/>
      <c r="AH318" s="2089"/>
    </row>
    <row r="319" spans="1:35">
      <c r="A319" s="1842">
        <f t="shared" si="96"/>
        <v>3</v>
      </c>
      <c r="B319" s="2175"/>
      <c r="C319" s="2175"/>
      <c r="D319" s="2175"/>
      <c r="E319" s="2174"/>
      <c r="F319" s="2174"/>
      <c r="G319" s="2176"/>
      <c r="H319" s="2176"/>
      <c r="I319" s="2176"/>
      <c r="J319" s="2176"/>
      <c r="K319" s="2176"/>
      <c r="L319" s="2176"/>
      <c r="M319" s="2176"/>
      <c r="N319" s="2176"/>
      <c r="O319" s="2177"/>
      <c r="P319" s="2177"/>
      <c r="Q319" s="2088">
        <f t="shared" si="93"/>
        <v>0</v>
      </c>
      <c r="R319" s="2088"/>
      <c r="S319" s="2088"/>
      <c r="T319" s="2178"/>
      <c r="U319" s="2087">
        <f t="shared" si="94"/>
        <v>0</v>
      </c>
      <c r="V319" s="2088"/>
      <c r="W319" s="2088"/>
      <c r="X319" s="2088"/>
      <c r="Y319" s="2194"/>
      <c r="Z319" s="2195"/>
      <c r="AA319" s="2197">
        <f t="shared" si="97"/>
        <v>0</v>
      </c>
      <c r="AB319" s="2154"/>
      <c r="AC319" s="2154"/>
      <c r="AD319" s="2155"/>
      <c r="AE319" s="2087">
        <f t="shared" si="95"/>
        <v>0</v>
      </c>
      <c r="AF319" s="2088"/>
      <c r="AG319" s="2088"/>
      <c r="AH319" s="2089"/>
    </row>
    <row r="320" spans="1:35">
      <c r="A320" s="1842">
        <f t="shared" si="96"/>
        <v>4</v>
      </c>
      <c r="B320" s="2175"/>
      <c r="C320" s="2175"/>
      <c r="D320" s="2175"/>
      <c r="E320" s="2174"/>
      <c r="F320" s="2174"/>
      <c r="G320" s="2176"/>
      <c r="H320" s="2176"/>
      <c r="I320" s="2176"/>
      <c r="J320" s="2176"/>
      <c r="K320" s="2176"/>
      <c r="L320" s="2176"/>
      <c r="M320" s="2176"/>
      <c r="N320" s="2176"/>
      <c r="O320" s="2177"/>
      <c r="P320" s="2177"/>
      <c r="Q320" s="2088">
        <f t="shared" si="93"/>
        <v>0</v>
      </c>
      <c r="R320" s="2088"/>
      <c r="S320" s="2088"/>
      <c r="T320" s="2178"/>
      <c r="U320" s="2087">
        <f t="shared" si="94"/>
        <v>0</v>
      </c>
      <c r="V320" s="2088"/>
      <c r="W320" s="2088"/>
      <c r="X320" s="2088"/>
      <c r="Y320" s="2194"/>
      <c r="Z320" s="2195"/>
      <c r="AA320" s="2197">
        <f t="shared" si="97"/>
        <v>0</v>
      </c>
      <c r="AB320" s="2154"/>
      <c r="AC320" s="2154"/>
      <c r="AD320" s="2155"/>
      <c r="AE320" s="2087">
        <f t="shared" si="95"/>
        <v>0</v>
      </c>
      <c r="AF320" s="2088"/>
      <c r="AG320" s="2088"/>
      <c r="AH320" s="2089"/>
    </row>
    <row r="321" spans="1:34">
      <c r="A321" s="1842">
        <f t="shared" si="96"/>
        <v>5</v>
      </c>
      <c r="B321" s="2175"/>
      <c r="C321" s="2175"/>
      <c r="D321" s="2175"/>
      <c r="E321" s="2174"/>
      <c r="F321" s="2174"/>
      <c r="G321" s="2176"/>
      <c r="H321" s="2176"/>
      <c r="I321" s="2176"/>
      <c r="J321" s="2176"/>
      <c r="K321" s="2176"/>
      <c r="L321" s="2176"/>
      <c r="M321" s="2176"/>
      <c r="N321" s="2176"/>
      <c r="O321" s="2177"/>
      <c r="P321" s="2177"/>
      <c r="Q321" s="2088">
        <f t="shared" si="93"/>
        <v>0</v>
      </c>
      <c r="R321" s="2088"/>
      <c r="S321" s="2088"/>
      <c r="T321" s="2178"/>
      <c r="U321" s="2087">
        <f t="shared" si="94"/>
        <v>0</v>
      </c>
      <c r="V321" s="2088"/>
      <c r="W321" s="2088"/>
      <c r="X321" s="2088"/>
      <c r="Y321" s="2194"/>
      <c r="Z321" s="2195"/>
      <c r="AA321" s="2197">
        <f t="shared" si="97"/>
        <v>0</v>
      </c>
      <c r="AB321" s="2154"/>
      <c r="AC321" s="2154"/>
      <c r="AD321" s="2155"/>
      <c r="AE321" s="2087">
        <f t="shared" si="95"/>
        <v>0</v>
      </c>
      <c r="AF321" s="2088"/>
      <c r="AG321" s="2088"/>
      <c r="AH321" s="2089"/>
    </row>
    <row r="322" spans="1:34">
      <c r="A322" s="1842">
        <f t="shared" si="96"/>
        <v>6</v>
      </c>
      <c r="B322" s="2175"/>
      <c r="C322" s="2175"/>
      <c r="D322" s="2175"/>
      <c r="E322" s="2174"/>
      <c r="F322" s="2174"/>
      <c r="G322" s="2176"/>
      <c r="H322" s="2176"/>
      <c r="I322" s="2176"/>
      <c r="J322" s="2176"/>
      <c r="K322" s="2176"/>
      <c r="L322" s="2176"/>
      <c r="M322" s="2176"/>
      <c r="N322" s="2176"/>
      <c r="O322" s="2177"/>
      <c r="P322" s="2177"/>
      <c r="Q322" s="2088">
        <f t="shared" si="93"/>
        <v>0</v>
      </c>
      <c r="R322" s="2088"/>
      <c r="S322" s="2088"/>
      <c r="T322" s="2178"/>
      <c r="U322" s="2087">
        <f t="shared" si="94"/>
        <v>0</v>
      </c>
      <c r="V322" s="2088"/>
      <c r="W322" s="2088"/>
      <c r="X322" s="2088"/>
      <c r="Y322" s="2194"/>
      <c r="Z322" s="2195"/>
      <c r="AA322" s="2197">
        <f t="shared" si="97"/>
        <v>0</v>
      </c>
      <c r="AB322" s="2154"/>
      <c r="AC322" s="2154"/>
      <c r="AD322" s="2155"/>
      <c r="AE322" s="2087">
        <f t="shared" si="95"/>
        <v>0</v>
      </c>
      <c r="AF322" s="2088"/>
      <c r="AG322" s="2088"/>
      <c r="AH322" s="2089"/>
    </row>
    <row r="323" spans="1:34">
      <c r="A323" s="1842">
        <f t="shared" si="96"/>
        <v>7</v>
      </c>
      <c r="B323" s="2175"/>
      <c r="C323" s="2175"/>
      <c r="D323" s="2175"/>
      <c r="E323" s="2174"/>
      <c r="F323" s="2174"/>
      <c r="G323" s="2176"/>
      <c r="H323" s="2176"/>
      <c r="I323" s="2176"/>
      <c r="J323" s="2176"/>
      <c r="K323" s="2176"/>
      <c r="L323" s="2176"/>
      <c r="M323" s="2176"/>
      <c r="N323" s="2176"/>
      <c r="O323" s="2177"/>
      <c r="P323" s="2177"/>
      <c r="Q323" s="2088">
        <f t="shared" ref="Q323:Q327" si="98">G323*O323</f>
        <v>0</v>
      </c>
      <c r="R323" s="2088"/>
      <c r="S323" s="2088"/>
      <c r="T323" s="2178"/>
      <c r="U323" s="2087">
        <f t="shared" ref="U323:U327" si="99">K323*O323</f>
        <v>0</v>
      </c>
      <c r="V323" s="2088"/>
      <c r="W323" s="2088"/>
      <c r="X323" s="2088"/>
      <c r="Y323" s="2194"/>
      <c r="Z323" s="2195"/>
      <c r="AA323" s="2197">
        <f t="shared" ref="AA323:AA327" si="100">IF(Y323="",U323,Q323*Y323/100)</f>
        <v>0</v>
      </c>
      <c r="AB323" s="2154"/>
      <c r="AC323" s="2154"/>
      <c r="AD323" s="2155"/>
      <c r="AE323" s="2087">
        <f t="shared" ref="AE323:AE327" si="101">IF(AA323=0,U323,IF(U323&gt;(VALUE(AA323)),VALUE(AA323),U323))</f>
        <v>0</v>
      </c>
      <c r="AF323" s="2088"/>
      <c r="AG323" s="2088"/>
      <c r="AH323" s="2089"/>
    </row>
    <row r="324" spans="1:34">
      <c r="A324" s="1842">
        <f t="shared" si="96"/>
        <v>8</v>
      </c>
      <c r="B324" s="2175"/>
      <c r="C324" s="2175"/>
      <c r="D324" s="2175"/>
      <c r="E324" s="2174"/>
      <c r="F324" s="2174"/>
      <c r="G324" s="2176"/>
      <c r="H324" s="2176"/>
      <c r="I324" s="2176"/>
      <c r="J324" s="2176"/>
      <c r="K324" s="2176"/>
      <c r="L324" s="2176"/>
      <c r="M324" s="2176"/>
      <c r="N324" s="2176"/>
      <c r="O324" s="2177"/>
      <c r="P324" s="2177"/>
      <c r="Q324" s="2088">
        <f t="shared" si="98"/>
        <v>0</v>
      </c>
      <c r="R324" s="2088"/>
      <c r="S324" s="2088"/>
      <c r="T324" s="2178"/>
      <c r="U324" s="2087">
        <f t="shared" si="99"/>
        <v>0</v>
      </c>
      <c r="V324" s="2088"/>
      <c r="W324" s="2088"/>
      <c r="X324" s="2088"/>
      <c r="Y324" s="2194"/>
      <c r="Z324" s="2195"/>
      <c r="AA324" s="2197">
        <f t="shared" si="100"/>
        <v>0</v>
      </c>
      <c r="AB324" s="2154"/>
      <c r="AC324" s="2154"/>
      <c r="AD324" s="2155"/>
      <c r="AE324" s="2087">
        <f t="shared" si="101"/>
        <v>0</v>
      </c>
      <c r="AF324" s="2088"/>
      <c r="AG324" s="2088"/>
      <c r="AH324" s="2089"/>
    </row>
    <row r="325" spans="1:34">
      <c r="A325" s="1842">
        <f t="shared" si="96"/>
        <v>9</v>
      </c>
      <c r="B325" s="2175"/>
      <c r="C325" s="2175"/>
      <c r="D325" s="2175"/>
      <c r="E325" s="2174"/>
      <c r="F325" s="2174"/>
      <c r="G325" s="2176"/>
      <c r="H325" s="2176"/>
      <c r="I325" s="2176"/>
      <c r="J325" s="2176"/>
      <c r="K325" s="2176"/>
      <c r="L325" s="2176"/>
      <c r="M325" s="2176"/>
      <c r="N325" s="2176"/>
      <c r="O325" s="2177"/>
      <c r="P325" s="2177"/>
      <c r="Q325" s="2088">
        <f t="shared" si="98"/>
        <v>0</v>
      </c>
      <c r="R325" s="2088"/>
      <c r="S325" s="2088"/>
      <c r="T325" s="2178"/>
      <c r="U325" s="2087">
        <f t="shared" si="99"/>
        <v>0</v>
      </c>
      <c r="V325" s="2088"/>
      <c r="W325" s="2088"/>
      <c r="X325" s="2088"/>
      <c r="Y325" s="2194"/>
      <c r="Z325" s="2195"/>
      <c r="AA325" s="2197">
        <f t="shared" si="100"/>
        <v>0</v>
      </c>
      <c r="AB325" s="2154"/>
      <c r="AC325" s="2154"/>
      <c r="AD325" s="2155"/>
      <c r="AE325" s="2087">
        <f t="shared" si="101"/>
        <v>0</v>
      </c>
      <c r="AF325" s="2088"/>
      <c r="AG325" s="2088"/>
      <c r="AH325" s="2089"/>
    </row>
    <row r="326" spans="1:34">
      <c r="A326" s="1842">
        <f t="shared" si="96"/>
        <v>10</v>
      </c>
      <c r="B326" s="2175"/>
      <c r="C326" s="2175"/>
      <c r="D326" s="2175"/>
      <c r="E326" s="2174"/>
      <c r="F326" s="2174"/>
      <c r="G326" s="2176"/>
      <c r="H326" s="2176"/>
      <c r="I326" s="2176"/>
      <c r="J326" s="2176"/>
      <c r="K326" s="2176"/>
      <c r="L326" s="2176"/>
      <c r="M326" s="2176"/>
      <c r="N326" s="2176"/>
      <c r="O326" s="2177"/>
      <c r="P326" s="2177"/>
      <c r="Q326" s="2088">
        <f t="shared" si="98"/>
        <v>0</v>
      </c>
      <c r="R326" s="2088"/>
      <c r="S326" s="2088"/>
      <c r="T326" s="2178"/>
      <c r="U326" s="2087">
        <f t="shared" si="99"/>
        <v>0</v>
      </c>
      <c r="V326" s="2088"/>
      <c r="W326" s="2088"/>
      <c r="X326" s="2088"/>
      <c r="Y326" s="2194"/>
      <c r="Z326" s="2195"/>
      <c r="AA326" s="2197">
        <f t="shared" si="100"/>
        <v>0</v>
      </c>
      <c r="AB326" s="2154"/>
      <c r="AC326" s="2154"/>
      <c r="AD326" s="2155"/>
      <c r="AE326" s="2087">
        <f t="shared" si="101"/>
        <v>0</v>
      </c>
      <c r="AF326" s="2088"/>
      <c r="AG326" s="2088"/>
      <c r="AH326" s="2089"/>
    </row>
    <row r="327" spans="1:34">
      <c r="A327" s="1842">
        <f t="shared" si="96"/>
        <v>11</v>
      </c>
      <c r="B327" s="2175"/>
      <c r="C327" s="2175"/>
      <c r="D327" s="2175"/>
      <c r="E327" s="2174"/>
      <c r="F327" s="2174"/>
      <c r="G327" s="2176"/>
      <c r="H327" s="2176"/>
      <c r="I327" s="2176"/>
      <c r="J327" s="2176"/>
      <c r="K327" s="2176"/>
      <c r="L327" s="2176"/>
      <c r="M327" s="2176"/>
      <c r="N327" s="2176"/>
      <c r="O327" s="2177"/>
      <c r="P327" s="2177"/>
      <c r="Q327" s="2088">
        <f t="shared" si="98"/>
        <v>0</v>
      </c>
      <c r="R327" s="2088"/>
      <c r="S327" s="2088"/>
      <c r="T327" s="2178"/>
      <c r="U327" s="2087">
        <f t="shared" si="99"/>
        <v>0</v>
      </c>
      <c r="V327" s="2088"/>
      <c r="W327" s="2088"/>
      <c r="X327" s="2088"/>
      <c r="Y327" s="2194"/>
      <c r="Z327" s="2195"/>
      <c r="AA327" s="2197">
        <f t="shared" si="100"/>
        <v>0</v>
      </c>
      <c r="AB327" s="2154"/>
      <c r="AC327" s="2154"/>
      <c r="AD327" s="2155"/>
      <c r="AE327" s="2087">
        <f t="shared" si="101"/>
        <v>0</v>
      </c>
      <c r="AF327" s="2088"/>
      <c r="AG327" s="2088"/>
      <c r="AH327" s="2089"/>
    </row>
    <row r="328" spans="1:34">
      <c r="A328" s="1842">
        <f t="shared" si="96"/>
        <v>12</v>
      </c>
      <c r="B328" s="2175"/>
      <c r="C328" s="2175"/>
      <c r="D328" s="2175"/>
      <c r="E328" s="2174"/>
      <c r="F328" s="2174"/>
      <c r="G328" s="2176"/>
      <c r="H328" s="2176"/>
      <c r="I328" s="2176"/>
      <c r="J328" s="2176"/>
      <c r="K328" s="2176"/>
      <c r="L328" s="2176"/>
      <c r="M328" s="2176"/>
      <c r="N328" s="2176"/>
      <c r="O328" s="2177"/>
      <c r="P328" s="2177"/>
      <c r="Q328" s="2088">
        <f t="shared" ref="Q328:Q331" si="102">G328*O328</f>
        <v>0</v>
      </c>
      <c r="R328" s="2088"/>
      <c r="S328" s="2088"/>
      <c r="T328" s="2178"/>
      <c r="U328" s="2087">
        <f t="shared" ref="U328:U331" si="103">K328*O328</f>
        <v>0</v>
      </c>
      <c r="V328" s="2088"/>
      <c r="W328" s="2088"/>
      <c r="X328" s="2088"/>
      <c r="Y328" s="2194"/>
      <c r="Z328" s="2195"/>
      <c r="AA328" s="2197">
        <f t="shared" ref="AA328:AA331" si="104">IF(Y328="",U328,Q328*Y328/100)</f>
        <v>0</v>
      </c>
      <c r="AB328" s="2154"/>
      <c r="AC328" s="2154"/>
      <c r="AD328" s="2155"/>
      <c r="AE328" s="2087">
        <f t="shared" ref="AE328:AE331" si="105">IF(AA328=0,U328,IF(U328&gt;(VALUE(AA328)),VALUE(AA328),U328))</f>
        <v>0</v>
      </c>
      <c r="AF328" s="2088"/>
      <c r="AG328" s="2088"/>
      <c r="AH328" s="2089"/>
    </row>
    <row r="329" spans="1:34">
      <c r="A329" s="1842">
        <f t="shared" si="96"/>
        <v>13</v>
      </c>
      <c r="B329" s="2175"/>
      <c r="C329" s="2175"/>
      <c r="D329" s="2175"/>
      <c r="E329" s="2174"/>
      <c r="F329" s="2174"/>
      <c r="G329" s="2176"/>
      <c r="H329" s="2176"/>
      <c r="I329" s="2176"/>
      <c r="J329" s="2176"/>
      <c r="K329" s="2176"/>
      <c r="L329" s="2176"/>
      <c r="M329" s="2176"/>
      <c r="N329" s="2176"/>
      <c r="O329" s="2177"/>
      <c r="P329" s="2177"/>
      <c r="Q329" s="2088">
        <f t="shared" si="102"/>
        <v>0</v>
      </c>
      <c r="R329" s="2088"/>
      <c r="S329" s="2088"/>
      <c r="T329" s="2178"/>
      <c r="U329" s="2087">
        <f t="shared" si="103"/>
        <v>0</v>
      </c>
      <c r="V329" s="2088"/>
      <c r="W329" s="2088"/>
      <c r="X329" s="2088"/>
      <c r="Y329" s="2194"/>
      <c r="Z329" s="2195"/>
      <c r="AA329" s="2197">
        <f t="shared" si="104"/>
        <v>0</v>
      </c>
      <c r="AB329" s="2154"/>
      <c r="AC329" s="2154"/>
      <c r="AD329" s="2155"/>
      <c r="AE329" s="2087">
        <f t="shared" si="105"/>
        <v>0</v>
      </c>
      <c r="AF329" s="2088"/>
      <c r="AG329" s="2088"/>
      <c r="AH329" s="2089"/>
    </row>
    <row r="330" spans="1:34">
      <c r="A330" s="1842">
        <f t="shared" si="96"/>
        <v>14</v>
      </c>
      <c r="B330" s="2175"/>
      <c r="C330" s="2175"/>
      <c r="D330" s="2175"/>
      <c r="E330" s="2174"/>
      <c r="F330" s="2174"/>
      <c r="G330" s="2176"/>
      <c r="H330" s="2176"/>
      <c r="I330" s="2176"/>
      <c r="J330" s="2176"/>
      <c r="K330" s="2176"/>
      <c r="L330" s="2176"/>
      <c r="M330" s="2176"/>
      <c r="N330" s="2176"/>
      <c r="O330" s="2177"/>
      <c r="P330" s="2177"/>
      <c r="Q330" s="2088">
        <f t="shared" si="102"/>
        <v>0</v>
      </c>
      <c r="R330" s="2088"/>
      <c r="S330" s="2088"/>
      <c r="T330" s="2178"/>
      <c r="U330" s="2087">
        <f t="shared" si="103"/>
        <v>0</v>
      </c>
      <c r="V330" s="2088"/>
      <c r="W330" s="2088"/>
      <c r="X330" s="2088"/>
      <c r="Y330" s="2194"/>
      <c r="Z330" s="2195"/>
      <c r="AA330" s="2197">
        <f t="shared" si="104"/>
        <v>0</v>
      </c>
      <c r="AB330" s="2154"/>
      <c r="AC330" s="2154"/>
      <c r="AD330" s="2155"/>
      <c r="AE330" s="2087">
        <f t="shared" si="105"/>
        <v>0</v>
      </c>
      <c r="AF330" s="2088"/>
      <c r="AG330" s="2088"/>
      <c r="AH330" s="2089"/>
    </row>
    <row r="331" spans="1:34">
      <c r="A331" s="1842">
        <f t="shared" si="96"/>
        <v>15</v>
      </c>
      <c r="B331" s="2175"/>
      <c r="C331" s="2175"/>
      <c r="D331" s="2175"/>
      <c r="E331" s="2174"/>
      <c r="F331" s="2174"/>
      <c r="G331" s="2176"/>
      <c r="H331" s="2176"/>
      <c r="I331" s="2176"/>
      <c r="J331" s="2176"/>
      <c r="K331" s="2176"/>
      <c r="L331" s="2176"/>
      <c r="M331" s="2176"/>
      <c r="N331" s="2176"/>
      <c r="O331" s="2177"/>
      <c r="P331" s="2177"/>
      <c r="Q331" s="2088">
        <f t="shared" si="102"/>
        <v>0</v>
      </c>
      <c r="R331" s="2088"/>
      <c r="S331" s="2088"/>
      <c r="T331" s="2178"/>
      <c r="U331" s="2087">
        <f t="shared" si="103"/>
        <v>0</v>
      </c>
      <c r="V331" s="2088"/>
      <c r="W331" s="2088"/>
      <c r="X331" s="2088"/>
      <c r="Y331" s="2194"/>
      <c r="Z331" s="2195"/>
      <c r="AA331" s="2197">
        <f t="shared" si="104"/>
        <v>0</v>
      </c>
      <c r="AB331" s="2154"/>
      <c r="AC331" s="2154"/>
      <c r="AD331" s="2155"/>
      <c r="AE331" s="2087">
        <f t="shared" si="105"/>
        <v>0</v>
      </c>
      <c r="AF331" s="2088"/>
      <c r="AG331" s="2088"/>
      <c r="AH331" s="2089"/>
    </row>
    <row r="332" spans="1:34">
      <c r="A332" s="640" t="s">
        <v>551</v>
      </c>
      <c r="B332" s="2175"/>
      <c r="C332" s="2175"/>
      <c r="D332" s="2175"/>
      <c r="E332" s="2174"/>
      <c r="F332" s="2174"/>
      <c r="G332" s="2176"/>
      <c r="H332" s="2176"/>
      <c r="I332" s="2176"/>
      <c r="J332" s="2176"/>
      <c r="K332" s="2176"/>
      <c r="L332" s="2176"/>
      <c r="M332" s="2176"/>
      <c r="N332" s="2176"/>
      <c r="O332" s="2177"/>
      <c r="P332" s="2177"/>
      <c r="Q332" s="2088">
        <f t="shared" si="93"/>
        <v>0</v>
      </c>
      <c r="R332" s="2088"/>
      <c r="S332" s="2088"/>
      <c r="T332" s="2178"/>
      <c r="U332" s="2087">
        <f t="shared" si="94"/>
        <v>0</v>
      </c>
      <c r="V332" s="2088"/>
      <c r="W332" s="2088"/>
      <c r="X332" s="2088"/>
      <c r="Y332" s="2194"/>
      <c r="Z332" s="2195"/>
      <c r="AA332" s="2197">
        <f t="shared" si="97"/>
        <v>0</v>
      </c>
      <c r="AB332" s="2154"/>
      <c r="AC332" s="2154"/>
      <c r="AD332" s="2155"/>
      <c r="AE332" s="2087">
        <f t="shared" si="95"/>
        <v>0</v>
      </c>
      <c r="AF332" s="2088"/>
      <c r="AG332" s="2088"/>
      <c r="AH332" s="2089"/>
    </row>
    <row r="333" spans="1:34" s="623" customFormat="1" ht="13.5" thickBot="1">
      <c r="A333" s="641"/>
      <c r="B333" s="642"/>
      <c r="C333" s="643"/>
      <c r="D333" s="644"/>
      <c r="E333" s="642"/>
      <c r="F333" s="644"/>
      <c r="G333" s="645"/>
      <c r="H333" s="646"/>
      <c r="I333" s="646"/>
      <c r="J333" s="647"/>
      <c r="K333" s="645"/>
      <c r="L333" s="646"/>
      <c r="M333" s="646"/>
      <c r="N333" s="647"/>
      <c r="O333" s="642"/>
      <c r="P333" s="644"/>
      <c r="Q333" s="648"/>
      <c r="R333" s="649"/>
      <c r="S333" s="649"/>
      <c r="T333" s="650"/>
      <c r="U333" s="648"/>
      <c r="V333" s="649"/>
      <c r="W333" s="649"/>
      <c r="X333" s="649"/>
      <c r="Y333" s="2240"/>
      <c r="Z333" s="2241"/>
      <c r="AA333" s="649"/>
      <c r="AB333" s="649"/>
      <c r="AC333" s="649"/>
      <c r="AD333" s="650"/>
      <c r="AE333" s="648"/>
      <c r="AF333" s="649"/>
      <c r="AG333" s="649"/>
      <c r="AH333" s="651"/>
    </row>
    <row r="334" spans="1:34" s="623" customFormat="1" ht="14.25" thickTop="1" thickBot="1">
      <c r="G334" s="652"/>
      <c r="H334" s="652"/>
      <c r="I334" s="652"/>
      <c r="J334" s="652"/>
      <c r="K334" s="652"/>
      <c r="L334" s="652"/>
      <c r="M334" s="652"/>
      <c r="N334" s="652"/>
      <c r="Q334" s="652"/>
      <c r="R334" s="652"/>
      <c r="S334" s="652"/>
      <c r="T334" s="652"/>
      <c r="U334" s="652"/>
      <c r="V334" s="652"/>
      <c r="W334" s="652"/>
      <c r="X334" s="652"/>
      <c r="AA334" s="652"/>
      <c r="AB334" s="652"/>
      <c r="AC334" s="652"/>
      <c r="AD334" s="652"/>
      <c r="AE334" s="652"/>
      <c r="AF334" s="652"/>
      <c r="AG334" s="652"/>
      <c r="AH334" s="652"/>
    </row>
    <row r="335" spans="1:34" s="623" customFormat="1" ht="14.25" thickTop="1" thickBot="1">
      <c r="B335" s="622" t="s">
        <v>552</v>
      </c>
      <c r="G335" s="2171">
        <f>SUM(G317:J332)</f>
        <v>0</v>
      </c>
      <c r="H335" s="2172"/>
      <c r="I335" s="2172"/>
      <c r="J335" s="2173"/>
      <c r="K335" s="2171">
        <f>+SUM(K317:N333)</f>
        <v>0</v>
      </c>
      <c r="L335" s="2172"/>
      <c r="M335" s="2172"/>
      <c r="N335" s="2173"/>
      <c r="Q335" s="2242">
        <f>+SUM(Q317:T333)</f>
        <v>0</v>
      </c>
      <c r="R335" s="2124"/>
      <c r="S335" s="2124"/>
      <c r="T335" s="2125"/>
      <c r="U335" s="2242">
        <f>+SUM(U317:X333)</f>
        <v>0</v>
      </c>
      <c r="V335" s="2124"/>
      <c r="W335" s="2124"/>
      <c r="X335" s="2125"/>
      <c r="AA335" s="2242">
        <f>+SUM(AA317:AD333)</f>
        <v>0</v>
      </c>
      <c r="AB335" s="2124"/>
      <c r="AC335" s="2124"/>
      <c r="AD335" s="2125"/>
      <c r="AE335" s="2242">
        <f>+SUM(AE317:AH333)</f>
        <v>0</v>
      </c>
      <c r="AF335" s="2124"/>
      <c r="AG335" s="2124"/>
      <c r="AH335" s="2125"/>
    </row>
    <row r="336" spans="1:34" s="623" customFormat="1" ht="13.5" thickTop="1"/>
    <row r="337" spans="1:35" s="623" customFormat="1">
      <c r="B337" s="627" t="s">
        <v>377</v>
      </c>
      <c r="C337" s="627" t="s">
        <v>553</v>
      </c>
      <c r="D337" s="628"/>
      <c r="E337" s="628"/>
      <c r="F337" s="628"/>
      <c r="G337" s="628"/>
      <c r="H337" s="628"/>
      <c r="I337" s="628"/>
      <c r="J337" s="628"/>
      <c r="K337" s="628"/>
      <c r="L337" s="628"/>
      <c r="M337" s="628"/>
      <c r="N337" s="628"/>
      <c r="O337" s="628"/>
      <c r="P337" s="628"/>
      <c r="Q337" s="628"/>
      <c r="R337" s="628"/>
      <c r="S337" s="628"/>
      <c r="T337" s="628"/>
      <c r="U337" s="628"/>
      <c r="V337" s="628"/>
      <c r="W337" s="628"/>
      <c r="X337" s="628"/>
      <c r="Y337" s="628"/>
      <c r="Z337" s="628"/>
      <c r="AA337" s="628"/>
      <c r="AB337" s="628"/>
      <c r="AC337" s="628"/>
      <c r="AD337" s="628"/>
      <c r="AE337" s="628"/>
      <c r="AF337" s="628"/>
      <c r="AG337" s="628"/>
      <c r="AH337" s="628"/>
      <c r="AI337" s="628"/>
    </row>
    <row r="338" spans="1:35" s="623" customFormat="1" ht="13.5" thickBot="1"/>
    <row r="339" spans="1:35" s="623" customFormat="1" ht="24" customHeight="1" thickTop="1" thickBot="1">
      <c r="A339" s="2179" t="s">
        <v>360</v>
      </c>
      <c r="B339" s="2222" t="s">
        <v>541</v>
      </c>
      <c r="C339" s="2223"/>
      <c r="D339" s="2224"/>
      <c r="E339" s="2222" t="s">
        <v>542</v>
      </c>
      <c r="F339" s="2228"/>
      <c r="G339" s="2231" t="s">
        <v>543</v>
      </c>
      <c r="H339" s="2232"/>
      <c r="I339" s="2232"/>
      <c r="J339" s="2232"/>
      <c r="K339" s="2232"/>
      <c r="L339" s="2232"/>
      <c r="M339" s="2232"/>
      <c r="N339" s="2233"/>
      <c r="O339" s="2222" t="s">
        <v>544</v>
      </c>
      <c r="P339" s="2228"/>
      <c r="Q339" s="2231" t="s">
        <v>545</v>
      </c>
      <c r="R339" s="2232"/>
      <c r="S339" s="2232"/>
      <c r="T339" s="2232"/>
      <c r="U339" s="2232"/>
      <c r="V339" s="2232"/>
      <c r="W339" s="2232"/>
      <c r="X339" s="2233"/>
      <c r="Y339" s="2222" t="s">
        <v>546</v>
      </c>
      <c r="Z339" s="2228"/>
      <c r="AA339" s="2222" t="s">
        <v>547</v>
      </c>
      <c r="AB339" s="2234"/>
      <c r="AC339" s="2234"/>
      <c r="AD339" s="2228"/>
      <c r="AE339" s="2222" t="s">
        <v>548</v>
      </c>
      <c r="AF339" s="2234"/>
      <c r="AG339" s="2234"/>
      <c r="AH339" s="2236"/>
    </row>
    <row r="340" spans="1:35" s="623" customFormat="1" ht="30" customHeight="1" thickTop="1" thickBot="1">
      <c r="A340" s="2221"/>
      <c r="B340" s="2225"/>
      <c r="C340" s="2226"/>
      <c r="D340" s="2227"/>
      <c r="E340" s="2229"/>
      <c r="F340" s="2230"/>
      <c r="G340" s="2231" t="s">
        <v>549</v>
      </c>
      <c r="H340" s="2232"/>
      <c r="I340" s="2232"/>
      <c r="J340" s="2233"/>
      <c r="K340" s="2231" t="s">
        <v>550</v>
      </c>
      <c r="L340" s="2232"/>
      <c r="M340" s="2232"/>
      <c r="N340" s="2233"/>
      <c r="O340" s="2229"/>
      <c r="P340" s="2230"/>
      <c r="Q340" s="2231" t="s">
        <v>549</v>
      </c>
      <c r="R340" s="2232"/>
      <c r="S340" s="2232"/>
      <c r="T340" s="2233"/>
      <c r="U340" s="2231" t="s">
        <v>550</v>
      </c>
      <c r="V340" s="2232"/>
      <c r="W340" s="2232"/>
      <c r="X340" s="2233"/>
      <c r="Y340" s="2229"/>
      <c r="Z340" s="2230"/>
      <c r="AA340" s="2229"/>
      <c r="AB340" s="2235"/>
      <c r="AC340" s="2235"/>
      <c r="AD340" s="2230"/>
      <c r="AE340" s="2229"/>
      <c r="AF340" s="2235"/>
      <c r="AG340" s="2235"/>
      <c r="AH340" s="2237"/>
    </row>
    <row r="341" spans="1:35" s="623" customFormat="1" ht="13.5" thickTop="1">
      <c r="A341" s="630"/>
      <c r="B341" s="634"/>
      <c r="C341" s="635"/>
      <c r="D341" s="636"/>
      <c r="E341" s="634"/>
      <c r="F341" s="636"/>
      <c r="G341" s="634"/>
      <c r="H341" s="635"/>
      <c r="I341" s="635"/>
      <c r="J341" s="636"/>
      <c r="K341" s="634"/>
      <c r="L341" s="635"/>
      <c r="M341" s="635"/>
      <c r="N341" s="636"/>
      <c r="O341" s="634"/>
      <c r="P341" s="636"/>
      <c r="Q341" s="634"/>
      <c r="R341" s="635"/>
      <c r="S341" s="635"/>
      <c r="T341" s="636"/>
      <c r="U341" s="634"/>
      <c r="V341" s="635"/>
      <c r="W341" s="635"/>
      <c r="X341" s="636"/>
      <c r="Y341" s="634"/>
      <c r="Z341" s="635"/>
      <c r="AA341" s="634"/>
      <c r="AB341" s="635"/>
      <c r="AC341" s="635"/>
      <c r="AD341" s="636"/>
      <c r="AE341" s="634"/>
      <c r="AF341" s="635"/>
      <c r="AG341" s="635"/>
      <c r="AH341" s="637"/>
    </row>
    <row r="342" spans="1:35">
      <c r="A342" s="638">
        <v>1</v>
      </c>
      <c r="B342" s="2175"/>
      <c r="C342" s="2175"/>
      <c r="D342" s="2175"/>
      <c r="E342" s="2174"/>
      <c r="F342" s="2174"/>
      <c r="G342" s="2176"/>
      <c r="H342" s="2176"/>
      <c r="I342" s="2176"/>
      <c r="J342" s="2176"/>
      <c r="K342" s="2176"/>
      <c r="L342" s="2176"/>
      <c r="M342" s="2176"/>
      <c r="N342" s="2176"/>
      <c r="O342" s="2177"/>
      <c r="P342" s="2177"/>
      <c r="Q342" s="2088">
        <f t="shared" ref="Q342:Q357" si="106">G342*O342</f>
        <v>0</v>
      </c>
      <c r="R342" s="2088"/>
      <c r="S342" s="2088"/>
      <c r="T342" s="2178"/>
      <c r="U342" s="2087">
        <f t="shared" ref="U342:U357" si="107">K342*O342</f>
        <v>0</v>
      </c>
      <c r="V342" s="2088"/>
      <c r="W342" s="2088"/>
      <c r="X342" s="2088"/>
      <c r="Y342" s="2194"/>
      <c r="Z342" s="2195"/>
      <c r="AA342" s="2197">
        <f>IF(Y342="",U342,Q342*Y342/100)</f>
        <v>0</v>
      </c>
      <c r="AB342" s="2154"/>
      <c r="AC342" s="2154"/>
      <c r="AD342" s="2155"/>
      <c r="AE342" s="2087">
        <f t="shared" ref="AE342:AE357" si="108">IF(AA342=0,U342,IF(U342&gt;(VALUE(AA342)),VALUE(AA342),U342))</f>
        <v>0</v>
      </c>
      <c r="AF342" s="2088"/>
      <c r="AG342" s="2088"/>
      <c r="AH342" s="2089"/>
    </row>
    <row r="343" spans="1:35">
      <c r="A343" s="1842">
        <f t="shared" ref="A343:A356" si="109">A342+1</f>
        <v>2</v>
      </c>
      <c r="B343" s="2175"/>
      <c r="C343" s="2175"/>
      <c r="D343" s="2175"/>
      <c r="E343" s="2174"/>
      <c r="F343" s="2174"/>
      <c r="G343" s="2176"/>
      <c r="H343" s="2176"/>
      <c r="I343" s="2176"/>
      <c r="J343" s="2176"/>
      <c r="K343" s="2176"/>
      <c r="L343" s="2176"/>
      <c r="M343" s="2176"/>
      <c r="N343" s="2176"/>
      <c r="O343" s="2177"/>
      <c r="P343" s="2177"/>
      <c r="Q343" s="2088">
        <f t="shared" si="106"/>
        <v>0</v>
      </c>
      <c r="R343" s="2088"/>
      <c r="S343" s="2088"/>
      <c r="T343" s="2178"/>
      <c r="U343" s="2087">
        <f t="shared" si="107"/>
        <v>0</v>
      </c>
      <c r="V343" s="2088"/>
      <c r="W343" s="2088"/>
      <c r="X343" s="2088"/>
      <c r="Y343" s="2194"/>
      <c r="Z343" s="2195"/>
      <c r="AA343" s="2197">
        <f t="shared" ref="AA343:AA357" si="110">IF(Y343="",U343,Q343*Y343/100)</f>
        <v>0</v>
      </c>
      <c r="AB343" s="2154"/>
      <c r="AC343" s="2154"/>
      <c r="AD343" s="2155"/>
      <c r="AE343" s="2087">
        <f t="shared" si="108"/>
        <v>0</v>
      </c>
      <c r="AF343" s="2088"/>
      <c r="AG343" s="2088"/>
      <c r="AH343" s="2089"/>
    </row>
    <row r="344" spans="1:35">
      <c r="A344" s="1842">
        <f t="shared" si="109"/>
        <v>3</v>
      </c>
      <c r="B344" s="2175"/>
      <c r="C344" s="2175"/>
      <c r="D344" s="2175"/>
      <c r="E344" s="2174"/>
      <c r="F344" s="2174"/>
      <c r="G344" s="2176"/>
      <c r="H344" s="2176"/>
      <c r="I344" s="2176"/>
      <c r="J344" s="2176"/>
      <c r="K344" s="2176"/>
      <c r="L344" s="2176"/>
      <c r="M344" s="2176"/>
      <c r="N344" s="2176"/>
      <c r="O344" s="2177"/>
      <c r="P344" s="2177"/>
      <c r="Q344" s="2088">
        <f t="shared" si="106"/>
        <v>0</v>
      </c>
      <c r="R344" s="2088"/>
      <c r="S344" s="2088"/>
      <c r="T344" s="2178"/>
      <c r="U344" s="2087">
        <f t="shared" si="107"/>
        <v>0</v>
      </c>
      <c r="V344" s="2088"/>
      <c r="W344" s="2088"/>
      <c r="X344" s="2088"/>
      <c r="Y344" s="2194"/>
      <c r="Z344" s="2195"/>
      <c r="AA344" s="2197">
        <f t="shared" si="110"/>
        <v>0</v>
      </c>
      <c r="AB344" s="2154"/>
      <c r="AC344" s="2154"/>
      <c r="AD344" s="2155"/>
      <c r="AE344" s="2087">
        <f t="shared" si="108"/>
        <v>0</v>
      </c>
      <c r="AF344" s="2088"/>
      <c r="AG344" s="2088"/>
      <c r="AH344" s="2089"/>
    </row>
    <row r="345" spans="1:35">
      <c r="A345" s="1842">
        <f t="shared" si="109"/>
        <v>4</v>
      </c>
      <c r="B345" s="2175"/>
      <c r="C345" s="2175"/>
      <c r="D345" s="2175"/>
      <c r="E345" s="2174"/>
      <c r="F345" s="2174"/>
      <c r="G345" s="2176"/>
      <c r="H345" s="2176"/>
      <c r="I345" s="2176"/>
      <c r="J345" s="2176"/>
      <c r="K345" s="2176"/>
      <c r="L345" s="2176"/>
      <c r="M345" s="2176"/>
      <c r="N345" s="2176"/>
      <c r="O345" s="2177"/>
      <c r="P345" s="2177"/>
      <c r="Q345" s="2088">
        <f t="shared" si="106"/>
        <v>0</v>
      </c>
      <c r="R345" s="2088"/>
      <c r="S345" s="2088"/>
      <c r="T345" s="2178"/>
      <c r="U345" s="2087">
        <f t="shared" si="107"/>
        <v>0</v>
      </c>
      <c r="V345" s="2088"/>
      <c r="W345" s="2088"/>
      <c r="X345" s="2088"/>
      <c r="Y345" s="2194"/>
      <c r="Z345" s="2195"/>
      <c r="AA345" s="2197">
        <f t="shared" si="110"/>
        <v>0</v>
      </c>
      <c r="AB345" s="2154"/>
      <c r="AC345" s="2154"/>
      <c r="AD345" s="2155"/>
      <c r="AE345" s="2087">
        <f t="shared" si="108"/>
        <v>0</v>
      </c>
      <c r="AF345" s="2088"/>
      <c r="AG345" s="2088"/>
      <c r="AH345" s="2089"/>
    </row>
    <row r="346" spans="1:35">
      <c r="A346" s="1842">
        <f t="shared" si="109"/>
        <v>5</v>
      </c>
      <c r="B346" s="2175"/>
      <c r="C346" s="2175"/>
      <c r="D346" s="2175"/>
      <c r="E346" s="2174"/>
      <c r="F346" s="2174"/>
      <c r="G346" s="2176"/>
      <c r="H346" s="2176"/>
      <c r="I346" s="2176"/>
      <c r="J346" s="2176"/>
      <c r="K346" s="2176"/>
      <c r="L346" s="2176"/>
      <c r="M346" s="2176"/>
      <c r="N346" s="2176"/>
      <c r="O346" s="2177"/>
      <c r="P346" s="2177"/>
      <c r="Q346" s="2088">
        <f t="shared" si="106"/>
        <v>0</v>
      </c>
      <c r="R346" s="2088"/>
      <c r="S346" s="2088"/>
      <c r="T346" s="2178"/>
      <c r="U346" s="2087">
        <f t="shared" si="107"/>
        <v>0</v>
      </c>
      <c r="V346" s="2088"/>
      <c r="W346" s="2088"/>
      <c r="X346" s="2088"/>
      <c r="Y346" s="2194"/>
      <c r="Z346" s="2195"/>
      <c r="AA346" s="2197">
        <f t="shared" si="110"/>
        <v>0</v>
      </c>
      <c r="AB346" s="2154"/>
      <c r="AC346" s="2154"/>
      <c r="AD346" s="2155"/>
      <c r="AE346" s="2087">
        <f t="shared" si="108"/>
        <v>0</v>
      </c>
      <c r="AF346" s="2088"/>
      <c r="AG346" s="2088"/>
      <c r="AH346" s="2089"/>
    </row>
    <row r="347" spans="1:35">
      <c r="A347" s="1842">
        <f t="shared" si="109"/>
        <v>6</v>
      </c>
      <c r="B347" s="2175"/>
      <c r="C347" s="2175"/>
      <c r="D347" s="2175"/>
      <c r="E347" s="2174"/>
      <c r="F347" s="2174"/>
      <c r="G347" s="2176"/>
      <c r="H347" s="2176"/>
      <c r="I347" s="2176"/>
      <c r="J347" s="2176"/>
      <c r="K347" s="2176"/>
      <c r="L347" s="2176"/>
      <c r="M347" s="2176"/>
      <c r="N347" s="2176"/>
      <c r="O347" s="2177"/>
      <c r="P347" s="2177"/>
      <c r="Q347" s="2088">
        <f t="shared" si="106"/>
        <v>0</v>
      </c>
      <c r="R347" s="2088"/>
      <c r="S347" s="2088"/>
      <c r="T347" s="2178"/>
      <c r="U347" s="2087">
        <f t="shared" si="107"/>
        <v>0</v>
      </c>
      <c r="V347" s="2088"/>
      <c r="W347" s="2088"/>
      <c r="X347" s="2088"/>
      <c r="Y347" s="2194"/>
      <c r="Z347" s="2195"/>
      <c r="AA347" s="2197">
        <f t="shared" si="110"/>
        <v>0</v>
      </c>
      <c r="AB347" s="2154"/>
      <c r="AC347" s="2154"/>
      <c r="AD347" s="2155"/>
      <c r="AE347" s="2087">
        <f t="shared" si="108"/>
        <v>0</v>
      </c>
      <c r="AF347" s="2088"/>
      <c r="AG347" s="2088"/>
      <c r="AH347" s="2089"/>
    </row>
    <row r="348" spans="1:35">
      <c r="A348" s="1842">
        <f t="shared" si="109"/>
        <v>7</v>
      </c>
      <c r="B348" s="2175"/>
      <c r="C348" s="2175"/>
      <c r="D348" s="2175"/>
      <c r="E348" s="2174"/>
      <c r="F348" s="2174"/>
      <c r="G348" s="2176"/>
      <c r="H348" s="2176"/>
      <c r="I348" s="2176"/>
      <c r="J348" s="2176"/>
      <c r="K348" s="2176"/>
      <c r="L348" s="2176"/>
      <c r="M348" s="2176"/>
      <c r="N348" s="2176"/>
      <c r="O348" s="2177"/>
      <c r="P348" s="2177"/>
      <c r="Q348" s="2088">
        <f t="shared" ref="Q348:Q352" si="111">G348*O348</f>
        <v>0</v>
      </c>
      <c r="R348" s="2088"/>
      <c r="S348" s="2088"/>
      <c r="T348" s="2178"/>
      <c r="U348" s="2087">
        <f t="shared" ref="U348:U352" si="112">K348*O348</f>
        <v>0</v>
      </c>
      <c r="V348" s="2088"/>
      <c r="W348" s="2088"/>
      <c r="X348" s="2088"/>
      <c r="Y348" s="2194"/>
      <c r="Z348" s="2195"/>
      <c r="AA348" s="2197">
        <f t="shared" ref="AA348:AA352" si="113">IF(Y348="",U348,Q348*Y348/100)</f>
        <v>0</v>
      </c>
      <c r="AB348" s="2154"/>
      <c r="AC348" s="2154"/>
      <c r="AD348" s="2155"/>
      <c r="AE348" s="2087">
        <f t="shared" ref="AE348:AE352" si="114">IF(AA348=0,U348,IF(U348&gt;(VALUE(AA348)),VALUE(AA348),U348))</f>
        <v>0</v>
      </c>
      <c r="AF348" s="2088"/>
      <c r="AG348" s="2088"/>
      <c r="AH348" s="2089"/>
    </row>
    <row r="349" spans="1:35">
      <c r="A349" s="1842">
        <f t="shared" si="109"/>
        <v>8</v>
      </c>
      <c r="B349" s="2175"/>
      <c r="C349" s="2175"/>
      <c r="D349" s="2175"/>
      <c r="E349" s="2174"/>
      <c r="F349" s="2174"/>
      <c r="G349" s="2176"/>
      <c r="H349" s="2176"/>
      <c r="I349" s="2176"/>
      <c r="J349" s="2176"/>
      <c r="K349" s="2176"/>
      <c r="L349" s="2176"/>
      <c r="M349" s="2176"/>
      <c r="N349" s="2176"/>
      <c r="O349" s="2177"/>
      <c r="P349" s="2177"/>
      <c r="Q349" s="2088">
        <f t="shared" si="111"/>
        <v>0</v>
      </c>
      <c r="R349" s="2088"/>
      <c r="S349" s="2088"/>
      <c r="T349" s="2178"/>
      <c r="U349" s="2087">
        <f t="shared" si="112"/>
        <v>0</v>
      </c>
      <c r="V349" s="2088"/>
      <c r="W349" s="2088"/>
      <c r="X349" s="2088"/>
      <c r="Y349" s="2194"/>
      <c r="Z349" s="2195"/>
      <c r="AA349" s="2197">
        <f t="shared" si="113"/>
        <v>0</v>
      </c>
      <c r="AB349" s="2154"/>
      <c r="AC349" s="2154"/>
      <c r="AD349" s="2155"/>
      <c r="AE349" s="2087">
        <f t="shared" si="114"/>
        <v>0</v>
      </c>
      <c r="AF349" s="2088"/>
      <c r="AG349" s="2088"/>
      <c r="AH349" s="2089"/>
    </row>
    <row r="350" spans="1:35">
      <c r="A350" s="1842">
        <f t="shared" si="109"/>
        <v>9</v>
      </c>
      <c r="B350" s="2175"/>
      <c r="C350" s="2175"/>
      <c r="D350" s="2175"/>
      <c r="E350" s="2174"/>
      <c r="F350" s="2174"/>
      <c r="G350" s="2176"/>
      <c r="H350" s="2176"/>
      <c r="I350" s="2176"/>
      <c r="J350" s="2176"/>
      <c r="K350" s="2176"/>
      <c r="L350" s="2176"/>
      <c r="M350" s="2176"/>
      <c r="N350" s="2176"/>
      <c r="O350" s="2177"/>
      <c r="P350" s="2177"/>
      <c r="Q350" s="2088">
        <f t="shared" si="111"/>
        <v>0</v>
      </c>
      <c r="R350" s="2088"/>
      <c r="S350" s="2088"/>
      <c r="T350" s="2178"/>
      <c r="U350" s="2087">
        <f t="shared" si="112"/>
        <v>0</v>
      </c>
      <c r="V350" s="2088"/>
      <c r="W350" s="2088"/>
      <c r="X350" s="2088"/>
      <c r="Y350" s="2194"/>
      <c r="Z350" s="2195"/>
      <c r="AA350" s="2197">
        <f t="shared" si="113"/>
        <v>0</v>
      </c>
      <c r="AB350" s="2154"/>
      <c r="AC350" s="2154"/>
      <c r="AD350" s="2155"/>
      <c r="AE350" s="2087">
        <f t="shared" si="114"/>
        <v>0</v>
      </c>
      <c r="AF350" s="2088"/>
      <c r="AG350" s="2088"/>
      <c r="AH350" s="2089"/>
    </row>
    <row r="351" spans="1:35">
      <c r="A351" s="1842">
        <f t="shared" si="109"/>
        <v>10</v>
      </c>
      <c r="B351" s="2175"/>
      <c r="C351" s="2175"/>
      <c r="D351" s="2175"/>
      <c r="E351" s="2174"/>
      <c r="F351" s="2174"/>
      <c r="G351" s="2176"/>
      <c r="H351" s="2176"/>
      <c r="I351" s="2176"/>
      <c r="J351" s="2176"/>
      <c r="K351" s="2176"/>
      <c r="L351" s="2176"/>
      <c r="M351" s="2176"/>
      <c r="N351" s="2176"/>
      <c r="O351" s="2177"/>
      <c r="P351" s="2177"/>
      <c r="Q351" s="2088">
        <f t="shared" si="111"/>
        <v>0</v>
      </c>
      <c r="R351" s="2088"/>
      <c r="S351" s="2088"/>
      <c r="T351" s="2178"/>
      <c r="U351" s="2087">
        <f t="shared" si="112"/>
        <v>0</v>
      </c>
      <c r="V351" s="2088"/>
      <c r="W351" s="2088"/>
      <c r="X351" s="2088"/>
      <c r="Y351" s="2194"/>
      <c r="Z351" s="2195"/>
      <c r="AA351" s="2197">
        <f t="shared" si="113"/>
        <v>0</v>
      </c>
      <c r="AB351" s="2154"/>
      <c r="AC351" s="2154"/>
      <c r="AD351" s="2155"/>
      <c r="AE351" s="2087">
        <f t="shared" si="114"/>
        <v>0</v>
      </c>
      <c r="AF351" s="2088"/>
      <c r="AG351" s="2088"/>
      <c r="AH351" s="2089"/>
    </row>
    <row r="352" spans="1:35">
      <c r="A352" s="1842">
        <f t="shared" si="109"/>
        <v>11</v>
      </c>
      <c r="B352" s="2175"/>
      <c r="C352" s="2175"/>
      <c r="D352" s="2175"/>
      <c r="E352" s="2174"/>
      <c r="F352" s="2174"/>
      <c r="G352" s="2176"/>
      <c r="H352" s="2176"/>
      <c r="I352" s="2176"/>
      <c r="J352" s="2176"/>
      <c r="K352" s="2176"/>
      <c r="L352" s="2176"/>
      <c r="M352" s="2176"/>
      <c r="N352" s="2176"/>
      <c r="O352" s="2177"/>
      <c r="P352" s="2177"/>
      <c r="Q352" s="2088">
        <f t="shared" si="111"/>
        <v>0</v>
      </c>
      <c r="R352" s="2088"/>
      <c r="S352" s="2088"/>
      <c r="T352" s="2178"/>
      <c r="U352" s="2087">
        <f t="shared" si="112"/>
        <v>0</v>
      </c>
      <c r="V352" s="2088"/>
      <c r="W352" s="2088"/>
      <c r="X352" s="2088"/>
      <c r="Y352" s="2194"/>
      <c r="Z352" s="2195"/>
      <c r="AA352" s="2197">
        <f t="shared" si="113"/>
        <v>0</v>
      </c>
      <c r="AB352" s="2154"/>
      <c r="AC352" s="2154"/>
      <c r="AD352" s="2155"/>
      <c r="AE352" s="2087">
        <f t="shared" si="114"/>
        <v>0</v>
      </c>
      <c r="AF352" s="2088"/>
      <c r="AG352" s="2088"/>
      <c r="AH352" s="2089"/>
    </row>
    <row r="353" spans="1:35">
      <c r="A353" s="1842">
        <f t="shared" si="109"/>
        <v>12</v>
      </c>
      <c r="B353" s="2175"/>
      <c r="C353" s="2175"/>
      <c r="D353" s="2175"/>
      <c r="E353" s="2174"/>
      <c r="F353" s="2174"/>
      <c r="G353" s="2176"/>
      <c r="H353" s="2176"/>
      <c r="I353" s="2176"/>
      <c r="J353" s="2176"/>
      <c r="K353" s="2176"/>
      <c r="L353" s="2176"/>
      <c r="M353" s="2176"/>
      <c r="N353" s="2176"/>
      <c r="O353" s="2177"/>
      <c r="P353" s="2177"/>
      <c r="Q353" s="2088">
        <f t="shared" ref="Q353:Q356" si="115">G353*O353</f>
        <v>0</v>
      </c>
      <c r="R353" s="2088"/>
      <c r="S353" s="2088"/>
      <c r="T353" s="2178"/>
      <c r="U353" s="2087">
        <f t="shared" ref="U353:U356" si="116">K353*O353</f>
        <v>0</v>
      </c>
      <c r="V353" s="2088"/>
      <c r="W353" s="2088"/>
      <c r="X353" s="2088"/>
      <c r="Y353" s="2194"/>
      <c r="Z353" s="2195"/>
      <c r="AA353" s="2197">
        <f t="shared" ref="AA353:AA356" si="117">IF(Y353="",U353,Q353*Y353/100)</f>
        <v>0</v>
      </c>
      <c r="AB353" s="2154"/>
      <c r="AC353" s="2154"/>
      <c r="AD353" s="2155"/>
      <c r="AE353" s="2087">
        <f t="shared" ref="AE353:AE356" si="118">IF(AA353=0,U353,IF(U353&gt;(VALUE(AA353)),VALUE(AA353),U353))</f>
        <v>0</v>
      </c>
      <c r="AF353" s="2088"/>
      <c r="AG353" s="2088"/>
      <c r="AH353" s="2089"/>
    </row>
    <row r="354" spans="1:35">
      <c r="A354" s="1842">
        <f t="shared" si="109"/>
        <v>13</v>
      </c>
      <c r="B354" s="2175"/>
      <c r="C354" s="2175"/>
      <c r="D354" s="2175"/>
      <c r="E354" s="2174"/>
      <c r="F354" s="2174"/>
      <c r="G354" s="2176"/>
      <c r="H354" s="2176"/>
      <c r="I354" s="2176"/>
      <c r="J354" s="2176"/>
      <c r="K354" s="2176"/>
      <c r="L354" s="2176"/>
      <c r="M354" s="2176"/>
      <c r="N354" s="2176"/>
      <c r="O354" s="2177"/>
      <c r="P354" s="2177"/>
      <c r="Q354" s="2088">
        <f t="shared" si="115"/>
        <v>0</v>
      </c>
      <c r="R354" s="2088"/>
      <c r="S354" s="2088"/>
      <c r="T354" s="2178"/>
      <c r="U354" s="2087">
        <f t="shared" si="116"/>
        <v>0</v>
      </c>
      <c r="V354" s="2088"/>
      <c r="W354" s="2088"/>
      <c r="X354" s="2088"/>
      <c r="Y354" s="2194"/>
      <c r="Z354" s="2195"/>
      <c r="AA354" s="2197">
        <f t="shared" si="117"/>
        <v>0</v>
      </c>
      <c r="AB354" s="2154"/>
      <c r="AC354" s="2154"/>
      <c r="AD354" s="2155"/>
      <c r="AE354" s="2087">
        <f t="shared" si="118"/>
        <v>0</v>
      </c>
      <c r="AF354" s="2088"/>
      <c r="AG354" s="2088"/>
      <c r="AH354" s="2089"/>
    </row>
    <row r="355" spans="1:35">
      <c r="A355" s="1842">
        <f t="shared" si="109"/>
        <v>14</v>
      </c>
      <c r="B355" s="2175"/>
      <c r="C355" s="2175"/>
      <c r="D355" s="2175"/>
      <c r="E355" s="2174"/>
      <c r="F355" s="2174"/>
      <c r="G355" s="2176"/>
      <c r="H355" s="2176"/>
      <c r="I355" s="2176"/>
      <c r="J355" s="2176"/>
      <c r="K355" s="2176"/>
      <c r="L355" s="2176"/>
      <c r="M355" s="2176"/>
      <c r="N355" s="2176"/>
      <c r="O355" s="2177"/>
      <c r="P355" s="2177"/>
      <c r="Q355" s="2088">
        <f t="shared" si="115"/>
        <v>0</v>
      </c>
      <c r="R355" s="2088"/>
      <c r="S355" s="2088"/>
      <c r="T355" s="2178"/>
      <c r="U355" s="2087">
        <f t="shared" si="116"/>
        <v>0</v>
      </c>
      <c r="V355" s="2088"/>
      <c r="W355" s="2088"/>
      <c r="X355" s="2088"/>
      <c r="Y355" s="2194"/>
      <c r="Z355" s="2195"/>
      <c r="AA355" s="2197">
        <f t="shared" si="117"/>
        <v>0</v>
      </c>
      <c r="AB355" s="2154"/>
      <c r="AC355" s="2154"/>
      <c r="AD355" s="2155"/>
      <c r="AE355" s="2087">
        <f t="shared" si="118"/>
        <v>0</v>
      </c>
      <c r="AF355" s="2088"/>
      <c r="AG355" s="2088"/>
      <c r="AH355" s="2089"/>
    </row>
    <row r="356" spans="1:35">
      <c r="A356" s="1842">
        <f t="shared" si="109"/>
        <v>15</v>
      </c>
      <c r="B356" s="2175"/>
      <c r="C356" s="2175"/>
      <c r="D356" s="2175"/>
      <c r="E356" s="2174"/>
      <c r="F356" s="2174"/>
      <c r="G356" s="2176"/>
      <c r="H356" s="2176"/>
      <c r="I356" s="2176"/>
      <c r="J356" s="2176"/>
      <c r="K356" s="2176"/>
      <c r="L356" s="2176"/>
      <c r="M356" s="2176"/>
      <c r="N356" s="2176"/>
      <c r="O356" s="2177"/>
      <c r="P356" s="2177"/>
      <c r="Q356" s="2088">
        <f t="shared" si="115"/>
        <v>0</v>
      </c>
      <c r="R356" s="2088"/>
      <c r="S356" s="2088"/>
      <c r="T356" s="2178"/>
      <c r="U356" s="2087">
        <f t="shared" si="116"/>
        <v>0</v>
      </c>
      <c r="V356" s="2088"/>
      <c r="W356" s="2088"/>
      <c r="X356" s="2088"/>
      <c r="Y356" s="2194"/>
      <c r="Z356" s="2195"/>
      <c r="AA356" s="2197">
        <f t="shared" si="117"/>
        <v>0</v>
      </c>
      <c r="AB356" s="2154"/>
      <c r="AC356" s="2154"/>
      <c r="AD356" s="2155"/>
      <c r="AE356" s="2087">
        <f t="shared" si="118"/>
        <v>0</v>
      </c>
      <c r="AF356" s="2088"/>
      <c r="AG356" s="2088"/>
      <c r="AH356" s="2089"/>
    </row>
    <row r="357" spans="1:35">
      <c r="A357" s="640" t="s">
        <v>551</v>
      </c>
      <c r="B357" s="2175"/>
      <c r="C357" s="2175"/>
      <c r="D357" s="2175"/>
      <c r="E357" s="2174"/>
      <c r="F357" s="2174"/>
      <c r="G357" s="2176"/>
      <c r="H357" s="2176"/>
      <c r="I357" s="2176"/>
      <c r="J357" s="2176"/>
      <c r="K357" s="2176"/>
      <c r="L357" s="2176"/>
      <c r="M357" s="2176"/>
      <c r="N357" s="2176"/>
      <c r="O357" s="2177"/>
      <c r="P357" s="2177"/>
      <c r="Q357" s="2088">
        <f t="shared" si="106"/>
        <v>0</v>
      </c>
      <c r="R357" s="2088"/>
      <c r="S357" s="2088"/>
      <c r="T357" s="2178"/>
      <c r="U357" s="2087">
        <f t="shared" si="107"/>
        <v>0</v>
      </c>
      <c r="V357" s="2088"/>
      <c r="W357" s="2088"/>
      <c r="X357" s="2088"/>
      <c r="Y357" s="2194"/>
      <c r="Z357" s="2195"/>
      <c r="AA357" s="2197">
        <f t="shared" si="110"/>
        <v>0</v>
      </c>
      <c r="AB357" s="2154"/>
      <c r="AC357" s="2154"/>
      <c r="AD357" s="2155"/>
      <c r="AE357" s="2087">
        <f t="shared" si="108"/>
        <v>0</v>
      </c>
      <c r="AF357" s="2088"/>
      <c r="AG357" s="2088"/>
      <c r="AH357" s="2089"/>
    </row>
    <row r="358" spans="1:35" s="623" customFormat="1" ht="13.5" thickBot="1">
      <c r="A358" s="641"/>
      <c r="B358" s="653"/>
      <c r="C358" s="654"/>
      <c r="D358" s="655"/>
      <c r="E358" s="653"/>
      <c r="F358" s="655"/>
      <c r="G358" s="653"/>
      <c r="H358" s="654"/>
      <c r="I358" s="654"/>
      <c r="J358" s="655"/>
      <c r="K358" s="653"/>
      <c r="L358" s="654"/>
      <c r="M358" s="654"/>
      <c r="N358" s="655"/>
      <c r="O358" s="653"/>
      <c r="P358" s="655"/>
      <c r="Q358" s="648"/>
      <c r="R358" s="649"/>
      <c r="S358" s="649"/>
      <c r="T358" s="650"/>
      <c r="U358" s="648"/>
      <c r="V358" s="649"/>
      <c r="W358" s="649"/>
      <c r="X358" s="650"/>
      <c r="Y358" s="653"/>
      <c r="Z358" s="654"/>
      <c r="AA358" s="648"/>
      <c r="AB358" s="649"/>
      <c r="AC358" s="649"/>
      <c r="AD358" s="650"/>
      <c r="AE358" s="648"/>
      <c r="AF358" s="649"/>
      <c r="AG358" s="649"/>
      <c r="AH358" s="651"/>
    </row>
    <row r="359" spans="1:35" s="623" customFormat="1" ht="14.25" thickTop="1" thickBot="1">
      <c r="AA359" s="652"/>
      <c r="AB359" s="652"/>
      <c r="AC359" s="652"/>
      <c r="AD359" s="652"/>
      <c r="AE359" s="652"/>
      <c r="AF359" s="652"/>
      <c r="AG359" s="652"/>
      <c r="AH359" s="652"/>
    </row>
    <row r="360" spans="1:35" s="623" customFormat="1" ht="14.25" thickTop="1" thickBot="1">
      <c r="B360" s="622" t="s">
        <v>552</v>
      </c>
      <c r="G360" s="2171">
        <f>+SUM(G342:J358)</f>
        <v>0</v>
      </c>
      <c r="H360" s="2172"/>
      <c r="I360" s="2172"/>
      <c r="J360" s="2173"/>
      <c r="K360" s="2171">
        <f>+SUM(K342:N358)</f>
        <v>0</v>
      </c>
      <c r="L360" s="2172"/>
      <c r="M360" s="2172"/>
      <c r="N360" s="2173"/>
      <c r="Q360" s="2242">
        <f>+SUM(Q342:T358)</f>
        <v>0</v>
      </c>
      <c r="R360" s="2124"/>
      <c r="S360" s="2124"/>
      <c r="T360" s="2125"/>
      <c r="U360" s="2242">
        <f>+SUM(U342:X358)</f>
        <v>0</v>
      </c>
      <c r="V360" s="2124"/>
      <c r="W360" s="2124"/>
      <c r="X360" s="2125"/>
      <c r="AA360" s="2242">
        <f>+SUM(AA342:AD358)</f>
        <v>0</v>
      </c>
      <c r="AB360" s="2124"/>
      <c r="AC360" s="2124"/>
      <c r="AD360" s="2125"/>
      <c r="AE360" s="2242">
        <f>+SUM(AE342:AH358)</f>
        <v>0</v>
      </c>
      <c r="AF360" s="2124"/>
      <c r="AG360" s="2124"/>
      <c r="AH360" s="2125"/>
    </row>
    <row r="361" spans="1:35" s="623" customFormat="1" ht="13.5" collapsed="1" thickTop="1"/>
    <row r="362" spans="1:35" s="623" customFormat="1">
      <c r="B362" s="627" t="s">
        <v>418</v>
      </c>
      <c r="C362" s="627" t="s">
        <v>554</v>
      </c>
      <c r="D362" s="628"/>
      <c r="E362" s="628"/>
      <c r="F362" s="628"/>
      <c r="G362" s="628"/>
      <c r="H362" s="628"/>
      <c r="I362" s="656"/>
      <c r="J362" s="656"/>
      <c r="K362" s="656"/>
      <c r="L362" s="656"/>
      <c r="M362" s="656"/>
      <c r="N362" s="656"/>
      <c r="O362" s="656"/>
      <c r="P362" s="656"/>
      <c r="Q362" s="628"/>
      <c r="R362" s="628"/>
      <c r="S362" s="628"/>
      <c r="T362" s="628"/>
      <c r="U362" s="628"/>
      <c r="V362" s="628"/>
      <c r="W362" s="628"/>
      <c r="X362" s="628"/>
      <c r="Y362" s="628"/>
      <c r="Z362" s="628"/>
      <c r="AA362" s="628"/>
      <c r="AB362" s="628"/>
      <c r="AC362" s="628"/>
      <c r="AD362" s="628"/>
      <c r="AE362" s="628"/>
      <c r="AF362" s="628"/>
      <c r="AG362" s="628"/>
      <c r="AH362" s="628"/>
      <c r="AI362" s="628"/>
    </row>
    <row r="363" spans="1:35" s="623" customFormat="1" ht="13.5" thickBot="1">
      <c r="M363" s="2193"/>
      <c r="N363" s="2193"/>
      <c r="O363" s="2193"/>
      <c r="P363" s="2193"/>
      <c r="Q363" s="2193"/>
      <c r="R363" s="2193"/>
      <c r="S363" s="2193"/>
      <c r="T363" s="2193"/>
      <c r="U363" s="2193"/>
      <c r="V363" s="2193"/>
      <c r="W363" s="2193"/>
      <c r="X363" s="2193"/>
    </row>
    <row r="364" spans="1:35" s="623" customFormat="1" ht="24" customHeight="1" thickTop="1" thickBot="1">
      <c r="A364" s="2179" t="s">
        <v>360</v>
      </c>
      <c r="B364" s="2222" t="s">
        <v>541</v>
      </c>
      <c r="C364" s="2223"/>
      <c r="D364" s="2224"/>
      <c r="E364" s="2222" t="s">
        <v>542</v>
      </c>
      <c r="F364" s="2228"/>
      <c r="G364" s="2231" t="s">
        <v>543</v>
      </c>
      <c r="H364" s="2232"/>
      <c r="I364" s="2232"/>
      <c r="J364" s="2232"/>
      <c r="K364" s="2232"/>
      <c r="L364" s="2232"/>
      <c r="M364" s="2232"/>
      <c r="N364" s="2233"/>
      <c r="O364" s="2222" t="s">
        <v>544</v>
      </c>
      <c r="P364" s="2228"/>
      <c r="Q364" s="2231" t="s">
        <v>545</v>
      </c>
      <c r="R364" s="2232"/>
      <c r="S364" s="2232"/>
      <c r="T364" s="2232"/>
      <c r="U364" s="2232"/>
      <c r="V364" s="2232"/>
      <c r="W364" s="2232"/>
      <c r="X364" s="2233"/>
      <c r="Y364" s="2222" t="s">
        <v>546</v>
      </c>
      <c r="Z364" s="2228"/>
      <c r="AA364" s="2222" t="s">
        <v>547</v>
      </c>
      <c r="AB364" s="2234"/>
      <c r="AC364" s="2234"/>
      <c r="AD364" s="2228"/>
      <c r="AE364" s="2222" t="s">
        <v>548</v>
      </c>
      <c r="AF364" s="2234"/>
      <c r="AG364" s="2234"/>
      <c r="AH364" s="2236"/>
    </row>
    <row r="365" spans="1:35" s="623" customFormat="1" ht="30" customHeight="1" thickTop="1" thickBot="1">
      <c r="A365" s="2221"/>
      <c r="B365" s="2225"/>
      <c r="C365" s="2226"/>
      <c r="D365" s="2227"/>
      <c r="E365" s="2229"/>
      <c r="F365" s="2230"/>
      <c r="G365" s="2231" t="s">
        <v>549</v>
      </c>
      <c r="H365" s="2232"/>
      <c r="I365" s="2232"/>
      <c r="J365" s="2233"/>
      <c r="K365" s="2231" t="s">
        <v>550</v>
      </c>
      <c r="L365" s="2232"/>
      <c r="M365" s="2232"/>
      <c r="N365" s="2233"/>
      <c r="O365" s="2229"/>
      <c r="P365" s="2230"/>
      <c r="Q365" s="2231" t="s">
        <v>549</v>
      </c>
      <c r="R365" s="2232"/>
      <c r="S365" s="2232"/>
      <c r="T365" s="2233"/>
      <c r="U365" s="2231" t="s">
        <v>550</v>
      </c>
      <c r="V365" s="2232"/>
      <c r="W365" s="2232"/>
      <c r="X365" s="2233"/>
      <c r="Y365" s="2229"/>
      <c r="Z365" s="2230"/>
      <c r="AA365" s="2229"/>
      <c r="AB365" s="2235"/>
      <c r="AC365" s="2235"/>
      <c r="AD365" s="2230"/>
      <c r="AE365" s="2229"/>
      <c r="AF365" s="2235"/>
      <c r="AG365" s="2235"/>
      <c r="AH365" s="2237"/>
    </row>
    <row r="366" spans="1:35" s="623" customFormat="1" ht="13.5" thickTop="1">
      <c r="A366" s="630"/>
      <c r="B366" s="634"/>
      <c r="C366" s="635"/>
      <c r="D366" s="636"/>
      <c r="E366" s="634"/>
      <c r="F366" s="636"/>
      <c r="G366" s="634"/>
      <c r="H366" s="635"/>
      <c r="I366" s="635"/>
      <c r="J366" s="636"/>
      <c r="K366" s="634"/>
      <c r="L366" s="635"/>
      <c r="M366" s="635"/>
      <c r="N366" s="636"/>
      <c r="O366" s="634"/>
      <c r="P366" s="636"/>
      <c r="Q366" s="634"/>
      <c r="R366" s="635"/>
      <c r="S366" s="635"/>
      <c r="T366" s="636"/>
      <c r="U366" s="634"/>
      <c r="V366" s="635"/>
      <c r="W366" s="635"/>
      <c r="X366" s="636"/>
      <c r="Y366" s="634"/>
      <c r="Z366" s="635"/>
      <c r="AA366" s="634"/>
      <c r="AB366" s="635"/>
      <c r="AC366" s="635"/>
      <c r="AD366" s="636"/>
      <c r="AE366" s="634"/>
      <c r="AF366" s="635"/>
      <c r="AG366" s="635"/>
      <c r="AH366" s="637"/>
    </row>
    <row r="367" spans="1:35">
      <c r="A367" s="657">
        <v>1</v>
      </c>
      <c r="B367" s="2175"/>
      <c r="C367" s="2175"/>
      <c r="D367" s="2175"/>
      <c r="E367" s="2174"/>
      <c r="F367" s="2174"/>
      <c r="G367" s="2176"/>
      <c r="H367" s="2176"/>
      <c r="I367" s="2176"/>
      <c r="J367" s="2176"/>
      <c r="K367" s="2176"/>
      <c r="L367" s="2176"/>
      <c r="M367" s="2176"/>
      <c r="N367" s="2176"/>
      <c r="O367" s="2177"/>
      <c r="P367" s="2177"/>
      <c r="Q367" s="2088">
        <f t="shared" ref="Q367:Q382" si="119">G367*O367</f>
        <v>0</v>
      </c>
      <c r="R367" s="2088"/>
      <c r="S367" s="2088"/>
      <c r="T367" s="2178"/>
      <c r="U367" s="2087">
        <f t="shared" ref="U367:U382" si="120">K367*O367</f>
        <v>0</v>
      </c>
      <c r="V367" s="2088"/>
      <c r="W367" s="2088"/>
      <c r="X367" s="2088"/>
      <c r="Y367" s="2194"/>
      <c r="Z367" s="2195"/>
      <c r="AA367" s="2196">
        <f t="shared" ref="AA367:AA382" si="121">IF(Y367="",U367,Q367*Y367/100)</f>
        <v>0</v>
      </c>
      <c r="AB367" s="2154"/>
      <c r="AC367" s="2154"/>
      <c r="AD367" s="2155"/>
      <c r="AE367" s="2087">
        <f t="shared" ref="AE367:AE382" si="122">IF(AA367=0,U367,IF(U367&gt;(VALUE(AA367)),VALUE(AA367),U367))</f>
        <v>0</v>
      </c>
      <c r="AF367" s="2088"/>
      <c r="AG367" s="2088"/>
      <c r="AH367" s="2089"/>
    </row>
    <row r="368" spans="1:35">
      <c r="A368" s="1845">
        <f t="shared" ref="A368:A381" si="123">A367+1</f>
        <v>2</v>
      </c>
      <c r="B368" s="2175"/>
      <c r="C368" s="2175"/>
      <c r="D368" s="2175"/>
      <c r="E368" s="2174"/>
      <c r="F368" s="2174"/>
      <c r="G368" s="2176"/>
      <c r="H368" s="2176"/>
      <c r="I368" s="2176"/>
      <c r="J368" s="2176"/>
      <c r="K368" s="2176"/>
      <c r="L368" s="2176"/>
      <c r="M368" s="2176"/>
      <c r="N368" s="2176"/>
      <c r="O368" s="2177"/>
      <c r="P368" s="2177"/>
      <c r="Q368" s="2087">
        <f t="shared" si="119"/>
        <v>0</v>
      </c>
      <c r="R368" s="2088"/>
      <c r="S368" s="2088"/>
      <c r="T368" s="2178"/>
      <c r="U368" s="2087">
        <f t="shared" si="120"/>
        <v>0</v>
      </c>
      <c r="V368" s="2088"/>
      <c r="W368" s="2088"/>
      <c r="X368" s="2178"/>
      <c r="Y368" s="2194"/>
      <c r="Z368" s="2195"/>
      <c r="AA368" s="2196">
        <f t="shared" si="121"/>
        <v>0</v>
      </c>
      <c r="AB368" s="2154"/>
      <c r="AC368" s="2154"/>
      <c r="AD368" s="2155"/>
      <c r="AE368" s="2087">
        <f t="shared" si="122"/>
        <v>0</v>
      </c>
      <c r="AF368" s="2088"/>
      <c r="AG368" s="2088"/>
      <c r="AH368" s="2089"/>
    </row>
    <row r="369" spans="1:34">
      <c r="A369" s="1845">
        <f t="shared" si="123"/>
        <v>3</v>
      </c>
      <c r="B369" s="2175"/>
      <c r="C369" s="2175"/>
      <c r="D369" s="2175"/>
      <c r="E369" s="2174"/>
      <c r="F369" s="2174"/>
      <c r="G369" s="2176"/>
      <c r="H369" s="2176"/>
      <c r="I369" s="2176"/>
      <c r="J369" s="2176"/>
      <c r="K369" s="2176"/>
      <c r="L369" s="2176"/>
      <c r="M369" s="2176"/>
      <c r="N369" s="2176"/>
      <c r="O369" s="2177"/>
      <c r="P369" s="2177"/>
      <c r="Q369" s="2087">
        <f t="shared" si="119"/>
        <v>0</v>
      </c>
      <c r="R369" s="2088"/>
      <c r="S369" s="2088"/>
      <c r="T369" s="2178"/>
      <c r="U369" s="2087">
        <f t="shared" si="120"/>
        <v>0</v>
      </c>
      <c r="V369" s="2088"/>
      <c r="W369" s="2088"/>
      <c r="X369" s="2178"/>
      <c r="Y369" s="2194"/>
      <c r="Z369" s="2195"/>
      <c r="AA369" s="2196">
        <f t="shared" si="121"/>
        <v>0</v>
      </c>
      <c r="AB369" s="2154"/>
      <c r="AC369" s="2154"/>
      <c r="AD369" s="2155"/>
      <c r="AE369" s="2087">
        <f t="shared" si="122"/>
        <v>0</v>
      </c>
      <c r="AF369" s="2088"/>
      <c r="AG369" s="2088"/>
      <c r="AH369" s="2089"/>
    </row>
    <row r="370" spans="1:34">
      <c r="A370" s="1845">
        <f t="shared" si="123"/>
        <v>4</v>
      </c>
      <c r="B370" s="2175"/>
      <c r="C370" s="2175"/>
      <c r="D370" s="2175"/>
      <c r="E370" s="2174"/>
      <c r="F370" s="2174"/>
      <c r="G370" s="2176"/>
      <c r="H370" s="2176"/>
      <c r="I370" s="2176"/>
      <c r="J370" s="2176"/>
      <c r="K370" s="2176"/>
      <c r="L370" s="2176"/>
      <c r="M370" s="2176"/>
      <c r="N370" s="2176"/>
      <c r="O370" s="2177"/>
      <c r="P370" s="2177"/>
      <c r="Q370" s="2087">
        <f t="shared" si="119"/>
        <v>0</v>
      </c>
      <c r="R370" s="2088"/>
      <c r="S370" s="2088"/>
      <c r="T370" s="2178"/>
      <c r="U370" s="2087">
        <f t="shared" si="120"/>
        <v>0</v>
      </c>
      <c r="V370" s="2088"/>
      <c r="W370" s="2088"/>
      <c r="X370" s="2178"/>
      <c r="Y370" s="2194"/>
      <c r="Z370" s="2195"/>
      <c r="AA370" s="2196">
        <f t="shared" si="121"/>
        <v>0</v>
      </c>
      <c r="AB370" s="2154"/>
      <c r="AC370" s="2154"/>
      <c r="AD370" s="2155"/>
      <c r="AE370" s="2087">
        <f t="shared" si="122"/>
        <v>0</v>
      </c>
      <c r="AF370" s="2088"/>
      <c r="AG370" s="2088"/>
      <c r="AH370" s="2089"/>
    </row>
    <row r="371" spans="1:34">
      <c r="A371" s="1845">
        <f t="shared" si="123"/>
        <v>5</v>
      </c>
      <c r="B371" s="2175"/>
      <c r="C371" s="2175"/>
      <c r="D371" s="2175"/>
      <c r="E371" s="2174"/>
      <c r="F371" s="2174"/>
      <c r="G371" s="2176"/>
      <c r="H371" s="2176"/>
      <c r="I371" s="2176"/>
      <c r="J371" s="2176"/>
      <c r="K371" s="2176"/>
      <c r="L371" s="2176"/>
      <c r="M371" s="2176"/>
      <c r="N371" s="2176"/>
      <c r="O371" s="2177"/>
      <c r="P371" s="2177"/>
      <c r="Q371" s="2087">
        <f t="shared" si="119"/>
        <v>0</v>
      </c>
      <c r="R371" s="2088"/>
      <c r="S371" s="2088"/>
      <c r="T371" s="2178"/>
      <c r="U371" s="2087">
        <f t="shared" si="120"/>
        <v>0</v>
      </c>
      <c r="V371" s="2088"/>
      <c r="W371" s="2088"/>
      <c r="X371" s="2178"/>
      <c r="Y371" s="2194"/>
      <c r="Z371" s="2195"/>
      <c r="AA371" s="2196">
        <f t="shared" si="121"/>
        <v>0</v>
      </c>
      <c r="AB371" s="2154"/>
      <c r="AC371" s="2154"/>
      <c r="AD371" s="2155"/>
      <c r="AE371" s="2087">
        <f t="shared" si="122"/>
        <v>0</v>
      </c>
      <c r="AF371" s="2088"/>
      <c r="AG371" s="2088"/>
      <c r="AH371" s="2089"/>
    </row>
    <row r="372" spans="1:34">
      <c r="A372" s="1845">
        <f t="shared" si="123"/>
        <v>6</v>
      </c>
      <c r="B372" s="2175"/>
      <c r="C372" s="2175"/>
      <c r="D372" s="2175"/>
      <c r="E372" s="2174"/>
      <c r="F372" s="2174"/>
      <c r="G372" s="2176"/>
      <c r="H372" s="2176"/>
      <c r="I372" s="2176"/>
      <c r="J372" s="2176"/>
      <c r="K372" s="2176"/>
      <c r="L372" s="2176"/>
      <c r="M372" s="2176"/>
      <c r="N372" s="2176"/>
      <c r="O372" s="2177"/>
      <c r="P372" s="2177"/>
      <c r="Q372" s="2087">
        <f t="shared" si="119"/>
        <v>0</v>
      </c>
      <c r="R372" s="2088"/>
      <c r="S372" s="2088"/>
      <c r="T372" s="2178"/>
      <c r="U372" s="2087">
        <f t="shared" si="120"/>
        <v>0</v>
      </c>
      <c r="V372" s="2088"/>
      <c r="W372" s="2088"/>
      <c r="X372" s="2178"/>
      <c r="Y372" s="2194"/>
      <c r="Z372" s="2195"/>
      <c r="AA372" s="2196">
        <f t="shared" si="121"/>
        <v>0</v>
      </c>
      <c r="AB372" s="2154"/>
      <c r="AC372" s="2154"/>
      <c r="AD372" s="2155"/>
      <c r="AE372" s="2087">
        <f t="shared" si="122"/>
        <v>0</v>
      </c>
      <c r="AF372" s="2088"/>
      <c r="AG372" s="2088"/>
      <c r="AH372" s="2089"/>
    </row>
    <row r="373" spans="1:34">
      <c r="A373" s="1845">
        <f t="shared" si="123"/>
        <v>7</v>
      </c>
      <c r="B373" s="2175"/>
      <c r="C373" s="2175"/>
      <c r="D373" s="2175"/>
      <c r="E373" s="2174"/>
      <c r="F373" s="2174"/>
      <c r="G373" s="2176"/>
      <c r="H373" s="2176"/>
      <c r="I373" s="2176"/>
      <c r="J373" s="2176"/>
      <c r="K373" s="2176"/>
      <c r="L373" s="2176"/>
      <c r="M373" s="2176"/>
      <c r="N373" s="2176"/>
      <c r="O373" s="2177"/>
      <c r="P373" s="2177"/>
      <c r="Q373" s="2087">
        <f t="shared" si="119"/>
        <v>0</v>
      </c>
      <c r="R373" s="2088"/>
      <c r="S373" s="2088"/>
      <c r="T373" s="2178"/>
      <c r="U373" s="2087">
        <f t="shared" si="120"/>
        <v>0</v>
      </c>
      <c r="V373" s="2088"/>
      <c r="W373" s="2088"/>
      <c r="X373" s="2178"/>
      <c r="Y373" s="2194"/>
      <c r="Z373" s="2195"/>
      <c r="AA373" s="2196">
        <f t="shared" si="121"/>
        <v>0</v>
      </c>
      <c r="AB373" s="2154"/>
      <c r="AC373" s="2154"/>
      <c r="AD373" s="2155"/>
      <c r="AE373" s="2087">
        <f t="shared" si="122"/>
        <v>0</v>
      </c>
      <c r="AF373" s="2088"/>
      <c r="AG373" s="2088"/>
      <c r="AH373" s="2089"/>
    </row>
    <row r="374" spans="1:34">
      <c r="A374" s="1845">
        <f t="shared" si="123"/>
        <v>8</v>
      </c>
      <c r="B374" s="2175"/>
      <c r="C374" s="2175"/>
      <c r="D374" s="2175"/>
      <c r="E374" s="2174"/>
      <c r="F374" s="2174"/>
      <c r="G374" s="2176"/>
      <c r="H374" s="2176"/>
      <c r="I374" s="2176"/>
      <c r="J374" s="2176"/>
      <c r="K374" s="2176"/>
      <c r="L374" s="2176"/>
      <c r="M374" s="2176"/>
      <c r="N374" s="2176"/>
      <c r="O374" s="2177"/>
      <c r="P374" s="2177"/>
      <c r="Q374" s="2087">
        <f t="shared" si="119"/>
        <v>0</v>
      </c>
      <c r="R374" s="2088"/>
      <c r="S374" s="2088"/>
      <c r="T374" s="2178"/>
      <c r="U374" s="2087">
        <f t="shared" si="120"/>
        <v>0</v>
      </c>
      <c r="V374" s="2088"/>
      <c r="W374" s="2088"/>
      <c r="X374" s="2178"/>
      <c r="Y374" s="2194"/>
      <c r="Z374" s="2195"/>
      <c r="AA374" s="2196">
        <f t="shared" si="121"/>
        <v>0</v>
      </c>
      <c r="AB374" s="2154"/>
      <c r="AC374" s="2154"/>
      <c r="AD374" s="2155"/>
      <c r="AE374" s="2087">
        <f t="shared" si="122"/>
        <v>0</v>
      </c>
      <c r="AF374" s="2088"/>
      <c r="AG374" s="2088"/>
      <c r="AH374" s="2089"/>
    </row>
    <row r="375" spans="1:34">
      <c r="A375" s="1845">
        <f t="shared" si="123"/>
        <v>9</v>
      </c>
      <c r="B375" s="2175"/>
      <c r="C375" s="2175"/>
      <c r="D375" s="2175"/>
      <c r="E375" s="2174"/>
      <c r="F375" s="2174"/>
      <c r="G375" s="2176"/>
      <c r="H375" s="2176"/>
      <c r="I375" s="2176"/>
      <c r="J375" s="2176"/>
      <c r="K375" s="2176"/>
      <c r="L375" s="2176"/>
      <c r="M375" s="2176"/>
      <c r="N375" s="2176"/>
      <c r="O375" s="2177"/>
      <c r="P375" s="2177"/>
      <c r="Q375" s="2087">
        <f t="shared" si="119"/>
        <v>0</v>
      </c>
      <c r="R375" s="2088"/>
      <c r="S375" s="2088"/>
      <c r="T375" s="2178"/>
      <c r="U375" s="2087">
        <f t="shared" si="120"/>
        <v>0</v>
      </c>
      <c r="V375" s="2088"/>
      <c r="W375" s="2088"/>
      <c r="X375" s="2178"/>
      <c r="Y375" s="2194"/>
      <c r="Z375" s="2195"/>
      <c r="AA375" s="2196">
        <f t="shared" si="121"/>
        <v>0</v>
      </c>
      <c r="AB375" s="2154"/>
      <c r="AC375" s="2154"/>
      <c r="AD375" s="2155"/>
      <c r="AE375" s="2087">
        <f t="shared" si="122"/>
        <v>0</v>
      </c>
      <c r="AF375" s="2088"/>
      <c r="AG375" s="2088"/>
      <c r="AH375" s="2089"/>
    </row>
    <row r="376" spans="1:34">
      <c r="A376" s="1845">
        <f t="shared" si="123"/>
        <v>10</v>
      </c>
      <c r="B376" s="2175"/>
      <c r="C376" s="2175"/>
      <c r="D376" s="2175"/>
      <c r="E376" s="2174"/>
      <c r="F376" s="2174"/>
      <c r="G376" s="2176"/>
      <c r="H376" s="2176"/>
      <c r="I376" s="2176"/>
      <c r="J376" s="2176"/>
      <c r="K376" s="2176"/>
      <c r="L376" s="2176"/>
      <c r="M376" s="2176"/>
      <c r="N376" s="2176"/>
      <c r="O376" s="2177"/>
      <c r="P376" s="2177"/>
      <c r="Q376" s="2087">
        <f t="shared" si="119"/>
        <v>0</v>
      </c>
      <c r="R376" s="2088"/>
      <c r="S376" s="2088"/>
      <c r="T376" s="2178"/>
      <c r="U376" s="2087">
        <f t="shared" si="120"/>
        <v>0</v>
      </c>
      <c r="V376" s="2088"/>
      <c r="W376" s="2088"/>
      <c r="X376" s="2178"/>
      <c r="Y376" s="2194"/>
      <c r="Z376" s="2195"/>
      <c r="AA376" s="2196">
        <f t="shared" si="121"/>
        <v>0</v>
      </c>
      <c r="AB376" s="2154"/>
      <c r="AC376" s="2154"/>
      <c r="AD376" s="2155"/>
      <c r="AE376" s="2087">
        <f t="shared" si="122"/>
        <v>0</v>
      </c>
      <c r="AF376" s="2088"/>
      <c r="AG376" s="2088"/>
      <c r="AH376" s="2089"/>
    </row>
    <row r="377" spans="1:34">
      <c r="A377" s="1845">
        <f t="shared" si="123"/>
        <v>11</v>
      </c>
      <c r="B377" s="2175"/>
      <c r="C377" s="2175"/>
      <c r="D377" s="2175"/>
      <c r="E377" s="2174"/>
      <c r="F377" s="2174"/>
      <c r="G377" s="2176"/>
      <c r="H377" s="2176"/>
      <c r="I377" s="2176"/>
      <c r="J377" s="2176"/>
      <c r="K377" s="2176"/>
      <c r="L377" s="2176"/>
      <c r="M377" s="2176"/>
      <c r="N377" s="2176"/>
      <c r="O377" s="2177"/>
      <c r="P377" s="2177"/>
      <c r="Q377" s="2087">
        <f t="shared" si="119"/>
        <v>0</v>
      </c>
      <c r="R377" s="2088"/>
      <c r="S377" s="2088"/>
      <c r="T377" s="2178"/>
      <c r="U377" s="2087">
        <f t="shared" si="120"/>
        <v>0</v>
      </c>
      <c r="V377" s="2088"/>
      <c r="W377" s="2088"/>
      <c r="X377" s="2178"/>
      <c r="Y377" s="2194"/>
      <c r="Z377" s="2195"/>
      <c r="AA377" s="2196">
        <f t="shared" si="121"/>
        <v>0</v>
      </c>
      <c r="AB377" s="2154"/>
      <c r="AC377" s="2154"/>
      <c r="AD377" s="2155"/>
      <c r="AE377" s="2087">
        <f t="shared" si="122"/>
        <v>0</v>
      </c>
      <c r="AF377" s="2088"/>
      <c r="AG377" s="2088"/>
      <c r="AH377" s="2089"/>
    </row>
    <row r="378" spans="1:34">
      <c r="A378" s="1845">
        <f t="shared" si="123"/>
        <v>12</v>
      </c>
      <c r="B378" s="2175"/>
      <c r="C378" s="2175"/>
      <c r="D378" s="2175"/>
      <c r="E378" s="2174"/>
      <c r="F378" s="2174"/>
      <c r="G378" s="2176"/>
      <c r="H378" s="2176"/>
      <c r="I378" s="2176"/>
      <c r="J378" s="2176"/>
      <c r="K378" s="2176"/>
      <c r="L378" s="2176"/>
      <c r="M378" s="2176"/>
      <c r="N378" s="2176"/>
      <c r="O378" s="2177"/>
      <c r="P378" s="2177"/>
      <c r="Q378" s="2087">
        <f t="shared" si="119"/>
        <v>0</v>
      </c>
      <c r="R378" s="2088"/>
      <c r="S378" s="2088"/>
      <c r="T378" s="2178"/>
      <c r="U378" s="2087">
        <f t="shared" si="120"/>
        <v>0</v>
      </c>
      <c r="V378" s="2088"/>
      <c r="W378" s="2088"/>
      <c r="X378" s="2178"/>
      <c r="Y378" s="2194"/>
      <c r="Z378" s="2195"/>
      <c r="AA378" s="2196">
        <f t="shared" si="121"/>
        <v>0</v>
      </c>
      <c r="AB378" s="2154"/>
      <c r="AC378" s="2154"/>
      <c r="AD378" s="2155"/>
      <c r="AE378" s="2087">
        <f t="shared" si="122"/>
        <v>0</v>
      </c>
      <c r="AF378" s="2088"/>
      <c r="AG378" s="2088"/>
      <c r="AH378" s="2089"/>
    </row>
    <row r="379" spans="1:34">
      <c r="A379" s="1845">
        <f t="shared" si="123"/>
        <v>13</v>
      </c>
      <c r="B379" s="2175"/>
      <c r="C379" s="2175"/>
      <c r="D379" s="2175"/>
      <c r="E379" s="2174"/>
      <c r="F379" s="2174"/>
      <c r="G379" s="2176"/>
      <c r="H379" s="2176"/>
      <c r="I379" s="2176"/>
      <c r="J379" s="2176"/>
      <c r="K379" s="2176"/>
      <c r="L379" s="2176"/>
      <c r="M379" s="2176"/>
      <c r="N379" s="2176"/>
      <c r="O379" s="2177"/>
      <c r="P379" s="2177"/>
      <c r="Q379" s="2087">
        <f t="shared" si="119"/>
        <v>0</v>
      </c>
      <c r="R379" s="2088"/>
      <c r="S379" s="2088"/>
      <c r="T379" s="2178"/>
      <c r="U379" s="2087">
        <f t="shared" si="120"/>
        <v>0</v>
      </c>
      <c r="V379" s="2088"/>
      <c r="W379" s="2088"/>
      <c r="X379" s="2178"/>
      <c r="Y379" s="2194"/>
      <c r="Z379" s="2195"/>
      <c r="AA379" s="2196">
        <f t="shared" si="121"/>
        <v>0</v>
      </c>
      <c r="AB379" s="2154"/>
      <c r="AC379" s="2154"/>
      <c r="AD379" s="2155"/>
      <c r="AE379" s="2087">
        <f t="shared" si="122"/>
        <v>0</v>
      </c>
      <c r="AF379" s="2088"/>
      <c r="AG379" s="2088"/>
      <c r="AH379" s="2089"/>
    </row>
    <row r="380" spans="1:34">
      <c r="A380" s="1845">
        <f t="shared" si="123"/>
        <v>14</v>
      </c>
      <c r="B380" s="2175"/>
      <c r="C380" s="2175"/>
      <c r="D380" s="2175"/>
      <c r="E380" s="2174"/>
      <c r="F380" s="2174"/>
      <c r="G380" s="2176"/>
      <c r="H380" s="2176"/>
      <c r="I380" s="2176"/>
      <c r="J380" s="2176"/>
      <c r="K380" s="2176"/>
      <c r="L380" s="2176"/>
      <c r="M380" s="2176"/>
      <c r="N380" s="2176"/>
      <c r="O380" s="2177"/>
      <c r="P380" s="2177"/>
      <c r="Q380" s="2087">
        <f t="shared" si="119"/>
        <v>0</v>
      </c>
      <c r="R380" s="2088"/>
      <c r="S380" s="2088"/>
      <c r="T380" s="2178"/>
      <c r="U380" s="2087">
        <f t="shared" si="120"/>
        <v>0</v>
      </c>
      <c r="V380" s="2088"/>
      <c r="W380" s="2088"/>
      <c r="X380" s="2178"/>
      <c r="Y380" s="2194"/>
      <c r="Z380" s="2195"/>
      <c r="AA380" s="2196">
        <f t="shared" si="121"/>
        <v>0</v>
      </c>
      <c r="AB380" s="2154"/>
      <c r="AC380" s="2154"/>
      <c r="AD380" s="2155"/>
      <c r="AE380" s="2087">
        <f t="shared" si="122"/>
        <v>0</v>
      </c>
      <c r="AF380" s="2088"/>
      <c r="AG380" s="2088"/>
      <c r="AH380" s="2089"/>
    </row>
    <row r="381" spans="1:34">
      <c r="A381" s="1845">
        <f t="shared" si="123"/>
        <v>15</v>
      </c>
      <c r="B381" s="2175"/>
      <c r="C381" s="2175"/>
      <c r="D381" s="2175"/>
      <c r="E381" s="2174"/>
      <c r="F381" s="2174"/>
      <c r="G381" s="2176"/>
      <c r="H381" s="2176"/>
      <c r="I381" s="2176"/>
      <c r="J381" s="2176"/>
      <c r="K381" s="2176"/>
      <c r="L381" s="2176"/>
      <c r="M381" s="2176"/>
      <c r="N381" s="2176"/>
      <c r="O381" s="2177"/>
      <c r="P381" s="2177"/>
      <c r="Q381" s="2087">
        <f t="shared" ref="Q381" si="124">G381*O381</f>
        <v>0</v>
      </c>
      <c r="R381" s="2088"/>
      <c r="S381" s="2088"/>
      <c r="T381" s="2178"/>
      <c r="U381" s="2087">
        <f t="shared" ref="U381" si="125">K381*O381</f>
        <v>0</v>
      </c>
      <c r="V381" s="2088"/>
      <c r="W381" s="2088"/>
      <c r="X381" s="2178"/>
      <c r="Y381" s="2194"/>
      <c r="Z381" s="2195"/>
      <c r="AA381" s="2196">
        <f t="shared" ref="AA381" si="126">IF(Y381="",U381,Q381*Y381/100)</f>
        <v>0</v>
      </c>
      <c r="AB381" s="2154"/>
      <c r="AC381" s="2154"/>
      <c r="AD381" s="2155"/>
      <c r="AE381" s="2087">
        <f t="shared" ref="AE381" si="127">IF(AA381=0,U381,IF(U381&gt;(VALUE(AA381)),VALUE(AA381),U381))</f>
        <v>0</v>
      </c>
      <c r="AF381" s="2088"/>
      <c r="AG381" s="2088"/>
      <c r="AH381" s="2089"/>
    </row>
    <row r="382" spans="1:34">
      <c r="A382" s="658" t="s">
        <v>551</v>
      </c>
      <c r="B382" s="2175"/>
      <c r="C382" s="2175"/>
      <c r="D382" s="2175"/>
      <c r="E382" s="2174"/>
      <c r="F382" s="2174"/>
      <c r="G382" s="2176"/>
      <c r="H382" s="2176"/>
      <c r="I382" s="2176"/>
      <c r="J382" s="2176"/>
      <c r="K382" s="2176"/>
      <c r="L382" s="2176"/>
      <c r="M382" s="2176"/>
      <c r="N382" s="2176"/>
      <c r="O382" s="2177"/>
      <c r="P382" s="2177"/>
      <c r="Q382" s="2087">
        <f t="shared" si="119"/>
        <v>0</v>
      </c>
      <c r="R382" s="2088"/>
      <c r="S382" s="2088"/>
      <c r="T382" s="2178"/>
      <c r="U382" s="2087">
        <f t="shared" si="120"/>
        <v>0</v>
      </c>
      <c r="V382" s="2088"/>
      <c r="W382" s="2088"/>
      <c r="X382" s="2178"/>
      <c r="Y382" s="2194"/>
      <c r="Z382" s="2195"/>
      <c r="AA382" s="2196">
        <f t="shared" si="121"/>
        <v>0</v>
      </c>
      <c r="AB382" s="2154"/>
      <c r="AC382" s="2154"/>
      <c r="AD382" s="2155"/>
      <c r="AE382" s="2087">
        <f t="shared" si="122"/>
        <v>0</v>
      </c>
      <c r="AF382" s="2088"/>
      <c r="AG382" s="2088"/>
      <c r="AH382" s="2089"/>
    </row>
    <row r="383" spans="1:34" s="623" customFormat="1" ht="13.5" thickBot="1">
      <c r="A383" s="641"/>
      <c r="B383" s="653"/>
      <c r="C383" s="654"/>
      <c r="D383" s="655"/>
      <c r="E383" s="653"/>
      <c r="F383" s="655"/>
      <c r="G383" s="653"/>
      <c r="H383" s="654"/>
      <c r="I383" s="654"/>
      <c r="J383" s="655"/>
      <c r="K383" s="653"/>
      <c r="L383" s="654"/>
      <c r="M383" s="654"/>
      <c r="N383" s="655"/>
      <c r="O383" s="653"/>
      <c r="P383" s="655"/>
      <c r="Q383" s="653"/>
      <c r="R383" s="654"/>
      <c r="S383" s="654"/>
      <c r="T383" s="655"/>
      <c r="U383" s="653"/>
      <c r="V383" s="654"/>
      <c r="W383" s="654"/>
      <c r="X383" s="655"/>
      <c r="Y383" s="653"/>
      <c r="Z383" s="654"/>
      <c r="AA383" s="653"/>
      <c r="AB383" s="654"/>
      <c r="AC383" s="654"/>
      <c r="AD383" s="655"/>
      <c r="AE383" s="653"/>
      <c r="AF383" s="654"/>
      <c r="AG383" s="654"/>
      <c r="AH383" s="659"/>
    </row>
    <row r="384" spans="1:34" s="623" customFormat="1" ht="14.25" thickTop="1" thickBot="1"/>
    <row r="385" spans="1:35" s="623" customFormat="1" ht="14.25" thickTop="1" thickBot="1">
      <c r="B385" s="622" t="s">
        <v>552</v>
      </c>
      <c r="G385" s="2171">
        <f>SUM(G367:J383)</f>
        <v>0</v>
      </c>
      <c r="H385" s="2172"/>
      <c r="I385" s="2172"/>
      <c r="J385" s="2173"/>
      <c r="K385" s="2171">
        <f>SUM(K367:N383)</f>
        <v>0</v>
      </c>
      <c r="L385" s="2172"/>
      <c r="M385" s="2172"/>
      <c r="N385" s="2173"/>
      <c r="Q385" s="2242">
        <f>SUM(Q367:T383)</f>
        <v>0</v>
      </c>
      <c r="R385" s="2124"/>
      <c r="S385" s="2124"/>
      <c r="T385" s="2125"/>
      <c r="U385" s="2242">
        <f>SUM(U367:X383)</f>
        <v>0</v>
      </c>
      <c r="V385" s="2124"/>
      <c r="W385" s="2124"/>
      <c r="X385" s="2125"/>
      <c r="AA385" s="2242">
        <f>SUM(AA367:AD383)</f>
        <v>0</v>
      </c>
      <c r="AB385" s="2124"/>
      <c r="AC385" s="2124"/>
      <c r="AD385" s="2125"/>
      <c r="AE385" s="2242">
        <f>SUM(AE367:AH383)</f>
        <v>0</v>
      </c>
      <c r="AF385" s="2124"/>
      <c r="AG385" s="2124"/>
      <c r="AH385" s="2125"/>
    </row>
    <row r="386" spans="1:35" s="623" customFormat="1" ht="13.5" collapsed="1" thickTop="1"/>
    <row r="387" spans="1:35" s="623" customFormat="1">
      <c r="B387" s="627" t="s">
        <v>421</v>
      </c>
      <c r="C387" s="627" t="s">
        <v>555</v>
      </c>
      <c r="D387" s="628"/>
      <c r="E387" s="628"/>
      <c r="F387" s="628"/>
      <c r="G387" s="628"/>
      <c r="H387" s="628"/>
      <c r="I387" s="628"/>
      <c r="J387" s="628"/>
      <c r="K387" s="628"/>
      <c r="L387" s="628"/>
      <c r="M387" s="628"/>
      <c r="N387" s="628"/>
      <c r="O387" s="628"/>
      <c r="P387" s="628"/>
      <c r="Q387" s="628"/>
      <c r="R387" s="628"/>
      <c r="S387" s="628"/>
      <c r="T387" s="628"/>
      <c r="U387" s="628"/>
      <c r="V387" s="628"/>
      <c r="W387" s="628"/>
      <c r="X387" s="628"/>
      <c r="Y387" s="628"/>
      <c r="Z387" s="628"/>
      <c r="AA387" s="628"/>
      <c r="AB387" s="628"/>
      <c r="AC387" s="628"/>
      <c r="AD387" s="628"/>
      <c r="AE387" s="628"/>
      <c r="AF387" s="628"/>
      <c r="AG387" s="628"/>
      <c r="AH387" s="628"/>
      <c r="AI387" s="628"/>
    </row>
    <row r="388" spans="1:35" ht="13.5" thickBot="1"/>
    <row r="389" spans="1:35" s="660" customFormat="1" ht="27.75" customHeight="1" thickTop="1">
      <c r="A389" s="2255" t="s">
        <v>360</v>
      </c>
      <c r="B389" s="2222" t="s">
        <v>556</v>
      </c>
      <c r="C389" s="2234"/>
      <c r="D389" s="2234"/>
      <c r="E389" s="2228"/>
      <c r="F389" s="2257" t="s">
        <v>542</v>
      </c>
      <c r="G389" s="2257"/>
      <c r="H389" s="2257" t="s">
        <v>557</v>
      </c>
      <c r="I389" s="2257"/>
      <c r="J389" s="2257"/>
      <c r="K389" s="2247" t="s">
        <v>543</v>
      </c>
      <c r="L389" s="2248"/>
      <c r="M389" s="2248"/>
      <c r="N389" s="2248"/>
      <c r="O389" s="2248"/>
      <c r="P389" s="2248"/>
      <c r="Q389" s="2248"/>
      <c r="R389" s="2248"/>
      <c r="S389" s="2248"/>
      <c r="T389" s="2248"/>
      <c r="U389" s="2248"/>
      <c r="V389" s="2248"/>
      <c r="W389" s="2248"/>
      <c r="X389" s="2248"/>
      <c r="Y389" s="2258"/>
      <c r="Z389" s="2222" t="s">
        <v>544</v>
      </c>
      <c r="AA389" s="2228"/>
      <c r="AB389" s="2247" t="s">
        <v>545</v>
      </c>
      <c r="AC389" s="2248"/>
      <c r="AD389" s="2248"/>
      <c r="AE389" s="2248"/>
      <c r="AF389" s="2248"/>
      <c r="AG389" s="2248"/>
      <c r="AH389" s="2248"/>
      <c r="AI389" s="2249"/>
    </row>
    <row r="390" spans="1:35" s="660" customFormat="1" ht="27.75" customHeight="1" thickBot="1">
      <c r="A390" s="2256"/>
      <c r="B390" s="2229"/>
      <c r="C390" s="2235"/>
      <c r="D390" s="2235"/>
      <c r="E390" s="2230"/>
      <c r="F390" s="2250"/>
      <c r="G390" s="2250"/>
      <c r="H390" s="2250"/>
      <c r="I390" s="2250"/>
      <c r="J390" s="2250"/>
      <c r="K390" s="2250" t="s">
        <v>558</v>
      </c>
      <c r="L390" s="2250"/>
      <c r="M390" s="2250"/>
      <c r="N390" s="2250"/>
      <c r="O390" s="2251" t="s">
        <v>559</v>
      </c>
      <c r="P390" s="2252"/>
      <c r="Q390" s="2253"/>
      <c r="R390" s="2250" t="s">
        <v>560</v>
      </c>
      <c r="S390" s="2250"/>
      <c r="T390" s="2250"/>
      <c r="U390" s="2250"/>
      <c r="V390" s="2250" t="s">
        <v>561</v>
      </c>
      <c r="W390" s="2250"/>
      <c r="X390" s="2250"/>
      <c r="Y390" s="2250"/>
      <c r="Z390" s="2229"/>
      <c r="AA390" s="2230"/>
      <c r="AB390" s="2251" t="s">
        <v>562</v>
      </c>
      <c r="AC390" s="2252"/>
      <c r="AD390" s="2252"/>
      <c r="AE390" s="2253"/>
      <c r="AF390" s="2250" t="s">
        <v>561</v>
      </c>
      <c r="AG390" s="2250"/>
      <c r="AH390" s="2250"/>
      <c r="AI390" s="2254"/>
    </row>
    <row r="391" spans="1:35" s="623" customFormat="1" ht="13.5" thickTop="1">
      <c r="A391" s="630"/>
      <c r="B391" s="634"/>
      <c r="C391" s="635"/>
      <c r="D391" s="635"/>
      <c r="E391" s="636"/>
      <c r="F391" s="2243"/>
      <c r="G391" s="2244"/>
      <c r="H391" s="2243"/>
      <c r="I391" s="2245"/>
      <c r="J391" s="2244"/>
      <c r="K391" s="2243"/>
      <c r="L391" s="2245"/>
      <c r="M391" s="2245"/>
      <c r="N391" s="2244"/>
      <c r="O391" s="634"/>
      <c r="P391" s="635"/>
      <c r="Q391" s="636"/>
      <c r="R391" s="2243"/>
      <c r="S391" s="2245"/>
      <c r="T391" s="2245"/>
      <c r="U391" s="2244"/>
      <c r="V391" s="2243"/>
      <c r="W391" s="2245"/>
      <c r="X391" s="2245"/>
      <c r="Y391" s="2244"/>
      <c r="Z391" s="661"/>
      <c r="AA391" s="661"/>
      <c r="AB391" s="634"/>
      <c r="AC391" s="635"/>
      <c r="AD391" s="635"/>
      <c r="AE391" s="636"/>
      <c r="AF391" s="2243"/>
      <c r="AG391" s="2245"/>
      <c r="AH391" s="2245"/>
      <c r="AI391" s="2246"/>
    </row>
    <row r="392" spans="1:35">
      <c r="A392" s="662">
        <v>1</v>
      </c>
      <c r="B392" s="2093"/>
      <c r="C392" s="2094"/>
      <c r="D392" s="2094"/>
      <c r="E392" s="2095"/>
      <c r="F392" s="2174"/>
      <c r="G392" s="2174"/>
      <c r="H392" s="2175"/>
      <c r="I392" s="2175"/>
      <c r="J392" s="2175"/>
      <c r="K392" s="2176"/>
      <c r="L392" s="2176"/>
      <c r="M392" s="2176"/>
      <c r="N392" s="2176"/>
      <c r="O392" s="2176"/>
      <c r="P392" s="2176"/>
      <c r="Q392" s="2176"/>
      <c r="R392" s="2153">
        <f t="shared" ref="R392:R407" si="128">K392-O392</f>
        <v>0</v>
      </c>
      <c r="S392" s="2154"/>
      <c r="T392" s="2154"/>
      <c r="U392" s="2155"/>
      <c r="V392" s="2101"/>
      <c r="W392" s="2102"/>
      <c r="X392" s="2102"/>
      <c r="Y392" s="2103"/>
      <c r="Z392" s="2177"/>
      <c r="AA392" s="2177"/>
      <c r="AB392" s="2087">
        <f t="shared" ref="AB392:AB407" si="129">R392*Z392</f>
        <v>0</v>
      </c>
      <c r="AC392" s="2088"/>
      <c r="AD392" s="2088"/>
      <c r="AE392" s="2178"/>
      <c r="AF392" s="2087">
        <f t="shared" ref="AF392:AF407" si="130">V392*Z392</f>
        <v>0</v>
      </c>
      <c r="AG392" s="2088"/>
      <c r="AH392" s="2088"/>
      <c r="AI392" s="2089"/>
    </row>
    <row r="393" spans="1:35">
      <c r="A393" s="1845">
        <f t="shared" ref="A393:A406" si="131">A392+1</f>
        <v>2</v>
      </c>
      <c r="B393" s="2093"/>
      <c r="C393" s="2094"/>
      <c r="D393" s="2094"/>
      <c r="E393" s="2095"/>
      <c r="F393" s="2174"/>
      <c r="G393" s="2174"/>
      <c r="H393" s="2175"/>
      <c r="I393" s="2175"/>
      <c r="J393" s="2175"/>
      <c r="K393" s="2176"/>
      <c r="L393" s="2176"/>
      <c r="M393" s="2176"/>
      <c r="N393" s="2176"/>
      <c r="O393" s="2176"/>
      <c r="P393" s="2176"/>
      <c r="Q393" s="2176"/>
      <c r="R393" s="2153">
        <f t="shared" si="128"/>
        <v>0</v>
      </c>
      <c r="S393" s="2154"/>
      <c r="T393" s="2154"/>
      <c r="U393" s="2155"/>
      <c r="V393" s="2101"/>
      <c r="W393" s="2102"/>
      <c r="X393" s="2102"/>
      <c r="Y393" s="2103"/>
      <c r="Z393" s="2177"/>
      <c r="AA393" s="2177"/>
      <c r="AB393" s="2087">
        <f t="shared" si="129"/>
        <v>0</v>
      </c>
      <c r="AC393" s="2088"/>
      <c r="AD393" s="2088"/>
      <c r="AE393" s="2178"/>
      <c r="AF393" s="2087">
        <f t="shared" si="130"/>
        <v>0</v>
      </c>
      <c r="AG393" s="2088"/>
      <c r="AH393" s="2088"/>
      <c r="AI393" s="2089"/>
    </row>
    <row r="394" spans="1:35">
      <c r="A394" s="1845">
        <f t="shared" si="131"/>
        <v>3</v>
      </c>
      <c r="B394" s="2093"/>
      <c r="C394" s="2094"/>
      <c r="D394" s="2094"/>
      <c r="E394" s="2095"/>
      <c r="F394" s="2174"/>
      <c r="G394" s="2174"/>
      <c r="H394" s="2175"/>
      <c r="I394" s="2175"/>
      <c r="J394" s="2175"/>
      <c r="K394" s="2176"/>
      <c r="L394" s="2176"/>
      <c r="M394" s="2176"/>
      <c r="N394" s="2176"/>
      <c r="O394" s="2176"/>
      <c r="P394" s="2176"/>
      <c r="Q394" s="2176"/>
      <c r="R394" s="2153">
        <f t="shared" si="128"/>
        <v>0</v>
      </c>
      <c r="S394" s="2154"/>
      <c r="T394" s="2154"/>
      <c r="U394" s="2155"/>
      <c r="V394" s="2101"/>
      <c r="W394" s="2102"/>
      <c r="X394" s="2102"/>
      <c r="Y394" s="2103"/>
      <c r="Z394" s="2177"/>
      <c r="AA394" s="2177"/>
      <c r="AB394" s="2087">
        <f t="shared" si="129"/>
        <v>0</v>
      </c>
      <c r="AC394" s="2088"/>
      <c r="AD394" s="2088"/>
      <c r="AE394" s="2178"/>
      <c r="AF394" s="2087">
        <f t="shared" si="130"/>
        <v>0</v>
      </c>
      <c r="AG394" s="2088"/>
      <c r="AH394" s="2088"/>
      <c r="AI394" s="2089"/>
    </row>
    <row r="395" spans="1:35">
      <c r="A395" s="1845">
        <f t="shared" si="131"/>
        <v>4</v>
      </c>
      <c r="B395" s="2093"/>
      <c r="C395" s="2094"/>
      <c r="D395" s="2094"/>
      <c r="E395" s="2095"/>
      <c r="F395" s="2174"/>
      <c r="G395" s="2174"/>
      <c r="H395" s="2175"/>
      <c r="I395" s="2175"/>
      <c r="J395" s="2175"/>
      <c r="K395" s="2176"/>
      <c r="L395" s="2176"/>
      <c r="M395" s="2176"/>
      <c r="N395" s="2176"/>
      <c r="O395" s="2176"/>
      <c r="P395" s="2176"/>
      <c r="Q395" s="2176"/>
      <c r="R395" s="2153">
        <f t="shared" si="128"/>
        <v>0</v>
      </c>
      <c r="S395" s="2154"/>
      <c r="T395" s="2154"/>
      <c r="U395" s="2155"/>
      <c r="V395" s="2101"/>
      <c r="W395" s="2102"/>
      <c r="X395" s="2102"/>
      <c r="Y395" s="2103"/>
      <c r="Z395" s="2177"/>
      <c r="AA395" s="2177"/>
      <c r="AB395" s="2087">
        <f t="shared" si="129"/>
        <v>0</v>
      </c>
      <c r="AC395" s="2088"/>
      <c r="AD395" s="2088"/>
      <c r="AE395" s="2178"/>
      <c r="AF395" s="2087">
        <f t="shared" si="130"/>
        <v>0</v>
      </c>
      <c r="AG395" s="2088"/>
      <c r="AH395" s="2088"/>
      <c r="AI395" s="2089"/>
    </row>
    <row r="396" spans="1:35">
      <c r="A396" s="1845">
        <f t="shared" si="131"/>
        <v>5</v>
      </c>
      <c r="B396" s="2093"/>
      <c r="C396" s="2094"/>
      <c r="D396" s="2094"/>
      <c r="E396" s="2095"/>
      <c r="F396" s="2174"/>
      <c r="G396" s="2174"/>
      <c r="H396" s="2175"/>
      <c r="I396" s="2175"/>
      <c r="J396" s="2175"/>
      <c r="K396" s="2176"/>
      <c r="L396" s="2176"/>
      <c r="M396" s="2176"/>
      <c r="N396" s="2176"/>
      <c r="O396" s="2176"/>
      <c r="P396" s="2176"/>
      <c r="Q396" s="2176"/>
      <c r="R396" s="2153">
        <f t="shared" si="128"/>
        <v>0</v>
      </c>
      <c r="S396" s="2154"/>
      <c r="T396" s="2154"/>
      <c r="U396" s="2155"/>
      <c r="V396" s="2101"/>
      <c r="W396" s="2102"/>
      <c r="X396" s="2102"/>
      <c r="Y396" s="2103"/>
      <c r="Z396" s="2177"/>
      <c r="AA396" s="2177"/>
      <c r="AB396" s="2087">
        <f t="shared" si="129"/>
        <v>0</v>
      </c>
      <c r="AC396" s="2088"/>
      <c r="AD396" s="2088"/>
      <c r="AE396" s="2178"/>
      <c r="AF396" s="2087">
        <f t="shared" si="130"/>
        <v>0</v>
      </c>
      <c r="AG396" s="2088"/>
      <c r="AH396" s="2088"/>
      <c r="AI396" s="2089"/>
    </row>
    <row r="397" spans="1:35">
      <c r="A397" s="1845">
        <f t="shared" si="131"/>
        <v>6</v>
      </c>
      <c r="B397" s="2093"/>
      <c r="C397" s="2094"/>
      <c r="D397" s="2094"/>
      <c r="E397" s="2095"/>
      <c r="F397" s="2174"/>
      <c r="G397" s="2174"/>
      <c r="H397" s="2175"/>
      <c r="I397" s="2175"/>
      <c r="J397" s="2175"/>
      <c r="K397" s="2176"/>
      <c r="L397" s="2176"/>
      <c r="M397" s="2176"/>
      <c r="N397" s="2176"/>
      <c r="O397" s="2176"/>
      <c r="P397" s="2176"/>
      <c r="Q397" s="2176"/>
      <c r="R397" s="2153">
        <f t="shared" si="128"/>
        <v>0</v>
      </c>
      <c r="S397" s="2154"/>
      <c r="T397" s="2154"/>
      <c r="U397" s="2155"/>
      <c r="V397" s="2101"/>
      <c r="W397" s="2102"/>
      <c r="X397" s="2102"/>
      <c r="Y397" s="2103"/>
      <c r="Z397" s="2177"/>
      <c r="AA397" s="2177"/>
      <c r="AB397" s="2087">
        <f t="shared" si="129"/>
        <v>0</v>
      </c>
      <c r="AC397" s="2088"/>
      <c r="AD397" s="2088"/>
      <c r="AE397" s="2178"/>
      <c r="AF397" s="2087">
        <f t="shared" si="130"/>
        <v>0</v>
      </c>
      <c r="AG397" s="2088"/>
      <c r="AH397" s="2088"/>
      <c r="AI397" s="2089"/>
    </row>
    <row r="398" spans="1:35">
      <c r="A398" s="1845">
        <f t="shared" si="131"/>
        <v>7</v>
      </c>
      <c r="B398" s="2093"/>
      <c r="C398" s="2094"/>
      <c r="D398" s="2094"/>
      <c r="E398" s="2095"/>
      <c r="F398" s="2174"/>
      <c r="G398" s="2174"/>
      <c r="H398" s="2175"/>
      <c r="I398" s="2175"/>
      <c r="J398" s="2175"/>
      <c r="K398" s="2176"/>
      <c r="L398" s="2176"/>
      <c r="M398" s="2176"/>
      <c r="N398" s="2176"/>
      <c r="O398" s="2176"/>
      <c r="P398" s="2176"/>
      <c r="Q398" s="2176"/>
      <c r="R398" s="2153">
        <f t="shared" ref="R398:R402" si="132">K398-O398</f>
        <v>0</v>
      </c>
      <c r="S398" s="2154"/>
      <c r="T398" s="2154"/>
      <c r="U398" s="2155"/>
      <c r="V398" s="2101"/>
      <c r="W398" s="2102"/>
      <c r="X398" s="2102"/>
      <c r="Y398" s="2103"/>
      <c r="Z398" s="2177"/>
      <c r="AA398" s="2177"/>
      <c r="AB398" s="2087">
        <f t="shared" ref="AB398:AB402" si="133">R398*Z398</f>
        <v>0</v>
      </c>
      <c r="AC398" s="2088"/>
      <c r="AD398" s="2088"/>
      <c r="AE398" s="2178"/>
      <c r="AF398" s="2087">
        <f t="shared" ref="AF398:AF402" si="134">V398*Z398</f>
        <v>0</v>
      </c>
      <c r="AG398" s="2088"/>
      <c r="AH398" s="2088"/>
      <c r="AI398" s="2089"/>
    </row>
    <row r="399" spans="1:35">
      <c r="A399" s="1845">
        <f t="shared" si="131"/>
        <v>8</v>
      </c>
      <c r="B399" s="2093"/>
      <c r="C399" s="2094"/>
      <c r="D399" s="2094"/>
      <c r="E399" s="2095"/>
      <c r="F399" s="2174"/>
      <c r="G399" s="2174"/>
      <c r="H399" s="2175"/>
      <c r="I399" s="2175"/>
      <c r="J399" s="2175"/>
      <c r="K399" s="2176"/>
      <c r="L399" s="2176"/>
      <c r="M399" s="2176"/>
      <c r="N399" s="2176"/>
      <c r="O399" s="2176"/>
      <c r="P399" s="2176"/>
      <c r="Q399" s="2176"/>
      <c r="R399" s="2153">
        <f t="shared" si="132"/>
        <v>0</v>
      </c>
      <c r="S399" s="2154"/>
      <c r="T399" s="2154"/>
      <c r="U399" s="2155"/>
      <c r="V399" s="2101"/>
      <c r="W399" s="2102"/>
      <c r="X399" s="2102"/>
      <c r="Y399" s="2103"/>
      <c r="Z399" s="2177"/>
      <c r="AA399" s="2177"/>
      <c r="AB399" s="2087">
        <f t="shared" si="133"/>
        <v>0</v>
      </c>
      <c r="AC399" s="2088"/>
      <c r="AD399" s="2088"/>
      <c r="AE399" s="2178"/>
      <c r="AF399" s="2087">
        <f t="shared" si="134"/>
        <v>0</v>
      </c>
      <c r="AG399" s="2088"/>
      <c r="AH399" s="2088"/>
      <c r="AI399" s="2089"/>
    </row>
    <row r="400" spans="1:35">
      <c r="A400" s="1845">
        <f t="shared" si="131"/>
        <v>9</v>
      </c>
      <c r="B400" s="2093"/>
      <c r="C400" s="2094"/>
      <c r="D400" s="2094"/>
      <c r="E400" s="2095"/>
      <c r="F400" s="2174"/>
      <c r="G400" s="2174"/>
      <c r="H400" s="2175"/>
      <c r="I400" s="2175"/>
      <c r="J400" s="2175"/>
      <c r="K400" s="2176"/>
      <c r="L400" s="2176"/>
      <c r="M400" s="2176"/>
      <c r="N400" s="2176"/>
      <c r="O400" s="2176"/>
      <c r="P400" s="2176"/>
      <c r="Q400" s="2176"/>
      <c r="R400" s="2153">
        <f t="shared" si="132"/>
        <v>0</v>
      </c>
      <c r="S400" s="2154"/>
      <c r="T400" s="2154"/>
      <c r="U400" s="2155"/>
      <c r="V400" s="2101"/>
      <c r="W400" s="2102"/>
      <c r="X400" s="2102"/>
      <c r="Y400" s="2103"/>
      <c r="Z400" s="2177"/>
      <c r="AA400" s="2177"/>
      <c r="AB400" s="2087">
        <f t="shared" si="133"/>
        <v>0</v>
      </c>
      <c r="AC400" s="2088"/>
      <c r="AD400" s="2088"/>
      <c r="AE400" s="2178"/>
      <c r="AF400" s="2087">
        <f t="shared" si="134"/>
        <v>0</v>
      </c>
      <c r="AG400" s="2088"/>
      <c r="AH400" s="2088"/>
      <c r="AI400" s="2089"/>
    </row>
    <row r="401" spans="1:35">
      <c r="A401" s="1845">
        <f t="shared" si="131"/>
        <v>10</v>
      </c>
      <c r="B401" s="2093"/>
      <c r="C401" s="2094"/>
      <c r="D401" s="2094"/>
      <c r="E401" s="2095"/>
      <c r="F401" s="2174"/>
      <c r="G401" s="2174"/>
      <c r="H401" s="2175"/>
      <c r="I401" s="2175"/>
      <c r="J401" s="2175"/>
      <c r="K401" s="2176"/>
      <c r="L401" s="2176"/>
      <c r="M401" s="2176"/>
      <c r="N401" s="2176"/>
      <c r="O401" s="2176"/>
      <c r="P401" s="2176"/>
      <c r="Q401" s="2176"/>
      <c r="R401" s="2153">
        <f t="shared" si="132"/>
        <v>0</v>
      </c>
      <c r="S401" s="2154"/>
      <c r="T401" s="2154"/>
      <c r="U401" s="2155"/>
      <c r="V401" s="2101"/>
      <c r="W401" s="2102"/>
      <c r="X401" s="2102"/>
      <c r="Y401" s="2103"/>
      <c r="Z401" s="2177"/>
      <c r="AA401" s="2177"/>
      <c r="AB401" s="2087">
        <f t="shared" si="133"/>
        <v>0</v>
      </c>
      <c r="AC401" s="2088"/>
      <c r="AD401" s="2088"/>
      <c r="AE401" s="2178"/>
      <c r="AF401" s="2087">
        <f t="shared" si="134"/>
        <v>0</v>
      </c>
      <c r="AG401" s="2088"/>
      <c r="AH401" s="2088"/>
      <c r="AI401" s="2089"/>
    </row>
    <row r="402" spans="1:35">
      <c r="A402" s="1845">
        <f t="shared" si="131"/>
        <v>11</v>
      </c>
      <c r="B402" s="2093"/>
      <c r="C402" s="2094"/>
      <c r="D402" s="2094"/>
      <c r="E402" s="2095"/>
      <c r="F402" s="2174"/>
      <c r="G402" s="2174"/>
      <c r="H402" s="2175"/>
      <c r="I402" s="2175"/>
      <c r="J402" s="2175"/>
      <c r="K402" s="2176"/>
      <c r="L402" s="2176"/>
      <c r="M402" s="2176"/>
      <c r="N402" s="2176"/>
      <c r="O402" s="2176"/>
      <c r="P402" s="2176"/>
      <c r="Q402" s="2176"/>
      <c r="R402" s="2153">
        <f t="shared" si="132"/>
        <v>0</v>
      </c>
      <c r="S402" s="2154"/>
      <c r="T402" s="2154"/>
      <c r="U402" s="2155"/>
      <c r="V402" s="2101"/>
      <c r="W402" s="2102"/>
      <c r="X402" s="2102"/>
      <c r="Y402" s="2103"/>
      <c r="Z402" s="2177"/>
      <c r="AA402" s="2177"/>
      <c r="AB402" s="2087">
        <f t="shared" si="133"/>
        <v>0</v>
      </c>
      <c r="AC402" s="2088"/>
      <c r="AD402" s="2088"/>
      <c r="AE402" s="2178"/>
      <c r="AF402" s="2087">
        <f t="shared" si="134"/>
        <v>0</v>
      </c>
      <c r="AG402" s="2088"/>
      <c r="AH402" s="2088"/>
      <c r="AI402" s="2089"/>
    </row>
    <row r="403" spans="1:35">
      <c r="A403" s="1845">
        <f t="shared" si="131"/>
        <v>12</v>
      </c>
      <c r="B403" s="2093"/>
      <c r="C403" s="2094"/>
      <c r="D403" s="2094"/>
      <c r="E403" s="2095"/>
      <c r="F403" s="2174"/>
      <c r="G403" s="2174"/>
      <c r="H403" s="2175"/>
      <c r="I403" s="2175"/>
      <c r="J403" s="2175"/>
      <c r="K403" s="2176"/>
      <c r="L403" s="2176"/>
      <c r="M403" s="2176"/>
      <c r="N403" s="2176"/>
      <c r="O403" s="2176"/>
      <c r="P403" s="2176"/>
      <c r="Q403" s="2176"/>
      <c r="R403" s="2153">
        <f t="shared" ref="R403:R406" si="135">K403-O403</f>
        <v>0</v>
      </c>
      <c r="S403" s="2154"/>
      <c r="T403" s="2154"/>
      <c r="U403" s="2155"/>
      <c r="V403" s="2101"/>
      <c r="W403" s="2102"/>
      <c r="X403" s="2102"/>
      <c r="Y403" s="2103"/>
      <c r="Z403" s="2177"/>
      <c r="AA403" s="2177"/>
      <c r="AB403" s="2087">
        <f t="shared" ref="AB403:AB406" si="136">R403*Z403</f>
        <v>0</v>
      </c>
      <c r="AC403" s="2088"/>
      <c r="AD403" s="2088"/>
      <c r="AE403" s="2178"/>
      <c r="AF403" s="2087">
        <f t="shared" ref="AF403:AF406" si="137">V403*Z403</f>
        <v>0</v>
      </c>
      <c r="AG403" s="2088"/>
      <c r="AH403" s="2088"/>
      <c r="AI403" s="2089"/>
    </row>
    <row r="404" spans="1:35">
      <c r="A404" s="1845">
        <f t="shared" si="131"/>
        <v>13</v>
      </c>
      <c r="B404" s="2093"/>
      <c r="C404" s="2094"/>
      <c r="D404" s="2094"/>
      <c r="E404" s="2095"/>
      <c r="F404" s="2174"/>
      <c r="G404" s="2174"/>
      <c r="H404" s="2175"/>
      <c r="I404" s="2175"/>
      <c r="J404" s="2175"/>
      <c r="K404" s="2176"/>
      <c r="L404" s="2176"/>
      <c r="M404" s="2176"/>
      <c r="N404" s="2176"/>
      <c r="O404" s="2176"/>
      <c r="P404" s="2176"/>
      <c r="Q404" s="2176"/>
      <c r="R404" s="2153">
        <f t="shared" si="135"/>
        <v>0</v>
      </c>
      <c r="S404" s="2154"/>
      <c r="T404" s="2154"/>
      <c r="U404" s="2155"/>
      <c r="V404" s="2101"/>
      <c r="W404" s="2102"/>
      <c r="X404" s="2102"/>
      <c r="Y404" s="2103"/>
      <c r="Z404" s="2177"/>
      <c r="AA404" s="2177"/>
      <c r="AB404" s="2087">
        <f t="shared" si="136"/>
        <v>0</v>
      </c>
      <c r="AC404" s="2088"/>
      <c r="AD404" s="2088"/>
      <c r="AE404" s="2178"/>
      <c r="AF404" s="2087">
        <f t="shared" si="137"/>
        <v>0</v>
      </c>
      <c r="AG404" s="2088"/>
      <c r="AH404" s="2088"/>
      <c r="AI404" s="2089"/>
    </row>
    <row r="405" spans="1:35">
      <c r="A405" s="1845">
        <f t="shared" si="131"/>
        <v>14</v>
      </c>
      <c r="B405" s="2093"/>
      <c r="C405" s="2094"/>
      <c r="D405" s="2094"/>
      <c r="E405" s="2095"/>
      <c r="F405" s="2174"/>
      <c r="G405" s="2174"/>
      <c r="H405" s="2175"/>
      <c r="I405" s="2175"/>
      <c r="J405" s="2175"/>
      <c r="K405" s="2176"/>
      <c r="L405" s="2176"/>
      <c r="M405" s="2176"/>
      <c r="N405" s="2176"/>
      <c r="O405" s="2176"/>
      <c r="P405" s="2176"/>
      <c r="Q405" s="2176"/>
      <c r="R405" s="2153">
        <f t="shared" si="135"/>
        <v>0</v>
      </c>
      <c r="S405" s="2154"/>
      <c r="T405" s="2154"/>
      <c r="U405" s="2155"/>
      <c r="V405" s="2101"/>
      <c r="W405" s="2102"/>
      <c r="X405" s="2102"/>
      <c r="Y405" s="2103"/>
      <c r="Z405" s="2177"/>
      <c r="AA405" s="2177"/>
      <c r="AB405" s="2087">
        <f t="shared" si="136"/>
        <v>0</v>
      </c>
      <c r="AC405" s="2088"/>
      <c r="AD405" s="2088"/>
      <c r="AE405" s="2178"/>
      <c r="AF405" s="2087">
        <f t="shared" si="137"/>
        <v>0</v>
      </c>
      <c r="AG405" s="2088"/>
      <c r="AH405" s="2088"/>
      <c r="AI405" s="2089"/>
    </row>
    <row r="406" spans="1:35">
      <c r="A406" s="1845">
        <f t="shared" si="131"/>
        <v>15</v>
      </c>
      <c r="B406" s="2093"/>
      <c r="C406" s="2094"/>
      <c r="D406" s="2094"/>
      <c r="E406" s="2095"/>
      <c r="F406" s="2174"/>
      <c r="G406" s="2174"/>
      <c r="H406" s="2175"/>
      <c r="I406" s="2175"/>
      <c r="J406" s="2175"/>
      <c r="K406" s="2176"/>
      <c r="L406" s="2176"/>
      <c r="M406" s="2176"/>
      <c r="N406" s="2176"/>
      <c r="O406" s="2176"/>
      <c r="P406" s="2176"/>
      <c r="Q406" s="2176"/>
      <c r="R406" s="2153">
        <f t="shared" si="135"/>
        <v>0</v>
      </c>
      <c r="S406" s="2154"/>
      <c r="T406" s="2154"/>
      <c r="U406" s="2155"/>
      <c r="V406" s="2101"/>
      <c r="W406" s="2102"/>
      <c r="X406" s="2102"/>
      <c r="Y406" s="2103"/>
      <c r="Z406" s="2177"/>
      <c r="AA406" s="2177"/>
      <c r="AB406" s="2087">
        <f t="shared" si="136"/>
        <v>0</v>
      </c>
      <c r="AC406" s="2088"/>
      <c r="AD406" s="2088"/>
      <c r="AE406" s="2178"/>
      <c r="AF406" s="2087">
        <f t="shared" si="137"/>
        <v>0</v>
      </c>
      <c r="AG406" s="2088"/>
      <c r="AH406" s="2088"/>
      <c r="AI406" s="2089"/>
    </row>
    <row r="407" spans="1:35" s="623" customFormat="1">
      <c r="A407" s="663" t="s">
        <v>551</v>
      </c>
      <c r="B407" s="2147"/>
      <c r="C407" s="2148"/>
      <c r="D407" s="2148"/>
      <c r="E407" s="2149"/>
      <c r="F407" s="2150"/>
      <c r="G407" s="2150"/>
      <c r="H407" s="2151"/>
      <c r="I407" s="2151"/>
      <c r="J407" s="2151"/>
      <c r="K407" s="2152"/>
      <c r="L407" s="2152"/>
      <c r="M407" s="2152"/>
      <c r="N407" s="2152"/>
      <c r="O407" s="2152"/>
      <c r="P407" s="2152"/>
      <c r="Q407" s="2152"/>
      <c r="R407" s="2153">
        <f t="shared" si="128"/>
        <v>0</v>
      </c>
      <c r="S407" s="2154"/>
      <c r="T407" s="2154"/>
      <c r="U407" s="2155"/>
      <c r="V407" s="2181"/>
      <c r="W407" s="2182"/>
      <c r="X407" s="2182"/>
      <c r="Y407" s="2183"/>
      <c r="Z407" s="2177"/>
      <c r="AA407" s="2177"/>
      <c r="AB407" s="2087">
        <f t="shared" si="129"/>
        <v>0</v>
      </c>
      <c r="AC407" s="2088"/>
      <c r="AD407" s="2088"/>
      <c r="AE407" s="2178"/>
      <c r="AF407" s="2087">
        <f t="shared" si="130"/>
        <v>0</v>
      </c>
      <c r="AG407" s="2088"/>
      <c r="AH407" s="2088"/>
      <c r="AI407" s="2089"/>
    </row>
    <row r="408" spans="1:35" s="623" customFormat="1" ht="13.5" thickBot="1">
      <c r="A408" s="641"/>
      <c r="B408" s="653"/>
      <c r="C408" s="654"/>
      <c r="D408" s="654"/>
      <c r="E408" s="655"/>
      <c r="F408" s="2184"/>
      <c r="G408" s="2185"/>
      <c r="H408" s="2184"/>
      <c r="I408" s="2186"/>
      <c r="J408" s="2185"/>
      <c r="K408" s="2184"/>
      <c r="L408" s="2186"/>
      <c r="M408" s="2186"/>
      <c r="N408" s="2185"/>
      <c r="O408" s="653"/>
      <c r="P408" s="654"/>
      <c r="Q408" s="655"/>
      <c r="R408" s="2187"/>
      <c r="S408" s="2188"/>
      <c r="T408" s="2188"/>
      <c r="U408" s="2189"/>
      <c r="V408" s="2187"/>
      <c r="W408" s="2188"/>
      <c r="X408" s="2188"/>
      <c r="Y408" s="2189"/>
      <c r="Z408" s="664"/>
      <c r="AA408" s="664"/>
      <c r="AB408" s="648"/>
      <c r="AC408" s="649"/>
      <c r="AD408" s="649"/>
      <c r="AE408" s="650"/>
      <c r="AF408" s="2190"/>
      <c r="AG408" s="2191"/>
      <c r="AH408" s="2191"/>
      <c r="AI408" s="2192"/>
    </row>
    <row r="409" spans="1:35" s="623" customFormat="1" ht="14.25" thickTop="1" thickBot="1">
      <c r="R409" s="665"/>
      <c r="S409" s="665"/>
      <c r="T409" s="665"/>
      <c r="U409" s="665"/>
      <c r="V409" s="665"/>
      <c r="W409" s="665"/>
      <c r="X409" s="665"/>
      <c r="Y409" s="665"/>
      <c r="AB409" s="652"/>
      <c r="AC409" s="652"/>
      <c r="AD409" s="652"/>
      <c r="AE409" s="652"/>
      <c r="AF409" s="652"/>
      <c r="AG409" s="652"/>
      <c r="AH409" s="652"/>
      <c r="AI409" s="652"/>
    </row>
    <row r="410" spans="1:35" s="623" customFormat="1" ht="14.25" thickTop="1" thickBot="1">
      <c r="B410" s="622" t="s">
        <v>552</v>
      </c>
      <c r="R410" s="2171">
        <f>SUM(R392:U408)</f>
        <v>0</v>
      </c>
      <c r="S410" s="2172"/>
      <c r="T410" s="2172"/>
      <c r="U410" s="2173"/>
      <c r="V410" s="2171">
        <f>SUM(V392:Y408)</f>
        <v>0</v>
      </c>
      <c r="W410" s="2172"/>
      <c r="X410" s="2172"/>
      <c r="Y410" s="2173"/>
      <c r="AB410" s="2198">
        <f>SUM(AB392:AE408)</f>
        <v>0</v>
      </c>
      <c r="AC410" s="2199"/>
      <c r="AD410" s="2199"/>
      <c r="AE410" s="2200"/>
      <c r="AF410" s="2198">
        <f>SUM(AF392:AI408)</f>
        <v>0</v>
      </c>
      <c r="AG410" s="2199"/>
      <c r="AH410" s="2199"/>
      <c r="AI410" s="2200"/>
    </row>
    <row r="411" spans="1:35" ht="13.5" collapsed="1" thickTop="1"/>
    <row r="412" spans="1:35" s="623" customFormat="1">
      <c r="B412" s="666" t="s">
        <v>429</v>
      </c>
      <c r="C412" s="627" t="s">
        <v>563</v>
      </c>
      <c r="D412" s="628"/>
      <c r="E412" s="628"/>
      <c r="F412" s="628"/>
      <c r="G412" s="628"/>
      <c r="H412" s="628"/>
      <c r="I412" s="628"/>
      <c r="J412" s="628"/>
      <c r="K412" s="628"/>
      <c r="L412" s="628"/>
      <c r="M412" s="628"/>
      <c r="N412" s="628"/>
      <c r="O412" s="628"/>
      <c r="P412" s="628"/>
      <c r="Q412" s="628"/>
      <c r="R412" s="628"/>
      <c r="S412" s="628"/>
      <c r="T412" s="628"/>
      <c r="U412" s="628"/>
      <c r="V412" s="628"/>
      <c r="W412" s="628"/>
      <c r="X412" s="628"/>
      <c r="Y412" s="628"/>
      <c r="Z412" s="628"/>
      <c r="AA412" s="628"/>
      <c r="AB412" s="628"/>
      <c r="AC412" s="628"/>
      <c r="AD412" s="628"/>
      <c r="AE412" s="628"/>
      <c r="AF412" s="628"/>
      <c r="AG412" s="628"/>
      <c r="AH412" s="628"/>
      <c r="AI412" s="628"/>
    </row>
    <row r="413" spans="1:35" s="623" customFormat="1" ht="13.5" thickBot="1">
      <c r="D413" s="623" t="s">
        <v>381</v>
      </c>
    </row>
    <row r="414" spans="1:35" s="622" customFormat="1" ht="13.5" thickTop="1">
      <c r="B414" s="2179" t="s">
        <v>360</v>
      </c>
      <c r="C414" s="2156" t="s">
        <v>564</v>
      </c>
      <c r="D414" s="2156"/>
      <c r="E414" s="2156"/>
      <c r="F414" s="2156"/>
      <c r="G414" s="2156"/>
      <c r="H414" s="2156"/>
      <c r="I414" s="2156"/>
      <c r="J414" s="2156"/>
      <c r="K414" s="2156" t="s">
        <v>542</v>
      </c>
      <c r="L414" s="2156"/>
      <c r="M414" s="2156" t="s">
        <v>565</v>
      </c>
      <c r="N414" s="2156"/>
      <c r="O414" s="2156"/>
      <c r="P414" s="2156" t="s">
        <v>543</v>
      </c>
      <c r="Q414" s="2156"/>
      <c r="R414" s="2156"/>
      <c r="S414" s="2156"/>
      <c r="T414" s="2156"/>
      <c r="U414" s="2156" t="s">
        <v>544</v>
      </c>
      <c r="V414" s="2156"/>
      <c r="W414" s="2156"/>
      <c r="X414" s="2156" t="s">
        <v>545</v>
      </c>
      <c r="Y414" s="2156"/>
      <c r="Z414" s="2156"/>
      <c r="AA414" s="2156"/>
      <c r="AB414" s="2157"/>
    </row>
    <row r="415" spans="1:35" s="622" customFormat="1" ht="13.5" thickBot="1">
      <c r="B415" s="2180"/>
      <c r="C415" s="2158"/>
      <c r="D415" s="2158"/>
      <c r="E415" s="2158"/>
      <c r="F415" s="2158"/>
      <c r="G415" s="2158"/>
      <c r="H415" s="2158"/>
      <c r="I415" s="2158"/>
      <c r="J415" s="2158"/>
      <c r="K415" s="2158"/>
      <c r="L415" s="2158"/>
      <c r="M415" s="2158"/>
      <c r="N415" s="2158"/>
      <c r="O415" s="2158"/>
      <c r="P415" s="2158"/>
      <c r="Q415" s="2158"/>
      <c r="R415" s="2158"/>
      <c r="S415" s="2158"/>
      <c r="T415" s="2158"/>
      <c r="U415" s="2158"/>
      <c r="V415" s="2158"/>
      <c r="W415" s="2158"/>
      <c r="X415" s="2158"/>
      <c r="Y415" s="2158"/>
      <c r="Z415" s="2158"/>
      <c r="AA415" s="2158"/>
      <c r="AB415" s="2159"/>
    </row>
    <row r="416" spans="1:35" s="623" customFormat="1" ht="13.5" thickTop="1"/>
    <row r="417" spans="1:29" s="623" customFormat="1">
      <c r="B417" s="622" t="s">
        <v>566</v>
      </c>
    </row>
    <row r="418" spans="1:29" ht="13.5" thickBot="1">
      <c r="X418" s="623"/>
      <c r="Y418" s="623"/>
      <c r="Z418" s="623"/>
      <c r="AA418" s="623"/>
      <c r="AB418" s="623"/>
    </row>
    <row r="419" spans="1:29" ht="13.5" thickTop="1">
      <c r="B419" s="667">
        <v>1</v>
      </c>
      <c r="C419" s="2160"/>
      <c r="D419" s="2161"/>
      <c r="E419" s="2161"/>
      <c r="F419" s="2161"/>
      <c r="G419" s="2161"/>
      <c r="H419" s="2161"/>
      <c r="I419" s="2161"/>
      <c r="J419" s="2162"/>
      <c r="K419" s="2163"/>
      <c r="L419" s="2164"/>
      <c r="M419" s="2165"/>
      <c r="N419" s="2166"/>
      <c r="O419" s="2167"/>
      <c r="P419" s="2168"/>
      <c r="Q419" s="2169"/>
      <c r="R419" s="2169"/>
      <c r="S419" s="2169"/>
      <c r="T419" s="2170"/>
      <c r="U419" s="2135"/>
      <c r="V419" s="2136"/>
      <c r="W419" s="2137"/>
      <c r="X419" s="2138">
        <f t="shared" ref="X419:X429" si="138">P419*U419</f>
        <v>0</v>
      </c>
      <c r="Y419" s="2139"/>
      <c r="Z419" s="2139"/>
      <c r="AA419" s="2139"/>
      <c r="AB419" s="2140"/>
    </row>
    <row r="420" spans="1:29">
      <c r="B420" s="662">
        <v>2</v>
      </c>
      <c r="C420" s="2093"/>
      <c r="D420" s="2094"/>
      <c r="E420" s="2094"/>
      <c r="F420" s="2094"/>
      <c r="G420" s="2094"/>
      <c r="H420" s="2094"/>
      <c r="I420" s="2094"/>
      <c r="J420" s="2095"/>
      <c r="K420" s="2096"/>
      <c r="L420" s="2097"/>
      <c r="M420" s="2098"/>
      <c r="N420" s="2099"/>
      <c r="O420" s="2100"/>
      <c r="P420" s="2101"/>
      <c r="Q420" s="2102"/>
      <c r="R420" s="2102"/>
      <c r="S420" s="2102"/>
      <c r="T420" s="2103"/>
      <c r="U420" s="2141"/>
      <c r="V420" s="2142"/>
      <c r="W420" s="2143"/>
      <c r="X420" s="2087">
        <f t="shared" si="138"/>
        <v>0</v>
      </c>
      <c r="Y420" s="2088"/>
      <c r="Z420" s="2088"/>
      <c r="AA420" s="2088"/>
      <c r="AB420" s="2089"/>
    </row>
    <row r="421" spans="1:29">
      <c r="B421" s="662">
        <v>3</v>
      </c>
      <c r="C421" s="2093"/>
      <c r="D421" s="2094"/>
      <c r="E421" s="2094"/>
      <c r="F421" s="2094"/>
      <c r="G421" s="2094"/>
      <c r="H421" s="2094"/>
      <c r="I421" s="2094"/>
      <c r="J421" s="2095"/>
      <c r="K421" s="2096"/>
      <c r="L421" s="2097"/>
      <c r="M421" s="2098"/>
      <c r="N421" s="2099"/>
      <c r="O421" s="2100"/>
      <c r="P421" s="2101"/>
      <c r="Q421" s="2102"/>
      <c r="R421" s="2102"/>
      <c r="S421" s="2102"/>
      <c r="T421" s="2103"/>
      <c r="U421" s="2144"/>
      <c r="V421" s="2145"/>
      <c r="W421" s="2146"/>
      <c r="X421" s="2087">
        <f t="shared" si="138"/>
        <v>0</v>
      </c>
      <c r="Y421" s="2088"/>
      <c r="Z421" s="2088"/>
      <c r="AA421" s="2088"/>
      <c r="AB421" s="2089"/>
    </row>
    <row r="422" spans="1:29">
      <c r="B422" s="662">
        <v>4</v>
      </c>
      <c r="C422" s="2093"/>
      <c r="D422" s="2094"/>
      <c r="E422" s="2094"/>
      <c r="F422" s="2094"/>
      <c r="G422" s="2094"/>
      <c r="H422" s="2094"/>
      <c r="I422" s="2094"/>
      <c r="J422" s="2095"/>
      <c r="K422" s="2096"/>
      <c r="L422" s="2097"/>
      <c r="M422" s="2098"/>
      <c r="N422" s="2099"/>
      <c r="O422" s="2100"/>
      <c r="P422" s="2101"/>
      <c r="Q422" s="2102"/>
      <c r="R422" s="2102"/>
      <c r="S422" s="2102"/>
      <c r="T422" s="2103"/>
      <c r="U422" s="2104"/>
      <c r="V422" s="2105"/>
      <c r="W422" s="2106"/>
      <c r="X422" s="2087">
        <f t="shared" si="138"/>
        <v>0</v>
      </c>
      <c r="Y422" s="2088"/>
      <c r="Z422" s="2088"/>
      <c r="AA422" s="2088"/>
      <c r="AB422" s="2089"/>
    </row>
    <row r="423" spans="1:29">
      <c r="B423" s="662">
        <v>5</v>
      </c>
      <c r="C423" s="2093"/>
      <c r="D423" s="2094"/>
      <c r="E423" s="2094"/>
      <c r="F423" s="2094"/>
      <c r="G423" s="2094"/>
      <c r="H423" s="2094"/>
      <c r="I423" s="2094"/>
      <c r="J423" s="2095"/>
      <c r="K423" s="2096"/>
      <c r="L423" s="2097"/>
      <c r="M423" s="2098"/>
      <c r="N423" s="2099"/>
      <c r="O423" s="2100"/>
      <c r="P423" s="2101"/>
      <c r="Q423" s="2102"/>
      <c r="R423" s="2102"/>
      <c r="S423" s="2102"/>
      <c r="T423" s="2103"/>
      <c r="U423" s="2141"/>
      <c r="V423" s="2142"/>
      <c r="W423" s="2143"/>
      <c r="X423" s="2087">
        <f t="shared" si="138"/>
        <v>0</v>
      </c>
      <c r="Y423" s="2088"/>
      <c r="Z423" s="2088"/>
      <c r="AA423" s="2088"/>
      <c r="AB423" s="2089"/>
    </row>
    <row r="424" spans="1:29">
      <c r="B424" s="662">
        <v>6</v>
      </c>
      <c r="C424" s="2093"/>
      <c r="D424" s="2094"/>
      <c r="E424" s="2094"/>
      <c r="F424" s="2094"/>
      <c r="G424" s="2094"/>
      <c r="H424" s="2094"/>
      <c r="I424" s="2094"/>
      <c r="J424" s="2095"/>
      <c r="K424" s="2096"/>
      <c r="L424" s="2097"/>
      <c r="M424" s="2098"/>
      <c r="N424" s="2099"/>
      <c r="O424" s="2100"/>
      <c r="P424" s="2101"/>
      <c r="Q424" s="2102"/>
      <c r="R424" s="2102"/>
      <c r="S424" s="2102"/>
      <c r="T424" s="2103"/>
      <c r="U424" s="2144"/>
      <c r="V424" s="2145"/>
      <c r="W424" s="2146"/>
      <c r="X424" s="2087">
        <f t="shared" si="138"/>
        <v>0</v>
      </c>
      <c r="Y424" s="2088"/>
      <c r="Z424" s="2088"/>
      <c r="AA424" s="2088"/>
      <c r="AB424" s="2089"/>
    </row>
    <row r="425" spans="1:29">
      <c r="B425" s="662">
        <v>7</v>
      </c>
      <c r="C425" s="2093"/>
      <c r="D425" s="2094"/>
      <c r="E425" s="2094"/>
      <c r="F425" s="2094"/>
      <c r="G425" s="2094"/>
      <c r="H425" s="2094"/>
      <c r="I425" s="2094"/>
      <c r="J425" s="2095"/>
      <c r="K425" s="2096"/>
      <c r="L425" s="2097"/>
      <c r="M425" s="2098"/>
      <c r="N425" s="2099"/>
      <c r="O425" s="2100"/>
      <c r="P425" s="2101"/>
      <c r="Q425" s="2102"/>
      <c r="R425" s="2102"/>
      <c r="S425" s="2102"/>
      <c r="T425" s="2103"/>
      <c r="U425" s="2104"/>
      <c r="V425" s="2105"/>
      <c r="W425" s="2106"/>
      <c r="X425" s="2087">
        <f t="shared" si="138"/>
        <v>0</v>
      </c>
      <c r="Y425" s="2088"/>
      <c r="Z425" s="2088"/>
      <c r="AA425" s="2088"/>
      <c r="AB425" s="2089"/>
    </row>
    <row r="426" spans="1:29">
      <c r="B426" s="662">
        <v>8</v>
      </c>
      <c r="C426" s="2093"/>
      <c r="D426" s="2094"/>
      <c r="E426" s="2094"/>
      <c r="F426" s="2094"/>
      <c r="G426" s="2094"/>
      <c r="H426" s="2094"/>
      <c r="I426" s="2094"/>
      <c r="J426" s="2095"/>
      <c r="K426" s="2096"/>
      <c r="L426" s="2097"/>
      <c r="M426" s="2098"/>
      <c r="N426" s="2099"/>
      <c r="O426" s="2100"/>
      <c r="P426" s="2101"/>
      <c r="Q426" s="2102"/>
      <c r="R426" s="2102"/>
      <c r="S426" s="2102"/>
      <c r="T426" s="2103"/>
      <c r="U426" s="2141"/>
      <c r="V426" s="2142"/>
      <c r="W426" s="2143"/>
      <c r="X426" s="2087">
        <f t="shared" si="138"/>
        <v>0</v>
      </c>
      <c r="Y426" s="2088"/>
      <c r="Z426" s="2088"/>
      <c r="AA426" s="2088"/>
      <c r="AB426" s="2089"/>
    </row>
    <row r="427" spans="1:29">
      <c r="B427" s="662">
        <v>9</v>
      </c>
      <c r="C427" s="2093"/>
      <c r="D427" s="2094"/>
      <c r="E427" s="2094"/>
      <c r="F427" s="2094"/>
      <c r="G427" s="2094"/>
      <c r="H427" s="2094"/>
      <c r="I427" s="2094"/>
      <c r="J427" s="2095"/>
      <c r="K427" s="2096"/>
      <c r="L427" s="2097"/>
      <c r="M427" s="2098"/>
      <c r="N427" s="2099"/>
      <c r="O427" s="2100"/>
      <c r="P427" s="2101"/>
      <c r="Q427" s="2102"/>
      <c r="R427" s="2102"/>
      <c r="S427" s="2102"/>
      <c r="T427" s="2103"/>
      <c r="U427" s="2144"/>
      <c r="V427" s="2145"/>
      <c r="W427" s="2146"/>
      <c r="X427" s="2087">
        <f t="shared" si="138"/>
        <v>0</v>
      </c>
      <c r="Y427" s="2088"/>
      <c r="Z427" s="2088"/>
      <c r="AA427" s="2088"/>
      <c r="AB427" s="2089"/>
    </row>
    <row r="428" spans="1:29">
      <c r="B428" s="662">
        <v>10</v>
      </c>
      <c r="C428" s="2093"/>
      <c r="D428" s="2094"/>
      <c r="E428" s="2094"/>
      <c r="F428" s="2094"/>
      <c r="G428" s="2094"/>
      <c r="H428" s="2094"/>
      <c r="I428" s="2094"/>
      <c r="J428" s="2095"/>
      <c r="K428" s="2096"/>
      <c r="L428" s="2097"/>
      <c r="M428" s="2098"/>
      <c r="N428" s="2099"/>
      <c r="O428" s="2100"/>
      <c r="P428" s="2101"/>
      <c r="Q428" s="2102"/>
      <c r="R428" s="2102"/>
      <c r="S428" s="2102"/>
      <c r="T428" s="2103"/>
      <c r="U428" s="2104"/>
      <c r="V428" s="2105"/>
      <c r="W428" s="2106"/>
      <c r="X428" s="2087">
        <f t="shared" si="138"/>
        <v>0</v>
      </c>
      <c r="Y428" s="2088"/>
      <c r="Z428" s="2088"/>
      <c r="AA428" s="2088"/>
      <c r="AB428" s="2089"/>
    </row>
    <row r="429" spans="1:29" ht="13.5" thickBot="1">
      <c r="B429" s="668" t="s">
        <v>551</v>
      </c>
      <c r="C429" s="2126"/>
      <c r="D429" s="2127"/>
      <c r="E429" s="2127"/>
      <c r="F429" s="2127"/>
      <c r="G429" s="2127"/>
      <c r="H429" s="2127"/>
      <c r="I429" s="2127"/>
      <c r="J429" s="2128"/>
      <c r="K429" s="2129"/>
      <c r="L429" s="2130"/>
      <c r="M429" s="2090"/>
      <c r="N429" s="2091"/>
      <c r="O429" s="2092"/>
      <c r="P429" s="2107"/>
      <c r="Q429" s="2108"/>
      <c r="R429" s="2108"/>
      <c r="S429" s="2108"/>
      <c r="T429" s="2109"/>
      <c r="U429" s="2211"/>
      <c r="V429" s="2212"/>
      <c r="W429" s="2213"/>
      <c r="X429" s="2134">
        <f t="shared" si="138"/>
        <v>0</v>
      </c>
      <c r="Y429" s="2114"/>
      <c r="Z429" s="2114"/>
      <c r="AA429" s="2114"/>
      <c r="AB429" s="2115"/>
    </row>
    <row r="430" spans="1:29" ht="14.25" thickTop="1" thickBot="1">
      <c r="M430" s="669"/>
      <c r="N430" s="669"/>
      <c r="O430" s="669"/>
      <c r="P430" s="670"/>
      <c r="Q430" s="670"/>
      <c r="R430" s="670"/>
      <c r="S430" s="670"/>
      <c r="T430" s="670"/>
      <c r="U430" s="671"/>
      <c r="V430" s="671"/>
      <c r="W430" s="671"/>
      <c r="X430" s="672"/>
      <c r="Y430" s="672"/>
      <c r="Z430" s="672"/>
      <c r="AA430" s="672"/>
      <c r="AB430" s="672"/>
    </row>
    <row r="431" spans="1:29" ht="14.25" thickTop="1" thickBot="1">
      <c r="A431" s="623"/>
      <c r="B431" s="623" t="s">
        <v>567</v>
      </c>
      <c r="C431" s="623"/>
      <c r="D431" s="623"/>
      <c r="E431" s="623"/>
      <c r="F431" s="623"/>
      <c r="G431" s="623"/>
      <c r="H431" s="623"/>
      <c r="I431" s="623"/>
      <c r="J431" s="623"/>
      <c r="K431" s="623"/>
      <c r="L431" s="623"/>
      <c r="M431" s="673"/>
      <c r="N431" s="673"/>
      <c r="O431" s="673"/>
      <c r="P431" s="2171">
        <f>SUM(P419:T429)</f>
        <v>0</v>
      </c>
      <c r="Q431" s="2172"/>
      <c r="R431" s="2172"/>
      <c r="S431" s="2172"/>
      <c r="T431" s="2173"/>
      <c r="U431" s="674"/>
      <c r="V431" s="674"/>
      <c r="W431" s="674"/>
      <c r="X431" s="2198">
        <f>SUM(X419:AB429)</f>
        <v>0</v>
      </c>
      <c r="Y431" s="2199"/>
      <c r="Z431" s="2199"/>
      <c r="AA431" s="2199"/>
      <c r="AB431" s="2200"/>
      <c r="AC431" s="623"/>
    </row>
    <row r="432" spans="1:29" ht="13.5" thickTop="1">
      <c r="A432" s="623"/>
      <c r="B432" s="623"/>
      <c r="C432" s="623"/>
      <c r="D432" s="623"/>
      <c r="E432" s="623"/>
      <c r="F432" s="623"/>
      <c r="G432" s="623"/>
      <c r="H432" s="623"/>
      <c r="I432" s="623"/>
      <c r="J432" s="623"/>
      <c r="K432" s="623"/>
      <c r="L432" s="623"/>
      <c r="M432" s="673"/>
      <c r="N432" s="673"/>
      <c r="O432" s="673"/>
      <c r="P432" s="675"/>
      <c r="Q432" s="675"/>
      <c r="R432" s="675"/>
      <c r="S432" s="675"/>
      <c r="T432" s="675"/>
      <c r="U432" s="674"/>
      <c r="V432" s="674"/>
      <c r="W432" s="674"/>
      <c r="X432" s="674"/>
      <c r="Y432" s="674"/>
      <c r="Z432" s="674"/>
      <c r="AA432" s="674"/>
      <c r="AB432" s="674"/>
      <c r="AC432" s="623"/>
    </row>
    <row r="433" spans="1:29">
      <c r="A433" s="623"/>
      <c r="B433" s="622" t="s">
        <v>568</v>
      </c>
      <c r="C433" s="623"/>
      <c r="D433" s="623"/>
      <c r="E433" s="623"/>
      <c r="F433" s="623"/>
      <c r="G433" s="623"/>
      <c r="H433" s="623"/>
      <c r="I433" s="623"/>
      <c r="J433" s="623"/>
      <c r="K433" s="623"/>
      <c r="L433" s="623"/>
      <c r="M433" s="673"/>
      <c r="N433" s="673"/>
      <c r="O433" s="673"/>
      <c r="P433" s="675"/>
      <c r="Q433" s="675"/>
      <c r="R433" s="675"/>
      <c r="S433" s="675"/>
      <c r="T433" s="675"/>
      <c r="U433" s="674"/>
      <c r="V433" s="674"/>
      <c r="W433" s="674"/>
      <c r="X433" s="674"/>
      <c r="Y433" s="674"/>
      <c r="Z433" s="674"/>
      <c r="AA433" s="674"/>
      <c r="AB433" s="674"/>
      <c r="AC433" s="623"/>
    </row>
    <row r="434" spans="1:29" ht="13.5" thickBot="1">
      <c r="M434" s="669"/>
      <c r="N434" s="669"/>
      <c r="O434" s="669"/>
      <c r="P434" s="676"/>
      <c r="Q434" s="676"/>
      <c r="R434" s="676"/>
      <c r="S434" s="676"/>
      <c r="T434" s="676"/>
      <c r="U434" s="671"/>
      <c r="V434" s="671"/>
      <c r="W434" s="671"/>
      <c r="X434" s="674"/>
      <c r="Y434" s="674"/>
      <c r="Z434" s="674"/>
      <c r="AA434" s="674"/>
      <c r="AB434" s="674"/>
    </row>
    <row r="435" spans="1:29" ht="13.5" thickTop="1">
      <c r="B435" s="667">
        <v>1</v>
      </c>
      <c r="C435" s="2160"/>
      <c r="D435" s="2161"/>
      <c r="E435" s="2161"/>
      <c r="F435" s="2161"/>
      <c r="G435" s="2161"/>
      <c r="H435" s="2161"/>
      <c r="I435" s="2161"/>
      <c r="J435" s="2162"/>
      <c r="K435" s="2163"/>
      <c r="L435" s="2164"/>
      <c r="M435" s="2165"/>
      <c r="N435" s="2166"/>
      <c r="O435" s="2167"/>
      <c r="P435" s="2168"/>
      <c r="Q435" s="2169"/>
      <c r="R435" s="2169"/>
      <c r="S435" s="2169"/>
      <c r="T435" s="2170"/>
      <c r="U435" s="2135"/>
      <c r="V435" s="2136"/>
      <c r="W435" s="2137"/>
      <c r="X435" s="2138">
        <f t="shared" ref="X435:X445" si="139">P435*U435</f>
        <v>0</v>
      </c>
      <c r="Y435" s="2139"/>
      <c r="Z435" s="2139"/>
      <c r="AA435" s="2139"/>
      <c r="AB435" s="2140"/>
    </row>
    <row r="436" spans="1:29">
      <c r="B436" s="662">
        <v>2</v>
      </c>
      <c r="C436" s="2093"/>
      <c r="D436" s="2094"/>
      <c r="E436" s="2094"/>
      <c r="F436" s="2094"/>
      <c r="G436" s="2094"/>
      <c r="H436" s="2094"/>
      <c r="I436" s="2094"/>
      <c r="J436" s="2095"/>
      <c r="K436" s="2096"/>
      <c r="L436" s="2097"/>
      <c r="M436" s="2098"/>
      <c r="N436" s="2099"/>
      <c r="O436" s="2100"/>
      <c r="P436" s="2101"/>
      <c r="Q436" s="2102"/>
      <c r="R436" s="2102"/>
      <c r="S436" s="2102"/>
      <c r="T436" s="2103"/>
      <c r="U436" s="2110"/>
      <c r="V436" s="2111"/>
      <c r="W436" s="2112"/>
      <c r="X436" s="2087">
        <f t="shared" si="139"/>
        <v>0</v>
      </c>
      <c r="Y436" s="2088"/>
      <c r="Z436" s="2088"/>
      <c r="AA436" s="2088"/>
      <c r="AB436" s="2089"/>
    </row>
    <row r="437" spans="1:29">
      <c r="B437" s="662">
        <v>3</v>
      </c>
      <c r="C437" s="2093"/>
      <c r="D437" s="2094"/>
      <c r="E437" s="2094"/>
      <c r="F437" s="2094"/>
      <c r="G437" s="2094"/>
      <c r="H437" s="2094"/>
      <c r="I437" s="2094"/>
      <c r="J437" s="2095"/>
      <c r="K437" s="2096"/>
      <c r="L437" s="2097"/>
      <c r="M437" s="2098"/>
      <c r="N437" s="2099"/>
      <c r="O437" s="2100"/>
      <c r="P437" s="2101"/>
      <c r="Q437" s="2102"/>
      <c r="R437" s="2102"/>
      <c r="S437" s="2102"/>
      <c r="T437" s="2103"/>
      <c r="U437" s="2141"/>
      <c r="V437" s="2142"/>
      <c r="W437" s="2143"/>
      <c r="X437" s="2087">
        <f t="shared" si="139"/>
        <v>0</v>
      </c>
      <c r="Y437" s="2088"/>
      <c r="Z437" s="2088"/>
      <c r="AA437" s="2088"/>
      <c r="AB437" s="2089"/>
    </row>
    <row r="438" spans="1:29">
      <c r="B438" s="662">
        <v>4</v>
      </c>
      <c r="C438" s="2093"/>
      <c r="D438" s="2094"/>
      <c r="E438" s="2094"/>
      <c r="F438" s="2094"/>
      <c r="G438" s="2094"/>
      <c r="H438" s="2094"/>
      <c r="I438" s="2094"/>
      <c r="J438" s="2095"/>
      <c r="K438" s="2096"/>
      <c r="L438" s="2097"/>
      <c r="M438" s="2098"/>
      <c r="N438" s="2099"/>
      <c r="O438" s="2100"/>
      <c r="P438" s="2101"/>
      <c r="Q438" s="2102"/>
      <c r="R438" s="2102"/>
      <c r="S438" s="2102"/>
      <c r="T438" s="2103"/>
      <c r="U438" s="2104"/>
      <c r="V438" s="2105"/>
      <c r="W438" s="2106"/>
      <c r="X438" s="2087">
        <f t="shared" si="139"/>
        <v>0</v>
      </c>
      <c r="Y438" s="2088"/>
      <c r="Z438" s="2088"/>
      <c r="AA438" s="2088"/>
      <c r="AB438" s="2089"/>
    </row>
    <row r="439" spans="1:29">
      <c r="B439" s="662">
        <v>5</v>
      </c>
      <c r="C439" s="2093"/>
      <c r="D439" s="2094"/>
      <c r="E439" s="2094"/>
      <c r="F439" s="2094"/>
      <c r="G439" s="2094"/>
      <c r="H439" s="2094"/>
      <c r="I439" s="2094"/>
      <c r="J439" s="2095"/>
      <c r="K439" s="2096"/>
      <c r="L439" s="2097"/>
      <c r="M439" s="2098"/>
      <c r="N439" s="2099"/>
      <c r="O439" s="2100"/>
      <c r="P439" s="2101"/>
      <c r="Q439" s="2102"/>
      <c r="R439" s="2102"/>
      <c r="S439" s="2102"/>
      <c r="T439" s="2103"/>
      <c r="U439" s="2110"/>
      <c r="V439" s="2111"/>
      <c r="W439" s="2112"/>
      <c r="X439" s="2087">
        <f t="shared" si="139"/>
        <v>0</v>
      </c>
      <c r="Y439" s="2088"/>
      <c r="Z439" s="2088"/>
      <c r="AA439" s="2088"/>
      <c r="AB439" s="2089"/>
    </row>
    <row r="440" spans="1:29">
      <c r="B440" s="662">
        <v>6</v>
      </c>
      <c r="C440" s="2093"/>
      <c r="D440" s="2094"/>
      <c r="E440" s="2094"/>
      <c r="F440" s="2094"/>
      <c r="G440" s="2094"/>
      <c r="H440" s="2094"/>
      <c r="I440" s="2094"/>
      <c r="J440" s="2095"/>
      <c r="K440" s="2096"/>
      <c r="L440" s="2097"/>
      <c r="M440" s="2098"/>
      <c r="N440" s="2099"/>
      <c r="O440" s="2100"/>
      <c r="P440" s="2101"/>
      <c r="Q440" s="2102"/>
      <c r="R440" s="2102"/>
      <c r="S440" s="2102"/>
      <c r="T440" s="2103"/>
      <c r="U440" s="2141"/>
      <c r="V440" s="2142"/>
      <c r="W440" s="2143"/>
      <c r="X440" s="2087">
        <f t="shared" si="139"/>
        <v>0</v>
      </c>
      <c r="Y440" s="2088"/>
      <c r="Z440" s="2088"/>
      <c r="AA440" s="2088"/>
      <c r="AB440" s="2089"/>
    </row>
    <row r="441" spans="1:29">
      <c r="B441" s="662">
        <v>7</v>
      </c>
      <c r="C441" s="2093"/>
      <c r="D441" s="2094"/>
      <c r="E441" s="2094"/>
      <c r="F441" s="2094"/>
      <c r="G441" s="2094"/>
      <c r="H441" s="2094"/>
      <c r="I441" s="2094"/>
      <c r="J441" s="2095"/>
      <c r="K441" s="2096"/>
      <c r="L441" s="2097"/>
      <c r="M441" s="2098"/>
      <c r="N441" s="2099"/>
      <c r="O441" s="2100"/>
      <c r="P441" s="2101"/>
      <c r="Q441" s="2102"/>
      <c r="R441" s="2102"/>
      <c r="S441" s="2102"/>
      <c r="T441" s="2103"/>
      <c r="U441" s="2104"/>
      <c r="V441" s="2105"/>
      <c r="W441" s="2106"/>
      <c r="X441" s="2087">
        <f t="shared" si="139"/>
        <v>0</v>
      </c>
      <c r="Y441" s="2088"/>
      <c r="Z441" s="2088"/>
      <c r="AA441" s="2088"/>
      <c r="AB441" s="2089"/>
    </row>
    <row r="442" spans="1:29">
      <c r="B442" s="662">
        <v>8</v>
      </c>
      <c r="C442" s="2093"/>
      <c r="D442" s="2094"/>
      <c r="E442" s="2094"/>
      <c r="F442" s="2094"/>
      <c r="G442" s="2094"/>
      <c r="H442" s="2094"/>
      <c r="I442" s="2094"/>
      <c r="J442" s="2095"/>
      <c r="K442" s="2096"/>
      <c r="L442" s="2097"/>
      <c r="M442" s="2098"/>
      <c r="N442" s="2099"/>
      <c r="O442" s="2100"/>
      <c r="P442" s="2101"/>
      <c r="Q442" s="2102"/>
      <c r="R442" s="2102"/>
      <c r="S442" s="2102"/>
      <c r="T442" s="2103"/>
      <c r="U442" s="2110"/>
      <c r="V442" s="2111"/>
      <c r="W442" s="2112"/>
      <c r="X442" s="2087">
        <f t="shared" si="139"/>
        <v>0</v>
      </c>
      <c r="Y442" s="2088"/>
      <c r="Z442" s="2088"/>
      <c r="AA442" s="2088"/>
      <c r="AB442" s="2089"/>
    </row>
    <row r="443" spans="1:29">
      <c r="B443" s="662">
        <v>9</v>
      </c>
      <c r="C443" s="2093"/>
      <c r="D443" s="2094"/>
      <c r="E443" s="2094"/>
      <c r="F443" s="2094"/>
      <c r="G443" s="2094"/>
      <c r="H443" s="2094"/>
      <c r="I443" s="2094"/>
      <c r="J443" s="2095"/>
      <c r="K443" s="2096"/>
      <c r="L443" s="2097"/>
      <c r="M443" s="2098"/>
      <c r="N443" s="2099"/>
      <c r="O443" s="2100"/>
      <c r="P443" s="2101"/>
      <c r="Q443" s="2102"/>
      <c r="R443" s="2102"/>
      <c r="S443" s="2102"/>
      <c r="T443" s="2103"/>
      <c r="U443" s="2141"/>
      <c r="V443" s="2142"/>
      <c r="W443" s="2143"/>
      <c r="X443" s="2087">
        <f t="shared" si="139"/>
        <v>0</v>
      </c>
      <c r="Y443" s="2088"/>
      <c r="Z443" s="2088"/>
      <c r="AA443" s="2088"/>
      <c r="AB443" s="2089"/>
    </row>
    <row r="444" spans="1:29">
      <c r="B444" s="662">
        <v>10</v>
      </c>
      <c r="C444" s="2093"/>
      <c r="D444" s="2094"/>
      <c r="E444" s="2094"/>
      <c r="F444" s="2094"/>
      <c r="G444" s="2094"/>
      <c r="H444" s="2094"/>
      <c r="I444" s="2094"/>
      <c r="J444" s="2095"/>
      <c r="K444" s="2096"/>
      <c r="L444" s="2097"/>
      <c r="M444" s="2098"/>
      <c r="N444" s="2099"/>
      <c r="O444" s="2100"/>
      <c r="P444" s="2101"/>
      <c r="Q444" s="2102"/>
      <c r="R444" s="2102"/>
      <c r="S444" s="2102"/>
      <c r="T444" s="2103"/>
      <c r="U444" s="2104"/>
      <c r="V444" s="2105"/>
      <c r="W444" s="2106"/>
      <c r="X444" s="2087">
        <f t="shared" si="139"/>
        <v>0</v>
      </c>
      <c r="Y444" s="2088"/>
      <c r="Z444" s="2088"/>
      <c r="AA444" s="2088"/>
      <c r="AB444" s="2089"/>
    </row>
    <row r="445" spans="1:29" ht="13.5" thickBot="1">
      <c r="B445" s="668" t="s">
        <v>551</v>
      </c>
      <c r="C445" s="2126"/>
      <c r="D445" s="2127"/>
      <c r="E445" s="2127"/>
      <c r="F445" s="2127"/>
      <c r="G445" s="2127"/>
      <c r="H445" s="2127"/>
      <c r="I445" s="2127"/>
      <c r="J445" s="2128"/>
      <c r="K445" s="2129"/>
      <c r="L445" s="2130"/>
      <c r="M445" s="2090"/>
      <c r="N445" s="2091"/>
      <c r="O445" s="2092"/>
      <c r="P445" s="2107"/>
      <c r="Q445" s="2108"/>
      <c r="R445" s="2108"/>
      <c r="S445" s="2108"/>
      <c r="T445" s="2109"/>
      <c r="U445" s="2211"/>
      <c r="V445" s="2212"/>
      <c r="W445" s="2213"/>
      <c r="X445" s="2134">
        <f t="shared" si="139"/>
        <v>0</v>
      </c>
      <c r="Y445" s="2114"/>
      <c r="Z445" s="2114"/>
      <c r="AA445" s="2114"/>
      <c r="AB445" s="2115"/>
    </row>
    <row r="446" spans="1:29" ht="14.25" thickTop="1" thickBot="1">
      <c r="X446" s="674"/>
      <c r="Y446" s="674"/>
      <c r="Z446" s="674"/>
      <c r="AA446" s="674"/>
      <c r="AB446" s="674"/>
    </row>
    <row r="447" spans="1:29" ht="14.25" thickTop="1" thickBot="1">
      <c r="B447" s="623" t="s">
        <v>569</v>
      </c>
      <c r="C447" s="623"/>
      <c r="D447" s="623"/>
      <c r="E447" s="623"/>
      <c r="F447" s="623"/>
      <c r="G447" s="623"/>
      <c r="H447" s="623"/>
      <c r="I447" s="623"/>
      <c r="J447" s="623"/>
      <c r="K447" s="623"/>
      <c r="L447" s="623"/>
      <c r="M447" s="623"/>
      <c r="N447" s="623"/>
      <c r="P447" s="2171">
        <f>SUM(P435:T445)</f>
        <v>0</v>
      </c>
      <c r="Q447" s="2172"/>
      <c r="R447" s="2172"/>
      <c r="S447" s="2172"/>
      <c r="T447" s="2173"/>
      <c r="U447" s="623"/>
      <c r="V447" s="623"/>
      <c r="W447" s="623"/>
      <c r="X447" s="2198">
        <f>SUM(X435:AB445)</f>
        <v>0</v>
      </c>
      <c r="Y447" s="2199"/>
      <c r="Z447" s="2199"/>
      <c r="AA447" s="2199"/>
      <c r="AB447" s="2200"/>
    </row>
    <row r="448" spans="1:29" ht="13.5" thickTop="1">
      <c r="B448" s="623"/>
      <c r="C448" s="623"/>
      <c r="D448" s="623"/>
      <c r="E448" s="623"/>
      <c r="F448" s="623"/>
      <c r="G448" s="623"/>
      <c r="H448" s="623"/>
      <c r="I448" s="623"/>
      <c r="J448" s="623"/>
      <c r="K448" s="623"/>
      <c r="L448" s="623"/>
      <c r="M448" s="623"/>
      <c r="N448" s="623"/>
      <c r="X448" s="623"/>
      <c r="Y448" s="623"/>
      <c r="Z448" s="623"/>
      <c r="AA448" s="623"/>
      <c r="AB448" s="623"/>
    </row>
    <row r="449" spans="1:35">
      <c r="B449" s="622" t="s">
        <v>570</v>
      </c>
      <c r="C449" s="623"/>
      <c r="D449" s="623"/>
      <c r="E449" s="623"/>
      <c r="F449" s="623"/>
      <c r="G449" s="623"/>
      <c r="H449" s="623"/>
      <c r="I449" s="623"/>
      <c r="J449" s="623"/>
      <c r="K449" s="623"/>
      <c r="L449" s="623"/>
      <c r="M449" s="623"/>
      <c r="N449" s="623"/>
      <c r="X449" s="623"/>
      <c r="Y449" s="623"/>
      <c r="Z449" s="623"/>
      <c r="AA449" s="623"/>
      <c r="AB449" s="623"/>
    </row>
    <row r="450" spans="1:35" ht="13.5" thickBot="1">
      <c r="B450" s="623"/>
      <c r="C450" s="623"/>
      <c r="D450" s="623"/>
      <c r="E450" s="623"/>
      <c r="F450" s="623"/>
      <c r="G450" s="623"/>
      <c r="H450" s="623"/>
      <c r="I450" s="623"/>
      <c r="J450" s="623"/>
      <c r="K450" s="623"/>
      <c r="L450" s="623"/>
      <c r="M450" s="623"/>
      <c r="N450" s="623"/>
      <c r="X450" s="623"/>
      <c r="Y450" s="623"/>
      <c r="Z450" s="623"/>
      <c r="AA450" s="623"/>
      <c r="AB450" s="623"/>
    </row>
    <row r="451" spans="1:35" ht="13.5" thickTop="1">
      <c r="B451" s="623" t="s">
        <v>571</v>
      </c>
      <c r="C451" s="623"/>
      <c r="D451" s="623"/>
      <c r="E451" s="623"/>
      <c r="F451" s="623"/>
      <c r="G451" s="623"/>
      <c r="H451" s="623"/>
      <c r="I451" s="623"/>
      <c r="J451" s="623"/>
      <c r="K451" s="623"/>
      <c r="L451" s="623"/>
      <c r="M451" s="623"/>
      <c r="N451" s="623"/>
      <c r="P451" s="2205"/>
      <c r="Q451" s="2206"/>
      <c r="R451" s="2206"/>
      <c r="S451" s="2206"/>
      <c r="T451" s="2207"/>
      <c r="X451" s="623"/>
      <c r="Y451" s="623"/>
      <c r="Z451" s="623"/>
      <c r="AA451" s="623"/>
      <c r="AB451" s="623"/>
    </row>
    <row r="452" spans="1:35">
      <c r="B452" s="623" t="s">
        <v>572</v>
      </c>
      <c r="C452" s="623"/>
      <c r="D452" s="623"/>
      <c r="E452" s="623"/>
      <c r="F452" s="623"/>
      <c r="G452" s="623"/>
      <c r="H452" s="623"/>
      <c r="I452" s="623"/>
      <c r="J452" s="623"/>
      <c r="K452" s="623"/>
      <c r="L452" s="623"/>
      <c r="M452" s="623"/>
      <c r="N452" s="623"/>
      <c r="P452" s="2208"/>
      <c r="Q452" s="2209"/>
      <c r="R452" s="2209"/>
      <c r="S452" s="2209"/>
      <c r="T452" s="2210"/>
      <c r="X452" s="623"/>
      <c r="Y452" s="623"/>
      <c r="Z452" s="623"/>
      <c r="AA452" s="623"/>
      <c r="AB452" s="623"/>
    </row>
    <row r="453" spans="1:35" ht="13.5" thickBot="1">
      <c r="B453" s="623" t="s">
        <v>573</v>
      </c>
      <c r="C453" s="623"/>
      <c r="D453" s="623"/>
      <c r="E453" s="623"/>
      <c r="F453" s="623"/>
      <c r="G453" s="623"/>
      <c r="H453" s="623"/>
      <c r="I453" s="623"/>
      <c r="J453" s="623"/>
      <c r="K453" s="623"/>
      <c r="L453" s="623"/>
      <c r="M453" s="623"/>
      <c r="N453" s="623"/>
      <c r="P453" s="2116">
        <v>0.05</v>
      </c>
      <c r="Q453" s="2117"/>
      <c r="R453" s="2117"/>
      <c r="S453" s="2117"/>
      <c r="T453" s="2118"/>
      <c r="X453" s="623"/>
      <c r="Y453" s="623"/>
      <c r="Z453" s="623"/>
      <c r="AA453" s="623"/>
      <c r="AB453" s="623"/>
    </row>
    <row r="454" spans="1:35" ht="14.25" thickTop="1" thickBot="1">
      <c r="B454" s="623" t="s">
        <v>574</v>
      </c>
      <c r="C454" s="623"/>
      <c r="D454" s="623"/>
      <c r="E454" s="623"/>
      <c r="F454" s="623"/>
      <c r="G454" s="623"/>
      <c r="H454" s="623"/>
      <c r="I454" s="623"/>
      <c r="J454" s="623"/>
      <c r="K454" s="623"/>
      <c r="L454" s="623"/>
      <c r="M454" s="623"/>
      <c r="N454" s="623"/>
      <c r="P454" s="2119">
        <v>0</v>
      </c>
      <c r="Q454" s="2120"/>
      <c r="R454" s="2120"/>
      <c r="S454" s="2120"/>
      <c r="T454" s="2121"/>
      <c r="U454" s="2122"/>
      <c r="V454" s="2122"/>
      <c r="W454" s="2122"/>
      <c r="X454" s="2123">
        <f>P454*U454</f>
        <v>0</v>
      </c>
      <c r="Y454" s="2124"/>
      <c r="Z454" s="2124"/>
      <c r="AA454" s="2124"/>
      <c r="AB454" s="2125"/>
    </row>
    <row r="455" spans="1:35" ht="14.25" thickTop="1" thickBot="1">
      <c r="B455" s="623"/>
      <c r="C455" s="623"/>
      <c r="D455" s="623"/>
      <c r="E455" s="623"/>
      <c r="F455" s="623"/>
      <c r="G455" s="623"/>
      <c r="H455" s="623"/>
      <c r="I455" s="623"/>
      <c r="J455" s="623"/>
      <c r="K455" s="623"/>
      <c r="L455" s="623"/>
      <c r="M455" s="623"/>
      <c r="N455" s="623"/>
      <c r="P455" s="623"/>
      <c r="Q455" s="623"/>
      <c r="R455" s="623"/>
      <c r="S455" s="623"/>
      <c r="T455" s="623"/>
      <c r="X455" s="623"/>
      <c r="Y455" s="623"/>
      <c r="Z455" s="623"/>
      <c r="AA455" s="623"/>
      <c r="AB455" s="623"/>
    </row>
    <row r="456" spans="1:35" ht="14.25" thickTop="1" thickBot="1">
      <c r="B456" s="622" t="s">
        <v>575</v>
      </c>
      <c r="C456" s="622"/>
      <c r="D456" s="622"/>
      <c r="E456" s="623"/>
      <c r="F456" s="623"/>
      <c r="G456" s="623"/>
      <c r="H456" s="623"/>
      <c r="I456" s="623"/>
      <c r="J456" s="623"/>
      <c r="K456" s="623"/>
      <c r="L456" s="623"/>
      <c r="M456" s="623"/>
      <c r="N456" s="623"/>
      <c r="P456" s="2198">
        <f>P431-P447-P454</f>
        <v>0</v>
      </c>
      <c r="Q456" s="2199"/>
      <c r="R456" s="2199"/>
      <c r="S456" s="2199"/>
      <c r="T456" s="2200"/>
      <c r="X456" s="2198">
        <f>X431-X447-X454</f>
        <v>0</v>
      </c>
      <c r="Y456" s="2199"/>
      <c r="Z456" s="2199"/>
      <c r="AA456" s="2199"/>
      <c r="AB456" s="2200"/>
    </row>
    <row r="457" spans="1:35" ht="14.25" thickTop="1" thickBot="1">
      <c r="B457" s="623"/>
      <c r="C457" s="623"/>
      <c r="D457" s="623"/>
      <c r="E457" s="623"/>
      <c r="F457" s="623"/>
      <c r="G457" s="623"/>
      <c r="H457" s="623"/>
      <c r="I457" s="623"/>
      <c r="J457" s="623"/>
      <c r="K457" s="623"/>
      <c r="L457" s="623"/>
      <c r="M457" s="623"/>
      <c r="N457" s="623"/>
      <c r="X457" s="623"/>
      <c r="Y457" s="623"/>
      <c r="Z457" s="623"/>
      <c r="AA457" s="623"/>
      <c r="AB457" s="623"/>
    </row>
    <row r="458" spans="1:35" ht="14.25" thickTop="1" thickBot="1">
      <c r="B458" s="622" t="s">
        <v>561</v>
      </c>
      <c r="C458" s="622"/>
      <c r="D458" s="622"/>
      <c r="E458" s="622"/>
      <c r="F458" s="622"/>
      <c r="G458" s="623"/>
      <c r="H458" s="623"/>
      <c r="I458" s="623"/>
      <c r="J458" s="623"/>
      <c r="K458" s="623"/>
      <c r="L458" s="623"/>
      <c r="M458" s="623"/>
      <c r="N458" s="623"/>
      <c r="P458" s="2201">
        <v>0</v>
      </c>
      <c r="Q458" s="2202"/>
      <c r="R458" s="2202"/>
      <c r="S458" s="2202"/>
      <c r="T458" s="2202"/>
      <c r="U458" s="2122"/>
      <c r="V458" s="2122"/>
      <c r="W458" s="2122"/>
      <c r="X458" s="2203">
        <f>P458*U458</f>
        <v>0</v>
      </c>
      <c r="Y458" s="2203"/>
      <c r="Z458" s="2203"/>
      <c r="AA458" s="2203"/>
      <c r="AB458" s="2204"/>
    </row>
    <row r="459" spans="1:35" ht="13.5" collapsed="1" thickTop="1">
      <c r="B459" s="623"/>
      <c r="C459" s="623"/>
      <c r="D459" s="623"/>
      <c r="E459" s="623"/>
      <c r="F459" s="623"/>
      <c r="G459" s="623"/>
      <c r="H459" s="623"/>
      <c r="I459" s="623"/>
      <c r="J459" s="623"/>
      <c r="K459" s="623"/>
      <c r="L459" s="623"/>
      <c r="M459" s="623"/>
      <c r="N459" s="623"/>
    </row>
    <row r="460" spans="1:35" ht="13.5" thickBot="1"/>
    <row r="461" spans="1:35" s="626" customFormat="1" ht="14.25" thickTop="1" thickBot="1">
      <c r="A461" s="625" t="s">
        <v>578</v>
      </c>
      <c r="B461" s="625"/>
      <c r="K461" s="2217" t="s">
        <v>381</v>
      </c>
      <c r="L461" s="2218"/>
      <c r="M461" s="2218"/>
      <c r="N461" s="2218"/>
      <c r="O461" s="2218"/>
      <c r="P461" s="2218"/>
      <c r="Q461" s="2218"/>
      <c r="R461" s="2218"/>
      <c r="S461" s="2218"/>
      <c r="T461" s="2219"/>
    </row>
    <row r="462" spans="1:35" s="623" customFormat="1" ht="13.5" thickTop="1"/>
    <row r="463" spans="1:35" s="623" customFormat="1">
      <c r="B463" s="627" t="s">
        <v>382</v>
      </c>
      <c r="C463" s="627" t="s">
        <v>540</v>
      </c>
      <c r="D463" s="628"/>
      <c r="E463" s="628"/>
      <c r="F463" s="628"/>
      <c r="G463" s="628"/>
      <c r="H463" s="628"/>
      <c r="I463" s="628"/>
      <c r="J463" s="628"/>
      <c r="K463" s="628"/>
      <c r="L463" s="628"/>
      <c r="M463" s="628"/>
      <c r="N463" s="628"/>
      <c r="O463" s="628"/>
      <c r="P463" s="628"/>
      <c r="Q463" s="628"/>
      <c r="R463" s="629"/>
      <c r="S463" s="629"/>
      <c r="T463" s="629"/>
      <c r="U463" s="629"/>
      <c r="V463" s="629"/>
      <c r="W463" s="628"/>
      <c r="X463" s="628"/>
      <c r="Y463" s="628"/>
      <c r="Z463" s="628"/>
      <c r="AA463" s="628"/>
      <c r="AB463" s="628"/>
      <c r="AC463" s="628"/>
      <c r="AD463" s="628"/>
      <c r="AE463" s="628"/>
      <c r="AF463" s="628"/>
      <c r="AG463" s="628"/>
      <c r="AH463" s="628"/>
      <c r="AI463" s="628"/>
    </row>
    <row r="464" spans="1:35" s="623" customFormat="1" ht="13.5" thickBot="1"/>
    <row r="465" spans="1:34" s="623" customFormat="1" ht="24" customHeight="1" thickTop="1" thickBot="1">
      <c r="A465" s="2179" t="s">
        <v>360</v>
      </c>
      <c r="B465" s="2222" t="s">
        <v>541</v>
      </c>
      <c r="C465" s="2223"/>
      <c r="D465" s="2224"/>
      <c r="E465" s="2222" t="s">
        <v>542</v>
      </c>
      <c r="F465" s="2228"/>
      <c r="G465" s="2231" t="s">
        <v>543</v>
      </c>
      <c r="H465" s="2232"/>
      <c r="I465" s="2232"/>
      <c r="J465" s="2232"/>
      <c r="K465" s="2232"/>
      <c r="L465" s="2232"/>
      <c r="M465" s="2232"/>
      <c r="N465" s="2233"/>
      <c r="O465" s="2222" t="s">
        <v>544</v>
      </c>
      <c r="P465" s="2228"/>
      <c r="Q465" s="2231" t="s">
        <v>545</v>
      </c>
      <c r="R465" s="2232"/>
      <c r="S465" s="2232"/>
      <c r="T465" s="2232"/>
      <c r="U465" s="2232"/>
      <c r="V465" s="2232"/>
      <c r="W465" s="2232"/>
      <c r="X465" s="2233"/>
      <c r="Y465" s="2222" t="s">
        <v>546</v>
      </c>
      <c r="Z465" s="2228"/>
      <c r="AA465" s="2222" t="s">
        <v>547</v>
      </c>
      <c r="AB465" s="2234"/>
      <c r="AC465" s="2234"/>
      <c r="AD465" s="2228"/>
      <c r="AE465" s="2222" t="s">
        <v>548</v>
      </c>
      <c r="AF465" s="2234"/>
      <c r="AG465" s="2234"/>
      <c r="AH465" s="2236"/>
    </row>
    <row r="466" spans="1:34" s="623" customFormat="1" ht="30" customHeight="1" thickTop="1" thickBot="1">
      <c r="A466" s="2221"/>
      <c r="B466" s="2225"/>
      <c r="C466" s="2226"/>
      <c r="D466" s="2227"/>
      <c r="E466" s="2229"/>
      <c r="F466" s="2230"/>
      <c r="G466" s="2231" t="s">
        <v>549</v>
      </c>
      <c r="H466" s="2232"/>
      <c r="I466" s="2232"/>
      <c r="J466" s="2233"/>
      <c r="K466" s="2231" t="s">
        <v>550</v>
      </c>
      <c r="L466" s="2232"/>
      <c r="M466" s="2232"/>
      <c r="N466" s="2233"/>
      <c r="O466" s="2229"/>
      <c r="P466" s="2230"/>
      <c r="Q466" s="2231" t="s">
        <v>549</v>
      </c>
      <c r="R466" s="2232"/>
      <c r="S466" s="2232"/>
      <c r="T466" s="2233"/>
      <c r="U466" s="2231" t="s">
        <v>550</v>
      </c>
      <c r="V466" s="2232"/>
      <c r="W466" s="2232"/>
      <c r="X466" s="2233"/>
      <c r="Y466" s="2229"/>
      <c r="Z466" s="2230"/>
      <c r="AA466" s="2229"/>
      <c r="AB466" s="2235"/>
      <c r="AC466" s="2235"/>
      <c r="AD466" s="2230"/>
      <c r="AE466" s="2229"/>
      <c r="AF466" s="2235"/>
      <c r="AG466" s="2235"/>
      <c r="AH466" s="2237"/>
    </row>
    <row r="467" spans="1:34" s="623" customFormat="1" ht="13.5" thickTop="1">
      <c r="A467" s="630"/>
      <c r="B467" s="631"/>
      <c r="C467" s="632"/>
      <c r="D467" s="633"/>
      <c r="E467" s="631"/>
      <c r="F467" s="633"/>
      <c r="G467" s="631"/>
      <c r="H467" s="632"/>
      <c r="I467" s="632"/>
      <c r="J467" s="633"/>
      <c r="K467" s="631"/>
      <c r="L467" s="632"/>
      <c r="M467" s="632"/>
      <c r="N467" s="633"/>
      <c r="O467" s="631"/>
      <c r="P467" s="633"/>
      <c r="Q467" s="634"/>
      <c r="R467" s="635"/>
      <c r="S467" s="635"/>
      <c r="T467" s="636"/>
      <c r="U467" s="634"/>
      <c r="V467" s="635"/>
      <c r="W467" s="635"/>
      <c r="X467" s="635"/>
      <c r="Y467" s="2238"/>
      <c r="Z467" s="2239"/>
      <c r="AA467" s="635"/>
      <c r="AB467" s="635"/>
      <c r="AC467" s="635"/>
      <c r="AD467" s="636"/>
      <c r="AE467" s="634"/>
      <c r="AF467" s="635"/>
      <c r="AG467" s="635"/>
      <c r="AH467" s="637"/>
    </row>
    <row r="468" spans="1:34">
      <c r="A468" s="638">
        <v>1</v>
      </c>
      <c r="B468" s="2175"/>
      <c r="C468" s="2175"/>
      <c r="D468" s="2175"/>
      <c r="E468" s="2174"/>
      <c r="F468" s="2174"/>
      <c r="G468" s="2176"/>
      <c r="H468" s="2176"/>
      <c r="I468" s="2176"/>
      <c r="J468" s="2176"/>
      <c r="K468" s="2176"/>
      <c r="L468" s="2176"/>
      <c r="M468" s="2176"/>
      <c r="N468" s="2176"/>
      <c r="O468" s="2177"/>
      <c r="P468" s="2177"/>
      <c r="Q468" s="2088">
        <f t="shared" ref="Q468:Q483" si="140">G468*O468</f>
        <v>0</v>
      </c>
      <c r="R468" s="2088"/>
      <c r="S468" s="2088"/>
      <c r="T468" s="2178"/>
      <c r="U468" s="2087">
        <f t="shared" ref="U468:U483" si="141">K468*O468</f>
        <v>0</v>
      </c>
      <c r="V468" s="2088"/>
      <c r="W468" s="2088"/>
      <c r="X468" s="2088"/>
      <c r="Y468" s="2194"/>
      <c r="Z468" s="2195"/>
      <c r="AA468" s="2197">
        <f>IF(Y468="",U468,Q468*Y468/100)</f>
        <v>0</v>
      </c>
      <c r="AB468" s="2154"/>
      <c r="AC468" s="2154"/>
      <c r="AD468" s="2155"/>
      <c r="AE468" s="2087">
        <f t="shared" ref="AE468:AE483" si="142">IF(AA468=0,U468,IF(U468&gt;(VALUE(AA468)),VALUE(AA468),U468))</f>
        <v>0</v>
      </c>
      <c r="AF468" s="2088"/>
      <c r="AG468" s="2088"/>
      <c r="AH468" s="2089"/>
    </row>
    <row r="469" spans="1:34">
      <c r="A469" s="1842">
        <f t="shared" ref="A469:A482" si="143">A468+1</f>
        <v>2</v>
      </c>
      <c r="B469" s="2175"/>
      <c r="C469" s="2175"/>
      <c r="D469" s="2175"/>
      <c r="E469" s="2174"/>
      <c r="F469" s="2174"/>
      <c r="G469" s="2176"/>
      <c r="H469" s="2176"/>
      <c r="I469" s="2176"/>
      <c r="J469" s="2176"/>
      <c r="K469" s="2176"/>
      <c r="L469" s="2176"/>
      <c r="M469" s="2176"/>
      <c r="N469" s="2176"/>
      <c r="O469" s="2177"/>
      <c r="P469" s="2177"/>
      <c r="Q469" s="2088">
        <f t="shared" si="140"/>
        <v>0</v>
      </c>
      <c r="R469" s="2088"/>
      <c r="S469" s="2088"/>
      <c r="T469" s="2178"/>
      <c r="U469" s="2087">
        <f t="shared" si="141"/>
        <v>0</v>
      </c>
      <c r="V469" s="2088"/>
      <c r="W469" s="2088"/>
      <c r="X469" s="2088"/>
      <c r="Y469" s="2194"/>
      <c r="Z469" s="2195"/>
      <c r="AA469" s="2197">
        <f t="shared" ref="AA469:AA483" si="144">IF(Y469="",U469,Q469*Y469/100)</f>
        <v>0</v>
      </c>
      <c r="AB469" s="2154"/>
      <c r="AC469" s="2154"/>
      <c r="AD469" s="2155"/>
      <c r="AE469" s="2087">
        <f t="shared" si="142"/>
        <v>0</v>
      </c>
      <c r="AF469" s="2088"/>
      <c r="AG469" s="2088"/>
      <c r="AH469" s="2089"/>
    </row>
    <row r="470" spans="1:34">
      <c r="A470" s="1842">
        <f t="shared" si="143"/>
        <v>3</v>
      </c>
      <c r="B470" s="2175"/>
      <c r="C470" s="2175"/>
      <c r="D470" s="2175"/>
      <c r="E470" s="2174"/>
      <c r="F470" s="2174"/>
      <c r="G470" s="2176"/>
      <c r="H470" s="2176"/>
      <c r="I470" s="2176"/>
      <c r="J470" s="2176"/>
      <c r="K470" s="2176"/>
      <c r="L470" s="2176"/>
      <c r="M470" s="2176"/>
      <c r="N470" s="2176"/>
      <c r="O470" s="2177"/>
      <c r="P470" s="2177"/>
      <c r="Q470" s="2088">
        <f t="shared" si="140"/>
        <v>0</v>
      </c>
      <c r="R470" s="2088"/>
      <c r="S470" s="2088"/>
      <c r="T470" s="2178"/>
      <c r="U470" s="2087">
        <f t="shared" si="141"/>
        <v>0</v>
      </c>
      <c r="V470" s="2088"/>
      <c r="W470" s="2088"/>
      <c r="X470" s="2088"/>
      <c r="Y470" s="2194"/>
      <c r="Z470" s="2195"/>
      <c r="AA470" s="2197">
        <f t="shared" si="144"/>
        <v>0</v>
      </c>
      <c r="AB470" s="2154"/>
      <c r="AC470" s="2154"/>
      <c r="AD470" s="2155"/>
      <c r="AE470" s="2087">
        <f t="shared" si="142"/>
        <v>0</v>
      </c>
      <c r="AF470" s="2088"/>
      <c r="AG470" s="2088"/>
      <c r="AH470" s="2089"/>
    </row>
    <row r="471" spans="1:34">
      <c r="A471" s="1842">
        <f t="shared" si="143"/>
        <v>4</v>
      </c>
      <c r="B471" s="2175"/>
      <c r="C471" s="2175"/>
      <c r="D471" s="2175"/>
      <c r="E471" s="2174"/>
      <c r="F471" s="2174"/>
      <c r="G471" s="2176"/>
      <c r="H471" s="2176"/>
      <c r="I471" s="2176"/>
      <c r="J471" s="2176"/>
      <c r="K471" s="2176"/>
      <c r="L471" s="2176"/>
      <c r="M471" s="2176"/>
      <c r="N471" s="2176"/>
      <c r="O471" s="2177"/>
      <c r="P471" s="2177"/>
      <c r="Q471" s="2088">
        <f t="shared" si="140"/>
        <v>0</v>
      </c>
      <c r="R471" s="2088"/>
      <c r="S471" s="2088"/>
      <c r="T471" s="2178"/>
      <c r="U471" s="2087">
        <f t="shared" si="141"/>
        <v>0</v>
      </c>
      <c r="V471" s="2088"/>
      <c r="W471" s="2088"/>
      <c r="X471" s="2088"/>
      <c r="Y471" s="2194"/>
      <c r="Z471" s="2195"/>
      <c r="AA471" s="2197">
        <f t="shared" si="144"/>
        <v>0</v>
      </c>
      <c r="AB471" s="2154"/>
      <c r="AC471" s="2154"/>
      <c r="AD471" s="2155"/>
      <c r="AE471" s="2087">
        <f t="shared" si="142"/>
        <v>0</v>
      </c>
      <c r="AF471" s="2088"/>
      <c r="AG471" s="2088"/>
      <c r="AH471" s="2089"/>
    </row>
    <row r="472" spans="1:34">
      <c r="A472" s="1842">
        <f t="shared" si="143"/>
        <v>5</v>
      </c>
      <c r="B472" s="2175"/>
      <c r="C472" s="2175"/>
      <c r="D472" s="2175"/>
      <c r="E472" s="2174"/>
      <c r="F472" s="2174"/>
      <c r="G472" s="2176"/>
      <c r="H472" s="2176"/>
      <c r="I472" s="2176"/>
      <c r="J472" s="2176"/>
      <c r="K472" s="2176"/>
      <c r="L472" s="2176"/>
      <c r="M472" s="2176"/>
      <c r="N472" s="2176"/>
      <c r="O472" s="2177"/>
      <c r="P472" s="2177"/>
      <c r="Q472" s="2088">
        <f t="shared" si="140"/>
        <v>0</v>
      </c>
      <c r="R472" s="2088"/>
      <c r="S472" s="2088"/>
      <c r="T472" s="2178"/>
      <c r="U472" s="2087">
        <f t="shared" si="141"/>
        <v>0</v>
      </c>
      <c r="V472" s="2088"/>
      <c r="W472" s="2088"/>
      <c r="X472" s="2088"/>
      <c r="Y472" s="2194"/>
      <c r="Z472" s="2195"/>
      <c r="AA472" s="2197">
        <f t="shared" si="144"/>
        <v>0</v>
      </c>
      <c r="AB472" s="2154"/>
      <c r="AC472" s="2154"/>
      <c r="AD472" s="2155"/>
      <c r="AE472" s="2087">
        <f t="shared" si="142"/>
        <v>0</v>
      </c>
      <c r="AF472" s="2088"/>
      <c r="AG472" s="2088"/>
      <c r="AH472" s="2089"/>
    </row>
    <row r="473" spans="1:34">
      <c r="A473" s="1842">
        <f t="shared" si="143"/>
        <v>6</v>
      </c>
      <c r="B473" s="2175"/>
      <c r="C473" s="2175"/>
      <c r="D473" s="2175"/>
      <c r="E473" s="2174"/>
      <c r="F473" s="2174"/>
      <c r="G473" s="2176"/>
      <c r="H473" s="2176"/>
      <c r="I473" s="2176"/>
      <c r="J473" s="2176"/>
      <c r="K473" s="2176"/>
      <c r="L473" s="2176"/>
      <c r="M473" s="2176"/>
      <c r="N473" s="2176"/>
      <c r="O473" s="2177"/>
      <c r="P473" s="2177"/>
      <c r="Q473" s="2088">
        <f t="shared" si="140"/>
        <v>0</v>
      </c>
      <c r="R473" s="2088"/>
      <c r="S473" s="2088"/>
      <c r="T473" s="2178"/>
      <c r="U473" s="2087">
        <f t="shared" si="141"/>
        <v>0</v>
      </c>
      <c r="V473" s="2088"/>
      <c r="W473" s="2088"/>
      <c r="X473" s="2088"/>
      <c r="Y473" s="2194"/>
      <c r="Z473" s="2195"/>
      <c r="AA473" s="2197">
        <f t="shared" si="144"/>
        <v>0</v>
      </c>
      <c r="AB473" s="2154"/>
      <c r="AC473" s="2154"/>
      <c r="AD473" s="2155"/>
      <c r="AE473" s="2087">
        <f t="shared" si="142"/>
        <v>0</v>
      </c>
      <c r="AF473" s="2088"/>
      <c r="AG473" s="2088"/>
      <c r="AH473" s="2089"/>
    </row>
    <row r="474" spans="1:34">
      <c r="A474" s="1842">
        <f t="shared" si="143"/>
        <v>7</v>
      </c>
      <c r="B474" s="2175"/>
      <c r="C474" s="2175"/>
      <c r="D474" s="2175"/>
      <c r="E474" s="2174"/>
      <c r="F474" s="2174"/>
      <c r="G474" s="2176"/>
      <c r="H474" s="2176"/>
      <c r="I474" s="2176"/>
      <c r="J474" s="2176"/>
      <c r="K474" s="2176"/>
      <c r="L474" s="2176"/>
      <c r="M474" s="2176"/>
      <c r="N474" s="2176"/>
      <c r="O474" s="2177"/>
      <c r="P474" s="2177"/>
      <c r="Q474" s="2088">
        <f t="shared" ref="Q474:Q478" si="145">G474*O474</f>
        <v>0</v>
      </c>
      <c r="R474" s="2088"/>
      <c r="S474" s="2088"/>
      <c r="T474" s="2178"/>
      <c r="U474" s="2087">
        <f t="shared" ref="U474:U478" si="146">K474*O474</f>
        <v>0</v>
      </c>
      <c r="V474" s="2088"/>
      <c r="W474" s="2088"/>
      <c r="X474" s="2088"/>
      <c r="Y474" s="2194"/>
      <c r="Z474" s="2195"/>
      <c r="AA474" s="2197">
        <f t="shared" ref="AA474:AA478" si="147">IF(Y474="",U474,Q474*Y474/100)</f>
        <v>0</v>
      </c>
      <c r="AB474" s="2154"/>
      <c r="AC474" s="2154"/>
      <c r="AD474" s="2155"/>
      <c r="AE474" s="2087">
        <f t="shared" ref="AE474:AE478" si="148">IF(AA474=0,U474,IF(U474&gt;(VALUE(AA474)),VALUE(AA474),U474))</f>
        <v>0</v>
      </c>
      <c r="AF474" s="2088"/>
      <c r="AG474" s="2088"/>
      <c r="AH474" s="2089"/>
    </row>
    <row r="475" spans="1:34">
      <c r="A475" s="1842">
        <f t="shared" si="143"/>
        <v>8</v>
      </c>
      <c r="B475" s="2175"/>
      <c r="C475" s="2175"/>
      <c r="D475" s="2175"/>
      <c r="E475" s="2174"/>
      <c r="F475" s="2174"/>
      <c r="G475" s="2176"/>
      <c r="H475" s="2176"/>
      <c r="I475" s="2176"/>
      <c r="J475" s="2176"/>
      <c r="K475" s="2176"/>
      <c r="L475" s="2176"/>
      <c r="M475" s="2176"/>
      <c r="N475" s="2176"/>
      <c r="O475" s="2177"/>
      <c r="P475" s="2177"/>
      <c r="Q475" s="2088">
        <f t="shared" si="145"/>
        <v>0</v>
      </c>
      <c r="R475" s="2088"/>
      <c r="S475" s="2088"/>
      <c r="T475" s="2178"/>
      <c r="U475" s="2087">
        <f t="shared" si="146"/>
        <v>0</v>
      </c>
      <c r="V475" s="2088"/>
      <c r="W475" s="2088"/>
      <c r="X475" s="2088"/>
      <c r="Y475" s="2194"/>
      <c r="Z475" s="2195"/>
      <c r="AA475" s="2197">
        <f t="shared" si="147"/>
        <v>0</v>
      </c>
      <c r="AB475" s="2154"/>
      <c r="AC475" s="2154"/>
      <c r="AD475" s="2155"/>
      <c r="AE475" s="2087">
        <f t="shared" si="148"/>
        <v>0</v>
      </c>
      <c r="AF475" s="2088"/>
      <c r="AG475" s="2088"/>
      <c r="AH475" s="2089"/>
    </row>
    <row r="476" spans="1:34">
      <c r="A476" s="1842">
        <f t="shared" si="143"/>
        <v>9</v>
      </c>
      <c r="B476" s="2175"/>
      <c r="C476" s="2175"/>
      <c r="D476" s="2175"/>
      <c r="E476" s="2174"/>
      <c r="F476" s="2174"/>
      <c r="G476" s="2176"/>
      <c r="H476" s="2176"/>
      <c r="I476" s="2176"/>
      <c r="J476" s="2176"/>
      <c r="K476" s="2176"/>
      <c r="L476" s="2176"/>
      <c r="M476" s="2176"/>
      <c r="N476" s="2176"/>
      <c r="O476" s="2177"/>
      <c r="P476" s="2177"/>
      <c r="Q476" s="2088">
        <f t="shared" si="145"/>
        <v>0</v>
      </c>
      <c r="R476" s="2088"/>
      <c r="S476" s="2088"/>
      <c r="T476" s="2178"/>
      <c r="U476" s="2087">
        <f t="shared" si="146"/>
        <v>0</v>
      </c>
      <c r="V476" s="2088"/>
      <c r="W476" s="2088"/>
      <c r="X476" s="2088"/>
      <c r="Y476" s="2194"/>
      <c r="Z476" s="2195"/>
      <c r="AA476" s="2197">
        <f t="shared" si="147"/>
        <v>0</v>
      </c>
      <c r="AB476" s="2154"/>
      <c r="AC476" s="2154"/>
      <c r="AD476" s="2155"/>
      <c r="AE476" s="2087">
        <f t="shared" si="148"/>
        <v>0</v>
      </c>
      <c r="AF476" s="2088"/>
      <c r="AG476" s="2088"/>
      <c r="AH476" s="2089"/>
    </row>
    <row r="477" spans="1:34">
      <c r="A477" s="1842">
        <f t="shared" si="143"/>
        <v>10</v>
      </c>
      <c r="B477" s="2175"/>
      <c r="C477" s="2175"/>
      <c r="D477" s="2175"/>
      <c r="E477" s="2174"/>
      <c r="F477" s="2174"/>
      <c r="G477" s="2176"/>
      <c r="H477" s="2176"/>
      <c r="I477" s="2176"/>
      <c r="J477" s="2176"/>
      <c r="K477" s="2176"/>
      <c r="L477" s="2176"/>
      <c r="M477" s="2176"/>
      <c r="N477" s="2176"/>
      <c r="O477" s="2177"/>
      <c r="P477" s="2177"/>
      <c r="Q477" s="2088">
        <f t="shared" si="145"/>
        <v>0</v>
      </c>
      <c r="R477" s="2088"/>
      <c r="S477" s="2088"/>
      <c r="T477" s="2178"/>
      <c r="U477" s="2087">
        <f t="shared" si="146"/>
        <v>0</v>
      </c>
      <c r="V477" s="2088"/>
      <c r="W477" s="2088"/>
      <c r="X477" s="2088"/>
      <c r="Y477" s="2194"/>
      <c r="Z477" s="2195"/>
      <c r="AA477" s="2197">
        <f t="shared" si="147"/>
        <v>0</v>
      </c>
      <c r="AB477" s="2154"/>
      <c r="AC477" s="2154"/>
      <c r="AD477" s="2155"/>
      <c r="AE477" s="2087">
        <f t="shared" si="148"/>
        <v>0</v>
      </c>
      <c r="AF477" s="2088"/>
      <c r="AG477" s="2088"/>
      <c r="AH477" s="2089"/>
    </row>
    <row r="478" spans="1:34">
      <c r="A478" s="1842">
        <f t="shared" si="143"/>
        <v>11</v>
      </c>
      <c r="B478" s="2175"/>
      <c r="C478" s="2175"/>
      <c r="D478" s="2175"/>
      <c r="E478" s="2174"/>
      <c r="F478" s="2174"/>
      <c r="G478" s="2176"/>
      <c r="H478" s="2176"/>
      <c r="I478" s="2176"/>
      <c r="J478" s="2176"/>
      <c r="K478" s="2176"/>
      <c r="L478" s="2176"/>
      <c r="M478" s="2176"/>
      <c r="N478" s="2176"/>
      <c r="O478" s="2177"/>
      <c r="P478" s="2177"/>
      <c r="Q478" s="2088">
        <f t="shared" si="145"/>
        <v>0</v>
      </c>
      <c r="R478" s="2088"/>
      <c r="S478" s="2088"/>
      <c r="T478" s="2178"/>
      <c r="U478" s="2087">
        <f t="shared" si="146"/>
        <v>0</v>
      </c>
      <c r="V478" s="2088"/>
      <c r="W478" s="2088"/>
      <c r="X478" s="2088"/>
      <c r="Y478" s="2194"/>
      <c r="Z478" s="2195"/>
      <c r="AA478" s="2197">
        <f t="shared" si="147"/>
        <v>0</v>
      </c>
      <c r="AB478" s="2154"/>
      <c r="AC478" s="2154"/>
      <c r="AD478" s="2155"/>
      <c r="AE478" s="2087">
        <f t="shared" si="148"/>
        <v>0</v>
      </c>
      <c r="AF478" s="2088"/>
      <c r="AG478" s="2088"/>
      <c r="AH478" s="2089"/>
    </row>
    <row r="479" spans="1:34">
      <c r="A479" s="1842">
        <f t="shared" si="143"/>
        <v>12</v>
      </c>
      <c r="B479" s="2175"/>
      <c r="C479" s="2175"/>
      <c r="D479" s="2175"/>
      <c r="E479" s="2174"/>
      <c r="F479" s="2174"/>
      <c r="G479" s="2176"/>
      <c r="H479" s="2176"/>
      <c r="I479" s="2176"/>
      <c r="J479" s="2176"/>
      <c r="K479" s="2176"/>
      <c r="L479" s="2176"/>
      <c r="M479" s="2176"/>
      <c r="N479" s="2176"/>
      <c r="O479" s="2177"/>
      <c r="P479" s="2177"/>
      <c r="Q479" s="2088">
        <f t="shared" ref="Q479:Q482" si="149">G479*O479</f>
        <v>0</v>
      </c>
      <c r="R479" s="2088"/>
      <c r="S479" s="2088"/>
      <c r="T479" s="2178"/>
      <c r="U479" s="2087">
        <f t="shared" ref="U479:U482" si="150">K479*O479</f>
        <v>0</v>
      </c>
      <c r="V479" s="2088"/>
      <c r="W479" s="2088"/>
      <c r="X479" s="2088"/>
      <c r="Y479" s="2194"/>
      <c r="Z479" s="2195"/>
      <c r="AA479" s="2197">
        <f t="shared" ref="AA479:AA482" si="151">IF(Y479="",U479,Q479*Y479/100)</f>
        <v>0</v>
      </c>
      <c r="AB479" s="2154"/>
      <c r="AC479" s="2154"/>
      <c r="AD479" s="2155"/>
      <c r="AE479" s="2087">
        <f t="shared" ref="AE479:AE482" si="152">IF(AA479=0,U479,IF(U479&gt;(VALUE(AA479)),VALUE(AA479),U479))</f>
        <v>0</v>
      </c>
      <c r="AF479" s="2088"/>
      <c r="AG479" s="2088"/>
      <c r="AH479" s="2089"/>
    </row>
    <row r="480" spans="1:34">
      <c r="A480" s="1842">
        <f t="shared" si="143"/>
        <v>13</v>
      </c>
      <c r="B480" s="2175"/>
      <c r="C480" s="2175"/>
      <c r="D480" s="2175"/>
      <c r="E480" s="2174"/>
      <c r="F480" s="2174"/>
      <c r="G480" s="2176"/>
      <c r="H480" s="2176"/>
      <c r="I480" s="2176"/>
      <c r="J480" s="2176"/>
      <c r="K480" s="2176"/>
      <c r="L480" s="2176"/>
      <c r="M480" s="2176"/>
      <c r="N480" s="2176"/>
      <c r="O480" s="2177"/>
      <c r="P480" s="2177"/>
      <c r="Q480" s="2088">
        <f t="shared" si="149"/>
        <v>0</v>
      </c>
      <c r="R480" s="2088"/>
      <c r="S480" s="2088"/>
      <c r="T480" s="2178"/>
      <c r="U480" s="2087">
        <f t="shared" si="150"/>
        <v>0</v>
      </c>
      <c r="V480" s="2088"/>
      <c r="W480" s="2088"/>
      <c r="X480" s="2088"/>
      <c r="Y480" s="2194"/>
      <c r="Z480" s="2195"/>
      <c r="AA480" s="2197">
        <f t="shared" si="151"/>
        <v>0</v>
      </c>
      <c r="AB480" s="2154"/>
      <c r="AC480" s="2154"/>
      <c r="AD480" s="2155"/>
      <c r="AE480" s="2087">
        <f t="shared" si="152"/>
        <v>0</v>
      </c>
      <c r="AF480" s="2088"/>
      <c r="AG480" s="2088"/>
      <c r="AH480" s="2089"/>
    </row>
    <row r="481" spans="1:35">
      <c r="A481" s="1842">
        <f t="shared" si="143"/>
        <v>14</v>
      </c>
      <c r="B481" s="2175"/>
      <c r="C481" s="2175"/>
      <c r="D481" s="2175"/>
      <c r="E481" s="2174"/>
      <c r="F481" s="2174"/>
      <c r="G481" s="2176"/>
      <c r="H481" s="2176"/>
      <c r="I481" s="2176"/>
      <c r="J481" s="2176"/>
      <c r="K481" s="2176"/>
      <c r="L481" s="2176"/>
      <c r="M481" s="2176"/>
      <c r="N481" s="2176"/>
      <c r="O481" s="2177"/>
      <c r="P481" s="2177"/>
      <c r="Q481" s="2088">
        <f t="shared" si="149"/>
        <v>0</v>
      </c>
      <c r="R481" s="2088"/>
      <c r="S481" s="2088"/>
      <c r="T481" s="2178"/>
      <c r="U481" s="2087">
        <f t="shared" si="150"/>
        <v>0</v>
      </c>
      <c r="V481" s="2088"/>
      <c r="W481" s="2088"/>
      <c r="X481" s="2088"/>
      <c r="Y481" s="2194"/>
      <c r="Z481" s="2195"/>
      <c r="AA481" s="2197">
        <f t="shared" si="151"/>
        <v>0</v>
      </c>
      <c r="AB481" s="2154"/>
      <c r="AC481" s="2154"/>
      <c r="AD481" s="2155"/>
      <c r="AE481" s="2087">
        <f t="shared" si="152"/>
        <v>0</v>
      </c>
      <c r="AF481" s="2088"/>
      <c r="AG481" s="2088"/>
      <c r="AH481" s="2089"/>
    </row>
    <row r="482" spans="1:35">
      <c r="A482" s="1842">
        <f t="shared" si="143"/>
        <v>15</v>
      </c>
      <c r="B482" s="2175"/>
      <c r="C482" s="2175"/>
      <c r="D482" s="2175"/>
      <c r="E482" s="2174"/>
      <c r="F482" s="2174"/>
      <c r="G482" s="2176"/>
      <c r="H482" s="2176"/>
      <c r="I482" s="2176"/>
      <c r="J482" s="2176"/>
      <c r="K482" s="2176"/>
      <c r="L482" s="2176"/>
      <c r="M482" s="2176"/>
      <c r="N482" s="2176"/>
      <c r="O482" s="2177"/>
      <c r="P482" s="2177"/>
      <c r="Q482" s="2088">
        <f t="shared" si="149"/>
        <v>0</v>
      </c>
      <c r="R482" s="2088"/>
      <c r="S482" s="2088"/>
      <c r="T482" s="2178"/>
      <c r="U482" s="2087">
        <f t="shared" si="150"/>
        <v>0</v>
      </c>
      <c r="V482" s="2088"/>
      <c r="W482" s="2088"/>
      <c r="X482" s="2088"/>
      <c r="Y482" s="2194"/>
      <c r="Z482" s="2195"/>
      <c r="AA482" s="2197">
        <f t="shared" si="151"/>
        <v>0</v>
      </c>
      <c r="AB482" s="2154"/>
      <c r="AC482" s="2154"/>
      <c r="AD482" s="2155"/>
      <c r="AE482" s="2087">
        <f t="shared" si="152"/>
        <v>0</v>
      </c>
      <c r="AF482" s="2088"/>
      <c r="AG482" s="2088"/>
      <c r="AH482" s="2089"/>
    </row>
    <row r="483" spans="1:35">
      <c r="A483" s="640" t="s">
        <v>551</v>
      </c>
      <c r="B483" s="2175"/>
      <c r="C483" s="2175"/>
      <c r="D483" s="2175"/>
      <c r="E483" s="2174"/>
      <c r="F483" s="2174"/>
      <c r="G483" s="2176"/>
      <c r="H483" s="2176"/>
      <c r="I483" s="2176"/>
      <c r="J483" s="2176"/>
      <c r="K483" s="2176"/>
      <c r="L483" s="2176"/>
      <c r="M483" s="2176"/>
      <c r="N483" s="2176"/>
      <c r="O483" s="2177"/>
      <c r="P483" s="2177"/>
      <c r="Q483" s="2088">
        <f t="shared" si="140"/>
        <v>0</v>
      </c>
      <c r="R483" s="2088"/>
      <c r="S483" s="2088"/>
      <c r="T483" s="2178"/>
      <c r="U483" s="2087">
        <f t="shared" si="141"/>
        <v>0</v>
      </c>
      <c r="V483" s="2088"/>
      <c r="W483" s="2088"/>
      <c r="X483" s="2088"/>
      <c r="Y483" s="2194"/>
      <c r="Z483" s="2195"/>
      <c r="AA483" s="2197">
        <f t="shared" si="144"/>
        <v>0</v>
      </c>
      <c r="AB483" s="2154"/>
      <c r="AC483" s="2154"/>
      <c r="AD483" s="2155"/>
      <c r="AE483" s="2087">
        <f t="shared" si="142"/>
        <v>0</v>
      </c>
      <c r="AF483" s="2088"/>
      <c r="AG483" s="2088"/>
      <c r="AH483" s="2089"/>
    </row>
    <row r="484" spans="1:35" s="623" customFormat="1" ht="13.5" thickBot="1">
      <c r="A484" s="641"/>
      <c r="B484" s="642"/>
      <c r="C484" s="643"/>
      <c r="D484" s="644"/>
      <c r="E484" s="642"/>
      <c r="F484" s="644"/>
      <c r="G484" s="645"/>
      <c r="H484" s="646"/>
      <c r="I484" s="646"/>
      <c r="J484" s="647"/>
      <c r="K484" s="645"/>
      <c r="L484" s="646"/>
      <c r="M484" s="646"/>
      <c r="N484" s="647"/>
      <c r="O484" s="642"/>
      <c r="P484" s="644"/>
      <c r="Q484" s="648"/>
      <c r="R484" s="649"/>
      <c r="S484" s="649"/>
      <c r="T484" s="650"/>
      <c r="U484" s="648"/>
      <c r="V484" s="649"/>
      <c r="W484" s="649"/>
      <c r="X484" s="649"/>
      <c r="Y484" s="2240"/>
      <c r="Z484" s="2241"/>
      <c r="AA484" s="649"/>
      <c r="AB484" s="649"/>
      <c r="AC484" s="649"/>
      <c r="AD484" s="650"/>
      <c r="AE484" s="648"/>
      <c r="AF484" s="649"/>
      <c r="AG484" s="649"/>
      <c r="AH484" s="651"/>
    </row>
    <row r="485" spans="1:35" s="623" customFormat="1" ht="14.25" thickTop="1" thickBot="1">
      <c r="G485" s="652"/>
      <c r="H485" s="652"/>
      <c r="I485" s="652"/>
      <c r="J485" s="652"/>
      <c r="K485" s="652"/>
      <c r="L485" s="652"/>
      <c r="M485" s="652"/>
      <c r="N485" s="652"/>
      <c r="Q485" s="652"/>
      <c r="R485" s="652"/>
      <c r="S485" s="652"/>
      <c r="T485" s="652"/>
      <c r="U485" s="652"/>
      <c r="V485" s="652"/>
      <c r="W485" s="652"/>
      <c r="X485" s="652"/>
      <c r="AA485" s="652"/>
      <c r="AB485" s="652"/>
      <c r="AC485" s="652"/>
      <c r="AD485" s="652"/>
      <c r="AE485" s="652"/>
      <c r="AF485" s="652"/>
      <c r="AG485" s="652"/>
      <c r="AH485" s="652"/>
    </row>
    <row r="486" spans="1:35" s="623" customFormat="1" ht="14.25" thickTop="1" thickBot="1">
      <c r="B486" s="622" t="s">
        <v>552</v>
      </c>
      <c r="G486" s="2171">
        <f>SUM(G468:J483)</f>
        <v>0</v>
      </c>
      <c r="H486" s="2172"/>
      <c r="I486" s="2172"/>
      <c r="J486" s="2173"/>
      <c r="K486" s="2171">
        <f>+SUM(K468:N484)</f>
        <v>0</v>
      </c>
      <c r="L486" s="2172"/>
      <c r="M486" s="2172"/>
      <c r="N486" s="2173"/>
      <c r="Q486" s="2242">
        <f>+SUM(Q468:T484)</f>
        <v>0</v>
      </c>
      <c r="R486" s="2124"/>
      <c r="S486" s="2124"/>
      <c r="T486" s="2125"/>
      <c r="U486" s="2242">
        <f>+SUM(U468:X484)</f>
        <v>0</v>
      </c>
      <c r="V486" s="2124"/>
      <c r="W486" s="2124"/>
      <c r="X486" s="2125"/>
      <c r="AA486" s="2242">
        <f>+SUM(AA468:AD484)</f>
        <v>0</v>
      </c>
      <c r="AB486" s="2124"/>
      <c r="AC486" s="2124"/>
      <c r="AD486" s="2125"/>
      <c r="AE486" s="2242">
        <f>+SUM(AE468:AH484)</f>
        <v>0</v>
      </c>
      <c r="AF486" s="2124"/>
      <c r="AG486" s="2124"/>
      <c r="AH486" s="2125"/>
    </row>
    <row r="487" spans="1:35" s="623" customFormat="1" ht="13.5" thickTop="1"/>
    <row r="488" spans="1:35" s="623" customFormat="1">
      <c r="B488" s="627" t="s">
        <v>377</v>
      </c>
      <c r="C488" s="627" t="s">
        <v>553</v>
      </c>
      <c r="D488" s="628"/>
      <c r="E488" s="628"/>
      <c r="F488" s="628"/>
      <c r="G488" s="628"/>
      <c r="H488" s="628"/>
      <c r="I488" s="628"/>
      <c r="J488" s="628"/>
      <c r="K488" s="628"/>
      <c r="L488" s="628"/>
      <c r="M488" s="628"/>
      <c r="N488" s="628"/>
      <c r="O488" s="628"/>
      <c r="P488" s="628"/>
      <c r="Q488" s="628"/>
      <c r="R488" s="628"/>
      <c r="S488" s="628"/>
      <c r="T488" s="628"/>
      <c r="U488" s="628"/>
      <c r="V488" s="628"/>
      <c r="W488" s="628"/>
      <c r="X488" s="628"/>
      <c r="Y488" s="628"/>
      <c r="Z488" s="628"/>
      <c r="AA488" s="628"/>
      <c r="AB488" s="628"/>
      <c r="AC488" s="628"/>
      <c r="AD488" s="628"/>
      <c r="AE488" s="628"/>
      <c r="AF488" s="628"/>
      <c r="AG488" s="628"/>
      <c r="AH488" s="628"/>
      <c r="AI488" s="628"/>
    </row>
    <row r="489" spans="1:35" s="623" customFormat="1" ht="13.5" thickBot="1"/>
    <row r="490" spans="1:35" s="623" customFormat="1" ht="24" customHeight="1" thickTop="1" thickBot="1">
      <c r="A490" s="2179" t="s">
        <v>360</v>
      </c>
      <c r="B490" s="2222" t="s">
        <v>541</v>
      </c>
      <c r="C490" s="2223"/>
      <c r="D490" s="2224"/>
      <c r="E490" s="2222" t="s">
        <v>542</v>
      </c>
      <c r="F490" s="2228"/>
      <c r="G490" s="2231" t="s">
        <v>543</v>
      </c>
      <c r="H490" s="2232"/>
      <c r="I490" s="2232"/>
      <c r="J490" s="2232"/>
      <c r="K490" s="2232"/>
      <c r="L490" s="2232"/>
      <c r="M490" s="2232"/>
      <c r="N490" s="2233"/>
      <c r="O490" s="2222" t="s">
        <v>544</v>
      </c>
      <c r="P490" s="2228"/>
      <c r="Q490" s="2231" t="s">
        <v>545</v>
      </c>
      <c r="R490" s="2232"/>
      <c r="S490" s="2232"/>
      <c r="T490" s="2232"/>
      <c r="U490" s="2232"/>
      <c r="V490" s="2232"/>
      <c r="W490" s="2232"/>
      <c r="X490" s="2233"/>
      <c r="Y490" s="2222" t="s">
        <v>546</v>
      </c>
      <c r="Z490" s="2228"/>
      <c r="AA490" s="2222" t="s">
        <v>547</v>
      </c>
      <c r="AB490" s="2234"/>
      <c r="AC490" s="2234"/>
      <c r="AD490" s="2228"/>
      <c r="AE490" s="2222" t="s">
        <v>548</v>
      </c>
      <c r="AF490" s="2234"/>
      <c r="AG490" s="2234"/>
      <c r="AH490" s="2236"/>
    </row>
    <row r="491" spans="1:35" s="623" customFormat="1" ht="30" customHeight="1" thickTop="1" thickBot="1">
      <c r="A491" s="2221"/>
      <c r="B491" s="2225"/>
      <c r="C491" s="2226"/>
      <c r="D491" s="2227"/>
      <c r="E491" s="2229"/>
      <c r="F491" s="2230"/>
      <c r="G491" s="2231" t="s">
        <v>549</v>
      </c>
      <c r="H491" s="2232"/>
      <c r="I491" s="2232"/>
      <c r="J491" s="2233"/>
      <c r="K491" s="2231" t="s">
        <v>550</v>
      </c>
      <c r="L491" s="2232"/>
      <c r="M491" s="2232"/>
      <c r="N491" s="2233"/>
      <c r="O491" s="2229"/>
      <c r="P491" s="2230"/>
      <c r="Q491" s="2231" t="s">
        <v>549</v>
      </c>
      <c r="R491" s="2232"/>
      <c r="S491" s="2232"/>
      <c r="T491" s="2233"/>
      <c r="U491" s="2231" t="s">
        <v>550</v>
      </c>
      <c r="V491" s="2232"/>
      <c r="W491" s="2232"/>
      <c r="X491" s="2233"/>
      <c r="Y491" s="2229"/>
      <c r="Z491" s="2230"/>
      <c r="AA491" s="2229"/>
      <c r="AB491" s="2235"/>
      <c r="AC491" s="2235"/>
      <c r="AD491" s="2230"/>
      <c r="AE491" s="2229"/>
      <c r="AF491" s="2235"/>
      <c r="AG491" s="2235"/>
      <c r="AH491" s="2237"/>
    </row>
    <row r="492" spans="1:35" s="623" customFormat="1" ht="13.5" thickTop="1">
      <c r="A492" s="630"/>
      <c r="B492" s="634"/>
      <c r="C492" s="635"/>
      <c r="D492" s="636"/>
      <c r="E492" s="634"/>
      <c r="F492" s="636"/>
      <c r="G492" s="634"/>
      <c r="H492" s="635"/>
      <c r="I492" s="635"/>
      <c r="J492" s="636"/>
      <c r="K492" s="634"/>
      <c r="L492" s="635"/>
      <c r="M492" s="635"/>
      <c r="N492" s="636"/>
      <c r="O492" s="634"/>
      <c r="P492" s="636"/>
      <c r="Q492" s="634"/>
      <c r="R492" s="635"/>
      <c r="S492" s="635"/>
      <c r="T492" s="636"/>
      <c r="U492" s="634"/>
      <c r="V492" s="635"/>
      <c r="W492" s="635"/>
      <c r="X492" s="636"/>
      <c r="Y492" s="634"/>
      <c r="Z492" s="635"/>
      <c r="AA492" s="634"/>
      <c r="AB492" s="635"/>
      <c r="AC492" s="635"/>
      <c r="AD492" s="636"/>
      <c r="AE492" s="634"/>
      <c r="AF492" s="635"/>
      <c r="AG492" s="635"/>
      <c r="AH492" s="637"/>
    </row>
    <row r="493" spans="1:35">
      <c r="A493" s="638">
        <v>1</v>
      </c>
      <c r="B493" s="2175"/>
      <c r="C493" s="2175"/>
      <c r="D493" s="2175"/>
      <c r="E493" s="2174"/>
      <c r="F493" s="2174"/>
      <c r="G493" s="2176"/>
      <c r="H493" s="2176"/>
      <c r="I493" s="2176"/>
      <c r="J493" s="2176"/>
      <c r="K493" s="2176"/>
      <c r="L493" s="2176"/>
      <c r="M493" s="2176"/>
      <c r="N493" s="2176"/>
      <c r="O493" s="2177"/>
      <c r="P493" s="2177"/>
      <c r="Q493" s="2088">
        <f t="shared" ref="Q493:Q508" si="153">G493*O493</f>
        <v>0</v>
      </c>
      <c r="R493" s="2088"/>
      <c r="S493" s="2088"/>
      <c r="T493" s="2178"/>
      <c r="U493" s="2087">
        <f t="shared" ref="U493:U508" si="154">K493*O493</f>
        <v>0</v>
      </c>
      <c r="V493" s="2088"/>
      <c r="W493" s="2088"/>
      <c r="X493" s="2088"/>
      <c r="Y493" s="2194"/>
      <c r="Z493" s="2195"/>
      <c r="AA493" s="2197">
        <f>IF(Y493="",U493,Q493*Y493/100)</f>
        <v>0</v>
      </c>
      <c r="AB493" s="2154"/>
      <c r="AC493" s="2154"/>
      <c r="AD493" s="2155"/>
      <c r="AE493" s="2087">
        <f t="shared" ref="AE493:AE508" si="155">IF(AA493=0,U493,IF(U493&gt;(VALUE(AA493)),VALUE(AA493),U493))</f>
        <v>0</v>
      </c>
      <c r="AF493" s="2088"/>
      <c r="AG493" s="2088"/>
      <c r="AH493" s="2089"/>
    </row>
    <row r="494" spans="1:35">
      <c r="A494" s="1842">
        <f t="shared" ref="A494:A507" si="156">A493+1</f>
        <v>2</v>
      </c>
      <c r="B494" s="2175"/>
      <c r="C494" s="2175"/>
      <c r="D494" s="2175"/>
      <c r="E494" s="2174"/>
      <c r="F494" s="2174"/>
      <c r="G494" s="2176"/>
      <c r="H494" s="2176"/>
      <c r="I494" s="2176"/>
      <c r="J494" s="2176"/>
      <c r="K494" s="2176"/>
      <c r="L494" s="2176"/>
      <c r="M494" s="2176"/>
      <c r="N494" s="2176"/>
      <c r="O494" s="2177"/>
      <c r="P494" s="2177"/>
      <c r="Q494" s="2088">
        <f t="shared" si="153"/>
        <v>0</v>
      </c>
      <c r="R494" s="2088"/>
      <c r="S494" s="2088"/>
      <c r="T494" s="2178"/>
      <c r="U494" s="2087">
        <f t="shared" si="154"/>
        <v>0</v>
      </c>
      <c r="V494" s="2088"/>
      <c r="W494" s="2088"/>
      <c r="X494" s="2088"/>
      <c r="Y494" s="2194"/>
      <c r="Z494" s="2195"/>
      <c r="AA494" s="2197">
        <f t="shared" ref="AA494:AA508" si="157">IF(Y494="",U494,Q494*Y494/100)</f>
        <v>0</v>
      </c>
      <c r="AB494" s="2154"/>
      <c r="AC494" s="2154"/>
      <c r="AD494" s="2155"/>
      <c r="AE494" s="2087">
        <f t="shared" si="155"/>
        <v>0</v>
      </c>
      <c r="AF494" s="2088"/>
      <c r="AG494" s="2088"/>
      <c r="AH494" s="2089"/>
    </row>
    <row r="495" spans="1:35">
      <c r="A495" s="1842">
        <f t="shared" si="156"/>
        <v>3</v>
      </c>
      <c r="B495" s="2175"/>
      <c r="C495" s="2175"/>
      <c r="D495" s="2175"/>
      <c r="E495" s="2174"/>
      <c r="F495" s="2174"/>
      <c r="G495" s="2176"/>
      <c r="H495" s="2176"/>
      <c r="I495" s="2176"/>
      <c r="J495" s="2176"/>
      <c r="K495" s="2176"/>
      <c r="L495" s="2176"/>
      <c r="M495" s="2176"/>
      <c r="N495" s="2176"/>
      <c r="O495" s="2177"/>
      <c r="P495" s="2177"/>
      <c r="Q495" s="2088">
        <f t="shared" si="153"/>
        <v>0</v>
      </c>
      <c r="R495" s="2088"/>
      <c r="S495" s="2088"/>
      <c r="T495" s="2178"/>
      <c r="U495" s="2087">
        <f t="shared" si="154"/>
        <v>0</v>
      </c>
      <c r="V495" s="2088"/>
      <c r="W495" s="2088"/>
      <c r="X495" s="2088"/>
      <c r="Y495" s="2194"/>
      <c r="Z495" s="2195"/>
      <c r="AA495" s="2197">
        <f t="shared" si="157"/>
        <v>0</v>
      </c>
      <c r="AB495" s="2154"/>
      <c r="AC495" s="2154"/>
      <c r="AD495" s="2155"/>
      <c r="AE495" s="2087">
        <f t="shared" si="155"/>
        <v>0</v>
      </c>
      <c r="AF495" s="2088"/>
      <c r="AG495" s="2088"/>
      <c r="AH495" s="2089"/>
    </row>
    <row r="496" spans="1:35">
      <c r="A496" s="1842">
        <f t="shared" si="156"/>
        <v>4</v>
      </c>
      <c r="B496" s="2175"/>
      <c r="C496" s="2175"/>
      <c r="D496" s="2175"/>
      <c r="E496" s="2174"/>
      <c r="F496" s="2174"/>
      <c r="G496" s="2176"/>
      <c r="H496" s="2176"/>
      <c r="I496" s="2176"/>
      <c r="J496" s="2176"/>
      <c r="K496" s="2176"/>
      <c r="L496" s="2176"/>
      <c r="M496" s="2176"/>
      <c r="N496" s="2176"/>
      <c r="O496" s="2177"/>
      <c r="P496" s="2177"/>
      <c r="Q496" s="2088">
        <f t="shared" si="153"/>
        <v>0</v>
      </c>
      <c r="R496" s="2088"/>
      <c r="S496" s="2088"/>
      <c r="T496" s="2178"/>
      <c r="U496" s="2087">
        <f t="shared" si="154"/>
        <v>0</v>
      </c>
      <c r="V496" s="2088"/>
      <c r="W496" s="2088"/>
      <c r="X496" s="2088"/>
      <c r="Y496" s="2194"/>
      <c r="Z496" s="2195"/>
      <c r="AA496" s="2197">
        <f t="shared" si="157"/>
        <v>0</v>
      </c>
      <c r="AB496" s="2154"/>
      <c r="AC496" s="2154"/>
      <c r="AD496" s="2155"/>
      <c r="AE496" s="2087">
        <f t="shared" si="155"/>
        <v>0</v>
      </c>
      <c r="AF496" s="2088"/>
      <c r="AG496" s="2088"/>
      <c r="AH496" s="2089"/>
    </row>
    <row r="497" spans="1:34">
      <c r="A497" s="1842">
        <f t="shared" si="156"/>
        <v>5</v>
      </c>
      <c r="B497" s="2175"/>
      <c r="C497" s="2175"/>
      <c r="D497" s="2175"/>
      <c r="E497" s="2174"/>
      <c r="F497" s="2174"/>
      <c r="G497" s="2176"/>
      <c r="H497" s="2176"/>
      <c r="I497" s="2176"/>
      <c r="J497" s="2176"/>
      <c r="K497" s="2176"/>
      <c r="L497" s="2176"/>
      <c r="M497" s="2176"/>
      <c r="N497" s="2176"/>
      <c r="O497" s="2177"/>
      <c r="P497" s="2177"/>
      <c r="Q497" s="2088">
        <f t="shared" si="153"/>
        <v>0</v>
      </c>
      <c r="R497" s="2088"/>
      <c r="S497" s="2088"/>
      <c r="T497" s="2178"/>
      <c r="U497" s="2087">
        <f t="shared" si="154"/>
        <v>0</v>
      </c>
      <c r="V497" s="2088"/>
      <c r="W497" s="2088"/>
      <c r="X497" s="2088"/>
      <c r="Y497" s="2194"/>
      <c r="Z497" s="2195"/>
      <c r="AA497" s="2197">
        <f t="shared" si="157"/>
        <v>0</v>
      </c>
      <c r="AB497" s="2154"/>
      <c r="AC497" s="2154"/>
      <c r="AD497" s="2155"/>
      <c r="AE497" s="2087">
        <f t="shared" si="155"/>
        <v>0</v>
      </c>
      <c r="AF497" s="2088"/>
      <c r="AG497" s="2088"/>
      <c r="AH497" s="2089"/>
    </row>
    <row r="498" spans="1:34">
      <c r="A498" s="1842">
        <f t="shared" si="156"/>
        <v>6</v>
      </c>
      <c r="B498" s="2175"/>
      <c r="C498" s="2175"/>
      <c r="D498" s="2175"/>
      <c r="E498" s="2174"/>
      <c r="F498" s="2174"/>
      <c r="G498" s="2176"/>
      <c r="H498" s="2176"/>
      <c r="I498" s="2176"/>
      <c r="J498" s="2176"/>
      <c r="K498" s="2176"/>
      <c r="L498" s="2176"/>
      <c r="M498" s="2176"/>
      <c r="N498" s="2176"/>
      <c r="O498" s="2177"/>
      <c r="P498" s="2177"/>
      <c r="Q498" s="2088">
        <f t="shared" si="153"/>
        <v>0</v>
      </c>
      <c r="R498" s="2088"/>
      <c r="S498" s="2088"/>
      <c r="T498" s="2178"/>
      <c r="U498" s="2087">
        <f t="shared" si="154"/>
        <v>0</v>
      </c>
      <c r="V498" s="2088"/>
      <c r="W498" s="2088"/>
      <c r="X498" s="2088"/>
      <c r="Y498" s="2194"/>
      <c r="Z498" s="2195"/>
      <c r="AA498" s="2197">
        <f t="shared" si="157"/>
        <v>0</v>
      </c>
      <c r="AB498" s="2154"/>
      <c r="AC498" s="2154"/>
      <c r="AD498" s="2155"/>
      <c r="AE498" s="2087">
        <f t="shared" si="155"/>
        <v>0</v>
      </c>
      <c r="AF498" s="2088"/>
      <c r="AG498" s="2088"/>
      <c r="AH498" s="2089"/>
    </row>
    <row r="499" spans="1:34">
      <c r="A499" s="1842">
        <f t="shared" si="156"/>
        <v>7</v>
      </c>
      <c r="B499" s="2175"/>
      <c r="C499" s="2175"/>
      <c r="D499" s="2175"/>
      <c r="E499" s="2174"/>
      <c r="F499" s="2174"/>
      <c r="G499" s="2176"/>
      <c r="H499" s="2176"/>
      <c r="I499" s="2176"/>
      <c r="J499" s="2176"/>
      <c r="K499" s="2176"/>
      <c r="L499" s="2176"/>
      <c r="M499" s="2176"/>
      <c r="N499" s="2176"/>
      <c r="O499" s="2177"/>
      <c r="P499" s="2177"/>
      <c r="Q499" s="2088">
        <f t="shared" ref="Q499:Q503" si="158">G499*O499</f>
        <v>0</v>
      </c>
      <c r="R499" s="2088"/>
      <c r="S499" s="2088"/>
      <c r="T499" s="2178"/>
      <c r="U499" s="2087">
        <f t="shared" ref="U499:U503" si="159">K499*O499</f>
        <v>0</v>
      </c>
      <c r="V499" s="2088"/>
      <c r="W499" s="2088"/>
      <c r="X499" s="2088"/>
      <c r="Y499" s="2194"/>
      <c r="Z499" s="2195"/>
      <c r="AA499" s="2197">
        <f t="shared" ref="AA499:AA503" si="160">IF(Y499="",U499,Q499*Y499/100)</f>
        <v>0</v>
      </c>
      <c r="AB499" s="2154"/>
      <c r="AC499" s="2154"/>
      <c r="AD499" s="2155"/>
      <c r="AE499" s="2087">
        <f t="shared" ref="AE499:AE503" si="161">IF(AA499=0,U499,IF(U499&gt;(VALUE(AA499)),VALUE(AA499),U499))</f>
        <v>0</v>
      </c>
      <c r="AF499" s="2088"/>
      <c r="AG499" s="2088"/>
      <c r="AH499" s="2089"/>
    </row>
    <row r="500" spans="1:34">
      <c r="A500" s="1842">
        <f t="shared" si="156"/>
        <v>8</v>
      </c>
      <c r="B500" s="2175"/>
      <c r="C500" s="2175"/>
      <c r="D500" s="2175"/>
      <c r="E500" s="2174"/>
      <c r="F500" s="2174"/>
      <c r="G500" s="2176"/>
      <c r="H500" s="2176"/>
      <c r="I500" s="2176"/>
      <c r="J500" s="2176"/>
      <c r="K500" s="2176"/>
      <c r="L500" s="2176"/>
      <c r="M500" s="2176"/>
      <c r="N500" s="2176"/>
      <c r="O500" s="2177"/>
      <c r="P500" s="2177"/>
      <c r="Q500" s="2088">
        <f t="shared" si="158"/>
        <v>0</v>
      </c>
      <c r="R500" s="2088"/>
      <c r="S500" s="2088"/>
      <c r="T500" s="2178"/>
      <c r="U500" s="2087">
        <f t="shared" si="159"/>
        <v>0</v>
      </c>
      <c r="V500" s="2088"/>
      <c r="W500" s="2088"/>
      <c r="X500" s="2088"/>
      <c r="Y500" s="2194"/>
      <c r="Z500" s="2195"/>
      <c r="AA500" s="2197">
        <f t="shared" si="160"/>
        <v>0</v>
      </c>
      <c r="AB500" s="2154"/>
      <c r="AC500" s="2154"/>
      <c r="AD500" s="2155"/>
      <c r="AE500" s="2087">
        <f t="shared" si="161"/>
        <v>0</v>
      </c>
      <c r="AF500" s="2088"/>
      <c r="AG500" s="2088"/>
      <c r="AH500" s="2089"/>
    </row>
    <row r="501" spans="1:34">
      <c r="A501" s="1842">
        <f t="shared" si="156"/>
        <v>9</v>
      </c>
      <c r="B501" s="2175"/>
      <c r="C501" s="2175"/>
      <c r="D501" s="2175"/>
      <c r="E501" s="2174"/>
      <c r="F501" s="2174"/>
      <c r="G501" s="2176"/>
      <c r="H501" s="2176"/>
      <c r="I501" s="2176"/>
      <c r="J501" s="2176"/>
      <c r="K501" s="2176"/>
      <c r="L501" s="2176"/>
      <c r="M501" s="2176"/>
      <c r="N501" s="2176"/>
      <c r="O501" s="2177"/>
      <c r="P501" s="2177"/>
      <c r="Q501" s="2088">
        <f t="shared" si="158"/>
        <v>0</v>
      </c>
      <c r="R501" s="2088"/>
      <c r="S501" s="2088"/>
      <c r="T501" s="2178"/>
      <c r="U501" s="2087">
        <f t="shared" si="159"/>
        <v>0</v>
      </c>
      <c r="V501" s="2088"/>
      <c r="W501" s="2088"/>
      <c r="X501" s="2088"/>
      <c r="Y501" s="2194"/>
      <c r="Z501" s="2195"/>
      <c r="AA501" s="2197">
        <f t="shared" si="160"/>
        <v>0</v>
      </c>
      <c r="AB501" s="2154"/>
      <c r="AC501" s="2154"/>
      <c r="AD501" s="2155"/>
      <c r="AE501" s="2087">
        <f t="shared" si="161"/>
        <v>0</v>
      </c>
      <c r="AF501" s="2088"/>
      <c r="AG501" s="2088"/>
      <c r="AH501" s="2089"/>
    </row>
    <row r="502" spans="1:34">
      <c r="A502" s="1842">
        <f t="shared" si="156"/>
        <v>10</v>
      </c>
      <c r="B502" s="2175"/>
      <c r="C502" s="2175"/>
      <c r="D502" s="2175"/>
      <c r="E502" s="2174"/>
      <c r="F502" s="2174"/>
      <c r="G502" s="2176"/>
      <c r="H502" s="2176"/>
      <c r="I502" s="2176"/>
      <c r="J502" s="2176"/>
      <c r="K502" s="2176"/>
      <c r="L502" s="2176"/>
      <c r="M502" s="2176"/>
      <c r="N502" s="2176"/>
      <c r="O502" s="2177"/>
      <c r="P502" s="2177"/>
      <c r="Q502" s="2088">
        <f t="shared" si="158"/>
        <v>0</v>
      </c>
      <c r="R502" s="2088"/>
      <c r="S502" s="2088"/>
      <c r="T502" s="2178"/>
      <c r="U502" s="2087">
        <f t="shared" si="159"/>
        <v>0</v>
      </c>
      <c r="V502" s="2088"/>
      <c r="W502" s="2088"/>
      <c r="X502" s="2088"/>
      <c r="Y502" s="2194"/>
      <c r="Z502" s="2195"/>
      <c r="AA502" s="2197">
        <f t="shared" si="160"/>
        <v>0</v>
      </c>
      <c r="AB502" s="2154"/>
      <c r="AC502" s="2154"/>
      <c r="AD502" s="2155"/>
      <c r="AE502" s="2087">
        <f t="shared" si="161"/>
        <v>0</v>
      </c>
      <c r="AF502" s="2088"/>
      <c r="AG502" s="2088"/>
      <c r="AH502" s="2089"/>
    </row>
    <row r="503" spans="1:34">
      <c r="A503" s="1842">
        <f t="shared" si="156"/>
        <v>11</v>
      </c>
      <c r="B503" s="2175"/>
      <c r="C503" s="2175"/>
      <c r="D503" s="2175"/>
      <c r="E503" s="2174"/>
      <c r="F503" s="2174"/>
      <c r="G503" s="2176"/>
      <c r="H503" s="2176"/>
      <c r="I503" s="2176"/>
      <c r="J503" s="2176"/>
      <c r="K503" s="2176"/>
      <c r="L503" s="2176"/>
      <c r="M503" s="2176"/>
      <c r="N503" s="2176"/>
      <c r="O503" s="2177"/>
      <c r="P503" s="2177"/>
      <c r="Q503" s="2088">
        <f t="shared" si="158"/>
        <v>0</v>
      </c>
      <c r="R503" s="2088"/>
      <c r="S503" s="2088"/>
      <c r="T503" s="2178"/>
      <c r="U503" s="2087">
        <f t="shared" si="159"/>
        <v>0</v>
      </c>
      <c r="V503" s="2088"/>
      <c r="W503" s="2088"/>
      <c r="X503" s="2088"/>
      <c r="Y503" s="2194"/>
      <c r="Z503" s="2195"/>
      <c r="AA503" s="2197">
        <f t="shared" si="160"/>
        <v>0</v>
      </c>
      <c r="AB503" s="2154"/>
      <c r="AC503" s="2154"/>
      <c r="AD503" s="2155"/>
      <c r="AE503" s="2087">
        <f t="shared" si="161"/>
        <v>0</v>
      </c>
      <c r="AF503" s="2088"/>
      <c r="AG503" s="2088"/>
      <c r="AH503" s="2089"/>
    </row>
    <row r="504" spans="1:34">
      <c r="A504" s="1842">
        <f t="shared" si="156"/>
        <v>12</v>
      </c>
      <c r="B504" s="2175"/>
      <c r="C504" s="2175"/>
      <c r="D504" s="2175"/>
      <c r="E504" s="2174"/>
      <c r="F504" s="2174"/>
      <c r="G504" s="2176"/>
      <c r="H504" s="2176"/>
      <c r="I504" s="2176"/>
      <c r="J504" s="2176"/>
      <c r="K504" s="2176"/>
      <c r="L504" s="2176"/>
      <c r="M504" s="2176"/>
      <c r="N504" s="2176"/>
      <c r="O504" s="2177"/>
      <c r="P504" s="2177"/>
      <c r="Q504" s="2088">
        <f t="shared" ref="Q504:Q507" si="162">G504*O504</f>
        <v>0</v>
      </c>
      <c r="R504" s="2088"/>
      <c r="S504" s="2088"/>
      <c r="T504" s="2178"/>
      <c r="U504" s="2087">
        <f t="shared" ref="U504:U507" si="163">K504*O504</f>
        <v>0</v>
      </c>
      <c r="V504" s="2088"/>
      <c r="W504" s="2088"/>
      <c r="X504" s="2088"/>
      <c r="Y504" s="2194"/>
      <c r="Z504" s="2195"/>
      <c r="AA504" s="2197">
        <f t="shared" ref="AA504:AA507" si="164">IF(Y504="",U504,Q504*Y504/100)</f>
        <v>0</v>
      </c>
      <c r="AB504" s="2154"/>
      <c r="AC504" s="2154"/>
      <c r="AD504" s="2155"/>
      <c r="AE504" s="2087">
        <f t="shared" ref="AE504:AE507" si="165">IF(AA504=0,U504,IF(U504&gt;(VALUE(AA504)),VALUE(AA504),U504))</f>
        <v>0</v>
      </c>
      <c r="AF504" s="2088"/>
      <c r="AG504" s="2088"/>
      <c r="AH504" s="2089"/>
    </row>
    <row r="505" spans="1:34">
      <c r="A505" s="1842">
        <f t="shared" si="156"/>
        <v>13</v>
      </c>
      <c r="B505" s="2175"/>
      <c r="C505" s="2175"/>
      <c r="D505" s="2175"/>
      <c r="E505" s="2174"/>
      <c r="F505" s="2174"/>
      <c r="G505" s="2176"/>
      <c r="H505" s="2176"/>
      <c r="I505" s="2176"/>
      <c r="J505" s="2176"/>
      <c r="K505" s="2176"/>
      <c r="L505" s="2176"/>
      <c r="M505" s="2176"/>
      <c r="N505" s="2176"/>
      <c r="O505" s="2177"/>
      <c r="P505" s="2177"/>
      <c r="Q505" s="2088">
        <f t="shared" si="162"/>
        <v>0</v>
      </c>
      <c r="R505" s="2088"/>
      <c r="S505" s="2088"/>
      <c r="T505" s="2178"/>
      <c r="U505" s="2087">
        <f t="shared" si="163"/>
        <v>0</v>
      </c>
      <c r="V505" s="2088"/>
      <c r="W505" s="2088"/>
      <c r="X505" s="2088"/>
      <c r="Y505" s="2194"/>
      <c r="Z505" s="2195"/>
      <c r="AA505" s="2197">
        <f t="shared" si="164"/>
        <v>0</v>
      </c>
      <c r="AB505" s="2154"/>
      <c r="AC505" s="2154"/>
      <c r="AD505" s="2155"/>
      <c r="AE505" s="2087">
        <f t="shared" si="165"/>
        <v>0</v>
      </c>
      <c r="AF505" s="2088"/>
      <c r="AG505" s="2088"/>
      <c r="AH505" s="2089"/>
    </row>
    <row r="506" spans="1:34">
      <c r="A506" s="1842">
        <f t="shared" si="156"/>
        <v>14</v>
      </c>
      <c r="B506" s="2175"/>
      <c r="C506" s="2175"/>
      <c r="D506" s="2175"/>
      <c r="E506" s="2174"/>
      <c r="F506" s="2174"/>
      <c r="G506" s="2176"/>
      <c r="H506" s="2176"/>
      <c r="I506" s="2176"/>
      <c r="J506" s="2176"/>
      <c r="K506" s="2176"/>
      <c r="L506" s="2176"/>
      <c r="M506" s="2176"/>
      <c r="N506" s="2176"/>
      <c r="O506" s="2177"/>
      <c r="P506" s="2177"/>
      <c r="Q506" s="2088">
        <f t="shared" si="162"/>
        <v>0</v>
      </c>
      <c r="R506" s="2088"/>
      <c r="S506" s="2088"/>
      <c r="T506" s="2178"/>
      <c r="U506" s="2087">
        <f t="shared" si="163"/>
        <v>0</v>
      </c>
      <c r="V506" s="2088"/>
      <c r="W506" s="2088"/>
      <c r="X506" s="2088"/>
      <c r="Y506" s="2194"/>
      <c r="Z506" s="2195"/>
      <c r="AA506" s="2197">
        <f t="shared" si="164"/>
        <v>0</v>
      </c>
      <c r="AB506" s="2154"/>
      <c r="AC506" s="2154"/>
      <c r="AD506" s="2155"/>
      <c r="AE506" s="2087">
        <f t="shared" si="165"/>
        <v>0</v>
      </c>
      <c r="AF506" s="2088"/>
      <c r="AG506" s="2088"/>
      <c r="AH506" s="2089"/>
    </row>
    <row r="507" spans="1:34">
      <c r="A507" s="1842">
        <f t="shared" si="156"/>
        <v>15</v>
      </c>
      <c r="B507" s="2175"/>
      <c r="C507" s="2175"/>
      <c r="D507" s="2175"/>
      <c r="E507" s="2174"/>
      <c r="F507" s="2174"/>
      <c r="G507" s="2176"/>
      <c r="H507" s="2176"/>
      <c r="I507" s="2176"/>
      <c r="J507" s="2176"/>
      <c r="K507" s="2176"/>
      <c r="L507" s="2176"/>
      <c r="M507" s="2176"/>
      <c r="N507" s="2176"/>
      <c r="O507" s="2177"/>
      <c r="P507" s="2177"/>
      <c r="Q507" s="2088">
        <f t="shared" si="162"/>
        <v>0</v>
      </c>
      <c r="R507" s="2088"/>
      <c r="S507" s="2088"/>
      <c r="T507" s="2178"/>
      <c r="U507" s="2087">
        <f t="shared" si="163"/>
        <v>0</v>
      </c>
      <c r="V507" s="2088"/>
      <c r="W507" s="2088"/>
      <c r="X507" s="2088"/>
      <c r="Y507" s="2194"/>
      <c r="Z507" s="2195"/>
      <c r="AA507" s="2197">
        <f t="shared" si="164"/>
        <v>0</v>
      </c>
      <c r="AB507" s="2154"/>
      <c r="AC507" s="2154"/>
      <c r="AD507" s="2155"/>
      <c r="AE507" s="2087">
        <f t="shared" si="165"/>
        <v>0</v>
      </c>
      <c r="AF507" s="2088"/>
      <c r="AG507" s="2088"/>
      <c r="AH507" s="2089"/>
    </row>
    <row r="508" spans="1:34">
      <c r="A508" s="640" t="s">
        <v>551</v>
      </c>
      <c r="B508" s="2175"/>
      <c r="C508" s="2175"/>
      <c r="D508" s="2175"/>
      <c r="E508" s="2174"/>
      <c r="F508" s="2174"/>
      <c r="G508" s="2176"/>
      <c r="H508" s="2176"/>
      <c r="I508" s="2176"/>
      <c r="J508" s="2176"/>
      <c r="K508" s="2176"/>
      <c r="L508" s="2176"/>
      <c r="M508" s="2176"/>
      <c r="N508" s="2176"/>
      <c r="O508" s="2177"/>
      <c r="P508" s="2177"/>
      <c r="Q508" s="2088">
        <f t="shared" si="153"/>
        <v>0</v>
      </c>
      <c r="R508" s="2088"/>
      <c r="S508" s="2088"/>
      <c r="T508" s="2178"/>
      <c r="U508" s="2087">
        <f t="shared" si="154"/>
        <v>0</v>
      </c>
      <c r="V508" s="2088"/>
      <c r="W508" s="2088"/>
      <c r="X508" s="2088"/>
      <c r="Y508" s="2194"/>
      <c r="Z508" s="2195"/>
      <c r="AA508" s="2197">
        <f t="shared" si="157"/>
        <v>0</v>
      </c>
      <c r="AB508" s="2154"/>
      <c r="AC508" s="2154"/>
      <c r="AD508" s="2155"/>
      <c r="AE508" s="2087">
        <f t="shared" si="155"/>
        <v>0</v>
      </c>
      <c r="AF508" s="2088"/>
      <c r="AG508" s="2088"/>
      <c r="AH508" s="2089"/>
    </row>
    <row r="509" spans="1:34" s="623" customFormat="1" ht="13.5" thickBot="1">
      <c r="A509" s="641"/>
      <c r="B509" s="653"/>
      <c r="C509" s="654"/>
      <c r="D509" s="655"/>
      <c r="E509" s="653"/>
      <c r="F509" s="655"/>
      <c r="G509" s="653"/>
      <c r="H509" s="654"/>
      <c r="I509" s="654"/>
      <c r="J509" s="655"/>
      <c r="K509" s="653"/>
      <c r="L509" s="654"/>
      <c r="M509" s="654"/>
      <c r="N509" s="655"/>
      <c r="O509" s="653"/>
      <c r="P509" s="655"/>
      <c r="Q509" s="648"/>
      <c r="R509" s="649"/>
      <c r="S509" s="649"/>
      <c r="T509" s="650"/>
      <c r="U509" s="648"/>
      <c r="V509" s="649"/>
      <c r="W509" s="649"/>
      <c r="X509" s="650"/>
      <c r="Y509" s="653"/>
      <c r="Z509" s="654"/>
      <c r="AA509" s="648"/>
      <c r="AB509" s="649"/>
      <c r="AC509" s="649"/>
      <c r="AD509" s="650"/>
      <c r="AE509" s="648"/>
      <c r="AF509" s="649"/>
      <c r="AG509" s="649"/>
      <c r="AH509" s="651"/>
    </row>
    <row r="510" spans="1:34" s="623" customFormat="1" ht="14.25" thickTop="1" thickBot="1">
      <c r="AA510" s="652"/>
      <c r="AB510" s="652"/>
      <c r="AC510" s="652"/>
      <c r="AD510" s="652"/>
      <c r="AE510" s="652"/>
      <c r="AF510" s="652"/>
      <c r="AG510" s="652"/>
      <c r="AH510" s="652"/>
    </row>
    <row r="511" spans="1:34" s="623" customFormat="1" ht="14.25" thickTop="1" thickBot="1">
      <c r="B511" s="622" t="s">
        <v>552</v>
      </c>
      <c r="G511" s="2171">
        <f>+SUM(G493:J509)</f>
        <v>0</v>
      </c>
      <c r="H511" s="2172"/>
      <c r="I511" s="2172"/>
      <c r="J511" s="2173"/>
      <c r="K511" s="2171">
        <f>+SUM(K493:N509)</f>
        <v>0</v>
      </c>
      <c r="L511" s="2172"/>
      <c r="M511" s="2172"/>
      <c r="N511" s="2173"/>
      <c r="Q511" s="2242">
        <f>+SUM(Q493:T509)</f>
        <v>0</v>
      </c>
      <c r="R511" s="2124"/>
      <c r="S511" s="2124"/>
      <c r="T511" s="2125"/>
      <c r="U511" s="2242">
        <f>+SUM(U493:X509)</f>
        <v>0</v>
      </c>
      <c r="V511" s="2124"/>
      <c r="W511" s="2124"/>
      <c r="X511" s="2125"/>
      <c r="AA511" s="2242">
        <f>+SUM(AA493:AD509)</f>
        <v>0</v>
      </c>
      <c r="AB511" s="2124"/>
      <c r="AC511" s="2124"/>
      <c r="AD511" s="2125"/>
      <c r="AE511" s="2242">
        <f>+SUM(AE493:AH509)</f>
        <v>0</v>
      </c>
      <c r="AF511" s="2124"/>
      <c r="AG511" s="2124"/>
      <c r="AH511" s="2125"/>
    </row>
    <row r="512" spans="1:34" s="623" customFormat="1" ht="13.5" collapsed="1" thickTop="1"/>
    <row r="513" spans="1:35" s="623" customFormat="1">
      <c r="B513" s="627" t="s">
        <v>418</v>
      </c>
      <c r="C513" s="627" t="s">
        <v>554</v>
      </c>
      <c r="D513" s="628"/>
      <c r="E513" s="628"/>
      <c r="F513" s="628"/>
      <c r="G513" s="628"/>
      <c r="H513" s="628"/>
      <c r="I513" s="656"/>
      <c r="J513" s="656"/>
      <c r="K513" s="656"/>
      <c r="L513" s="656"/>
      <c r="M513" s="656"/>
      <c r="N513" s="656"/>
      <c r="O513" s="656"/>
      <c r="P513" s="656"/>
      <c r="Q513" s="628"/>
      <c r="R513" s="628"/>
      <c r="S513" s="628"/>
      <c r="T513" s="628"/>
      <c r="U513" s="628"/>
      <c r="V513" s="628"/>
      <c r="W513" s="628"/>
      <c r="X513" s="628"/>
      <c r="Y513" s="628"/>
      <c r="Z513" s="628"/>
      <c r="AA513" s="628"/>
      <c r="AB513" s="628"/>
      <c r="AC513" s="628"/>
      <c r="AD513" s="628"/>
      <c r="AE513" s="628"/>
      <c r="AF513" s="628"/>
      <c r="AG513" s="628"/>
      <c r="AH513" s="628"/>
      <c r="AI513" s="628"/>
    </row>
    <row r="514" spans="1:35" s="623" customFormat="1" ht="13.5" thickBot="1">
      <c r="M514" s="2193"/>
      <c r="N514" s="2193"/>
      <c r="O514" s="2193"/>
      <c r="P514" s="2193"/>
      <c r="Q514" s="2193"/>
      <c r="R514" s="2193"/>
      <c r="S514" s="2193"/>
      <c r="T514" s="2193"/>
      <c r="U514" s="2193"/>
      <c r="V514" s="2193"/>
      <c r="W514" s="2193"/>
      <c r="X514" s="2193"/>
    </row>
    <row r="515" spans="1:35" s="623" customFormat="1" ht="24" customHeight="1" thickTop="1" thickBot="1">
      <c r="A515" s="2179" t="s">
        <v>360</v>
      </c>
      <c r="B515" s="2222" t="s">
        <v>541</v>
      </c>
      <c r="C515" s="2223"/>
      <c r="D515" s="2224"/>
      <c r="E515" s="2222" t="s">
        <v>542</v>
      </c>
      <c r="F515" s="2228"/>
      <c r="G515" s="2231" t="s">
        <v>543</v>
      </c>
      <c r="H515" s="2232"/>
      <c r="I515" s="2232"/>
      <c r="J515" s="2232"/>
      <c r="K515" s="2232"/>
      <c r="L515" s="2232"/>
      <c r="M515" s="2232"/>
      <c r="N515" s="2233"/>
      <c r="O515" s="2222" t="s">
        <v>544</v>
      </c>
      <c r="P515" s="2228"/>
      <c r="Q515" s="2231" t="s">
        <v>545</v>
      </c>
      <c r="R515" s="2232"/>
      <c r="S515" s="2232"/>
      <c r="T515" s="2232"/>
      <c r="U515" s="2232"/>
      <c r="V515" s="2232"/>
      <c r="W515" s="2232"/>
      <c r="X515" s="2233"/>
      <c r="Y515" s="2222" t="s">
        <v>546</v>
      </c>
      <c r="Z515" s="2228"/>
      <c r="AA515" s="2222" t="s">
        <v>547</v>
      </c>
      <c r="AB515" s="2234"/>
      <c r="AC515" s="2234"/>
      <c r="AD515" s="2228"/>
      <c r="AE515" s="2222" t="s">
        <v>548</v>
      </c>
      <c r="AF515" s="2234"/>
      <c r="AG515" s="2234"/>
      <c r="AH515" s="2236"/>
    </row>
    <row r="516" spans="1:35" s="623" customFormat="1" ht="30" customHeight="1" thickTop="1" thickBot="1">
      <c r="A516" s="2221"/>
      <c r="B516" s="2225"/>
      <c r="C516" s="2226"/>
      <c r="D516" s="2227"/>
      <c r="E516" s="2229"/>
      <c r="F516" s="2230"/>
      <c r="G516" s="2231" t="s">
        <v>549</v>
      </c>
      <c r="H516" s="2232"/>
      <c r="I516" s="2232"/>
      <c r="J516" s="2233"/>
      <c r="K516" s="2231" t="s">
        <v>550</v>
      </c>
      <c r="L516" s="2232"/>
      <c r="M516" s="2232"/>
      <c r="N516" s="2233"/>
      <c r="O516" s="2229"/>
      <c r="P516" s="2230"/>
      <c r="Q516" s="2231" t="s">
        <v>549</v>
      </c>
      <c r="R516" s="2232"/>
      <c r="S516" s="2232"/>
      <c r="T516" s="2233"/>
      <c r="U516" s="2231" t="s">
        <v>550</v>
      </c>
      <c r="V516" s="2232"/>
      <c r="W516" s="2232"/>
      <c r="X516" s="2233"/>
      <c r="Y516" s="2229"/>
      <c r="Z516" s="2230"/>
      <c r="AA516" s="2229"/>
      <c r="AB516" s="2235"/>
      <c r="AC516" s="2235"/>
      <c r="AD516" s="2230"/>
      <c r="AE516" s="2229"/>
      <c r="AF516" s="2235"/>
      <c r="AG516" s="2235"/>
      <c r="AH516" s="2237"/>
    </row>
    <row r="517" spans="1:35" s="623" customFormat="1" ht="13.5" thickTop="1">
      <c r="A517" s="630"/>
      <c r="B517" s="634"/>
      <c r="C517" s="635"/>
      <c r="D517" s="636"/>
      <c r="E517" s="634"/>
      <c r="F517" s="636"/>
      <c r="G517" s="634"/>
      <c r="H517" s="635"/>
      <c r="I517" s="635"/>
      <c r="J517" s="636"/>
      <c r="K517" s="634"/>
      <c r="L517" s="635"/>
      <c r="M517" s="635"/>
      <c r="N517" s="636"/>
      <c r="O517" s="634"/>
      <c r="P517" s="636"/>
      <c r="Q517" s="634"/>
      <c r="R517" s="635"/>
      <c r="S517" s="635"/>
      <c r="T517" s="636"/>
      <c r="U517" s="634"/>
      <c r="V517" s="635"/>
      <c r="W517" s="635"/>
      <c r="X517" s="636"/>
      <c r="Y517" s="634"/>
      <c r="Z517" s="635"/>
      <c r="AA517" s="634"/>
      <c r="AB517" s="635"/>
      <c r="AC517" s="635"/>
      <c r="AD517" s="636"/>
      <c r="AE517" s="634"/>
      <c r="AF517" s="635"/>
      <c r="AG517" s="635"/>
      <c r="AH517" s="637"/>
    </row>
    <row r="518" spans="1:35">
      <c r="A518" s="657">
        <v>1</v>
      </c>
      <c r="B518" s="2175"/>
      <c r="C518" s="2175"/>
      <c r="D518" s="2175"/>
      <c r="E518" s="2174"/>
      <c r="F518" s="2174"/>
      <c r="G518" s="2176"/>
      <c r="H518" s="2176"/>
      <c r="I518" s="2176"/>
      <c r="J518" s="2176"/>
      <c r="K518" s="2176"/>
      <c r="L518" s="2176"/>
      <c r="M518" s="2176"/>
      <c r="N518" s="2176"/>
      <c r="O518" s="2177"/>
      <c r="P518" s="2177"/>
      <c r="Q518" s="2088">
        <f t="shared" ref="Q518:Q533" si="166">G518*O518</f>
        <v>0</v>
      </c>
      <c r="R518" s="2088"/>
      <c r="S518" s="2088"/>
      <c r="T518" s="2178"/>
      <c r="U518" s="2087">
        <f t="shared" ref="U518:U533" si="167">K518*O518</f>
        <v>0</v>
      </c>
      <c r="V518" s="2088"/>
      <c r="W518" s="2088"/>
      <c r="X518" s="2088"/>
      <c r="Y518" s="2194"/>
      <c r="Z518" s="2195"/>
      <c r="AA518" s="2196">
        <f t="shared" ref="AA518:AA533" si="168">IF(Y518="",U518,Q518*Y518/100)</f>
        <v>0</v>
      </c>
      <c r="AB518" s="2154"/>
      <c r="AC518" s="2154"/>
      <c r="AD518" s="2155"/>
      <c r="AE518" s="2087">
        <f t="shared" ref="AE518:AE533" si="169">IF(AA518=0,U518,IF(U518&gt;(VALUE(AA518)),VALUE(AA518),U518))</f>
        <v>0</v>
      </c>
      <c r="AF518" s="2088"/>
      <c r="AG518" s="2088"/>
      <c r="AH518" s="2089"/>
    </row>
    <row r="519" spans="1:35">
      <c r="A519" s="1845">
        <f t="shared" ref="A519:A532" si="170">A518+1</f>
        <v>2</v>
      </c>
      <c r="B519" s="2175"/>
      <c r="C519" s="2175"/>
      <c r="D519" s="2175"/>
      <c r="E519" s="2174"/>
      <c r="F519" s="2174"/>
      <c r="G519" s="2176"/>
      <c r="H519" s="2176"/>
      <c r="I519" s="2176"/>
      <c r="J519" s="2176"/>
      <c r="K519" s="2176"/>
      <c r="L519" s="2176"/>
      <c r="M519" s="2176"/>
      <c r="N519" s="2176"/>
      <c r="O519" s="2177"/>
      <c r="P519" s="2177"/>
      <c r="Q519" s="2087">
        <f t="shared" si="166"/>
        <v>0</v>
      </c>
      <c r="R519" s="2088"/>
      <c r="S519" s="2088"/>
      <c r="T519" s="2178"/>
      <c r="U519" s="2087">
        <f t="shared" si="167"/>
        <v>0</v>
      </c>
      <c r="V519" s="2088"/>
      <c r="W519" s="2088"/>
      <c r="X519" s="2178"/>
      <c r="Y519" s="2194"/>
      <c r="Z519" s="2195"/>
      <c r="AA519" s="2196">
        <f t="shared" si="168"/>
        <v>0</v>
      </c>
      <c r="AB519" s="2154"/>
      <c r="AC519" s="2154"/>
      <c r="AD519" s="2155"/>
      <c r="AE519" s="2087">
        <f t="shared" si="169"/>
        <v>0</v>
      </c>
      <c r="AF519" s="2088"/>
      <c r="AG519" s="2088"/>
      <c r="AH519" s="2089"/>
    </row>
    <row r="520" spans="1:35">
      <c r="A520" s="1845">
        <f t="shared" si="170"/>
        <v>3</v>
      </c>
      <c r="B520" s="2175"/>
      <c r="C520" s="2175"/>
      <c r="D520" s="2175"/>
      <c r="E520" s="2174"/>
      <c r="F520" s="2174"/>
      <c r="G520" s="2176"/>
      <c r="H520" s="2176"/>
      <c r="I520" s="2176"/>
      <c r="J520" s="2176"/>
      <c r="K520" s="2176"/>
      <c r="L520" s="2176"/>
      <c r="M520" s="2176"/>
      <c r="N520" s="2176"/>
      <c r="O520" s="2177"/>
      <c r="P520" s="2177"/>
      <c r="Q520" s="2087">
        <f t="shared" si="166"/>
        <v>0</v>
      </c>
      <c r="R520" s="2088"/>
      <c r="S520" s="2088"/>
      <c r="T520" s="2178"/>
      <c r="U520" s="2087">
        <f t="shared" si="167"/>
        <v>0</v>
      </c>
      <c r="V520" s="2088"/>
      <c r="W520" s="2088"/>
      <c r="X520" s="2178"/>
      <c r="Y520" s="2194"/>
      <c r="Z520" s="2195"/>
      <c r="AA520" s="2196">
        <f t="shared" si="168"/>
        <v>0</v>
      </c>
      <c r="AB520" s="2154"/>
      <c r="AC520" s="2154"/>
      <c r="AD520" s="2155"/>
      <c r="AE520" s="2087">
        <f t="shared" si="169"/>
        <v>0</v>
      </c>
      <c r="AF520" s="2088"/>
      <c r="AG520" s="2088"/>
      <c r="AH520" s="2089"/>
    </row>
    <row r="521" spans="1:35">
      <c r="A521" s="1845">
        <f t="shared" si="170"/>
        <v>4</v>
      </c>
      <c r="B521" s="2175"/>
      <c r="C521" s="2175"/>
      <c r="D521" s="2175"/>
      <c r="E521" s="2174"/>
      <c r="F521" s="2174"/>
      <c r="G521" s="2176"/>
      <c r="H521" s="2176"/>
      <c r="I521" s="2176"/>
      <c r="J521" s="2176"/>
      <c r="K521" s="2176"/>
      <c r="L521" s="2176"/>
      <c r="M521" s="2176"/>
      <c r="N521" s="2176"/>
      <c r="O521" s="2177"/>
      <c r="P521" s="2177"/>
      <c r="Q521" s="2087">
        <f t="shared" si="166"/>
        <v>0</v>
      </c>
      <c r="R521" s="2088"/>
      <c r="S521" s="2088"/>
      <c r="T521" s="2178"/>
      <c r="U521" s="2087">
        <f t="shared" si="167"/>
        <v>0</v>
      </c>
      <c r="V521" s="2088"/>
      <c r="W521" s="2088"/>
      <c r="X521" s="2178"/>
      <c r="Y521" s="2194"/>
      <c r="Z521" s="2195"/>
      <c r="AA521" s="2196">
        <f t="shared" si="168"/>
        <v>0</v>
      </c>
      <c r="AB521" s="2154"/>
      <c r="AC521" s="2154"/>
      <c r="AD521" s="2155"/>
      <c r="AE521" s="2087">
        <f t="shared" si="169"/>
        <v>0</v>
      </c>
      <c r="AF521" s="2088"/>
      <c r="AG521" s="2088"/>
      <c r="AH521" s="2089"/>
    </row>
    <row r="522" spans="1:35">
      <c r="A522" s="1845">
        <f t="shared" si="170"/>
        <v>5</v>
      </c>
      <c r="B522" s="2175"/>
      <c r="C522" s="2175"/>
      <c r="D522" s="2175"/>
      <c r="E522" s="2174"/>
      <c r="F522" s="2174"/>
      <c r="G522" s="2176"/>
      <c r="H522" s="2176"/>
      <c r="I522" s="2176"/>
      <c r="J522" s="2176"/>
      <c r="K522" s="2176"/>
      <c r="L522" s="2176"/>
      <c r="M522" s="2176"/>
      <c r="N522" s="2176"/>
      <c r="O522" s="2177"/>
      <c r="P522" s="2177"/>
      <c r="Q522" s="2087">
        <f t="shared" si="166"/>
        <v>0</v>
      </c>
      <c r="R522" s="2088"/>
      <c r="S522" s="2088"/>
      <c r="T522" s="2178"/>
      <c r="U522" s="2087">
        <f t="shared" si="167"/>
        <v>0</v>
      </c>
      <c r="V522" s="2088"/>
      <c r="W522" s="2088"/>
      <c r="X522" s="2178"/>
      <c r="Y522" s="2194"/>
      <c r="Z522" s="2195"/>
      <c r="AA522" s="2196">
        <f t="shared" si="168"/>
        <v>0</v>
      </c>
      <c r="AB522" s="2154"/>
      <c r="AC522" s="2154"/>
      <c r="AD522" s="2155"/>
      <c r="AE522" s="2087">
        <f t="shared" si="169"/>
        <v>0</v>
      </c>
      <c r="AF522" s="2088"/>
      <c r="AG522" s="2088"/>
      <c r="AH522" s="2089"/>
    </row>
    <row r="523" spans="1:35">
      <c r="A523" s="1845">
        <f t="shared" si="170"/>
        <v>6</v>
      </c>
      <c r="B523" s="2175"/>
      <c r="C523" s="2175"/>
      <c r="D523" s="2175"/>
      <c r="E523" s="2174"/>
      <c r="F523" s="2174"/>
      <c r="G523" s="2176"/>
      <c r="H523" s="2176"/>
      <c r="I523" s="2176"/>
      <c r="J523" s="2176"/>
      <c r="K523" s="2176"/>
      <c r="L523" s="2176"/>
      <c r="M523" s="2176"/>
      <c r="N523" s="2176"/>
      <c r="O523" s="2177"/>
      <c r="P523" s="2177"/>
      <c r="Q523" s="2087">
        <f t="shared" si="166"/>
        <v>0</v>
      </c>
      <c r="R523" s="2088"/>
      <c r="S523" s="2088"/>
      <c r="T523" s="2178"/>
      <c r="U523" s="2087">
        <f t="shared" si="167"/>
        <v>0</v>
      </c>
      <c r="V523" s="2088"/>
      <c r="W523" s="2088"/>
      <c r="X523" s="2178"/>
      <c r="Y523" s="2194"/>
      <c r="Z523" s="2195"/>
      <c r="AA523" s="2196">
        <f t="shared" si="168"/>
        <v>0</v>
      </c>
      <c r="AB523" s="2154"/>
      <c r="AC523" s="2154"/>
      <c r="AD523" s="2155"/>
      <c r="AE523" s="2087">
        <f t="shared" si="169"/>
        <v>0</v>
      </c>
      <c r="AF523" s="2088"/>
      <c r="AG523" s="2088"/>
      <c r="AH523" s="2089"/>
    </row>
    <row r="524" spans="1:35">
      <c r="A524" s="1845">
        <f t="shared" si="170"/>
        <v>7</v>
      </c>
      <c r="B524" s="2175"/>
      <c r="C524" s="2175"/>
      <c r="D524" s="2175"/>
      <c r="E524" s="2174"/>
      <c r="F524" s="2174"/>
      <c r="G524" s="2176"/>
      <c r="H524" s="2176"/>
      <c r="I524" s="2176"/>
      <c r="J524" s="2176"/>
      <c r="K524" s="2176"/>
      <c r="L524" s="2176"/>
      <c r="M524" s="2176"/>
      <c r="N524" s="2176"/>
      <c r="O524" s="2177"/>
      <c r="P524" s="2177"/>
      <c r="Q524" s="2087">
        <f t="shared" si="166"/>
        <v>0</v>
      </c>
      <c r="R524" s="2088"/>
      <c r="S524" s="2088"/>
      <c r="T524" s="2178"/>
      <c r="U524" s="2087">
        <f t="shared" si="167"/>
        <v>0</v>
      </c>
      <c r="V524" s="2088"/>
      <c r="W524" s="2088"/>
      <c r="X524" s="2178"/>
      <c r="Y524" s="2194"/>
      <c r="Z524" s="2195"/>
      <c r="AA524" s="2196">
        <f t="shared" si="168"/>
        <v>0</v>
      </c>
      <c r="AB524" s="2154"/>
      <c r="AC524" s="2154"/>
      <c r="AD524" s="2155"/>
      <c r="AE524" s="2087">
        <f t="shared" si="169"/>
        <v>0</v>
      </c>
      <c r="AF524" s="2088"/>
      <c r="AG524" s="2088"/>
      <c r="AH524" s="2089"/>
    </row>
    <row r="525" spans="1:35">
      <c r="A525" s="1845">
        <f t="shared" si="170"/>
        <v>8</v>
      </c>
      <c r="B525" s="2175"/>
      <c r="C525" s="2175"/>
      <c r="D525" s="2175"/>
      <c r="E525" s="2174"/>
      <c r="F525" s="2174"/>
      <c r="G525" s="2176"/>
      <c r="H525" s="2176"/>
      <c r="I525" s="2176"/>
      <c r="J525" s="2176"/>
      <c r="K525" s="2176"/>
      <c r="L525" s="2176"/>
      <c r="M525" s="2176"/>
      <c r="N525" s="2176"/>
      <c r="O525" s="2177"/>
      <c r="P525" s="2177"/>
      <c r="Q525" s="2087">
        <f t="shared" si="166"/>
        <v>0</v>
      </c>
      <c r="R525" s="2088"/>
      <c r="S525" s="2088"/>
      <c r="T525" s="2178"/>
      <c r="U525" s="2087">
        <f t="shared" si="167"/>
        <v>0</v>
      </c>
      <c r="V525" s="2088"/>
      <c r="W525" s="2088"/>
      <c r="X525" s="2178"/>
      <c r="Y525" s="2194"/>
      <c r="Z525" s="2195"/>
      <c r="AA525" s="2196">
        <f t="shared" si="168"/>
        <v>0</v>
      </c>
      <c r="AB525" s="2154"/>
      <c r="AC525" s="2154"/>
      <c r="AD525" s="2155"/>
      <c r="AE525" s="2087">
        <f t="shared" si="169"/>
        <v>0</v>
      </c>
      <c r="AF525" s="2088"/>
      <c r="AG525" s="2088"/>
      <c r="AH525" s="2089"/>
    </row>
    <row r="526" spans="1:35">
      <c r="A526" s="1845">
        <f t="shared" si="170"/>
        <v>9</v>
      </c>
      <c r="B526" s="2175"/>
      <c r="C526" s="2175"/>
      <c r="D526" s="2175"/>
      <c r="E526" s="2174"/>
      <c r="F526" s="2174"/>
      <c r="G526" s="2176"/>
      <c r="H526" s="2176"/>
      <c r="I526" s="2176"/>
      <c r="J526" s="2176"/>
      <c r="K526" s="2176"/>
      <c r="L526" s="2176"/>
      <c r="M526" s="2176"/>
      <c r="N526" s="2176"/>
      <c r="O526" s="2177"/>
      <c r="P526" s="2177"/>
      <c r="Q526" s="2087">
        <f t="shared" si="166"/>
        <v>0</v>
      </c>
      <c r="R526" s="2088"/>
      <c r="S526" s="2088"/>
      <c r="T526" s="2178"/>
      <c r="U526" s="2087">
        <f t="shared" si="167"/>
        <v>0</v>
      </c>
      <c r="V526" s="2088"/>
      <c r="W526" s="2088"/>
      <c r="X526" s="2178"/>
      <c r="Y526" s="2194"/>
      <c r="Z526" s="2195"/>
      <c r="AA526" s="2196">
        <f t="shared" si="168"/>
        <v>0</v>
      </c>
      <c r="AB526" s="2154"/>
      <c r="AC526" s="2154"/>
      <c r="AD526" s="2155"/>
      <c r="AE526" s="2087">
        <f t="shared" si="169"/>
        <v>0</v>
      </c>
      <c r="AF526" s="2088"/>
      <c r="AG526" s="2088"/>
      <c r="AH526" s="2089"/>
    </row>
    <row r="527" spans="1:35">
      <c r="A527" s="1845">
        <f t="shared" si="170"/>
        <v>10</v>
      </c>
      <c r="B527" s="2175"/>
      <c r="C527" s="2175"/>
      <c r="D527" s="2175"/>
      <c r="E527" s="2174"/>
      <c r="F527" s="2174"/>
      <c r="G527" s="2176"/>
      <c r="H527" s="2176"/>
      <c r="I527" s="2176"/>
      <c r="J527" s="2176"/>
      <c r="K527" s="2176"/>
      <c r="L527" s="2176"/>
      <c r="M527" s="2176"/>
      <c r="N527" s="2176"/>
      <c r="O527" s="2177"/>
      <c r="P527" s="2177"/>
      <c r="Q527" s="2087">
        <f t="shared" si="166"/>
        <v>0</v>
      </c>
      <c r="R527" s="2088"/>
      <c r="S527" s="2088"/>
      <c r="T527" s="2178"/>
      <c r="U527" s="2087">
        <f t="shared" si="167"/>
        <v>0</v>
      </c>
      <c r="V527" s="2088"/>
      <c r="W527" s="2088"/>
      <c r="X527" s="2178"/>
      <c r="Y527" s="2194"/>
      <c r="Z527" s="2195"/>
      <c r="AA527" s="2196">
        <f t="shared" si="168"/>
        <v>0</v>
      </c>
      <c r="AB527" s="2154"/>
      <c r="AC527" s="2154"/>
      <c r="AD527" s="2155"/>
      <c r="AE527" s="2087">
        <f t="shared" si="169"/>
        <v>0</v>
      </c>
      <c r="AF527" s="2088"/>
      <c r="AG527" s="2088"/>
      <c r="AH527" s="2089"/>
    </row>
    <row r="528" spans="1:35">
      <c r="A528" s="1845">
        <f t="shared" si="170"/>
        <v>11</v>
      </c>
      <c r="B528" s="2175"/>
      <c r="C528" s="2175"/>
      <c r="D528" s="2175"/>
      <c r="E528" s="2174"/>
      <c r="F528" s="2174"/>
      <c r="G528" s="2176"/>
      <c r="H528" s="2176"/>
      <c r="I528" s="2176"/>
      <c r="J528" s="2176"/>
      <c r="K528" s="2176"/>
      <c r="L528" s="2176"/>
      <c r="M528" s="2176"/>
      <c r="N528" s="2176"/>
      <c r="O528" s="2177"/>
      <c r="P528" s="2177"/>
      <c r="Q528" s="2087">
        <f t="shared" si="166"/>
        <v>0</v>
      </c>
      <c r="R528" s="2088"/>
      <c r="S528" s="2088"/>
      <c r="T528" s="2178"/>
      <c r="U528" s="2087">
        <f t="shared" si="167"/>
        <v>0</v>
      </c>
      <c r="V528" s="2088"/>
      <c r="W528" s="2088"/>
      <c r="X528" s="2178"/>
      <c r="Y528" s="2194"/>
      <c r="Z528" s="2195"/>
      <c r="AA528" s="2196">
        <f t="shared" si="168"/>
        <v>0</v>
      </c>
      <c r="AB528" s="2154"/>
      <c r="AC528" s="2154"/>
      <c r="AD528" s="2155"/>
      <c r="AE528" s="2087">
        <f t="shared" si="169"/>
        <v>0</v>
      </c>
      <c r="AF528" s="2088"/>
      <c r="AG528" s="2088"/>
      <c r="AH528" s="2089"/>
    </row>
    <row r="529" spans="1:35">
      <c r="A529" s="1845">
        <f t="shared" si="170"/>
        <v>12</v>
      </c>
      <c r="B529" s="2175"/>
      <c r="C529" s="2175"/>
      <c r="D529" s="2175"/>
      <c r="E529" s="2174"/>
      <c r="F529" s="2174"/>
      <c r="G529" s="2176"/>
      <c r="H529" s="2176"/>
      <c r="I529" s="2176"/>
      <c r="J529" s="2176"/>
      <c r="K529" s="2176"/>
      <c r="L529" s="2176"/>
      <c r="M529" s="2176"/>
      <c r="N529" s="2176"/>
      <c r="O529" s="2177"/>
      <c r="P529" s="2177"/>
      <c r="Q529" s="2087">
        <f t="shared" si="166"/>
        <v>0</v>
      </c>
      <c r="R529" s="2088"/>
      <c r="S529" s="2088"/>
      <c r="T529" s="2178"/>
      <c r="U529" s="2087">
        <f t="shared" si="167"/>
        <v>0</v>
      </c>
      <c r="V529" s="2088"/>
      <c r="W529" s="2088"/>
      <c r="X529" s="2178"/>
      <c r="Y529" s="2194"/>
      <c r="Z529" s="2195"/>
      <c r="AA529" s="2196">
        <f t="shared" si="168"/>
        <v>0</v>
      </c>
      <c r="AB529" s="2154"/>
      <c r="AC529" s="2154"/>
      <c r="AD529" s="2155"/>
      <c r="AE529" s="2087">
        <f t="shared" si="169"/>
        <v>0</v>
      </c>
      <c r="AF529" s="2088"/>
      <c r="AG529" s="2088"/>
      <c r="AH529" s="2089"/>
    </row>
    <row r="530" spans="1:35">
      <c r="A530" s="1845">
        <f t="shared" si="170"/>
        <v>13</v>
      </c>
      <c r="B530" s="2175"/>
      <c r="C530" s="2175"/>
      <c r="D530" s="2175"/>
      <c r="E530" s="2174"/>
      <c r="F530" s="2174"/>
      <c r="G530" s="2176"/>
      <c r="H530" s="2176"/>
      <c r="I530" s="2176"/>
      <c r="J530" s="2176"/>
      <c r="K530" s="2176"/>
      <c r="L530" s="2176"/>
      <c r="M530" s="2176"/>
      <c r="N530" s="2176"/>
      <c r="O530" s="2177"/>
      <c r="P530" s="2177"/>
      <c r="Q530" s="2087">
        <f t="shared" si="166"/>
        <v>0</v>
      </c>
      <c r="R530" s="2088"/>
      <c r="S530" s="2088"/>
      <c r="T530" s="2178"/>
      <c r="U530" s="2087">
        <f t="shared" si="167"/>
        <v>0</v>
      </c>
      <c r="V530" s="2088"/>
      <c r="W530" s="2088"/>
      <c r="X530" s="2178"/>
      <c r="Y530" s="2194"/>
      <c r="Z530" s="2195"/>
      <c r="AA530" s="2196">
        <f t="shared" si="168"/>
        <v>0</v>
      </c>
      <c r="AB530" s="2154"/>
      <c r="AC530" s="2154"/>
      <c r="AD530" s="2155"/>
      <c r="AE530" s="2087">
        <f t="shared" si="169"/>
        <v>0</v>
      </c>
      <c r="AF530" s="2088"/>
      <c r="AG530" s="2088"/>
      <c r="AH530" s="2089"/>
    </row>
    <row r="531" spans="1:35">
      <c r="A531" s="1845">
        <f t="shared" si="170"/>
        <v>14</v>
      </c>
      <c r="B531" s="2175"/>
      <c r="C531" s="2175"/>
      <c r="D531" s="2175"/>
      <c r="E531" s="2174"/>
      <c r="F531" s="2174"/>
      <c r="G531" s="2176"/>
      <c r="H531" s="2176"/>
      <c r="I531" s="2176"/>
      <c r="J531" s="2176"/>
      <c r="K531" s="2176"/>
      <c r="L531" s="2176"/>
      <c r="M531" s="2176"/>
      <c r="N531" s="2176"/>
      <c r="O531" s="2177"/>
      <c r="P531" s="2177"/>
      <c r="Q531" s="2087">
        <f t="shared" si="166"/>
        <v>0</v>
      </c>
      <c r="R531" s="2088"/>
      <c r="S531" s="2088"/>
      <c r="T531" s="2178"/>
      <c r="U531" s="2087">
        <f t="shared" si="167"/>
        <v>0</v>
      </c>
      <c r="V531" s="2088"/>
      <c r="W531" s="2088"/>
      <c r="X531" s="2178"/>
      <c r="Y531" s="2194"/>
      <c r="Z531" s="2195"/>
      <c r="AA531" s="2196">
        <f t="shared" si="168"/>
        <v>0</v>
      </c>
      <c r="AB531" s="2154"/>
      <c r="AC531" s="2154"/>
      <c r="AD531" s="2155"/>
      <c r="AE531" s="2087">
        <f t="shared" si="169"/>
        <v>0</v>
      </c>
      <c r="AF531" s="2088"/>
      <c r="AG531" s="2088"/>
      <c r="AH531" s="2089"/>
    </row>
    <row r="532" spans="1:35">
      <c r="A532" s="1845">
        <f t="shared" si="170"/>
        <v>15</v>
      </c>
      <c r="B532" s="2175"/>
      <c r="C532" s="2175"/>
      <c r="D532" s="2175"/>
      <c r="E532" s="2174"/>
      <c r="F532" s="2174"/>
      <c r="G532" s="2176"/>
      <c r="H532" s="2176"/>
      <c r="I532" s="2176"/>
      <c r="J532" s="2176"/>
      <c r="K532" s="2176"/>
      <c r="L532" s="2176"/>
      <c r="M532" s="2176"/>
      <c r="N532" s="2176"/>
      <c r="O532" s="2177"/>
      <c r="P532" s="2177"/>
      <c r="Q532" s="2087">
        <f t="shared" ref="Q532" si="171">G532*O532</f>
        <v>0</v>
      </c>
      <c r="R532" s="2088"/>
      <c r="S532" s="2088"/>
      <c r="T532" s="2178"/>
      <c r="U532" s="2087">
        <f t="shared" ref="U532" si="172">K532*O532</f>
        <v>0</v>
      </c>
      <c r="V532" s="2088"/>
      <c r="W532" s="2088"/>
      <c r="X532" s="2178"/>
      <c r="Y532" s="2194"/>
      <c r="Z532" s="2195"/>
      <c r="AA532" s="2196">
        <f t="shared" ref="AA532" si="173">IF(Y532="",U532,Q532*Y532/100)</f>
        <v>0</v>
      </c>
      <c r="AB532" s="2154"/>
      <c r="AC532" s="2154"/>
      <c r="AD532" s="2155"/>
      <c r="AE532" s="2087">
        <f t="shared" ref="AE532" si="174">IF(AA532=0,U532,IF(U532&gt;(VALUE(AA532)),VALUE(AA532),U532))</f>
        <v>0</v>
      </c>
      <c r="AF532" s="2088"/>
      <c r="AG532" s="2088"/>
      <c r="AH532" s="2089"/>
    </row>
    <row r="533" spans="1:35">
      <c r="A533" s="658" t="s">
        <v>551</v>
      </c>
      <c r="B533" s="2175"/>
      <c r="C533" s="2175"/>
      <c r="D533" s="2175"/>
      <c r="E533" s="2174"/>
      <c r="F533" s="2174"/>
      <c r="G533" s="2176"/>
      <c r="H533" s="2176"/>
      <c r="I533" s="2176"/>
      <c r="J533" s="2176"/>
      <c r="K533" s="2176"/>
      <c r="L533" s="2176"/>
      <c r="M533" s="2176"/>
      <c r="N533" s="2176"/>
      <c r="O533" s="2177"/>
      <c r="P533" s="2177"/>
      <c r="Q533" s="2087">
        <f t="shared" si="166"/>
        <v>0</v>
      </c>
      <c r="R533" s="2088"/>
      <c r="S533" s="2088"/>
      <c r="T533" s="2178"/>
      <c r="U533" s="2087">
        <f t="shared" si="167"/>
        <v>0</v>
      </c>
      <c r="V533" s="2088"/>
      <c r="W533" s="2088"/>
      <c r="X533" s="2178"/>
      <c r="Y533" s="2194"/>
      <c r="Z533" s="2195"/>
      <c r="AA533" s="2196">
        <f t="shared" si="168"/>
        <v>0</v>
      </c>
      <c r="AB533" s="2154"/>
      <c r="AC533" s="2154"/>
      <c r="AD533" s="2155"/>
      <c r="AE533" s="2087">
        <f t="shared" si="169"/>
        <v>0</v>
      </c>
      <c r="AF533" s="2088"/>
      <c r="AG533" s="2088"/>
      <c r="AH533" s="2089"/>
    </row>
    <row r="534" spans="1:35" s="623" customFormat="1" ht="13.5" thickBot="1">
      <c r="A534" s="641"/>
      <c r="B534" s="653"/>
      <c r="C534" s="654"/>
      <c r="D534" s="655"/>
      <c r="E534" s="653"/>
      <c r="F534" s="655"/>
      <c r="G534" s="653"/>
      <c r="H534" s="654"/>
      <c r="I534" s="654"/>
      <c r="J534" s="655"/>
      <c r="K534" s="653"/>
      <c r="L534" s="654"/>
      <c r="M534" s="654"/>
      <c r="N534" s="655"/>
      <c r="O534" s="653"/>
      <c r="P534" s="655"/>
      <c r="Q534" s="653"/>
      <c r="R534" s="654"/>
      <c r="S534" s="654"/>
      <c r="T534" s="655"/>
      <c r="U534" s="653"/>
      <c r="V534" s="654"/>
      <c r="W534" s="654"/>
      <c r="X534" s="655"/>
      <c r="Y534" s="653"/>
      <c r="Z534" s="654"/>
      <c r="AA534" s="653"/>
      <c r="AB534" s="654"/>
      <c r="AC534" s="654"/>
      <c r="AD534" s="655"/>
      <c r="AE534" s="653"/>
      <c r="AF534" s="654"/>
      <c r="AG534" s="654"/>
      <c r="AH534" s="659"/>
    </row>
    <row r="535" spans="1:35" s="623" customFormat="1" ht="14.25" thickTop="1" thickBot="1"/>
    <row r="536" spans="1:35" s="623" customFormat="1" ht="14.25" thickTop="1" thickBot="1">
      <c r="B536" s="622" t="s">
        <v>552</v>
      </c>
      <c r="G536" s="2171">
        <f>SUM(G518:J534)</f>
        <v>0</v>
      </c>
      <c r="H536" s="2172"/>
      <c r="I536" s="2172"/>
      <c r="J536" s="2173"/>
      <c r="K536" s="2171">
        <f>SUM(K518:N534)</f>
        <v>0</v>
      </c>
      <c r="L536" s="2172"/>
      <c r="M536" s="2172"/>
      <c r="N536" s="2173"/>
      <c r="Q536" s="2242">
        <f>SUM(Q518:T534)</f>
        <v>0</v>
      </c>
      <c r="R536" s="2124"/>
      <c r="S536" s="2124"/>
      <c r="T536" s="2125"/>
      <c r="U536" s="2242">
        <f>SUM(U518:X534)</f>
        <v>0</v>
      </c>
      <c r="V536" s="2124"/>
      <c r="W536" s="2124"/>
      <c r="X536" s="2125"/>
      <c r="AA536" s="2242">
        <f>SUM(AA518:AD534)</f>
        <v>0</v>
      </c>
      <c r="AB536" s="2124"/>
      <c r="AC536" s="2124"/>
      <c r="AD536" s="2125"/>
      <c r="AE536" s="2242">
        <f>SUM(AE518:AH534)</f>
        <v>0</v>
      </c>
      <c r="AF536" s="2124"/>
      <c r="AG536" s="2124"/>
      <c r="AH536" s="2125"/>
    </row>
    <row r="537" spans="1:35" s="623" customFormat="1" ht="13.5" collapsed="1" thickTop="1"/>
    <row r="538" spans="1:35" s="623" customFormat="1">
      <c r="B538" s="627" t="s">
        <v>421</v>
      </c>
      <c r="C538" s="627" t="s">
        <v>555</v>
      </c>
      <c r="D538" s="628"/>
      <c r="E538" s="628"/>
      <c r="F538" s="628"/>
      <c r="G538" s="628"/>
      <c r="H538" s="628"/>
      <c r="I538" s="628"/>
      <c r="J538" s="628"/>
      <c r="K538" s="628"/>
      <c r="L538" s="628"/>
      <c r="M538" s="628"/>
      <c r="N538" s="628"/>
      <c r="O538" s="628"/>
      <c r="P538" s="628"/>
      <c r="Q538" s="628"/>
      <c r="R538" s="628"/>
      <c r="S538" s="628"/>
      <c r="T538" s="628"/>
      <c r="U538" s="628"/>
      <c r="V538" s="628"/>
      <c r="W538" s="628"/>
      <c r="X538" s="628"/>
      <c r="Y538" s="628"/>
      <c r="Z538" s="628"/>
      <c r="AA538" s="628"/>
      <c r="AB538" s="628"/>
      <c r="AC538" s="628"/>
      <c r="AD538" s="628"/>
      <c r="AE538" s="628"/>
      <c r="AF538" s="628"/>
      <c r="AG538" s="628"/>
      <c r="AH538" s="628"/>
      <c r="AI538" s="628"/>
    </row>
    <row r="539" spans="1:35" ht="13.5" thickBot="1"/>
    <row r="540" spans="1:35" s="660" customFormat="1" ht="27.75" customHeight="1" thickTop="1">
      <c r="A540" s="2255" t="s">
        <v>360</v>
      </c>
      <c r="B540" s="2222" t="s">
        <v>556</v>
      </c>
      <c r="C540" s="2234"/>
      <c r="D540" s="2234"/>
      <c r="E540" s="2228"/>
      <c r="F540" s="2257" t="s">
        <v>542</v>
      </c>
      <c r="G540" s="2257"/>
      <c r="H540" s="2257" t="s">
        <v>557</v>
      </c>
      <c r="I540" s="2257"/>
      <c r="J540" s="2257"/>
      <c r="K540" s="2247" t="s">
        <v>543</v>
      </c>
      <c r="L540" s="2248"/>
      <c r="M540" s="2248"/>
      <c r="N540" s="2248"/>
      <c r="O540" s="2248"/>
      <c r="P540" s="2248"/>
      <c r="Q540" s="2248"/>
      <c r="R540" s="2248"/>
      <c r="S540" s="2248"/>
      <c r="T540" s="2248"/>
      <c r="U540" s="2248"/>
      <c r="V540" s="2248"/>
      <c r="W540" s="2248"/>
      <c r="X540" s="2248"/>
      <c r="Y540" s="2258"/>
      <c r="Z540" s="2222" t="s">
        <v>544</v>
      </c>
      <c r="AA540" s="2228"/>
      <c r="AB540" s="2247" t="s">
        <v>545</v>
      </c>
      <c r="AC540" s="2248"/>
      <c r="AD540" s="2248"/>
      <c r="AE540" s="2248"/>
      <c r="AF540" s="2248"/>
      <c r="AG540" s="2248"/>
      <c r="AH540" s="2248"/>
      <c r="AI540" s="2249"/>
    </row>
    <row r="541" spans="1:35" s="660" customFormat="1" ht="27.75" customHeight="1" thickBot="1">
      <c r="A541" s="2256"/>
      <c r="B541" s="2229"/>
      <c r="C541" s="2235"/>
      <c r="D541" s="2235"/>
      <c r="E541" s="2230"/>
      <c r="F541" s="2250"/>
      <c r="G541" s="2250"/>
      <c r="H541" s="2250"/>
      <c r="I541" s="2250"/>
      <c r="J541" s="2250"/>
      <c r="K541" s="2250" t="s">
        <v>558</v>
      </c>
      <c r="L541" s="2250"/>
      <c r="M541" s="2250"/>
      <c r="N541" s="2250"/>
      <c r="O541" s="2251" t="s">
        <v>559</v>
      </c>
      <c r="P541" s="2252"/>
      <c r="Q541" s="2253"/>
      <c r="R541" s="2250" t="s">
        <v>560</v>
      </c>
      <c r="S541" s="2250"/>
      <c r="T541" s="2250"/>
      <c r="U541" s="2250"/>
      <c r="V541" s="2250" t="s">
        <v>561</v>
      </c>
      <c r="W541" s="2250"/>
      <c r="X541" s="2250"/>
      <c r="Y541" s="2250"/>
      <c r="Z541" s="2229"/>
      <c r="AA541" s="2230"/>
      <c r="AB541" s="2251" t="s">
        <v>562</v>
      </c>
      <c r="AC541" s="2252"/>
      <c r="AD541" s="2252"/>
      <c r="AE541" s="2253"/>
      <c r="AF541" s="2250" t="s">
        <v>561</v>
      </c>
      <c r="AG541" s="2250"/>
      <c r="AH541" s="2250"/>
      <c r="AI541" s="2254"/>
    </row>
    <row r="542" spans="1:35" s="623" customFormat="1" ht="13.5" thickTop="1">
      <c r="A542" s="630"/>
      <c r="B542" s="634"/>
      <c r="C542" s="635"/>
      <c r="D542" s="635"/>
      <c r="E542" s="636"/>
      <c r="F542" s="2243"/>
      <c r="G542" s="2244"/>
      <c r="H542" s="2243"/>
      <c r="I542" s="2245"/>
      <c r="J542" s="2244"/>
      <c r="K542" s="2243"/>
      <c r="L542" s="2245"/>
      <c r="M542" s="2245"/>
      <c r="N542" s="2244"/>
      <c r="O542" s="634"/>
      <c r="P542" s="635"/>
      <c r="Q542" s="636"/>
      <c r="R542" s="2243"/>
      <c r="S542" s="2245"/>
      <c r="T542" s="2245"/>
      <c r="U542" s="2244"/>
      <c r="V542" s="2243"/>
      <c r="W542" s="2245"/>
      <c r="X542" s="2245"/>
      <c r="Y542" s="2244"/>
      <c r="Z542" s="661"/>
      <c r="AA542" s="661"/>
      <c r="AB542" s="634"/>
      <c r="AC542" s="635"/>
      <c r="AD542" s="635"/>
      <c r="AE542" s="636"/>
      <c r="AF542" s="2243"/>
      <c r="AG542" s="2245"/>
      <c r="AH542" s="2245"/>
      <c r="AI542" s="2246"/>
    </row>
    <row r="543" spans="1:35">
      <c r="A543" s="662">
        <v>1</v>
      </c>
      <c r="B543" s="2093"/>
      <c r="C543" s="2094"/>
      <c r="D543" s="2094"/>
      <c r="E543" s="2095"/>
      <c r="F543" s="2174"/>
      <c r="G543" s="2174"/>
      <c r="H543" s="2175"/>
      <c r="I543" s="2175"/>
      <c r="J543" s="2175"/>
      <c r="K543" s="2176"/>
      <c r="L543" s="2176"/>
      <c r="M543" s="2176"/>
      <c r="N543" s="2176"/>
      <c r="O543" s="2176"/>
      <c r="P543" s="2176"/>
      <c r="Q543" s="2176"/>
      <c r="R543" s="2153">
        <f t="shared" ref="R543:R558" si="175">K543-O543</f>
        <v>0</v>
      </c>
      <c r="S543" s="2154"/>
      <c r="T543" s="2154"/>
      <c r="U543" s="2155"/>
      <c r="V543" s="2101"/>
      <c r="W543" s="2102"/>
      <c r="X543" s="2102"/>
      <c r="Y543" s="2103"/>
      <c r="Z543" s="2177"/>
      <c r="AA543" s="2177"/>
      <c r="AB543" s="2087">
        <f t="shared" ref="AB543:AB558" si="176">R543*Z543</f>
        <v>0</v>
      </c>
      <c r="AC543" s="2088"/>
      <c r="AD543" s="2088"/>
      <c r="AE543" s="2178"/>
      <c r="AF543" s="2087">
        <f t="shared" ref="AF543:AF558" si="177">V543*Z543</f>
        <v>0</v>
      </c>
      <c r="AG543" s="2088"/>
      <c r="AH543" s="2088"/>
      <c r="AI543" s="2089"/>
    </row>
    <row r="544" spans="1:35">
      <c r="A544" s="1845">
        <f t="shared" ref="A544:A557" si="178">A543+1</f>
        <v>2</v>
      </c>
      <c r="B544" s="2093"/>
      <c r="C544" s="2094"/>
      <c r="D544" s="2094"/>
      <c r="E544" s="2095"/>
      <c r="F544" s="2174"/>
      <c r="G544" s="2174"/>
      <c r="H544" s="2175"/>
      <c r="I544" s="2175"/>
      <c r="J544" s="2175"/>
      <c r="K544" s="2176"/>
      <c r="L544" s="2176"/>
      <c r="M544" s="2176"/>
      <c r="N544" s="2176"/>
      <c r="O544" s="2176"/>
      <c r="P544" s="2176"/>
      <c r="Q544" s="2176"/>
      <c r="R544" s="2153">
        <f t="shared" si="175"/>
        <v>0</v>
      </c>
      <c r="S544" s="2154"/>
      <c r="T544" s="2154"/>
      <c r="U544" s="2155"/>
      <c r="V544" s="2101"/>
      <c r="W544" s="2102"/>
      <c r="X544" s="2102"/>
      <c r="Y544" s="2103"/>
      <c r="Z544" s="2177"/>
      <c r="AA544" s="2177"/>
      <c r="AB544" s="2087">
        <f t="shared" si="176"/>
        <v>0</v>
      </c>
      <c r="AC544" s="2088"/>
      <c r="AD544" s="2088"/>
      <c r="AE544" s="2178"/>
      <c r="AF544" s="2087">
        <f t="shared" si="177"/>
        <v>0</v>
      </c>
      <c r="AG544" s="2088"/>
      <c r="AH544" s="2088"/>
      <c r="AI544" s="2089"/>
    </row>
    <row r="545" spans="1:35">
      <c r="A545" s="1845">
        <f t="shared" si="178"/>
        <v>3</v>
      </c>
      <c r="B545" s="2093"/>
      <c r="C545" s="2094"/>
      <c r="D545" s="2094"/>
      <c r="E545" s="2095"/>
      <c r="F545" s="2174"/>
      <c r="G545" s="2174"/>
      <c r="H545" s="2175"/>
      <c r="I545" s="2175"/>
      <c r="J545" s="2175"/>
      <c r="K545" s="2176"/>
      <c r="L545" s="2176"/>
      <c r="M545" s="2176"/>
      <c r="N545" s="2176"/>
      <c r="O545" s="2176"/>
      <c r="P545" s="2176"/>
      <c r="Q545" s="2176"/>
      <c r="R545" s="2153">
        <f t="shared" si="175"/>
        <v>0</v>
      </c>
      <c r="S545" s="2154"/>
      <c r="T545" s="2154"/>
      <c r="U545" s="2155"/>
      <c r="V545" s="2101"/>
      <c r="W545" s="2102"/>
      <c r="X545" s="2102"/>
      <c r="Y545" s="2103"/>
      <c r="Z545" s="2177"/>
      <c r="AA545" s="2177"/>
      <c r="AB545" s="2087">
        <f t="shared" si="176"/>
        <v>0</v>
      </c>
      <c r="AC545" s="2088"/>
      <c r="AD545" s="2088"/>
      <c r="AE545" s="2178"/>
      <c r="AF545" s="2087">
        <f t="shared" si="177"/>
        <v>0</v>
      </c>
      <c r="AG545" s="2088"/>
      <c r="AH545" s="2088"/>
      <c r="AI545" s="2089"/>
    </row>
    <row r="546" spans="1:35">
      <c r="A546" s="1845">
        <f t="shared" si="178"/>
        <v>4</v>
      </c>
      <c r="B546" s="2093"/>
      <c r="C546" s="2094"/>
      <c r="D546" s="2094"/>
      <c r="E546" s="2095"/>
      <c r="F546" s="2174"/>
      <c r="G546" s="2174"/>
      <c r="H546" s="2175"/>
      <c r="I546" s="2175"/>
      <c r="J546" s="2175"/>
      <c r="K546" s="2176"/>
      <c r="L546" s="2176"/>
      <c r="M546" s="2176"/>
      <c r="N546" s="2176"/>
      <c r="O546" s="2176"/>
      <c r="P546" s="2176"/>
      <c r="Q546" s="2176"/>
      <c r="R546" s="2153">
        <f t="shared" si="175"/>
        <v>0</v>
      </c>
      <c r="S546" s="2154"/>
      <c r="T546" s="2154"/>
      <c r="U546" s="2155"/>
      <c r="V546" s="2101"/>
      <c r="W546" s="2102"/>
      <c r="X546" s="2102"/>
      <c r="Y546" s="2103"/>
      <c r="Z546" s="2177"/>
      <c r="AA546" s="2177"/>
      <c r="AB546" s="2087">
        <f t="shared" si="176"/>
        <v>0</v>
      </c>
      <c r="AC546" s="2088"/>
      <c r="AD546" s="2088"/>
      <c r="AE546" s="2178"/>
      <c r="AF546" s="2087">
        <f t="shared" si="177"/>
        <v>0</v>
      </c>
      <c r="AG546" s="2088"/>
      <c r="AH546" s="2088"/>
      <c r="AI546" s="2089"/>
    </row>
    <row r="547" spans="1:35">
      <c r="A547" s="1845">
        <f t="shared" si="178"/>
        <v>5</v>
      </c>
      <c r="B547" s="2093"/>
      <c r="C547" s="2094"/>
      <c r="D547" s="2094"/>
      <c r="E547" s="2095"/>
      <c r="F547" s="2174"/>
      <c r="G547" s="2174"/>
      <c r="H547" s="2175"/>
      <c r="I547" s="2175"/>
      <c r="J547" s="2175"/>
      <c r="K547" s="2176"/>
      <c r="L547" s="2176"/>
      <c r="M547" s="2176"/>
      <c r="N547" s="2176"/>
      <c r="O547" s="2176"/>
      <c r="P547" s="2176"/>
      <c r="Q547" s="2176"/>
      <c r="R547" s="2153">
        <f t="shared" si="175"/>
        <v>0</v>
      </c>
      <c r="S547" s="2154"/>
      <c r="T547" s="2154"/>
      <c r="U547" s="2155"/>
      <c r="V547" s="2101"/>
      <c r="W547" s="2102"/>
      <c r="X547" s="2102"/>
      <c r="Y547" s="2103"/>
      <c r="Z547" s="2177"/>
      <c r="AA547" s="2177"/>
      <c r="AB547" s="2087">
        <f t="shared" si="176"/>
        <v>0</v>
      </c>
      <c r="AC547" s="2088"/>
      <c r="AD547" s="2088"/>
      <c r="AE547" s="2178"/>
      <c r="AF547" s="2087">
        <f t="shared" si="177"/>
        <v>0</v>
      </c>
      <c r="AG547" s="2088"/>
      <c r="AH547" s="2088"/>
      <c r="AI547" s="2089"/>
    </row>
    <row r="548" spans="1:35">
      <c r="A548" s="1845">
        <f t="shared" si="178"/>
        <v>6</v>
      </c>
      <c r="B548" s="2093"/>
      <c r="C548" s="2094"/>
      <c r="D548" s="2094"/>
      <c r="E548" s="2095"/>
      <c r="F548" s="2174"/>
      <c r="G548" s="2174"/>
      <c r="H548" s="2175"/>
      <c r="I548" s="2175"/>
      <c r="J548" s="2175"/>
      <c r="K548" s="2176"/>
      <c r="L548" s="2176"/>
      <c r="M548" s="2176"/>
      <c r="N548" s="2176"/>
      <c r="O548" s="2176"/>
      <c r="P548" s="2176"/>
      <c r="Q548" s="2176"/>
      <c r="R548" s="2153">
        <f t="shared" si="175"/>
        <v>0</v>
      </c>
      <c r="S548" s="2154"/>
      <c r="T548" s="2154"/>
      <c r="U548" s="2155"/>
      <c r="V548" s="2101"/>
      <c r="W548" s="2102"/>
      <c r="X548" s="2102"/>
      <c r="Y548" s="2103"/>
      <c r="Z548" s="2177"/>
      <c r="AA548" s="2177"/>
      <c r="AB548" s="2087">
        <f t="shared" si="176"/>
        <v>0</v>
      </c>
      <c r="AC548" s="2088"/>
      <c r="AD548" s="2088"/>
      <c r="AE548" s="2178"/>
      <c r="AF548" s="2087">
        <f t="shared" si="177"/>
        <v>0</v>
      </c>
      <c r="AG548" s="2088"/>
      <c r="AH548" s="2088"/>
      <c r="AI548" s="2089"/>
    </row>
    <row r="549" spans="1:35">
      <c r="A549" s="1845">
        <f t="shared" si="178"/>
        <v>7</v>
      </c>
      <c r="B549" s="2093"/>
      <c r="C549" s="2094"/>
      <c r="D549" s="2094"/>
      <c r="E549" s="2095"/>
      <c r="F549" s="2174"/>
      <c r="G549" s="2174"/>
      <c r="H549" s="2175"/>
      <c r="I549" s="2175"/>
      <c r="J549" s="2175"/>
      <c r="K549" s="2176"/>
      <c r="L549" s="2176"/>
      <c r="M549" s="2176"/>
      <c r="N549" s="2176"/>
      <c r="O549" s="2176"/>
      <c r="P549" s="2176"/>
      <c r="Q549" s="2176"/>
      <c r="R549" s="2153">
        <f t="shared" ref="R549:R553" si="179">K549-O549</f>
        <v>0</v>
      </c>
      <c r="S549" s="2154"/>
      <c r="T549" s="2154"/>
      <c r="U549" s="2155"/>
      <c r="V549" s="2101"/>
      <c r="W549" s="2102"/>
      <c r="X549" s="2102"/>
      <c r="Y549" s="2103"/>
      <c r="Z549" s="2177"/>
      <c r="AA549" s="2177"/>
      <c r="AB549" s="2087">
        <f t="shared" ref="AB549:AB553" si="180">R549*Z549</f>
        <v>0</v>
      </c>
      <c r="AC549" s="2088"/>
      <c r="AD549" s="2088"/>
      <c r="AE549" s="2178"/>
      <c r="AF549" s="2087">
        <f t="shared" ref="AF549:AF553" si="181">V549*Z549</f>
        <v>0</v>
      </c>
      <c r="AG549" s="2088"/>
      <c r="AH549" s="2088"/>
      <c r="AI549" s="2089"/>
    </row>
    <row r="550" spans="1:35">
      <c r="A550" s="1845">
        <f t="shared" si="178"/>
        <v>8</v>
      </c>
      <c r="B550" s="2093"/>
      <c r="C550" s="2094"/>
      <c r="D550" s="2094"/>
      <c r="E550" s="2095"/>
      <c r="F550" s="2174"/>
      <c r="G550" s="2174"/>
      <c r="H550" s="2175"/>
      <c r="I550" s="2175"/>
      <c r="J550" s="2175"/>
      <c r="K550" s="2176"/>
      <c r="L550" s="2176"/>
      <c r="M550" s="2176"/>
      <c r="N550" s="2176"/>
      <c r="O550" s="2176"/>
      <c r="P550" s="2176"/>
      <c r="Q550" s="2176"/>
      <c r="R550" s="2153">
        <f t="shared" si="179"/>
        <v>0</v>
      </c>
      <c r="S550" s="2154"/>
      <c r="T550" s="2154"/>
      <c r="U550" s="2155"/>
      <c r="V550" s="2101"/>
      <c r="W550" s="2102"/>
      <c r="X550" s="2102"/>
      <c r="Y550" s="2103"/>
      <c r="Z550" s="2177"/>
      <c r="AA550" s="2177"/>
      <c r="AB550" s="2087">
        <f t="shared" si="180"/>
        <v>0</v>
      </c>
      <c r="AC550" s="2088"/>
      <c r="AD550" s="2088"/>
      <c r="AE550" s="2178"/>
      <c r="AF550" s="2087">
        <f t="shared" si="181"/>
        <v>0</v>
      </c>
      <c r="AG550" s="2088"/>
      <c r="AH550" s="2088"/>
      <c r="AI550" s="2089"/>
    </row>
    <row r="551" spans="1:35">
      <c r="A551" s="1845">
        <f t="shared" si="178"/>
        <v>9</v>
      </c>
      <c r="B551" s="2093"/>
      <c r="C551" s="2094"/>
      <c r="D551" s="2094"/>
      <c r="E551" s="2095"/>
      <c r="F551" s="2174"/>
      <c r="G551" s="2174"/>
      <c r="H551" s="2175"/>
      <c r="I551" s="2175"/>
      <c r="J551" s="2175"/>
      <c r="K551" s="2176"/>
      <c r="L551" s="2176"/>
      <c r="M551" s="2176"/>
      <c r="N551" s="2176"/>
      <c r="O551" s="2176"/>
      <c r="P551" s="2176"/>
      <c r="Q551" s="2176"/>
      <c r="R551" s="2153">
        <f t="shared" si="179"/>
        <v>0</v>
      </c>
      <c r="S551" s="2154"/>
      <c r="T551" s="2154"/>
      <c r="U551" s="2155"/>
      <c r="V551" s="2101"/>
      <c r="W551" s="2102"/>
      <c r="X551" s="2102"/>
      <c r="Y551" s="2103"/>
      <c r="Z551" s="2177"/>
      <c r="AA551" s="2177"/>
      <c r="AB551" s="2087">
        <f t="shared" si="180"/>
        <v>0</v>
      </c>
      <c r="AC551" s="2088"/>
      <c r="AD551" s="2088"/>
      <c r="AE551" s="2178"/>
      <c r="AF551" s="2087">
        <f t="shared" si="181"/>
        <v>0</v>
      </c>
      <c r="AG551" s="2088"/>
      <c r="AH551" s="2088"/>
      <c r="AI551" s="2089"/>
    </row>
    <row r="552" spans="1:35">
      <c r="A552" s="1845">
        <f t="shared" si="178"/>
        <v>10</v>
      </c>
      <c r="B552" s="2093"/>
      <c r="C552" s="2094"/>
      <c r="D552" s="2094"/>
      <c r="E552" s="2095"/>
      <c r="F552" s="2174"/>
      <c r="G552" s="2174"/>
      <c r="H552" s="2175"/>
      <c r="I552" s="2175"/>
      <c r="J552" s="2175"/>
      <c r="K552" s="2176"/>
      <c r="L552" s="2176"/>
      <c r="M552" s="2176"/>
      <c r="N552" s="2176"/>
      <c r="O552" s="2176"/>
      <c r="P552" s="2176"/>
      <c r="Q552" s="2176"/>
      <c r="R552" s="2153">
        <f t="shared" si="179"/>
        <v>0</v>
      </c>
      <c r="S552" s="2154"/>
      <c r="T552" s="2154"/>
      <c r="U552" s="2155"/>
      <c r="V552" s="2101"/>
      <c r="W552" s="2102"/>
      <c r="X552" s="2102"/>
      <c r="Y552" s="2103"/>
      <c r="Z552" s="2177"/>
      <c r="AA552" s="2177"/>
      <c r="AB552" s="2087">
        <f t="shared" si="180"/>
        <v>0</v>
      </c>
      <c r="AC552" s="2088"/>
      <c r="AD552" s="2088"/>
      <c r="AE552" s="2178"/>
      <c r="AF552" s="2087">
        <f t="shared" si="181"/>
        <v>0</v>
      </c>
      <c r="AG552" s="2088"/>
      <c r="AH552" s="2088"/>
      <c r="AI552" s="2089"/>
    </row>
    <row r="553" spans="1:35">
      <c r="A553" s="1845">
        <f t="shared" si="178"/>
        <v>11</v>
      </c>
      <c r="B553" s="2093"/>
      <c r="C553" s="2094"/>
      <c r="D553" s="2094"/>
      <c r="E553" s="2095"/>
      <c r="F553" s="2174"/>
      <c r="G553" s="2174"/>
      <c r="H553" s="2175"/>
      <c r="I553" s="2175"/>
      <c r="J553" s="2175"/>
      <c r="K553" s="2176"/>
      <c r="L553" s="2176"/>
      <c r="M553" s="2176"/>
      <c r="N553" s="2176"/>
      <c r="O553" s="2176"/>
      <c r="P553" s="2176"/>
      <c r="Q553" s="2176"/>
      <c r="R553" s="2153">
        <f t="shared" si="179"/>
        <v>0</v>
      </c>
      <c r="S553" s="2154"/>
      <c r="T553" s="2154"/>
      <c r="U553" s="2155"/>
      <c r="V553" s="2101"/>
      <c r="W553" s="2102"/>
      <c r="X553" s="2102"/>
      <c r="Y553" s="2103"/>
      <c r="Z553" s="2177"/>
      <c r="AA553" s="2177"/>
      <c r="AB553" s="2087">
        <f t="shared" si="180"/>
        <v>0</v>
      </c>
      <c r="AC553" s="2088"/>
      <c r="AD553" s="2088"/>
      <c r="AE553" s="2178"/>
      <c r="AF553" s="2087">
        <f t="shared" si="181"/>
        <v>0</v>
      </c>
      <c r="AG553" s="2088"/>
      <c r="AH553" s="2088"/>
      <c r="AI553" s="2089"/>
    </row>
    <row r="554" spans="1:35">
      <c r="A554" s="1845">
        <f t="shared" si="178"/>
        <v>12</v>
      </c>
      <c r="B554" s="2093"/>
      <c r="C554" s="2094"/>
      <c r="D554" s="2094"/>
      <c r="E554" s="2095"/>
      <c r="F554" s="2174"/>
      <c r="G554" s="2174"/>
      <c r="H554" s="2175"/>
      <c r="I554" s="2175"/>
      <c r="J554" s="2175"/>
      <c r="K554" s="2176"/>
      <c r="L554" s="2176"/>
      <c r="M554" s="2176"/>
      <c r="N554" s="2176"/>
      <c r="O554" s="2176"/>
      <c r="P554" s="2176"/>
      <c r="Q554" s="2176"/>
      <c r="R554" s="2153">
        <f t="shared" ref="R554:R557" si="182">K554-O554</f>
        <v>0</v>
      </c>
      <c r="S554" s="2154"/>
      <c r="T554" s="2154"/>
      <c r="U554" s="2155"/>
      <c r="V554" s="2101"/>
      <c r="W554" s="2102"/>
      <c r="X554" s="2102"/>
      <c r="Y554" s="2103"/>
      <c r="Z554" s="2177"/>
      <c r="AA554" s="2177"/>
      <c r="AB554" s="2087">
        <f t="shared" ref="AB554:AB557" si="183">R554*Z554</f>
        <v>0</v>
      </c>
      <c r="AC554" s="2088"/>
      <c r="AD554" s="2088"/>
      <c r="AE554" s="2178"/>
      <c r="AF554" s="2087">
        <f t="shared" ref="AF554:AF557" si="184">V554*Z554</f>
        <v>0</v>
      </c>
      <c r="AG554" s="2088"/>
      <c r="AH554" s="2088"/>
      <c r="AI554" s="2089"/>
    </row>
    <row r="555" spans="1:35">
      <c r="A555" s="1845">
        <f t="shared" si="178"/>
        <v>13</v>
      </c>
      <c r="B555" s="2093"/>
      <c r="C555" s="2094"/>
      <c r="D555" s="2094"/>
      <c r="E555" s="2095"/>
      <c r="F555" s="2174"/>
      <c r="G555" s="2174"/>
      <c r="H555" s="2175"/>
      <c r="I555" s="2175"/>
      <c r="J555" s="2175"/>
      <c r="K555" s="2176"/>
      <c r="L555" s="2176"/>
      <c r="M555" s="2176"/>
      <c r="N555" s="2176"/>
      <c r="O555" s="2176"/>
      <c r="P555" s="2176"/>
      <c r="Q555" s="2176"/>
      <c r="R555" s="2153">
        <f t="shared" si="182"/>
        <v>0</v>
      </c>
      <c r="S555" s="2154"/>
      <c r="T555" s="2154"/>
      <c r="U555" s="2155"/>
      <c r="V555" s="2101"/>
      <c r="W555" s="2102"/>
      <c r="X555" s="2102"/>
      <c r="Y555" s="2103"/>
      <c r="Z555" s="2177"/>
      <c r="AA555" s="2177"/>
      <c r="AB555" s="2087">
        <f t="shared" si="183"/>
        <v>0</v>
      </c>
      <c r="AC555" s="2088"/>
      <c r="AD555" s="2088"/>
      <c r="AE555" s="2178"/>
      <c r="AF555" s="2087">
        <f t="shared" si="184"/>
        <v>0</v>
      </c>
      <c r="AG555" s="2088"/>
      <c r="AH555" s="2088"/>
      <c r="AI555" s="2089"/>
    </row>
    <row r="556" spans="1:35">
      <c r="A556" s="1845">
        <f t="shared" si="178"/>
        <v>14</v>
      </c>
      <c r="B556" s="2093"/>
      <c r="C556" s="2094"/>
      <c r="D556" s="2094"/>
      <c r="E556" s="2095"/>
      <c r="F556" s="2174"/>
      <c r="G556" s="2174"/>
      <c r="H556" s="2175"/>
      <c r="I556" s="2175"/>
      <c r="J556" s="2175"/>
      <c r="K556" s="2176"/>
      <c r="L556" s="2176"/>
      <c r="M556" s="2176"/>
      <c r="N556" s="2176"/>
      <c r="O556" s="2176"/>
      <c r="P556" s="2176"/>
      <c r="Q556" s="2176"/>
      <c r="R556" s="2153">
        <f t="shared" si="182"/>
        <v>0</v>
      </c>
      <c r="S556" s="2154"/>
      <c r="T556" s="2154"/>
      <c r="U556" s="2155"/>
      <c r="V556" s="2101"/>
      <c r="W556" s="2102"/>
      <c r="X556" s="2102"/>
      <c r="Y556" s="2103"/>
      <c r="Z556" s="2177"/>
      <c r="AA556" s="2177"/>
      <c r="AB556" s="2087">
        <f t="shared" si="183"/>
        <v>0</v>
      </c>
      <c r="AC556" s="2088"/>
      <c r="AD556" s="2088"/>
      <c r="AE556" s="2178"/>
      <c r="AF556" s="2087">
        <f t="shared" si="184"/>
        <v>0</v>
      </c>
      <c r="AG556" s="2088"/>
      <c r="AH556" s="2088"/>
      <c r="AI556" s="2089"/>
    </row>
    <row r="557" spans="1:35">
      <c r="A557" s="1845">
        <f t="shared" si="178"/>
        <v>15</v>
      </c>
      <c r="B557" s="2093"/>
      <c r="C557" s="2094"/>
      <c r="D557" s="2094"/>
      <c r="E557" s="2095"/>
      <c r="F557" s="2174"/>
      <c r="G557" s="2174"/>
      <c r="H557" s="2175"/>
      <c r="I557" s="2175"/>
      <c r="J557" s="2175"/>
      <c r="K557" s="2176"/>
      <c r="L557" s="2176"/>
      <c r="M557" s="2176"/>
      <c r="N557" s="2176"/>
      <c r="O557" s="2176"/>
      <c r="P557" s="2176"/>
      <c r="Q557" s="2176"/>
      <c r="R557" s="2153">
        <f t="shared" si="182"/>
        <v>0</v>
      </c>
      <c r="S557" s="2154"/>
      <c r="T557" s="2154"/>
      <c r="U557" s="2155"/>
      <c r="V557" s="2101"/>
      <c r="W557" s="2102"/>
      <c r="X557" s="2102"/>
      <c r="Y557" s="2103"/>
      <c r="Z557" s="2177"/>
      <c r="AA557" s="2177"/>
      <c r="AB557" s="2087">
        <f t="shared" si="183"/>
        <v>0</v>
      </c>
      <c r="AC557" s="2088"/>
      <c r="AD557" s="2088"/>
      <c r="AE557" s="2178"/>
      <c r="AF557" s="2087">
        <f t="shared" si="184"/>
        <v>0</v>
      </c>
      <c r="AG557" s="2088"/>
      <c r="AH557" s="2088"/>
      <c r="AI557" s="2089"/>
    </row>
    <row r="558" spans="1:35" s="623" customFormat="1">
      <c r="A558" s="663" t="s">
        <v>551</v>
      </c>
      <c r="B558" s="2147"/>
      <c r="C558" s="2148"/>
      <c r="D558" s="2148"/>
      <c r="E558" s="2149"/>
      <c r="F558" s="2150"/>
      <c r="G558" s="2150"/>
      <c r="H558" s="2151"/>
      <c r="I558" s="2151"/>
      <c r="J558" s="2151"/>
      <c r="K558" s="2152"/>
      <c r="L558" s="2152"/>
      <c r="M558" s="2152"/>
      <c r="N558" s="2152"/>
      <c r="O558" s="2152"/>
      <c r="P558" s="2152"/>
      <c r="Q558" s="2152"/>
      <c r="R558" s="2153">
        <f t="shared" si="175"/>
        <v>0</v>
      </c>
      <c r="S558" s="2154"/>
      <c r="T558" s="2154"/>
      <c r="U558" s="2155"/>
      <c r="V558" s="2181"/>
      <c r="W558" s="2182"/>
      <c r="X558" s="2182"/>
      <c r="Y558" s="2183"/>
      <c r="Z558" s="2177"/>
      <c r="AA558" s="2177"/>
      <c r="AB558" s="2087">
        <f t="shared" si="176"/>
        <v>0</v>
      </c>
      <c r="AC558" s="2088"/>
      <c r="AD558" s="2088"/>
      <c r="AE558" s="2178"/>
      <c r="AF558" s="2087">
        <f t="shared" si="177"/>
        <v>0</v>
      </c>
      <c r="AG558" s="2088"/>
      <c r="AH558" s="2088"/>
      <c r="AI558" s="2089"/>
    </row>
    <row r="559" spans="1:35" s="623" customFormat="1" ht="13.5" thickBot="1">
      <c r="A559" s="641"/>
      <c r="B559" s="653"/>
      <c r="C559" s="654"/>
      <c r="D559" s="654"/>
      <c r="E559" s="655"/>
      <c r="F559" s="2184"/>
      <c r="G559" s="2185"/>
      <c r="H559" s="2184"/>
      <c r="I559" s="2186"/>
      <c r="J559" s="2185"/>
      <c r="K559" s="2184"/>
      <c r="L559" s="2186"/>
      <c r="M559" s="2186"/>
      <c r="N559" s="2185"/>
      <c r="O559" s="653"/>
      <c r="P559" s="654"/>
      <c r="Q559" s="655"/>
      <c r="R559" s="2187"/>
      <c r="S559" s="2188"/>
      <c r="T559" s="2188"/>
      <c r="U559" s="2189"/>
      <c r="V559" s="2187"/>
      <c r="W559" s="2188"/>
      <c r="X559" s="2188"/>
      <c r="Y559" s="2189"/>
      <c r="Z559" s="664"/>
      <c r="AA559" s="664"/>
      <c r="AB559" s="648"/>
      <c r="AC559" s="649"/>
      <c r="AD559" s="649"/>
      <c r="AE559" s="650"/>
      <c r="AF559" s="2190"/>
      <c r="AG559" s="2191"/>
      <c r="AH559" s="2191"/>
      <c r="AI559" s="2192"/>
    </row>
    <row r="560" spans="1:35" s="623" customFormat="1" ht="14.25" thickTop="1" thickBot="1">
      <c r="R560" s="665"/>
      <c r="S560" s="665"/>
      <c r="T560" s="665"/>
      <c r="U560" s="665"/>
      <c r="V560" s="665"/>
      <c r="W560" s="665"/>
      <c r="X560" s="665"/>
      <c r="Y560" s="665"/>
      <c r="AB560" s="652"/>
      <c r="AC560" s="652"/>
      <c r="AD560" s="652"/>
      <c r="AE560" s="652"/>
      <c r="AF560" s="652"/>
      <c r="AG560" s="652"/>
      <c r="AH560" s="652"/>
      <c r="AI560" s="652"/>
    </row>
    <row r="561" spans="2:35" s="623" customFormat="1" ht="14.25" thickTop="1" thickBot="1">
      <c r="B561" s="622" t="s">
        <v>552</v>
      </c>
      <c r="R561" s="2171">
        <f>SUM(R543:U559)</f>
        <v>0</v>
      </c>
      <c r="S561" s="2172"/>
      <c r="T561" s="2172"/>
      <c r="U561" s="2173"/>
      <c r="V561" s="2171">
        <f>SUM(V543:Y559)</f>
        <v>0</v>
      </c>
      <c r="W561" s="2172"/>
      <c r="X561" s="2172"/>
      <c r="Y561" s="2173"/>
      <c r="AB561" s="2198">
        <f>SUM(AB543:AE559)</f>
        <v>0</v>
      </c>
      <c r="AC561" s="2199"/>
      <c r="AD561" s="2199"/>
      <c r="AE561" s="2200"/>
      <c r="AF561" s="2198">
        <f>SUM(AF543:AI559)</f>
        <v>0</v>
      </c>
      <c r="AG561" s="2199"/>
      <c r="AH561" s="2199"/>
      <c r="AI561" s="2200"/>
    </row>
    <row r="562" spans="2:35" ht="13.5" collapsed="1" thickTop="1"/>
    <row r="563" spans="2:35" s="623" customFormat="1">
      <c r="B563" s="666" t="s">
        <v>429</v>
      </c>
      <c r="C563" s="627" t="s">
        <v>563</v>
      </c>
      <c r="D563" s="628"/>
      <c r="E563" s="628"/>
      <c r="F563" s="628"/>
      <c r="G563" s="628"/>
      <c r="H563" s="628"/>
      <c r="I563" s="628"/>
      <c r="J563" s="628"/>
      <c r="K563" s="628"/>
      <c r="L563" s="628"/>
      <c r="M563" s="628"/>
      <c r="N563" s="628"/>
      <c r="O563" s="628"/>
      <c r="P563" s="628"/>
      <c r="Q563" s="628"/>
      <c r="R563" s="628"/>
      <c r="S563" s="628"/>
      <c r="T563" s="628"/>
      <c r="U563" s="628"/>
      <c r="V563" s="628"/>
      <c r="W563" s="628"/>
      <c r="X563" s="628"/>
      <c r="Y563" s="628"/>
      <c r="Z563" s="628"/>
      <c r="AA563" s="628"/>
      <c r="AB563" s="628"/>
      <c r="AC563" s="628"/>
      <c r="AD563" s="628"/>
      <c r="AE563" s="628"/>
      <c r="AF563" s="628"/>
      <c r="AG563" s="628"/>
      <c r="AH563" s="628"/>
      <c r="AI563" s="628"/>
    </row>
    <row r="564" spans="2:35" s="623" customFormat="1" ht="13.5" thickBot="1">
      <c r="D564" s="623" t="s">
        <v>381</v>
      </c>
    </row>
    <row r="565" spans="2:35" s="622" customFormat="1" ht="13.5" thickTop="1">
      <c r="B565" s="2179" t="s">
        <v>360</v>
      </c>
      <c r="C565" s="2156" t="s">
        <v>564</v>
      </c>
      <c r="D565" s="2156"/>
      <c r="E565" s="2156"/>
      <c r="F565" s="2156"/>
      <c r="G565" s="2156"/>
      <c r="H565" s="2156"/>
      <c r="I565" s="2156"/>
      <c r="J565" s="2156"/>
      <c r="K565" s="2156" t="s">
        <v>542</v>
      </c>
      <c r="L565" s="2156"/>
      <c r="M565" s="2156" t="s">
        <v>565</v>
      </c>
      <c r="N565" s="2156"/>
      <c r="O565" s="2156"/>
      <c r="P565" s="2156" t="s">
        <v>543</v>
      </c>
      <c r="Q565" s="2156"/>
      <c r="R565" s="2156"/>
      <c r="S565" s="2156"/>
      <c r="T565" s="2156"/>
      <c r="U565" s="2156" t="s">
        <v>544</v>
      </c>
      <c r="V565" s="2156"/>
      <c r="W565" s="2156"/>
      <c r="X565" s="2156" t="s">
        <v>545</v>
      </c>
      <c r="Y565" s="2156"/>
      <c r="Z565" s="2156"/>
      <c r="AA565" s="2156"/>
      <c r="AB565" s="2157"/>
    </row>
    <row r="566" spans="2:35" s="622" customFormat="1" ht="13.5" thickBot="1">
      <c r="B566" s="2180"/>
      <c r="C566" s="2158"/>
      <c r="D566" s="2158"/>
      <c r="E566" s="2158"/>
      <c r="F566" s="2158"/>
      <c r="G566" s="2158"/>
      <c r="H566" s="2158"/>
      <c r="I566" s="2158"/>
      <c r="J566" s="2158"/>
      <c r="K566" s="2158"/>
      <c r="L566" s="2158"/>
      <c r="M566" s="2158"/>
      <c r="N566" s="2158"/>
      <c r="O566" s="2158"/>
      <c r="P566" s="2158"/>
      <c r="Q566" s="2158"/>
      <c r="R566" s="2158"/>
      <c r="S566" s="2158"/>
      <c r="T566" s="2158"/>
      <c r="U566" s="2158"/>
      <c r="V566" s="2158"/>
      <c r="W566" s="2158"/>
      <c r="X566" s="2158"/>
      <c r="Y566" s="2158"/>
      <c r="Z566" s="2158"/>
      <c r="AA566" s="2158"/>
      <c r="AB566" s="2159"/>
    </row>
    <row r="567" spans="2:35" s="623" customFormat="1" ht="13.5" thickTop="1"/>
    <row r="568" spans="2:35" s="623" customFormat="1">
      <c r="B568" s="622" t="s">
        <v>566</v>
      </c>
    </row>
    <row r="569" spans="2:35" ht="13.5" thickBot="1">
      <c r="X569" s="623"/>
      <c r="Y569" s="623"/>
      <c r="Z569" s="623"/>
      <c r="AA569" s="623"/>
      <c r="AB569" s="623"/>
    </row>
    <row r="570" spans="2:35" ht="13.5" thickTop="1">
      <c r="B570" s="667">
        <v>1</v>
      </c>
      <c r="C570" s="2160"/>
      <c r="D570" s="2161"/>
      <c r="E570" s="2161"/>
      <c r="F570" s="2161"/>
      <c r="G570" s="2161"/>
      <c r="H570" s="2161"/>
      <c r="I570" s="2161"/>
      <c r="J570" s="2162"/>
      <c r="K570" s="2163"/>
      <c r="L570" s="2164"/>
      <c r="M570" s="2165"/>
      <c r="N570" s="2166"/>
      <c r="O570" s="2167"/>
      <c r="P570" s="2168"/>
      <c r="Q570" s="2169"/>
      <c r="R570" s="2169"/>
      <c r="S570" s="2169"/>
      <c r="T570" s="2170"/>
      <c r="U570" s="2135"/>
      <c r="V570" s="2136"/>
      <c r="W570" s="2137"/>
      <c r="X570" s="2138">
        <f t="shared" ref="X570:X580" si="185">P570*U570</f>
        <v>0</v>
      </c>
      <c r="Y570" s="2139"/>
      <c r="Z570" s="2139"/>
      <c r="AA570" s="2139"/>
      <c r="AB570" s="2140"/>
    </row>
    <row r="571" spans="2:35">
      <c r="B571" s="662">
        <v>2</v>
      </c>
      <c r="C571" s="2093"/>
      <c r="D571" s="2094"/>
      <c r="E571" s="2094"/>
      <c r="F571" s="2094"/>
      <c r="G571" s="2094"/>
      <c r="H571" s="2094"/>
      <c r="I571" s="2094"/>
      <c r="J571" s="2095"/>
      <c r="K571" s="2096"/>
      <c r="L571" s="2097"/>
      <c r="M571" s="2098"/>
      <c r="N571" s="2099"/>
      <c r="O571" s="2100"/>
      <c r="P571" s="2101"/>
      <c r="Q571" s="2102"/>
      <c r="R571" s="2102"/>
      <c r="S571" s="2102"/>
      <c r="T571" s="2103"/>
      <c r="U571" s="2110"/>
      <c r="V571" s="2111"/>
      <c r="W571" s="2112"/>
      <c r="X571" s="2087">
        <f t="shared" si="185"/>
        <v>0</v>
      </c>
      <c r="Y571" s="2088"/>
      <c r="Z571" s="2088"/>
      <c r="AA571" s="2088"/>
      <c r="AB571" s="2089"/>
    </row>
    <row r="572" spans="2:35">
      <c r="B572" s="662">
        <v>3</v>
      </c>
      <c r="C572" s="2093"/>
      <c r="D572" s="2094"/>
      <c r="E572" s="2094"/>
      <c r="F572" s="2094"/>
      <c r="G572" s="2094"/>
      <c r="H572" s="2094"/>
      <c r="I572" s="2094"/>
      <c r="J572" s="2095"/>
      <c r="K572" s="2096"/>
      <c r="L572" s="2097"/>
      <c r="M572" s="2098"/>
      <c r="N572" s="2099"/>
      <c r="O572" s="2100"/>
      <c r="P572" s="2101"/>
      <c r="Q572" s="2102"/>
      <c r="R572" s="2102"/>
      <c r="S572" s="2102"/>
      <c r="T572" s="2103"/>
      <c r="U572" s="2141"/>
      <c r="V572" s="2142"/>
      <c r="W572" s="2143"/>
      <c r="X572" s="2087">
        <f t="shared" si="185"/>
        <v>0</v>
      </c>
      <c r="Y572" s="2088"/>
      <c r="Z572" s="2088"/>
      <c r="AA572" s="2088"/>
      <c r="AB572" s="2089"/>
    </row>
    <row r="573" spans="2:35">
      <c r="B573" s="662">
        <v>4</v>
      </c>
      <c r="C573" s="2093"/>
      <c r="D573" s="2094"/>
      <c r="E573" s="2094"/>
      <c r="F573" s="2094"/>
      <c r="G573" s="2094"/>
      <c r="H573" s="2094"/>
      <c r="I573" s="2094"/>
      <c r="J573" s="2095"/>
      <c r="K573" s="2096"/>
      <c r="L573" s="2097"/>
      <c r="M573" s="2098"/>
      <c r="N573" s="2099"/>
      <c r="O573" s="2100"/>
      <c r="P573" s="2101"/>
      <c r="Q573" s="2102"/>
      <c r="R573" s="2102"/>
      <c r="S573" s="2102"/>
      <c r="T573" s="2103"/>
      <c r="U573" s="2141"/>
      <c r="V573" s="2142"/>
      <c r="W573" s="2143"/>
      <c r="X573" s="2087">
        <f t="shared" si="185"/>
        <v>0</v>
      </c>
      <c r="Y573" s="2088"/>
      <c r="Z573" s="2088"/>
      <c r="AA573" s="2088"/>
      <c r="AB573" s="2089"/>
    </row>
    <row r="574" spans="2:35">
      <c r="B574" s="662">
        <v>5</v>
      </c>
      <c r="C574" s="2093"/>
      <c r="D574" s="2094"/>
      <c r="E574" s="2094"/>
      <c r="F574" s="2094"/>
      <c r="G574" s="2094"/>
      <c r="H574" s="2094"/>
      <c r="I574" s="2094"/>
      <c r="J574" s="2095"/>
      <c r="K574" s="2096"/>
      <c r="L574" s="2097"/>
      <c r="M574" s="2098"/>
      <c r="N574" s="2099"/>
      <c r="O574" s="2100"/>
      <c r="P574" s="2101"/>
      <c r="Q574" s="2102"/>
      <c r="R574" s="2102"/>
      <c r="S574" s="2102"/>
      <c r="T574" s="2103"/>
      <c r="U574" s="2110"/>
      <c r="V574" s="2111"/>
      <c r="W574" s="2112"/>
      <c r="X574" s="2087">
        <f t="shared" si="185"/>
        <v>0</v>
      </c>
      <c r="Y574" s="2088"/>
      <c r="Z574" s="2088"/>
      <c r="AA574" s="2088"/>
      <c r="AB574" s="2089"/>
    </row>
    <row r="575" spans="2:35">
      <c r="B575" s="662">
        <v>6</v>
      </c>
      <c r="C575" s="2093"/>
      <c r="D575" s="2094"/>
      <c r="E575" s="2094"/>
      <c r="F575" s="2094"/>
      <c r="G575" s="2094"/>
      <c r="H575" s="2094"/>
      <c r="I575" s="2094"/>
      <c r="J575" s="2095"/>
      <c r="K575" s="2096"/>
      <c r="L575" s="2097"/>
      <c r="M575" s="2098"/>
      <c r="N575" s="2099"/>
      <c r="O575" s="2100"/>
      <c r="P575" s="2101"/>
      <c r="Q575" s="2102"/>
      <c r="R575" s="2102"/>
      <c r="S575" s="2102"/>
      <c r="T575" s="2103"/>
      <c r="U575" s="2141"/>
      <c r="V575" s="2142"/>
      <c r="W575" s="2143"/>
      <c r="X575" s="2087">
        <f t="shared" si="185"/>
        <v>0</v>
      </c>
      <c r="Y575" s="2088"/>
      <c r="Z575" s="2088"/>
      <c r="AA575" s="2088"/>
      <c r="AB575" s="2089"/>
    </row>
    <row r="576" spans="2:35">
      <c r="B576" s="662">
        <v>7</v>
      </c>
      <c r="C576" s="2093"/>
      <c r="D576" s="2094"/>
      <c r="E576" s="2094"/>
      <c r="F576" s="2094"/>
      <c r="G576" s="2094"/>
      <c r="H576" s="2094"/>
      <c r="I576" s="2094"/>
      <c r="J576" s="2095"/>
      <c r="K576" s="2096"/>
      <c r="L576" s="2097"/>
      <c r="M576" s="2098"/>
      <c r="N576" s="2099"/>
      <c r="O576" s="2100"/>
      <c r="P576" s="2101"/>
      <c r="Q576" s="2102"/>
      <c r="R576" s="2102"/>
      <c r="S576" s="2102"/>
      <c r="T576" s="2103"/>
      <c r="U576" s="2141"/>
      <c r="V576" s="2142"/>
      <c r="W576" s="2143"/>
      <c r="X576" s="2087">
        <f t="shared" si="185"/>
        <v>0</v>
      </c>
      <c r="Y576" s="2088"/>
      <c r="Z576" s="2088"/>
      <c r="AA576" s="2088"/>
      <c r="AB576" s="2089"/>
    </row>
    <row r="577" spans="1:29">
      <c r="B577" s="662">
        <v>8</v>
      </c>
      <c r="C577" s="2093"/>
      <c r="D577" s="2094"/>
      <c r="E577" s="2094"/>
      <c r="F577" s="2094"/>
      <c r="G577" s="2094"/>
      <c r="H577" s="2094"/>
      <c r="I577" s="2094"/>
      <c r="J577" s="2095"/>
      <c r="K577" s="2096"/>
      <c r="L577" s="2097"/>
      <c r="M577" s="2098"/>
      <c r="N577" s="2099"/>
      <c r="O577" s="2100"/>
      <c r="P577" s="2101"/>
      <c r="Q577" s="2102"/>
      <c r="R577" s="2102"/>
      <c r="S577" s="2102"/>
      <c r="T577" s="2103"/>
      <c r="U577" s="2110"/>
      <c r="V577" s="2111"/>
      <c r="W577" s="2112"/>
      <c r="X577" s="2087">
        <f t="shared" si="185"/>
        <v>0</v>
      </c>
      <c r="Y577" s="2088"/>
      <c r="Z577" s="2088"/>
      <c r="AA577" s="2088"/>
      <c r="AB577" s="2089"/>
    </row>
    <row r="578" spans="1:29">
      <c r="B578" s="662">
        <v>9</v>
      </c>
      <c r="C578" s="2093"/>
      <c r="D578" s="2094"/>
      <c r="E578" s="2094"/>
      <c r="F578" s="2094"/>
      <c r="G578" s="2094"/>
      <c r="H578" s="2094"/>
      <c r="I578" s="2094"/>
      <c r="J578" s="2095"/>
      <c r="K578" s="2096"/>
      <c r="L578" s="2097"/>
      <c r="M578" s="2098"/>
      <c r="N578" s="2099"/>
      <c r="O578" s="2100"/>
      <c r="P578" s="2101"/>
      <c r="Q578" s="2102"/>
      <c r="R578" s="2102"/>
      <c r="S578" s="2102"/>
      <c r="T578" s="2103"/>
      <c r="U578" s="2141"/>
      <c r="V578" s="2142"/>
      <c r="W578" s="2143"/>
      <c r="X578" s="2087">
        <f t="shared" si="185"/>
        <v>0</v>
      </c>
      <c r="Y578" s="2088"/>
      <c r="Z578" s="2088"/>
      <c r="AA578" s="2088"/>
      <c r="AB578" s="2089"/>
    </row>
    <row r="579" spans="1:29">
      <c r="B579" s="662">
        <v>10</v>
      </c>
      <c r="C579" s="2093"/>
      <c r="D579" s="2094"/>
      <c r="E579" s="2094"/>
      <c r="F579" s="2094"/>
      <c r="G579" s="2094"/>
      <c r="H579" s="2094"/>
      <c r="I579" s="2094"/>
      <c r="J579" s="2095"/>
      <c r="K579" s="2096"/>
      <c r="L579" s="2097"/>
      <c r="M579" s="2098"/>
      <c r="N579" s="2099"/>
      <c r="O579" s="2100"/>
      <c r="P579" s="2101"/>
      <c r="Q579" s="2102"/>
      <c r="R579" s="2102"/>
      <c r="S579" s="2102"/>
      <c r="T579" s="2103"/>
      <c r="U579" s="2141"/>
      <c r="V579" s="2142"/>
      <c r="W579" s="2143"/>
      <c r="X579" s="2087">
        <f t="shared" si="185"/>
        <v>0</v>
      </c>
      <c r="Y579" s="2088"/>
      <c r="Z579" s="2088"/>
      <c r="AA579" s="2088"/>
      <c r="AB579" s="2089"/>
    </row>
    <row r="580" spans="1:29" ht="13.5" thickBot="1">
      <c r="B580" s="668" t="s">
        <v>551</v>
      </c>
      <c r="C580" s="2126"/>
      <c r="D580" s="2127"/>
      <c r="E580" s="2127"/>
      <c r="F580" s="2127"/>
      <c r="G580" s="2127"/>
      <c r="H580" s="2127"/>
      <c r="I580" s="2127"/>
      <c r="J580" s="2128"/>
      <c r="K580" s="2129"/>
      <c r="L580" s="2130"/>
      <c r="M580" s="2090"/>
      <c r="N580" s="2091"/>
      <c r="O580" s="2092"/>
      <c r="P580" s="2107"/>
      <c r="Q580" s="2108"/>
      <c r="R580" s="2108"/>
      <c r="S580" s="2108"/>
      <c r="T580" s="2109"/>
      <c r="U580" s="2131"/>
      <c r="V580" s="2132"/>
      <c r="W580" s="2133"/>
      <c r="X580" s="2134">
        <f t="shared" si="185"/>
        <v>0</v>
      </c>
      <c r="Y580" s="2114"/>
      <c r="Z580" s="2114"/>
      <c r="AA580" s="2114"/>
      <c r="AB580" s="2115"/>
    </row>
    <row r="581" spans="1:29" ht="14.25" thickTop="1" thickBot="1">
      <c r="M581" s="669"/>
      <c r="N581" s="669"/>
      <c r="O581" s="669"/>
      <c r="P581" s="670"/>
      <c r="Q581" s="670"/>
      <c r="R581" s="670"/>
      <c r="S581" s="670"/>
      <c r="T581" s="670"/>
      <c r="U581" s="671"/>
      <c r="V581" s="671"/>
      <c r="W581" s="671"/>
      <c r="X581" s="672"/>
      <c r="Y581" s="672"/>
      <c r="Z581" s="672"/>
      <c r="AA581" s="672"/>
      <c r="AB581" s="672"/>
    </row>
    <row r="582" spans="1:29" ht="14.25" thickTop="1" thickBot="1">
      <c r="A582" s="623"/>
      <c r="B582" s="623" t="s">
        <v>567</v>
      </c>
      <c r="C582" s="623"/>
      <c r="D582" s="623"/>
      <c r="E582" s="623"/>
      <c r="F582" s="623"/>
      <c r="G582" s="623"/>
      <c r="H582" s="623"/>
      <c r="I582" s="623"/>
      <c r="J582" s="623"/>
      <c r="K582" s="623"/>
      <c r="L582" s="623"/>
      <c r="M582" s="673"/>
      <c r="N582" s="673"/>
      <c r="O582" s="673"/>
      <c r="P582" s="2171">
        <f>SUM(P570:T580)</f>
        <v>0</v>
      </c>
      <c r="Q582" s="2172"/>
      <c r="R582" s="2172"/>
      <c r="S582" s="2172"/>
      <c r="T582" s="2173"/>
      <c r="U582" s="674"/>
      <c r="V582" s="674"/>
      <c r="W582" s="674"/>
      <c r="X582" s="2198">
        <f>SUM(X570:AB580)</f>
        <v>0</v>
      </c>
      <c r="Y582" s="2199"/>
      <c r="Z582" s="2199"/>
      <c r="AA582" s="2199"/>
      <c r="AB582" s="2200"/>
      <c r="AC582" s="623"/>
    </row>
    <row r="583" spans="1:29" ht="13.5" thickTop="1">
      <c r="A583" s="623"/>
      <c r="B583" s="623"/>
      <c r="C583" s="623"/>
      <c r="D583" s="623"/>
      <c r="E583" s="623"/>
      <c r="F583" s="623"/>
      <c r="G583" s="623"/>
      <c r="H583" s="623"/>
      <c r="I583" s="623"/>
      <c r="J583" s="623"/>
      <c r="K583" s="623"/>
      <c r="L583" s="623"/>
      <c r="M583" s="673"/>
      <c r="N583" s="673"/>
      <c r="O583" s="673"/>
      <c r="P583" s="675"/>
      <c r="Q583" s="675"/>
      <c r="R583" s="675"/>
      <c r="S583" s="675"/>
      <c r="T583" s="675"/>
      <c r="U583" s="674"/>
      <c r="V583" s="674"/>
      <c r="W583" s="674"/>
      <c r="X583" s="674"/>
      <c r="Y583" s="674"/>
      <c r="Z583" s="674"/>
      <c r="AA583" s="674"/>
      <c r="AB583" s="674"/>
      <c r="AC583" s="623"/>
    </row>
    <row r="584" spans="1:29">
      <c r="A584" s="623"/>
      <c r="B584" s="622" t="s">
        <v>568</v>
      </c>
      <c r="C584" s="623"/>
      <c r="D584" s="623"/>
      <c r="E584" s="623"/>
      <c r="F584" s="623"/>
      <c r="G584" s="623"/>
      <c r="H584" s="623"/>
      <c r="I584" s="623"/>
      <c r="J584" s="623"/>
      <c r="K584" s="623"/>
      <c r="L584" s="623"/>
      <c r="M584" s="673"/>
      <c r="N584" s="673"/>
      <c r="O584" s="673"/>
      <c r="P584" s="675"/>
      <c r="Q584" s="675"/>
      <c r="R584" s="675"/>
      <c r="S584" s="675"/>
      <c r="T584" s="675"/>
      <c r="U584" s="674"/>
      <c r="V584" s="674"/>
      <c r="W584" s="674"/>
      <c r="X584" s="674"/>
      <c r="Y584" s="674"/>
      <c r="Z584" s="674"/>
      <c r="AA584" s="674"/>
      <c r="AB584" s="674"/>
      <c r="AC584" s="623"/>
    </row>
    <row r="585" spans="1:29" ht="13.5" thickBot="1">
      <c r="M585" s="669"/>
      <c r="N585" s="669"/>
      <c r="O585" s="669"/>
      <c r="P585" s="676"/>
      <c r="Q585" s="676"/>
      <c r="R585" s="676"/>
      <c r="S585" s="676"/>
      <c r="T585" s="676"/>
      <c r="U585" s="671"/>
      <c r="V585" s="671"/>
      <c r="W585" s="671"/>
      <c r="X585" s="674"/>
      <c r="Y585" s="674"/>
      <c r="Z585" s="674"/>
      <c r="AA585" s="674"/>
      <c r="AB585" s="674"/>
    </row>
    <row r="586" spans="1:29" ht="13.5" thickTop="1">
      <c r="B586" s="667">
        <v>1</v>
      </c>
      <c r="C586" s="2160"/>
      <c r="D586" s="2161"/>
      <c r="E586" s="2161"/>
      <c r="F586" s="2161"/>
      <c r="G586" s="2161"/>
      <c r="H586" s="2161"/>
      <c r="I586" s="2161"/>
      <c r="J586" s="2162"/>
      <c r="K586" s="2163"/>
      <c r="L586" s="2164"/>
      <c r="M586" s="2165"/>
      <c r="N586" s="2166"/>
      <c r="O586" s="2167"/>
      <c r="P586" s="2168"/>
      <c r="Q586" s="2169"/>
      <c r="R586" s="2169"/>
      <c r="S586" s="2169"/>
      <c r="T586" s="2170"/>
      <c r="U586" s="2135"/>
      <c r="V586" s="2136"/>
      <c r="W586" s="2137"/>
      <c r="X586" s="2138">
        <f t="shared" ref="X586:X596" si="186">P586*U586</f>
        <v>0</v>
      </c>
      <c r="Y586" s="2139"/>
      <c r="Z586" s="2139"/>
      <c r="AA586" s="2139"/>
      <c r="AB586" s="2140"/>
    </row>
    <row r="587" spans="1:29">
      <c r="B587" s="662">
        <v>2</v>
      </c>
      <c r="C587" s="2093"/>
      <c r="D587" s="2094"/>
      <c r="E587" s="2094"/>
      <c r="F587" s="2094"/>
      <c r="G587" s="2094"/>
      <c r="H587" s="2094"/>
      <c r="I587" s="2094"/>
      <c r="J587" s="2095"/>
      <c r="K587" s="2096"/>
      <c r="L587" s="2097"/>
      <c r="M587" s="2098"/>
      <c r="N587" s="2099"/>
      <c r="O587" s="2100"/>
      <c r="P587" s="2101"/>
      <c r="Q587" s="2102"/>
      <c r="R587" s="2102"/>
      <c r="S587" s="2102"/>
      <c r="T587" s="2103"/>
      <c r="U587" s="2141"/>
      <c r="V587" s="2142"/>
      <c r="W587" s="2143"/>
      <c r="X587" s="2087">
        <f t="shared" si="186"/>
        <v>0</v>
      </c>
      <c r="Y587" s="2088"/>
      <c r="Z587" s="2088"/>
      <c r="AA587" s="2088"/>
      <c r="AB587" s="2089"/>
    </row>
    <row r="588" spans="1:29">
      <c r="B588" s="662">
        <v>3</v>
      </c>
      <c r="C588" s="2093"/>
      <c r="D588" s="2094"/>
      <c r="E588" s="2094"/>
      <c r="F588" s="2094"/>
      <c r="G588" s="2094"/>
      <c r="H588" s="2094"/>
      <c r="I588" s="2094"/>
      <c r="J588" s="2095"/>
      <c r="K588" s="2096"/>
      <c r="L588" s="2097"/>
      <c r="M588" s="2098"/>
      <c r="N588" s="2099"/>
      <c r="O588" s="2100"/>
      <c r="P588" s="2101"/>
      <c r="Q588" s="2102"/>
      <c r="R588" s="2102"/>
      <c r="S588" s="2102"/>
      <c r="T588" s="2103"/>
      <c r="U588" s="2144"/>
      <c r="V588" s="2145"/>
      <c r="W588" s="2146"/>
      <c r="X588" s="2087">
        <f t="shared" si="186"/>
        <v>0</v>
      </c>
      <c r="Y588" s="2088"/>
      <c r="Z588" s="2088"/>
      <c r="AA588" s="2088"/>
      <c r="AB588" s="2089"/>
    </row>
    <row r="589" spans="1:29">
      <c r="B589" s="662">
        <v>4</v>
      </c>
      <c r="C589" s="2093"/>
      <c r="D589" s="2094"/>
      <c r="E589" s="2094"/>
      <c r="F589" s="2094"/>
      <c r="G589" s="2094"/>
      <c r="H589" s="2094"/>
      <c r="I589" s="2094"/>
      <c r="J589" s="2095"/>
      <c r="K589" s="2096"/>
      <c r="L589" s="2097"/>
      <c r="M589" s="2098"/>
      <c r="N589" s="2099"/>
      <c r="O589" s="2100"/>
      <c r="P589" s="2101"/>
      <c r="Q589" s="2102"/>
      <c r="R589" s="2102"/>
      <c r="S589" s="2102"/>
      <c r="T589" s="2103"/>
      <c r="U589" s="2104"/>
      <c r="V589" s="2105"/>
      <c r="W589" s="2106"/>
      <c r="X589" s="2087">
        <f t="shared" si="186"/>
        <v>0</v>
      </c>
      <c r="Y589" s="2088"/>
      <c r="Z589" s="2088"/>
      <c r="AA589" s="2088"/>
      <c r="AB589" s="2089"/>
    </row>
    <row r="590" spans="1:29">
      <c r="B590" s="662">
        <v>5</v>
      </c>
      <c r="C590" s="2093"/>
      <c r="D590" s="2094"/>
      <c r="E590" s="2094"/>
      <c r="F590" s="2094"/>
      <c r="G590" s="2094"/>
      <c r="H590" s="2094"/>
      <c r="I590" s="2094"/>
      <c r="J590" s="2095"/>
      <c r="K590" s="2096"/>
      <c r="L590" s="2097"/>
      <c r="M590" s="2098"/>
      <c r="N590" s="2099"/>
      <c r="O590" s="2100"/>
      <c r="P590" s="2101"/>
      <c r="Q590" s="2102"/>
      <c r="R590" s="2102"/>
      <c r="S590" s="2102"/>
      <c r="T590" s="2103"/>
      <c r="U590" s="2141"/>
      <c r="V590" s="2142"/>
      <c r="W590" s="2143"/>
      <c r="X590" s="2087">
        <f t="shared" si="186"/>
        <v>0</v>
      </c>
      <c r="Y590" s="2088"/>
      <c r="Z590" s="2088"/>
      <c r="AA590" s="2088"/>
      <c r="AB590" s="2089"/>
    </row>
    <row r="591" spans="1:29">
      <c r="B591" s="662">
        <v>6</v>
      </c>
      <c r="C591" s="2093"/>
      <c r="D591" s="2094"/>
      <c r="E591" s="2094"/>
      <c r="F591" s="2094"/>
      <c r="G591" s="2094"/>
      <c r="H591" s="2094"/>
      <c r="I591" s="2094"/>
      <c r="J591" s="2095"/>
      <c r="K591" s="2096"/>
      <c r="L591" s="2097"/>
      <c r="M591" s="2098"/>
      <c r="N591" s="2099"/>
      <c r="O591" s="2100"/>
      <c r="P591" s="2101"/>
      <c r="Q591" s="2102"/>
      <c r="R591" s="2102"/>
      <c r="S591" s="2102"/>
      <c r="T591" s="2103"/>
      <c r="U591" s="2144"/>
      <c r="V591" s="2145"/>
      <c r="W591" s="2146"/>
      <c r="X591" s="2087">
        <f t="shared" si="186"/>
        <v>0</v>
      </c>
      <c r="Y591" s="2088"/>
      <c r="Z591" s="2088"/>
      <c r="AA591" s="2088"/>
      <c r="AB591" s="2089"/>
    </row>
    <row r="592" spans="1:29">
      <c r="B592" s="662">
        <v>7</v>
      </c>
      <c r="C592" s="2093"/>
      <c r="D592" s="2094"/>
      <c r="E592" s="2094"/>
      <c r="F592" s="2094"/>
      <c r="G592" s="2094"/>
      <c r="H592" s="2094"/>
      <c r="I592" s="2094"/>
      <c r="J592" s="2095"/>
      <c r="K592" s="2096"/>
      <c r="L592" s="2097"/>
      <c r="M592" s="2098"/>
      <c r="N592" s="2099"/>
      <c r="O592" s="2100"/>
      <c r="P592" s="2101"/>
      <c r="Q592" s="2102"/>
      <c r="R592" s="2102"/>
      <c r="S592" s="2102"/>
      <c r="T592" s="2103"/>
      <c r="U592" s="2104"/>
      <c r="V592" s="2105"/>
      <c r="W592" s="2106"/>
      <c r="X592" s="2087">
        <f t="shared" si="186"/>
        <v>0</v>
      </c>
      <c r="Y592" s="2088"/>
      <c r="Z592" s="2088"/>
      <c r="AA592" s="2088"/>
      <c r="AB592" s="2089"/>
    </row>
    <row r="593" spans="2:28">
      <c r="B593" s="662">
        <v>8</v>
      </c>
      <c r="C593" s="2093"/>
      <c r="D593" s="2094"/>
      <c r="E593" s="2094"/>
      <c r="F593" s="2094"/>
      <c r="G593" s="2094"/>
      <c r="H593" s="2094"/>
      <c r="I593" s="2094"/>
      <c r="J593" s="2095"/>
      <c r="K593" s="2096"/>
      <c r="L593" s="2097"/>
      <c r="M593" s="2098"/>
      <c r="N593" s="2099"/>
      <c r="O593" s="2100"/>
      <c r="P593" s="2101"/>
      <c r="Q593" s="2102"/>
      <c r="R593" s="2102"/>
      <c r="S593" s="2102"/>
      <c r="T593" s="2103"/>
      <c r="U593" s="2141"/>
      <c r="V593" s="2142"/>
      <c r="W593" s="2143"/>
      <c r="X593" s="2087">
        <f t="shared" si="186"/>
        <v>0</v>
      </c>
      <c r="Y593" s="2088"/>
      <c r="Z593" s="2088"/>
      <c r="AA593" s="2088"/>
      <c r="AB593" s="2089"/>
    </row>
    <row r="594" spans="2:28">
      <c r="B594" s="662">
        <v>9</v>
      </c>
      <c r="C594" s="2093"/>
      <c r="D594" s="2094"/>
      <c r="E594" s="2094"/>
      <c r="F594" s="2094"/>
      <c r="G594" s="2094"/>
      <c r="H594" s="2094"/>
      <c r="I594" s="2094"/>
      <c r="J594" s="2095"/>
      <c r="K594" s="2096"/>
      <c r="L594" s="2097"/>
      <c r="M594" s="2098"/>
      <c r="N594" s="2099"/>
      <c r="O594" s="2100"/>
      <c r="P594" s="2101"/>
      <c r="Q594" s="2102"/>
      <c r="R594" s="2102"/>
      <c r="S594" s="2102"/>
      <c r="T594" s="2103"/>
      <c r="U594" s="2144"/>
      <c r="V594" s="2145"/>
      <c r="W594" s="2146"/>
      <c r="X594" s="2087">
        <f t="shared" si="186"/>
        <v>0</v>
      </c>
      <c r="Y594" s="2088"/>
      <c r="Z594" s="2088"/>
      <c r="AA594" s="2088"/>
      <c r="AB594" s="2089"/>
    </row>
    <row r="595" spans="2:28">
      <c r="B595" s="662">
        <v>10</v>
      </c>
      <c r="C595" s="2093"/>
      <c r="D595" s="2094"/>
      <c r="E595" s="2094"/>
      <c r="F595" s="2094"/>
      <c r="G595" s="2094"/>
      <c r="H595" s="2094"/>
      <c r="I595" s="2094"/>
      <c r="J595" s="2095"/>
      <c r="K595" s="2096"/>
      <c r="L595" s="2097"/>
      <c r="M595" s="2098"/>
      <c r="N595" s="2099"/>
      <c r="O595" s="2100"/>
      <c r="P595" s="2101"/>
      <c r="Q595" s="2102"/>
      <c r="R595" s="2102"/>
      <c r="S595" s="2102"/>
      <c r="T595" s="2103"/>
      <c r="U595" s="2104"/>
      <c r="V595" s="2105"/>
      <c r="W595" s="2106"/>
      <c r="X595" s="2087">
        <f t="shared" si="186"/>
        <v>0</v>
      </c>
      <c r="Y595" s="2088"/>
      <c r="Z595" s="2088"/>
      <c r="AA595" s="2088"/>
      <c r="AB595" s="2089"/>
    </row>
    <row r="596" spans="2:28" ht="13.5" thickBot="1">
      <c r="B596" s="668" t="s">
        <v>551</v>
      </c>
      <c r="C596" s="2126"/>
      <c r="D596" s="2127"/>
      <c r="E596" s="2127"/>
      <c r="F596" s="2127"/>
      <c r="G596" s="2127"/>
      <c r="H596" s="2127"/>
      <c r="I596" s="2127"/>
      <c r="J596" s="2128"/>
      <c r="K596" s="2129"/>
      <c r="L596" s="2130"/>
      <c r="M596" s="2090"/>
      <c r="N596" s="2091"/>
      <c r="O596" s="2092"/>
      <c r="P596" s="2107"/>
      <c r="Q596" s="2108"/>
      <c r="R596" s="2108"/>
      <c r="S596" s="2108"/>
      <c r="T596" s="2109"/>
      <c r="U596" s="2110"/>
      <c r="V596" s="2111"/>
      <c r="W596" s="2112"/>
      <c r="X596" s="2113">
        <f t="shared" si="186"/>
        <v>0</v>
      </c>
      <c r="Y596" s="2114"/>
      <c r="Z596" s="2114"/>
      <c r="AA596" s="2114"/>
      <c r="AB596" s="2115"/>
    </row>
    <row r="597" spans="2:28" ht="14.25" thickTop="1" thickBot="1">
      <c r="U597" s="677"/>
      <c r="V597" s="677"/>
      <c r="W597" s="677"/>
      <c r="X597" s="678"/>
      <c r="Y597" s="674"/>
      <c r="Z597" s="674"/>
      <c r="AA597" s="674"/>
      <c r="AB597" s="674"/>
    </row>
    <row r="598" spans="2:28" ht="14.25" thickTop="1" thickBot="1">
      <c r="B598" s="623" t="s">
        <v>569</v>
      </c>
      <c r="C598" s="623"/>
      <c r="D598" s="623"/>
      <c r="E598" s="623"/>
      <c r="F598" s="623"/>
      <c r="G598" s="623"/>
      <c r="H598" s="623"/>
      <c r="I598" s="623"/>
      <c r="J598" s="623"/>
      <c r="K598" s="623"/>
      <c r="L598" s="623"/>
      <c r="M598" s="623"/>
      <c r="N598" s="623"/>
      <c r="P598" s="2171">
        <f>SUM(P586:T596)</f>
        <v>0</v>
      </c>
      <c r="Q598" s="2172"/>
      <c r="R598" s="2172"/>
      <c r="S598" s="2172"/>
      <c r="T598" s="2173"/>
      <c r="U598" s="623"/>
      <c r="V598" s="623"/>
      <c r="W598" s="623"/>
      <c r="X598" s="2198">
        <f>SUM(X586:AB596)</f>
        <v>0</v>
      </c>
      <c r="Y598" s="2199"/>
      <c r="Z598" s="2199"/>
      <c r="AA598" s="2199"/>
      <c r="AB598" s="2200"/>
    </row>
    <row r="599" spans="2:28" ht="13.5" thickTop="1">
      <c r="B599" s="623"/>
      <c r="C599" s="623"/>
      <c r="D599" s="623"/>
      <c r="E599" s="623"/>
      <c r="F599" s="623"/>
      <c r="G599" s="623"/>
      <c r="H599" s="623"/>
      <c r="I599" s="623"/>
      <c r="J599" s="623"/>
      <c r="K599" s="623"/>
      <c r="L599" s="623"/>
      <c r="M599" s="623"/>
      <c r="N599" s="623"/>
      <c r="X599" s="623"/>
      <c r="Y599" s="623"/>
      <c r="Z599" s="623"/>
      <c r="AA599" s="623"/>
      <c r="AB599" s="623"/>
    </row>
    <row r="600" spans="2:28">
      <c r="B600" s="622" t="s">
        <v>570</v>
      </c>
      <c r="C600" s="623"/>
      <c r="D600" s="623"/>
      <c r="E600" s="623"/>
      <c r="F600" s="623"/>
      <c r="G600" s="623"/>
      <c r="H600" s="623"/>
      <c r="I600" s="623"/>
      <c r="J600" s="623"/>
      <c r="K600" s="623"/>
      <c r="L600" s="623"/>
      <c r="M600" s="623"/>
      <c r="N600" s="623"/>
      <c r="X600" s="623"/>
      <c r="Y600" s="623"/>
      <c r="Z600" s="623"/>
      <c r="AA600" s="623"/>
      <c r="AB600" s="623"/>
    </row>
    <row r="601" spans="2:28" ht="13.5" thickBot="1">
      <c r="B601" s="623"/>
      <c r="C601" s="623"/>
      <c r="D601" s="623"/>
      <c r="E601" s="623"/>
      <c r="F601" s="623"/>
      <c r="G601" s="623"/>
      <c r="H601" s="623"/>
      <c r="I601" s="623"/>
      <c r="J601" s="623"/>
      <c r="K601" s="623"/>
      <c r="L601" s="623"/>
      <c r="M601" s="623"/>
      <c r="N601" s="623"/>
      <c r="X601" s="623"/>
      <c r="Y601" s="623"/>
      <c r="Z601" s="623"/>
      <c r="AA601" s="623"/>
      <c r="AB601" s="623"/>
    </row>
    <row r="602" spans="2:28" ht="13.5" thickTop="1">
      <c r="B602" s="623" t="s">
        <v>571</v>
      </c>
      <c r="C602" s="623"/>
      <c r="D602" s="623"/>
      <c r="E602" s="623"/>
      <c r="F602" s="623"/>
      <c r="G602" s="623"/>
      <c r="H602" s="623"/>
      <c r="I602" s="623"/>
      <c r="J602" s="623"/>
      <c r="K602" s="623"/>
      <c r="L602" s="623"/>
      <c r="M602" s="623"/>
      <c r="N602" s="623"/>
      <c r="P602" s="2205"/>
      <c r="Q602" s="2206"/>
      <c r="R602" s="2206"/>
      <c r="S602" s="2206"/>
      <c r="T602" s="2207"/>
      <c r="X602" s="623"/>
      <c r="Y602" s="623"/>
      <c r="Z602" s="623"/>
      <c r="AA602" s="623"/>
      <c r="AB602" s="623"/>
    </row>
    <row r="603" spans="2:28">
      <c r="B603" s="623" t="s">
        <v>572</v>
      </c>
      <c r="C603" s="623"/>
      <c r="D603" s="623"/>
      <c r="E603" s="623"/>
      <c r="F603" s="623"/>
      <c r="G603" s="623"/>
      <c r="H603" s="623"/>
      <c r="I603" s="623"/>
      <c r="J603" s="623"/>
      <c r="K603" s="623"/>
      <c r="L603" s="623"/>
      <c r="M603" s="623"/>
      <c r="N603" s="623"/>
      <c r="P603" s="2208"/>
      <c r="Q603" s="2209"/>
      <c r="R603" s="2209"/>
      <c r="S603" s="2209"/>
      <c r="T603" s="2210"/>
      <c r="X603" s="623"/>
      <c r="Y603" s="623"/>
      <c r="Z603" s="623"/>
      <c r="AA603" s="623"/>
      <c r="AB603" s="623"/>
    </row>
    <row r="604" spans="2:28" ht="13.5" thickBot="1">
      <c r="B604" s="623" t="s">
        <v>573</v>
      </c>
      <c r="C604" s="623"/>
      <c r="D604" s="623"/>
      <c r="E604" s="623"/>
      <c r="F604" s="623"/>
      <c r="G604" s="623"/>
      <c r="H604" s="623"/>
      <c r="I604" s="623"/>
      <c r="J604" s="623"/>
      <c r="K604" s="623"/>
      <c r="L604" s="623"/>
      <c r="M604" s="623"/>
      <c r="N604" s="623"/>
      <c r="P604" s="2116">
        <v>0.05</v>
      </c>
      <c r="Q604" s="2117"/>
      <c r="R604" s="2117"/>
      <c r="S604" s="2117"/>
      <c r="T604" s="2118"/>
      <c r="X604" s="623"/>
      <c r="Y604" s="623"/>
      <c r="Z604" s="623"/>
      <c r="AA604" s="623"/>
      <c r="AB604" s="623"/>
    </row>
    <row r="605" spans="2:28" ht="14.25" thickTop="1" thickBot="1">
      <c r="B605" s="623" t="s">
        <v>574</v>
      </c>
      <c r="C605" s="623"/>
      <c r="D605" s="623"/>
      <c r="E605" s="623"/>
      <c r="F605" s="623"/>
      <c r="G605" s="623"/>
      <c r="H605" s="623"/>
      <c r="I605" s="623"/>
      <c r="J605" s="623"/>
      <c r="K605" s="623"/>
      <c r="L605" s="623"/>
      <c r="M605" s="623"/>
      <c r="N605" s="623"/>
      <c r="P605" s="2119">
        <v>0</v>
      </c>
      <c r="Q605" s="2120"/>
      <c r="R605" s="2120"/>
      <c r="S605" s="2120"/>
      <c r="T605" s="2121"/>
      <c r="U605" s="2122"/>
      <c r="V605" s="2122"/>
      <c r="W605" s="2122"/>
      <c r="X605" s="2123">
        <f>P605*U605</f>
        <v>0</v>
      </c>
      <c r="Y605" s="2124"/>
      <c r="Z605" s="2124"/>
      <c r="AA605" s="2124"/>
      <c r="AB605" s="2125"/>
    </row>
    <row r="606" spans="2:28" ht="14.25" thickTop="1" thickBot="1">
      <c r="B606" s="623"/>
      <c r="C606" s="623"/>
      <c r="D606" s="623"/>
      <c r="E606" s="623"/>
      <c r="F606" s="623"/>
      <c r="G606" s="623"/>
      <c r="H606" s="623"/>
      <c r="I606" s="623"/>
      <c r="J606" s="623"/>
      <c r="K606" s="623"/>
      <c r="L606" s="623"/>
      <c r="M606" s="623"/>
      <c r="N606" s="623"/>
      <c r="P606" s="623"/>
      <c r="Q606" s="623"/>
      <c r="R606" s="623"/>
      <c r="S606" s="623"/>
      <c r="T606" s="623"/>
      <c r="X606" s="623"/>
      <c r="Y606" s="623"/>
      <c r="Z606" s="623"/>
      <c r="AA606" s="623"/>
      <c r="AB606" s="623"/>
    </row>
    <row r="607" spans="2:28" ht="14.25" thickTop="1" thickBot="1">
      <c r="B607" s="622" t="s">
        <v>575</v>
      </c>
      <c r="C607" s="622"/>
      <c r="D607" s="622"/>
      <c r="E607" s="623"/>
      <c r="F607" s="623"/>
      <c r="G607" s="623"/>
      <c r="H607" s="623"/>
      <c r="I607" s="623"/>
      <c r="J607" s="623"/>
      <c r="K607" s="623"/>
      <c r="L607" s="623"/>
      <c r="M607" s="623"/>
      <c r="N607" s="623"/>
      <c r="P607" s="2198">
        <f>P582-P598-P605</f>
        <v>0</v>
      </c>
      <c r="Q607" s="2199"/>
      <c r="R607" s="2199"/>
      <c r="S607" s="2199"/>
      <c r="T607" s="2200"/>
      <c r="X607" s="2198">
        <f>X582-X598-X605</f>
        <v>0</v>
      </c>
      <c r="Y607" s="2199"/>
      <c r="Z607" s="2199"/>
      <c r="AA607" s="2199"/>
      <c r="AB607" s="2200"/>
    </row>
    <row r="608" spans="2:28" ht="14.25" thickTop="1" thickBot="1">
      <c r="B608" s="623"/>
      <c r="C608" s="623"/>
      <c r="D608" s="623"/>
      <c r="E608" s="623"/>
      <c r="F608" s="623"/>
      <c r="G608" s="623"/>
      <c r="H608" s="623"/>
      <c r="I608" s="623"/>
      <c r="J608" s="623"/>
      <c r="K608" s="623"/>
      <c r="L608" s="623"/>
      <c r="M608" s="623"/>
      <c r="N608" s="623"/>
      <c r="X608" s="623"/>
      <c r="Y608" s="623"/>
      <c r="Z608" s="623"/>
      <c r="AA608" s="623"/>
      <c r="AB608" s="623"/>
    </row>
    <row r="609" spans="1:43" ht="14.25" thickTop="1" thickBot="1">
      <c r="B609" s="622" t="s">
        <v>561</v>
      </c>
      <c r="C609" s="622"/>
      <c r="D609" s="622"/>
      <c r="E609" s="622"/>
      <c r="F609" s="622"/>
      <c r="G609" s="623"/>
      <c r="H609" s="623"/>
      <c r="I609" s="623"/>
      <c r="J609" s="623"/>
      <c r="K609" s="623"/>
      <c r="L609" s="623"/>
      <c r="M609" s="623"/>
      <c r="N609" s="623"/>
      <c r="P609" s="2201">
        <v>0</v>
      </c>
      <c r="Q609" s="2202"/>
      <c r="R609" s="2202"/>
      <c r="S609" s="2202"/>
      <c r="T609" s="2202"/>
      <c r="U609" s="2122"/>
      <c r="V609" s="2122"/>
      <c r="W609" s="2122"/>
      <c r="X609" s="2203">
        <f>P609*U609</f>
        <v>0</v>
      </c>
      <c r="Y609" s="2203"/>
      <c r="Z609" s="2203"/>
      <c r="AA609" s="2203"/>
      <c r="AB609" s="2204"/>
    </row>
    <row r="610" spans="1:43" ht="13.5" collapsed="1" thickTop="1">
      <c r="B610" s="623"/>
      <c r="C610" s="623"/>
      <c r="D610" s="623"/>
      <c r="E610" s="623"/>
      <c r="F610" s="623"/>
      <c r="G610" s="623"/>
      <c r="H610" s="623"/>
      <c r="I610" s="623"/>
      <c r="J610" s="623"/>
      <c r="K610" s="623"/>
      <c r="L610" s="623"/>
      <c r="M610" s="623"/>
      <c r="N610" s="623"/>
    </row>
    <row r="612" spans="1:43" s="626" customFormat="1">
      <c r="A612" s="625" t="s">
        <v>579</v>
      </c>
      <c r="B612" s="625"/>
    </row>
    <row r="613" spans="1:43" s="623" customFormat="1"/>
    <row r="614" spans="1:43" s="623" customFormat="1">
      <c r="A614" s="627">
        <v>1</v>
      </c>
      <c r="B614" s="627" t="s">
        <v>580</v>
      </c>
      <c r="C614" s="628"/>
      <c r="D614" s="628"/>
      <c r="E614" s="628"/>
      <c r="F614" s="628"/>
      <c r="G614" s="628"/>
      <c r="H614" s="628"/>
      <c r="I614" s="628"/>
      <c r="J614" s="628"/>
      <c r="K614" s="628"/>
      <c r="L614" s="628"/>
      <c r="M614" s="628"/>
      <c r="N614" s="628"/>
      <c r="O614" s="628"/>
      <c r="P614" s="628"/>
      <c r="Q614" s="628"/>
      <c r="R614" s="628"/>
      <c r="S614" s="628"/>
      <c r="T614" s="628"/>
      <c r="U614" s="628"/>
      <c r="V614" s="628"/>
      <c r="W614" s="628"/>
      <c r="X614" s="628"/>
      <c r="Y614" s="628"/>
      <c r="Z614" s="628"/>
      <c r="AA614" s="628"/>
      <c r="AB614" s="628"/>
      <c r="AC614" s="628"/>
      <c r="AD614" s="628"/>
      <c r="AE614" s="628"/>
      <c r="AF614" s="628"/>
      <c r="AG614" s="628"/>
      <c r="AH614" s="628"/>
      <c r="AI614" s="628"/>
    </row>
    <row r="615" spans="1:43" s="623" customFormat="1" ht="13.5" thickBot="1"/>
    <row r="616" spans="1:43" s="622" customFormat="1" ht="13.5" thickTop="1">
      <c r="A616" s="623"/>
      <c r="B616" s="2283" t="s">
        <v>581</v>
      </c>
      <c r="C616" s="2284"/>
      <c r="D616" s="2284"/>
      <c r="E616" s="2284"/>
      <c r="F616" s="2284"/>
      <c r="G616" s="2284"/>
      <c r="H616" s="2284"/>
      <c r="I616" s="2284"/>
      <c r="J616" s="2284"/>
      <c r="K616" s="2284" t="s">
        <v>582</v>
      </c>
      <c r="L616" s="2284"/>
      <c r="M616" s="2284"/>
      <c r="N616" s="2284"/>
      <c r="O616" s="2284"/>
      <c r="P616" s="2284"/>
      <c r="Q616" s="2284"/>
      <c r="R616" s="2284"/>
      <c r="S616" s="2284"/>
      <c r="T616" s="2289" t="s">
        <v>545</v>
      </c>
      <c r="U616" s="2289"/>
      <c r="V616" s="2289"/>
      <c r="W616" s="2289"/>
      <c r="X616" s="2289"/>
      <c r="Y616" s="2289"/>
      <c r="Z616" s="2289"/>
      <c r="AA616" s="2289"/>
      <c r="AB616" s="2289"/>
      <c r="AC616" s="2289"/>
      <c r="AD616" s="2289"/>
      <c r="AE616" s="2290"/>
      <c r="AF616" s="623"/>
      <c r="AG616" s="623"/>
      <c r="AH616" s="623"/>
      <c r="AI616" s="623"/>
      <c r="AJ616" s="623"/>
      <c r="AK616" s="623"/>
      <c r="AL616" s="623"/>
      <c r="AM616" s="623"/>
      <c r="AN616" s="623"/>
      <c r="AO616" s="623"/>
      <c r="AP616" s="623"/>
      <c r="AQ616" s="623"/>
    </row>
    <row r="617" spans="1:43" s="622" customFormat="1" ht="13.5" thickBot="1">
      <c r="A617" s="623"/>
      <c r="B617" s="2285"/>
      <c r="C617" s="2286"/>
      <c r="D617" s="2286"/>
      <c r="E617" s="2286"/>
      <c r="F617" s="2286"/>
      <c r="G617" s="2286"/>
      <c r="H617" s="2286"/>
      <c r="I617" s="2286"/>
      <c r="J617" s="2286"/>
      <c r="K617" s="2286"/>
      <c r="L617" s="2286"/>
      <c r="M617" s="2286"/>
      <c r="N617" s="2286"/>
      <c r="O617" s="2286"/>
      <c r="P617" s="2286"/>
      <c r="Q617" s="2286"/>
      <c r="R617" s="2286"/>
      <c r="S617" s="2286"/>
      <c r="T617" s="2291" t="s">
        <v>490</v>
      </c>
      <c r="U617" s="2291"/>
      <c r="V617" s="2291"/>
      <c r="W617" s="2291"/>
      <c r="X617" s="2292" t="s">
        <v>583</v>
      </c>
      <c r="Y617" s="2292"/>
      <c r="Z617" s="2292"/>
      <c r="AA617" s="2292"/>
      <c r="AB617" s="2292"/>
      <c r="AC617" s="2292"/>
      <c r="AD617" s="2292"/>
      <c r="AE617" s="2293"/>
      <c r="AF617" s="623"/>
      <c r="AG617" s="623"/>
      <c r="AH617" s="623"/>
      <c r="AI617" s="623"/>
      <c r="AJ617" s="623"/>
      <c r="AK617" s="623"/>
      <c r="AL617" s="623"/>
      <c r="AM617" s="623"/>
      <c r="AN617" s="623"/>
      <c r="AO617" s="623"/>
      <c r="AP617" s="623"/>
    </row>
    <row r="618" spans="1:43" s="622" customFormat="1" ht="27.75" customHeight="1" thickTop="1" thickBot="1">
      <c r="A618" s="623"/>
      <c r="B618" s="2287"/>
      <c r="C618" s="2288"/>
      <c r="D618" s="2288"/>
      <c r="E618" s="2288"/>
      <c r="F618" s="2288"/>
      <c r="G618" s="2288"/>
      <c r="H618" s="2288"/>
      <c r="I618" s="2288"/>
      <c r="J618" s="2288"/>
      <c r="K618" s="2288"/>
      <c r="L618" s="2288"/>
      <c r="M618" s="2288"/>
      <c r="N618" s="2288"/>
      <c r="O618" s="2288"/>
      <c r="P618" s="2288"/>
      <c r="Q618" s="2288"/>
      <c r="R618" s="2288"/>
      <c r="S618" s="2288"/>
      <c r="T618" s="2288"/>
      <c r="U618" s="2288"/>
      <c r="V618" s="2288"/>
      <c r="W618" s="2288"/>
      <c r="X618" s="2272" t="s">
        <v>584</v>
      </c>
      <c r="Y618" s="2273"/>
      <c r="Z618" s="2273"/>
      <c r="AA618" s="2274"/>
      <c r="AB618" s="2275" t="s">
        <v>585</v>
      </c>
      <c r="AC618" s="2275"/>
      <c r="AD618" s="2275"/>
      <c r="AE618" s="2276"/>
      <c r="AF618" s="623"/>
      <c r="AG618" s="623"/>
      <c r="AH618" s="623"/>
      <c r="AI618" s="623"/>
      <c r="AJ618" s="623"/>
      <c r="AK618" s="623"/>
      <c r="AL618" s="623"/>
      <c r="AM618" s="623"/>
      <c r="AN618" s="623"/>
      <c r="AO618" s="623"/>
      <c r="AP618" s="623"/>
    </row>
    <row r="619" spans="1:43" ht="13.5" thickTop="1">
      <c r="B619" s="2277"/>
      <c r="C619" s="2278"/>
      <c r="D619" s="2278"/>
      <c r="E619" s="2278"/>
      <c r="F619" s="2278"/>
      <c r="G619" s="2278"/>
      <c r="H619" s="2278"/>
      <c r="I619" s="2278"/>
      <c r="J619" s="2278"/>
      <c r="K619" s="2278"/>
      <c r="L619" s="2278"/>
      <c r="M619" s="2278"/>
      <c r="N619" s="2278"/>
      <c r="O619" s="2278"/>
      <c r="P619" s="2278"/>
      <c r="Q619" s="2278"/>
      <c r="R619" s="2278"/>
      <c r="S619" s="2278"/>
      <c r="T619" s="2279"/>
      <c r="U619" s="2280"/>
      <c r="V619" s="2280"/>
      <c r="W619" s="2281"/>
      <c r="X619" s="2282"/>
      <c r="Y619" s="2282"/>
      <c r="Z619" s="2282"/>
      <c r="AA619" s="2282"/>
      <c r="AB619" s="2087">
        <f>IF(AND(ISBLANK(X619)=FALSE,ISNUMBER(X619)=TRUE),MIN(CalculationSheet!R46,X619,((T619/workperiod*12)/Attachment!$X$30*CalculationSheet!R46)),0)</f>
        <v>0</v>
      </c>
      <c r="AC619" s="2088"/>
      <c r="AD619" s="2088"/>
      <c r="AE619" s="2089"/>
    </row>
    <row r="620" spans="1:43">
      <c r="B620" s="2081"/>
      <c r="C620" s="2082"/>
      <c r="D620" s="2082"/>
      <c r="E620" s="2082"/>
      <c r="F620" s="2082"/>
      <c r="G620" s="2082"/>
      <c r="H620" s="2082"/>
      <c r="I620" s="2082"/>
      <c r="J620" s="2082"/>
      <c r="K620" s="2082"/>
      <c r="L620" s="2082"/>
      <c r="M620" s="2082"/>
      <c r="N620" s="2082"/>
      <c r="O620" s="2082"/>
      <c r="P620" s="2082"/>
      <c r="Q620" s="2082"/>
      <c r="R620" s="2082"/>
      <c r="S620" s="2082"/>
      <c r="T620" s="2083"/>
      <c r="U620" s="2084"/>
      <c r="V620" s="2084"/>
      <c r="W620" s="2085"/>
      <c r="X620" s="2086"/>
      <c r="Y620" s="2086"/>
      <c r="Z620" s="2086"/>
      <c r="AA620" s="2086"/>
      <c r="AB620" s="2087">
        <f>IF(AND(ISBLANK(X620)=FALSE,ISNUMBER(X620)=TRUE),MIN(CalculationSheet!R46,X620,((T620/workperiod*12)/Attachment!$X$30*CalculationSheet!R46)),0)</f>
        <v>0</v>
      </c>
      <c r="AC620" s="2088"/>
      <c r="AD620" s="2088"/>
      <c r="AE620" s="2089"/>
    </row>
    <row r="621" spans="1:43">
      <c r="B621" s="2081"/>
      <c r="C621" s="2082"/>
      <c r="D621" s="2082"/>
      <c r="E621" s="2082"/>
      <c r="F621" s="2082"/>
      <c r="G621" s="2082"/>
      <c r="H621" s="2082"/>
      <c r="I621" s="2082"/>
      <c r="J621" s="2082"/>
      <c r="K621" s="2082"/>
      <c r="L621" s="2082"/>
      <c r="M621" s="2082"/>
      <c r="N621" s="2082"/>
      <c r="O621" s="2082"/>
      <c r="P621" s="2082"/>
      <c r="Q621" s="2082"/>
      <c r="R621" s="2082"/>
      <c r="S621" s="2082"/>
      <c r="T621" s="2083"/>
      <c r="U621" s="2084"/>
      <c r="V621" s="2084"/>
      <c r="W621" s="2085"/>
      <c r="X621" s="2086"/>
      <c r="Y621" s="2086"/>
      <c r="Z621" s="2086"/>
      <c r="AA621" s="2086"/>
      <c r="AB621" s="2087">
        <f>IF(AND(ISBLANK(X621)=FALSE,ISNUMBER(X621)=TRUE),MIN(CalculationSheet!R46,X621,((T621/workperiod*12)/Attachment!$X$30*CalculationSheet!R46)),0)</f>
        <v>0</v>
      </c>
      <c r="AC621" s="2088"/>
      <c r="AD621" s="2088"/>
      <c r="AE621" s="2089"/>
    </row>
    <row r="622" spans="1:43">
      <c r="B622" s="2081"/>
      <c r="C622" s="2082"/>
      <c r="D622" s="2082"/>
      <c r="E622" s="2082"/>
      <c r="F622" s="2082"/>
      <c r="G622" s="2082"/>
      <c r="H622" s="2082"/>
      <c r="I622" s="2082"/>
      <c r="J622" s="2082"/>
      <c r="K622" s="2082"/>
      <c r="L622" s="2082"/>
      <c r="M622" s="2082"/>
      <c r="N622" s="2082"/>
      <c r="O622" s="2082"/>
      <c r="P622" s="2082"/>
      <c r="Q622" s="2082"/>
      <c r="R622" s="2082"/>
      <c r="S622" s="2082"/>
      <c r="T622" s="2083"/>
      <c r="U622" s="2084"/>
      <c r="V622" s="2084"/>
      <c r="W622" s="2085"/>
      <c r="X622" s="2086"/>
      <c r="Y622" s="2086"/>
      <c r="Z622" s="2086"/>
      <c r="AA622" s="2086"/>
      <c r="AB622" s="2087">
        <f>IF(AND(ISBLANK(X622)=FALSE,ISNUMBER(X622)=TRUE),MIN(CalculationSheet!R46,X622,((T622/workperiod*12)/Attachment!$X$30*CalculationSheet!R46)),0)</f>
        <v>0</v>
      </c>
      <c r="AC622" s="2088"/>
      <c r="AD622" s="2088"/>
      <c r="AE622" s="2089"/>
    </row>
    <row r="623" spans="1:43">
      <c r="B623" s="2081" t="s">
        <v>381</v>
      </c>
      <c r="C623" s="2082"/>
      <c r="D623" s="2082"/>
      <c r="E623" s="2082"/>
      <c r="F623" s="2082"/>
      <c r="G623" s="2082"/>
      <c r="H623" s="2082"/>
      <c r="I623" s="2082"/>
      <c r="J623" s="2082"/>
      <c r="K623" s="2082" t="s">
        <v>381</v>
      </c>
      <c r="L623" s="2082"/>
      <c r="M623" s="2082"/>
      <c r="N623" s="2082"/>
      <c r="O623" s="2082"/>
      <c r="P623" s="2082"/>
      <c r="Q623" s="2082"/>
      <c r="R623" s="2082"/>
      <c r="S623" s="2082"/>
      <c r="T623" s="2083"/>
      <c r="U623" s="2084"/>
      <c r="V623" s="2084"/>
      <c r="W623" s="2085"/>
      <c r="X623" s="2086"/>
      <c r="Y623" s="2086"/>
      <c r="Z623" s="2086"/>
      <c r="AA623" s="2086"/>
      <c r="AB623" s="2087">
        <f>IF(AND(ISBLANK(X623)=FALSE,ISNUMBER(X623)=TRUE),MIN(CalculationSheet!R46,X623,((T623/workperiod*12)/Attachment!$X$30*CalculationSheet!R46)),0)</f>
        <v>0</v>
      </c>
      <c r="AC623" s="2088"/>
      <c r="AD623" s="2088"/>
      <c r="AE623" s="2089"/>
    </row>
    <row r="624" spans="1:43" s="679" customFormat="1">
      <c r="A624" s="639"/>
      <c r="B624" s="2081" t="s">
        <v>381</v>
      </c>
      <c r="C624" s="2082"/>
      <c r="D624" s="2082"/>
      <c r="E624" s="2082"/>
      <c r="F624" s="2082"/>
      <c r="G624" s="2082"/>
      <c r="H624" s="2082"/>
      <c r="I624" s="2082"/>
      <c r="J624" s="2082"/>
      <c r="K624" s="2082" t="s">
        <v>381</v>
      </c>
      <c r="L624" s="2082"/>
      <c r="M624" s="2082"/>
      <c r="N624" s="2082"/>
      <c r="O624" s="2082"/>
      <c r="P624" s="2082"/>
      <c r="Q624" s="2082"/>
      <c r="R624" s="2082"/>
      <c r="S624" s="2082"/>
      <c r="T624" s="2083"/>
      <c r="U624" s="2084"/>
      <c r="V624" s="2084"/>
      <c r="W624" s="2085"/>
      <c r="X624" s="2086"/>
      <c r="Y624" s="2086"/>
      <c r="Z624" s="2086"/>
      <c r="AA624" s="2086"/>
      <c r="AB624" s="2087">
        <f>IF(AND(ISBLANK(X624)=FALSE,ISNUMBER(X624)=TRUE),MIN(CalculationSheet!R46,X624,((T624/workperiod*12)/Attachment!$X$30*CalculationSheet!R46)),0)</f>
        <v>0</v>
      </c>
      <c r="AC624" s="2088"/>
      <c r="AD624" s="2088"/>
      <c r="AE624" s="2089"/>
      <c r="AF624" s="639"/>
      <c r="AG624" s="639"/>
      <c r="AH624" s="639"/>
      <c r="AI624" s="639"/>
      <c r="AJ624" s="639"/>
      <c r="AK624" s="639"/>
      <c r="AL624" s="639"/>
      <c r="AM624" s="639"/>
      <c r="AN624" s="639"/>
      <c r="AO624" s="639"/>
      <c r="AP624" s="639"/>
    </row>
    <row r="625" spans="1:42">
      <c r="B625" s="2081" t="s">
        <v>381</v>
      </c>
      <c r="C625" s="2082"/>
      <c r="D625" s="2082"/>
      <c r="E625" s="2082"/>
      <c r="F625" s="2082"/>
      <c r="G625" s="2082"/>
      <c r="H625" s="2082"/>
      <c r="I625" s="2082"/>
      <c r="J625" s="2082"/>
      <c r="K625" s="2082" t="s">
        <v>381</v>
      </c>
      <c r="L625" s="2082"/>
      <c r="M625" s="2082"/>
      <c r="N625" s="2082"/>
      <c r="O625" s="2082"/>
      <c r="P625" s="2082"/>
      <c r="Q625" s="2082"/>
      <c r="R625" s="2082"/>
      <c r="S625" s="2082"/>
      <c r="T625" s="2083"/>
      <c r="U625" s="2084"/>
      <c r="V625" s="2084"/>
      <c r="W625" s="2085"/>
      <c r="X625" s="2086"/>
      <c r="Y625" s="2086"/>
      <c r="Z625" s="2086"/>
      <c r="AA625" s="2086"/>
      <c r="AB625" s="2087">
        <f>IF(AND(ISBLANK(X625)=FALSE,ISNUMBER(X625)=TRUE),MIN(CalculationSheet!R46,X625,((T625/workperiod*12)/Attachment!$X$30*CalculationSheet!R46)),0)</f>
        <v>0</v>
      </c>
      <c r="AC625" s="2088"/>
      <c r="AD625" s="2088"/>
      <c r="AE625" s="2089"/>
    </row>
    <row r="626" spans="1:42">
      <c r="B626" s="2081" t="s">
        <v>381</v>
      </c>
      <c r="C626" s="2082"/>
      <c r="D626" s="2082"/>
      <c r="E626" s="2082"/>
      <c r="F626" s="2082"/>
      <c r="G626" s="2082"/>
      <c r="H626" s="2082"/>
      <c r="I626" s="2082"/>
      <c r="J626" s="2082"/>
      <c r="K626" s="2082" t="s">
        <v>381</v>
      </c>
      <c r="L626" s="2082"/>
      <c r="M626" s="2082"/>
      <c r="N626" s="2082"/>
      <c r="O626" s="2082"/>
      <c r="P626" s="2082"/>
      <c r="Q626" s="2082"/>
      <c r="R626" s="2082"/>
      <c r="S626" s="2082"/>
      <c r="T626" s="2083"/>
      <c r="U626" s="2084"/>
      <c r="V626" s="2084"/>
      <c r="W626" s="2085"/>
      <c r="X626" s="2086"/>
      <c r="Y626" s="2086"/>
      <c r="Z626" s="2086"/>
      <c r="AA626" s="2086"/>
      <c r="AB626" s="2087">
        <f>IF(AND(ISBLANK(X626)=FALSE,ISNUMBER(X626)=TRUE),MIN(CalculationSheet!R46,X626,((T626/workperiod*12)/Attachment!$X$30*CalculationSheet!R46)),0)</f>
        <v>0</v>
      </c>
      <c r="AC626" s="2088"/>
      <c r="AD626" s="2088"/>
      <c r="AE626" s="2089"/>
    </row>
    <row r="627" spans="1:42">
      <c r="B627" s="2081" t="s">
        <v>381</v>
      </c>
      <c r="C627" s="2082"/>
      <c r="D627" s="2082"/>
      <c r="E627" s="2082"/>
      <c r="F627" s="2082"/>
      <c r="G627" s="2082"/>
      <c r="H627" s="2082"/>
      <c r="I627" s="2082"/>
      <c r="J627" s="2082"/>
      <c r="K627" s="2082" t="s">
        <v>381</v>
      </c>
      <c r="L627" s="2082"/>
      <c r="M627" s="2082"/>
      <c r="N627" s="2082"/>
      <c r="O627" s="2082"/>
      <c r="P627" s="2082"/>
      <c r="Q627" s="2082"/>
      <c r="R627" s="2082"/>
      <c r="S627" s="2082"/>
      <c r="T627" s="2083"/>
      <c r="U627" s="2084"/>
      <c r="V627" s="2084"/>
      <c r="W627" s="2085"/>
      <c r="X627" s="2086"/>
      <c r="Y627" s="2086"/>
      <c r="Z627" s="2086"/>
      <c r="AA627" s="2086"/>
      <c r="AB627" s="2087">
        <f>IF(AND(ISBLANK(X627)=FALSE,ISNUMBER(X627)=TRUE),MIN(CalculationSheet!R46,X627,((T627/workperiod*12)/Attachment!$X$30*CalculationSheet!R46)),0)</f>
        <v>0</v>
      </c>
      <c r="AC627" s="2088"/>
      <c r="AD627" s="2088"/>
      <c r="AE627" s="2089"/>
    </row>
    <row r="628" spans="1:42">
      <c r="B628" s="2081"/>
      <c r="C628" s="2082"/>
      <c r="D628" s="2082"/>
      <c r="E628" s="2082"/>
      <c r="F628" s="2082"/>
      <c r="G628" s="2082"/>
      <c r="H628" s="2082"/>
      <c r="I628" s="2082"/>
      <c r="J628" s="2082"/>
      <c r="K628" s="2082"/>
      <c r="L628" s="2082"/>
      <c r="M628" s="2082"/>
      <c r="N628" s="2082"/>
      <c r="O628" s="2082"/>
      <c r="P628" s="2082"/>
      <c r="Q628" s="2082"/>
      <c r="R628" s="2082"/>
      <c r="S628" s="2082"/>
      <c r="T628" s="2083"/>
      <c r="U628" s="2084"/>
      <c r="V628" s="2084"/>
      <c r="W628" s="2085"/>
      <c r="X628" s="2086"/>
      <c r="Y628" s="2086"/>
      <c r="Z628" s="2086"/>
      <c r="AA628" s="2086"/>
      <c r="AB628" s="2087">
        <f>IF(AND(ISBLANK(X628)=FALSE,ISNUMBER(X628)=TRUE),MIN(CalculationSheet!R53,X628,((T628/workperiod*12)/Attachment!$X$30*CalculationSheet!R53)),0)</f>
        <v>0</v>
      </c>
      <c r="AC628" s="2088"/>
      <c r="AD628" s="2088"/>
      <c r="AE628" s="2089"/>
    </row>
    <row r="629" spans="1:42">
      <c r="B629" s="2081"/>
      <c r="C629" s="2082"/>
      <c r="D629" s="2082"/>
      <c r="E629" s="2082"/>
      <c r="F629" s="2082"/>
      <c r="G629" s="2082"/>
      <c r="H629" s="2082"/>
      <c r="I629" s="2082"/>
      <c r="J629" s="2082"/>
      <c r="K629" s="2082"/>
      <c r="L629" s="2082"/>
      <c r="M629" s="2082"/>
      <c r="N629" s="2082"/>
      <c r="O629" s="2082"/>
      <c r="P629" s="2082"/>
      <c r="Q629" s="2082"/>
      <c r="R629" s="2082"/>
      <c r="S629" s="2082"/>
      <c r="T629" s="2083"/>
      <c r="U629" s="2084"/>
      <c r="V629" s="2084"/>
      <c r="W629" s="2085"/>
      <c r="X629" s="2086"/>
      <c r="Y629" s="2086"/>
      <c r="Z629" s="2086"/>
      <c r="AA629" s="2086"/>
      <c r="AB629" s="2087">
        <f>IF(AND(ISBLANK(X629)=FALSE,ISNUMBER(X629)=TRUE),MIN(CalculationSheet!R53,X629,((T629/workperiod*12)/Attachment!$X$30*CalculationSheet!R53)),0)</f>
        <v>0</v>
      </c>
      <c r="AC629" s="2088"/>
      <c r="AD629" s="2088"/>
      <c r="AE629" s="2089"/>
    </row>
    <row r="630" spans="1:42">
      <c r="B630" s="2081" t="s">
        <v>381</v>
      </c>
      <c r="C630" s="2082"/>
      <c r="D630" s="2082"/>
      <c r="E630" s="2082"/>
      <c r="F630" s="2082"/>
      <c r="G630" s="2082"/>
      <c r="H630" s="2082"/>
      <c r="I630" s="2082"/>
      <c r="J630" s="2082"/>
      <c r="K630" s="2082" t="s">
        <v>381</v>
      </c>
      <c r="L630" s="2082"/>
      <c r="M630" s="2082"/>
      <c r="N630" s="2082"/>
      <c r="O630" s="2082"/>
      <c r="P630" s="2082"/>
      <c r="Q630" s="2082"/>
      <c r="R630" s="2082"/>
      <c r="S630" s="2082"/>
      <c r="T630" s="2083"/>
      <c r="U630" s="2084"/>
      <c r="V630" s="2084"/>
      <c r="W630" s="2085"/>
      <c r="X630" s="2086"/>
      <c r="Y630" s="2086"/>
      <c r="Z630" s="2086"/>
      <c r="AA630" s="2086"/>
      <c r="AB630" s="2087">
        <f>IF(AND(ISBLANK(X630)=FALSE,ISNUMBER(X630)=TRUE),MIN(CalculationSheet!R53,X630,((T630/workperiod*12)/Attachment!$X$30*CalculationSheet!R53)),0)</f>
        <v>0</v>
      </c>
      <c r="AC630" s="2088"/>
      <c r="AD630" s="2088"/>
      <c r="AE630" s="2089"/>
    </row>
    <row r="631" spans="1:42" s="679" customFormat="1">
      <c r="A631" s="639"/>
      <c r="B631" s="2081" t="s">
        <v>381</v>
      </c>
      <c r="C631" s="2082"/>
      <c r="D631" s="2082"/>
      <c r="E631" s="2082"/>
      <c r="F631" s="2082"/>
      <c r="G631" s="2082"/>
      <c r="H631" s="2082"/>
      <c r="I631" s="2082"/>
      <c r="J631" s="2082"/>
      <c r="K631" s="2082" t="s">
        <v>381</v>
      </c>
      <c r="L631" s="2082"/>
      <c r="M631" s="2082"/>
      <c r="N631" s="2082"/>
      <c r="O631" s="2082"/>
      <c r="P631" s="2082"/>
      <c r="Q631" s="2082"/>
      <c r="R631" s="2082"/>
      <c r="S631" s="2082"/>
      <c r="T631" s="2083"/>
      <c r="U631" s="2084"/>
      <c r="V631" s="2084"/>
      <c r="W631" s="2085"/>
      <c r="X631" s="2086"/>
      <c r="Y631" s="2086"/>
      <c r="Z631" s="2086"/>
      <c r="AA631" s="2086"/>
      <c r="AB631" s="2087">
        <f>IF(AND(ISBLANK(X631)=FALSE,ISNUMBER(X631)=TRUE),MIN(CalculationSheet!R53,X631,((T631/workperiod*12)/Attachment!$X$30*CalculationSheet!R53)),0)</f>
        <v>0</v>
      </c>
      <c r="AC631" s="2088"/>
      <c r="AD631" s="2088"/>
      <c r="AE631" s="2089"/>
      <c r="AF631" s="639"/>
      <c r="AG631" s="639"/>
      <c r="AH631" s="639"/>
      <c r="AI631" s="639"/>
      <c r="AJ631" s="639"/>
      <c r="AK631" s="639"/>
      <c r="AL631" s="639"/>
      <c r="AM631" s="639"/>
      <c r="AN631" s="639"/>
      <c r="AO631" s="639"/>
      <c r="AP631" s="639"/>
    </row>
    <row r="632" spans="1:42">
      <c r="B632" s="2081" t="s">
        <v>381</v>
      </c>
      <c r="C632" s="2082"/>
      <c r="D632" s="2082"/>
      <c r="E632" s="2082"/>
      <c r="F632" s="2082"/>
      <c r="G632" s="2082"/>
      <c r="H632" s="2082"/>
      <c r="I632" s="2082"/>
      <c r="J632" s="2082"/>
      <c r="K632" s="2082" t="s">
        <v>381</v>
      </c>
      <c r="L632" s="2082"/>
      <c r="M632" s="2082"/>
      <c r="N632" s="2082"/>
      <c r="O632" s="2082"/>
      <c r="P632" s="2082"/>
      <c r="Q632" s="2082"/>
      <c r="R632" s="2082"/>
      <c r="S632" s="2082"/>
      <c r="T632" s="2083"/>
      <c r="U632" s="2084"/>
      <c r="V632" s="2084"/>
      <c r="W632" s="2085"/>
      <c r="X632" s="2086"/>
      <c r="Y632" s="2086"/>
      <c r="Z632" s="2086"/>
      <c r="AA632" s="2086"/>
      <c r="AB632" s="2087">
        <f>IF(AND(ISBLANK(X632)=FALSE,ISNUMBER(X632)=TRUE),MIN(CalculationSheet!R53,X632,((T632/workperiod*12)/Attachment!$X$30*CalculationSheet!R53)),0)</f>
        <v>0</v>
      </c>
      <c r="AC632" s="2088"/>
      <c r="AD632" s="2088"/>
      <c r="AE632" s="2089"/>
    </row>
    <row r="633" spans="1:42">
      <c r="B633" s="2081" t="s">
        <v>381</v>
      </c>
      <c r="C633" s="2082"/>
      <c r="D633" s="2082"/>
      <c r="E633" s="2082"/>
      <c r="F633" s="2082"/>
      <c r="G633" s="2082"/>
      <c r="H633" s="2082"/>
      <c r="I633" s="2082"/>
      <c r="J633" s="2082"/>
      <c r="K633" s="2082" t="s">
        <v>381</v>
      </c>
      <c r="L633" s="2082"/>
      <c r="M633" s="2082"/>
      <c r="N633" s="2082"/>
      <c r="O633" s="2082"/>
      <c r="P633" s="2082"/>
      <c r="Q633" s="2082"/>
      <c r="R633" s="2082"/>
      <c r="S633" s="2082"/>
      <c r="T633" s="2083"/>
      <c r="U633" s="2084"/>
      <c r="V633" s="2084"/>
      <c r="W633" s="2085"/>
      <c r="X633" s="2086"/>
      <c r="Y633" s="2086"/>
      <c r="Z633" s="2086"/>
      <c r="AA633" s="2086"/>
      <c r="AB633" s="2087">
        <f>IF(AND(ISBLANK(X633)=FALSE,ISNUMBER(X633)=TRUE),MIN(CalculationSheet!R53,X633,((T633/workperiod*12)/Attachment!$X$30*CalculationSheet!R53)),0)</f>
        <v>0</v>
      </c>
      <c r="AC633" s="2088"/>
      <c r="AD633" s="2088"/>
      <c r="AE633" s="2089"/>
    </row>
    <row r="634" spans="1:42">
      <c r="B634" s="2081" t="s">
        <v>381</v>
      </c>
      <c r="C634" s="2082"/>
      <c r="D634" s="2082"/>
      <c r="E634" s="2082"/>
      <c r="F634" s="2082"/>
      <c r="G634" s="2082"/>
      <c r="H634" s="2082"/>
      <c r="I634" s="2082"/>
      <c r="J634" s="2082"/>
      <c r="K634" s="2082" t="s">
        <v>381</v>
      </c>
      <c r="L634" s="2082"/>
      <c r="M634" s="2082"/>
      <c r="N634" s="2082"/>
      <c r="O634" s="2082"/>
      <c r="P634" s="2082"/>
      <c r="Q634" s="2082"/>
      <c r="R634" s="2082"/>
      <c r="S634" s="2082"/>
      <c r="T634" s="2083"/>
      <c r="U634" s="2084"/>
      <c r="V634" s="2084"/>
      <c r="W634" s="2085"/>
      <c r="X634" s="2086"/>
      <c r="Y634" s="2086"/>
      <c r="Z634" s="2086"/>
      <c r="AA634" s="2086"/>
      <c r="AB634" s="2087">
        <f>IF(AND(ISBLANK(X634)=FALSE,ISNUMBER(X634)=TRUE),MIN(CalculationSheet!R53,X634,((T634/workperiod*12)/Attachment!$X$30*CalculationSheet!R53)),0)</f>
        <v>0</v>
      </c>
      <c r="AC634" s="2088"/>
      <c r="AD634" s="2088"/>
      <c r="AE634" s="2089"/>
    </row>
    <row r="635" spans="1:42" s="679" customFormat="1" ht="13.5" thickBot="1">
      <c r="A635" s="639"/>
      <c r="B635" s="2304"/>
      <c r="C635" s="2305"/>
      <c r="D635" s="2305"/>
      <c r="E635" s="2305"/>
      <c r="F635" s="2305"/>
      <c r="G635" s="2305"/>
      <c r="H635" s="2305"/>
      <c r="I635" s="2305"/>
      <c r="J635" s="2305"/>
      <c r="K635" s="2305"/>
      <c r="L635" s="2305"/>
      <c r="M635" s="2305"/>
      <c r="N635" s="2305"/>
      <c r="O635" s="2305"/>
      <c r="P635" s="2305"/>
      <c r="Q635" s="2305"/>
      <c r="R635" s="2305"/>
      <c r="S635" s="2305"/>
      <c r="T635" s="2306"/>
      <c r="U635" s="2306"/>
      <c r="V635" s="2306"/>
      <c r="W635" s="2306"/>
      <c r="X635" s="2307"/>
      <c r="Y635" s="2307"/>
      <c r="Z635" s="2307"/>
      <c r="AA635" s="2307"/>
      <c r="AB635" s="2190"/>
      <c r="AC635" s="2191"/>
      <c r="AD635" s="2191"/>
      <c r="AE635" s="2192"/>
      <c r="AF635" s="639"/>
      <c r="AG635" s="639"/>
      <c r="AH635" s="639"/>
      <c r="AI635" s="639"/>
      <c r="AJ635" s="639"/>
      <c r="AK635" s="639"/>
      <c r="AL635" s="639"/>
      <c r="AM635" s="639"/>
      <c r="AN635" s="639"/>
      <c r="AO635" s="639"/>
      <c r="AP635" s="639"/>
    </row>
    <row r="636" spans="1:42" s="679" customFormat="1" ht="14.25" thickTop="1" thickBot="1">
      <c r="A636" s="639"/>
      <c r="B636" s="639"/>
      <c r="C636" s="639"/>
      <c r="D636" s="639"/>
      <c r="E636" s="639"/>
      <c r="F636" s="639"/>
      <c r="G636" s="639"/>
      <c r="H636" s="639"/>
      <c r="I636" s="639"/>
      <c r="J636" s="639"/>
      <c r="K636" s="680"/>
      <c r="L636" s="680"/>
      <c r="M636" s="680"/>
      <c r="N636" s="680"/>
      <c r="O636" s="680"/>
      <c r="P636" s="680"/>
      <c r="Q636" s="680"/>
      <c r="R636" s="680"/>
      <c r="S636" s="680"/>
      <c r="T636" s="681"/>
      <c r="U636" s="681"/>
      <c r="V636" s="681"/>
      <c r="W636" s="681"/>
      <c r="X636" s="681"/>
      <c r="Y636" s="681"/>
      <c r="Z636" s="681"/>
      <c r="AA636" s="681"/>
      <c r="AB636" s="682"/>
      <c r="AC636" s="682"/>
      <c r="AD636" s="682"/>
      <c r="AE636" s="682"/>
      <c r="AF636" s="639"/>
      <c r="AG636" s="639"/>
      <c r="AH636" s="639"/>
      <c r="AI636" s="639"/>
      <c r="AJ636" s="639"/>
      <c r="AK636" s="639"/>
      <c r="AL636" s="639"/>
      <c r="AM636" s="639"/>
      <c r="AN636" s="639"/>
      <c r="AO636" s="639"/>
      <c r="AP636" s="639"/>
    </row>
    <row r="637" spans="1:42" s="679" customFormat="1" ht="14.25" thickTop="1" thickBot="1">
      <c r="A637" s="639"/>
      <c r="B637" s="639"/>
      <c r="C637" s="639"/>
      <c r="D637" s="639"/>
      <c r="E637" s="639"/>
      <c r="F637" s="639"/>
      <c r="G637" s="639"/>
      <c r="H637" s="639"/>
      <c r="I637" s="639"/>
      <c r="J637" s="639"/>
      <c r="K637" s="2308" t="s">
        <v>586</v>
      </c>
      <c r="L637" s="2308"/>
      <c r="M637" s="2308"/>
      <c r="N637" s="2308"/>
      <c r="O637" s="2308"/>
      <c r="P637" s="2308"/>
      <c r="Q637" s="2308"/>
      <c r="R637" s="2308"/>
      <c r="S637" s="2309"/>
      <c r="T637" s="2310">
        <f>SUM(T619:W627)</f>
        <v>0</v>
      </c>
      <c r="U637" s="2311"/>
      <c r="V637" s="2311"/>
      <c r="W637" s="2312"/>
      <c r="X637" s="683"/>
      <c r="Y637" s="684"/>
      <c r="Z637" s="684"/>
      <c r="AA637" s="685"/>
      <c r="AB637" s="2310">
        <f>SUM(AB619:AE627)</f>
        <v>0</v>
      </c>
      <c r="AC637" s="2311"/>
      <c r="AD637" s="2311"/>
      <c r="AE637" s="2312"/>
      <c r="AF637" s="639"/>
      <c r="AG637" s="639"/>
      <c r="AH637" s="639"/>
      <c r="AI637" s="639"/>
      <c r="AJ637" s="639"/>
      <c r="AK637" s="639"/>
      <c r="AL637" s="639"/>
      <c r="AM637" s="639"/>
      <c r="AN637" s="639"/>
      <c r="AO637" s="639"/>
      <c r="AP637" s="639"/>
    </row>
    <row r="638" spans="1:42" s="679" customFormat="1" ht="13.5" thickTop="1">
      <c r="A638" s="686"/>
      <c r="B638" s="686"/>
      <c r="C638" s="686"/>
      <c r="D638" s="686"/>
      <c r="E638" s="686"/>
      <c r="F638" s="686"/>
      <c r="G638" s="686"/>
      <c r="H638" s="686"/>
      <c r="I638" s="686"/>
      <c r="J638" s="686"/>
      <c r="K638" s="686"/>
      <c r="L638" s="686"/>
      <c r="M638" s="687"/>
      <c r="N638" s="687"/>
      <c r="O638" s="687"/>
      <c r="P638" s="687"/>
      <c r="Q638" s="687"/>
      <c r="R638" s="687"/>
      <c r="S638" s="687"/>
      <c r="T638" s="687"/>
      <c r="U638" s="687"/>
      <c r="V638" s="687"/>
      <c r="W638" s="687"/>
      <c r="X638" s="687"/>
      <c r="Y638" s="687"/>
      <c r="Z638" s="687"/>
      <c r="AA638" s="687"/>
      <c r="AB638" s="687"/>
      <c r="AC638" s="688"/>
      <c r="AD638" s="688"/>
      <c r="AE638" s="688"/>
      <c r="AF638" s="688"/>
    </row>
    <row r="639" spans="1:42" s="622" customFormat="1">
      <c r="A639" s="627">
        <v>2</v>
      </c>
      <c r="B639" s="627" t="s">
        <v>587</v>
      </c>
      <c r="C639" s="628"/>
      <c r="D639" s="628"/>
      <c r="E639" s="628"/>
      <c r="F639" s="628"/>
      <c r="G639" s="628"/>
      <c r="H639" s="628"/>
      <c r="I639" s="628"/>
      <c r="J639" s="628"/>
      <c r="K639" s="689"/>
      <c r="L639" s="690"/>
      <c r="M639" s="690"/>
      <c r="N639" s="690"/>
      <c r="O639" s="690"/>
      <c r="P639" s="690"/>
      <c r="Q639" s="690"/>
      <c r="R639" s="690"/>
      <c r="S639" s="690"/>
      <c r="T639" s="690"/>
      <c r="U639" s="690"/>
      <c r="V639" s="690"/>
      <c r="W639" s="690"/>
      <c r="X639" s="690"/>
      <c r="Y639" s="690"/>
      <c r="Z639" s="690"/>
      <c r="AA639" s="690"/>
      <c r="AB639" s="690"/>
      <c r="AC639" s="690"/>
      <c r="AD639" s="690"/>
      <c r="AE639" s="690"/>
      <c r="AF639" s="628"/>
      <c r="AG639" s="628"/>
      <c r="AH639" s="628"/>
      <c r="AI639" s="628"/>
      <c r="AJ639" s="623"/>
      <c r="AK639" s="623"/>
      <c r="AL639" s="623" t="s">
        <v>381</v>
      </c>
      <c r="AM639" s="623"/>
      <c r="AN639" s="623"/>
      <c r="AO639" s="623"/>
      <c r="AP639" s="623"/>
    </row>
    <row r="640" spans="1:42" s="679" customFormat="1" ht="13.5" thickBot="1">
      <c r="C640" s="639"/>
      <c r="D640" s="639"/>
      <c r="E640" s="639"/>
      <c r="F640" s="639"/>
      <c r="G640" s="639"/>
      <c r="H640" s="639"/>
      <c r="I640" s="639"/>
      <c r="J640" s="639"/>
      <c r="K640" s="686"/>
      <c r="L640" s="680"/>
      <c r="M640" s="680"/>
      <c r="N640" s="680"/>
      <c r="O640" s="680"/>
      <c r="P640" s="680"/>
      <c r="Q640" s="680"/>
      <c r="R640" s="680"/>
      <c r="S640" s="680"/>
      <c r="T640" s="680"/>
      <c r="U640" s="680"/>
      <c r="V640" s="680"/>
      <c r="W640" s="680"/>
      <c r="X640" s="680"/>
      <c r="Y640" s="680"/>
      <c r="Z640" s="680"/>
      <c r="AA640" s="680"/>
      <c r="AB640" s="680"/>
      <c r="AC640" s="680"/>
      <c r="AD640" s="680"/>
      <c r="AE640" s="680"/>
      <c r="AF640" s="639"/>
      <c r="AG640" s="639"/>
      <c r="AH640" s="639"/>
      <c r="AI640" s="639"/>
      <c r="AJ640" s="639"/>
      <c r="AK640" s="639"/>
      <c r="AL640" s="639"/>
      <c r="AM640" s="639"/>
      <c r="AN640" s="639"/>
      <c r="AO640" s="639"/>
      <c r="AP640" s="639"/>
    </row>
    <row r="641" spans="1:42" s="679" customFormat="1" ht="14.25" thickTop="1" thickBot="1">
      <c r="B641" s="1688" t="s">
        <v>588</v>
      </c>
      <c r="C641" s="639"/>
      <c r="D641" s="639"/>
      <c r="E641" s="639"/>
      <c r="F641" s="639"/>
      <c r="G641" s="639"/>
      <c r="H641" s="639"/>
      <c r="I641" s="639"/>
      <c r="J641" s="639"/>
      <c r="K641" s="686"/>
      <c r="L641" s="680"/>
      <c r="M641" s="680"/>
      <c r="N641" s="680"/>
      <c r="O641" s="680"/>
      <c r="P641" s="680"/>
      <c r="Q641" s="680"/>
      <c r="R641" s="680"/>
      <c r="S641" s="680"/>
      <c r="T641" s="680"/>
      <c r="U641" s="680"/>
      <c r="W641" s="2294"/>
      <c r="X641" s="2295"/>
      <c r="Y641" s="2295"/>
      <c r="Z641" s="2296"/>
      <c r="AA641" s="680"/>
      <c r="AB641" s="680"/>
      <c r="AC641" s="680"/>
      <c r="AD641" s="680"/>
      <c r="AE641" s="680"/>
      <c r="AF641" s="639"/>
      <c r="AG641" s="639"/>
      <c r="AH641" s="639"/>
      <c r="AI641" s="639"/>
      <c r="AJ641" s="639"/>
      <c r="AK641" s="639"/>
      <c r="AL641" s="639"/>
      <c r="AM641" s="639"/>
      <c r="AN641" s="639"/>
      <c r="AO641" s="639"/>
      <c r="AP641" s="639"/>
    </row>
    <row r="642" spans="1:42" s="679" customFormat="1" ht="13.5" thickTop="1">
      <c r="A642" s="639"/>
      <c r="B642" s="639"/>
      <c r="C642" s="639"/>
      <c r="D642" s="639"/>
      <c r="E642" s="639"/>
      <c r="F642" s="639"/>
      <c r="G642" s="639"/>
      <c r="H642" s="639"/>
      <c r="I642" s="639"/>
      <c r="J642" s="639"/>
      <c r="K642" s="686"/>
      <c r="L642" s="680"/>
      <c r="M642" s="680"/>
      <c r="N642" s="680"/>
      <c r="O642" s="680"/>
      <c r="P642" s="680"/>
      <c r="Q642" s="680"/>
      <c r="R642" s="680"/>
      <c r="S642" s="680"/>
      <c r="T642" s="680"/>
      <c r="U642" s="680"/>
      <c r="V642" s="680"/>
      <c r="W642" s="680"/>
      <c r="X642" s="680"/>
      <c r="Y642" s="680"/>
      <c r="Z642" s="680"/>
      <c r="AA642" s="680"/>
      <c r="AB642" s="680"/>
      <c r="AC642" s="680"/>
      <c r="AD642" s="680"/>
      <c r="AE642" s="680"/>
      <c r="AF642" s="639"/>
      <c r="AG642" s="639"/>
      <c r="AH642" s="639"/>
      <c r="AI642" s="639"/>
      <c r="AJ642" s="639"/>
      <c r="AK642" s="639"/>
      <c r="AL642" s="639"/>
      <c r="AM642" s="639"/>
      <c r="AN642" s="639"/>
      <c r="AO642" s="639"/>
      <c r="AP642" s="639"/>
    </row>
    <row r="643" spans="1:42" s="626" customFormat="1">
      <c r="A643" s="625" t="s">
        <v>589</v>
      </c>
      <c r="B643" s="625"/>
    </row>
    <row r="644" spans="1:42" s="623" customFormat="1" ht="13.5" thickBot="1"/>
    <row r="645" spans="1:42" s="622" customFormat="1" ht="13.5" thickTop="1">
      <c r="A645" s="2297" t="s">
        <v>590</v>
      </c>
      <c r="B645" s="2298"/>
      <c r="C645" s="2298"/>
      <c r="D645" s="2298"/>
      <c r="E645" s="2298"/>
      <c r="F645" s="2298"/>
      <c r="G645" s="2298"/>
      <c r="H645" s="2298" t="s">
        <v>582</v>
      </c>
      <c r="I645" s="2298"/>
      <c r="J645" s="2298"/>
      <c r="K645" s="2298"/>
      <c r="L645" s="2298"/>
      <c r="M645" s="2289" t="s">
        <v>545</v>
      </c>
      <c r="N645" s="2289"/>
      <c r="O645" s="2289"/>
      <c r="P645" s="2289"/>
      <c r="Q645" s="2289"/>
      <c r="R645" s="2289"/>
      <c r="S645" s="2289"/>
      <c r="T645" s="2289"/>
      <c r="U645" s="2289"/>
      <c r="V645" s="2289"/>
      <c r="W645" s="2289"/>
      <c r="X645" s="2301"/>
      <c r="Y645" s="2301" t="s">
        <v>591</v>
      </c>
      <c r="Z645" s="2302"/>
      <c r="AA645" s="2302"/>
      <c r="AB645" s="2302"/>
      <c r="AC645" s="2302"/>
      <c r="AD645" s="2302"/>
      <c r="AE645" s="2302"/>
      <c r="AF645" s="2303"/>
    </row>
    <row r="646" spans="1:42" s="691" customFormat="1" ht="25.5" customHeight="1" thickBot="1">
      <c r="A646" s="2299"/>
      <c r="B646" s="2300"/>
      <c r="C646" s="2300"/>
      <c r="D646" s="2300"/>
      <c r="E646" s="2300"/>
      <c r="F646" s="2300"/>
      <c r="G646" s="2300"/>
      <c r="H646" s="2300"/>
      <c r="I646" s="2300"/>
      <c r="J646" s="2300"/>
      <c r="K646" s="2300"/>
      <c r="L646" s="2300"/>
      <c r="M646" s="2250" t="s">
        <v>490</v>
      </c>
      <c r="N646" s="2250"/>
      <c r="O646" s="2250"/>
      <c r="P646" s="2250"/>
      <c r="Q646" s="2250" t="s">
        <v>561</v>
      </c>
      <c r="R646" s="2250"/>
      <c r="S646" s="2250"/>
      <c r="T646" s="2250"/>
      <c r="U646" s="2250" t="s">
        <v>548</v>
      </c>
      <c r="V646" s="2250"/>
      <c r="W646" s="2250"/>
      <c r="X646" s="2251"/>
      <c r="Y646" s="2250" t="s">
        <v>490</v>
      </c>
      <c r="Z646" s="2250"/>
      <c r="AA646" s="2250"/>
      <c r="AB646" s="2250"/>
      <c r="AC646" s="2250" t="s">
        <v>592</v>
      </c>
      <c r="AD646" s="2250"/>
      <c r="AE646" s="2250"/>
      <c r="AF646" s="2254"/>
    </row>
    <row r="647" spans="1:42" s="623" customFormat="1" ht="13.5" thickTop="1">
      <c r="A647" s="2318" t="str">
        <f>K8</f>
        <v xml:space="preserve"> </v>
      </c>
      <c r="B647" s="2319"/>
      <c r="C647" s="2319"/>
      <c r="D647" s="2319"/>
      <c r="E647" s="2319"/>
      <c r="F647" s="2319"/>
      <c r="G647" s="2320"/>
      <c r="H647" s="2315" t="s">
        <v>515</v>
      </c>
      <c r="I647" s="2316"/>
      <c r="J647" s="2316"/>
      <c r="K647" s="2316"/>
      <c r="L647" s="2317"/>
      <c r="M647" s="2313">
        <f>Q33</f>
        <v>0</v>
      </c>
      <c r="N647" s="2313"/>
      <c r="O647" s="2313"/>
      <c r="P647" s="2313"/>
      <c r="Q647" s="2313">
        <f>U33</f>
        <v>0</v>
      </c>
      <c r="R647" s="2313"/>
      <c r="S647" s="2313"/>
      <c r="T647" s="2313"/>
      <c r="U647" s="2313">
        <f>AE33</f>
        <v>0</v>
      </c>
      <c r="V647" s="2313"/>
      <c r="W647" s="2313"/>
      <c r="X647" s="2314"/>
      <c r="Y647" s="692"/>
      <c r="Z647" s="693"/>
      <c r="AA647" s="693"/>
      <c r="AB647" s="694"/>
      <c r="AC647" s="695"/>
      <c r="AD647" s="695"/>
      <c r="AE647" s="695"/>
      <c r="AF647" s="696"/>
      <c r="AK647" s="623">
        <f>IF(M647=0,0,(M647*12/workperiod)/CalculationSheet!R$32*CalculationSheet!R$46)</f>
        <v>0</v>
      </c>
    </row>
    <row r="648" spans="1:42" s="623" customFormat="1">
      <c r="A648" s="2321"/>
      <c r="B648" s="2322"/>
      <c r="C648" s="2322"/>
      <c r="D648" s="2322"/>
      <c r="E648" s="2322"/>
      <c r="F648" s="2322"/>
      <c r="G648" s="2323"/>
      <c r="H648" s="2315" t="s">
        <v>593</v>
      </c>
      <c r="I648" s="2316"/>
      <c r="J648" s="2316"/>
      <c r="K648" s="2316"/>
      <c r="L648" s="2317"/>
      <c r="M648" s="2313">
        <f>Q58</f>
        <v>0</v>
      </c>
      <c r="N648" s="2313"/>
      <c r="O648" s="2313"/>
      <c r="P648" s="2313"/>
      <c r="Q648" s="2313">
        <f>U58</f>
        <v>0</v>
      </c>
      <c r="R648" s="2313"/>
      <c r="S648" s="2313"/>
      <c r="T648" s="2313"/>
      <c r="U648" s="2313">
        <f>AE58</f>
        <v>0</v>
      </c>
      <c r="V648" s="2313"/>
      <c r="W648" s="2313"/>
      <c r="X648" s="2314"/>
      <c r="Y648" s="697"/>
      <c r="Z648" s="695"/>
      <c r="AA648" s="695"/>
      <c r="AB648" s="698"/>
      <c r="AC648" s="695"/>
      <c r="AD648" s="695"/>
      <c r="AE648" s="695"/>
      <c r="AF648" s="696"/>
      <c r="AK648" s="623">
        <f>IF(M648=0,0,(M648*12/workperiod)/CalculationSheet!R$32*CalculationSheet!R$46)</f>
        <v>0</v>
      </c>
    </row>
    <row r="649" spans="1:42" s="623" customFormat="1">
      <c r="A649" s="2321"/>
      <c r="B649" s="2322"/>
      <c r="C649" s="2322"/>
      <c r="D649" s="2322"/>
      <c r="E649" s="2322"/>
      <c r="F649" s="2322"/>
      <c r="G649" s="2323"/>
      <c r="H649" s="2315" t="s">
        <v>594</v>
      </c>
      <c r="I649" s="2316"/>
      <c r="J649" s="2316"/>
      <c r="K649" s="2316"/>
      <c r="L649" s="2317"/>
      <c r="M649" s="2313">
        <f>Q83</f>
        <v>0</v>
      </c>
      <c r="N649" s="2313"/>
      <c r="O649" s="2313"/>
      <c r="P649" s="2313"/>
      <c r="Q649" s="2313">
        <f>U83</f>
        <v>0</v>
      </c>
      <c r="R649" s="2313"/>
      <c r="S649" s="2313"/>
      <c r="T649" s="2313"/>
      <c r="U649" s="2313">
        <f>AE83</f>
        <v>0</v>
      </c>
      <c r="V649" s="2313"/>
      <c r="W649" s="2313"/>
      <c r="X649" s="2314"/>
      <c r="Y649" s="697"/>
      <c r="Z649" s="695"/>
      <c r="AA649" s="695"/>
      <c r="AB649" s="698"/>
      <c r="AC649" s="695"/>
      <c r="AD649" s="695"/>
      <c r="AE649" s="695"/>
      <c r="AF649" s="696"/>
      <c r="AK649" s="623">
        <f>IF(M649=0,0,(M649*12/workperiod)/CalculationSheet!R$32*CalculationSheet!R$46)</f>
        <v>0</v>
      </c>
    </row>
    <row r="650" spans="1:42" s="623" customFormat="1">
      <c r="A650" s="2321"/>
      <c r="B650" s="2322"/>
      <c r="C650" s="2322"/>
      <c r="D650" s="2322"/>
      <c r="E650" s="2322"/>
      <c r="F650" s="2322"/>
      <c r="G650" s="2323"/>
      <c r="H650" s="2315" t="s">
        <v>595</v>
      </c>
      <c r="I650" s="2316"/>
      <c r="J650" s="2316"/>
      <c r="K650" s="2316"/>
      <c r="L650" s="2317"/>
      <c r="M650" s="2313">
        <f>IF(AB108&lt;0,0,AB108)</f>
        <v>0</v>
      </c>
      <c r="N650" s="2313"/>
      <c r="O650" s="2313"/>
      <c r="P650" s="2313"/>
      <c r="Q650" s="2313">
        <f>IF(M650=0,0,AF108)</f>
        <v>0</v>
      </c>
      <c r="R650" s="2313"/>
      <c r="S650" s="2313"/>
      <c r="T650" s="2313"/>
      <c r="U650" s="2313">
        <f>MIN(Q650,AK650)</f>
        <v>0</v>
      </c>
      <c r="V650" s="2313"/>
      <c r="W650" s="2313"/>
      <c r="X650" s="2314"/>
      <c r="Y650" s="697"/>
      <c r="Z650" s="695"/>
      <c r="AA650" s="695"/>
      <c r="AB650" s="698"/>
      <c r="AC650" s="695"/>
      <c r="AD650" s="695"/>
      <c r="AE650" s="695"/>
      <c r="AF650" s="696"/>
      <c r="AK650" s="623">
        <f>IF(M650=0,0,(M650*12/workperiod)/CalculationSheet!R$32*CalculationSheet!R$46)</f>
        <v>0</v>
      </c>
    </row>
    <row r="651" spans="1:42" s="623" customFormat="1">
      <c r="A651" s="2324"/>
      <c r="B651" s="2325"/>
      <c r="C651" s="2325"/>
      <c r="D651" s="2325"/>
      <c r="E651" s="2325"/>
      <c r="F651" s="2325"/>
      <c r="G651" s="2326"/>
      <c r="H651" s="2315" t="s">
        <v>596</v>
      </c>
      <c r="I651" s="2316"/>
      <c r="J651" s="2316"/>
      <c r="K651" s="2316"/>
      <c r="L651" s="2317"/>
      <c r="M651" s="2313">
        <f>IF(X154&lt;0,0,X154)</f>
        <v>0</v>
      </c>
      <c r="N651" s="2313"/>
      <c r="O651" s="2313"/>
      <c r="P651" s="2313"/>
      <c r="Q651" s="2313">
        <f>IF(M651=0,0,X156)</f>
        <v>0</v>
      </c>
      <c r="R651" s="2313"/>
      <c r="S651" s="2313"/>
      <c r="T651" s="2313"/>
      <c r="U651" s="2313">
        <f>MIN(Q651,AK651)</f>
        <v>0</v>
      </c>
      <c r="V651" s="2313"/>
      <c r="W651" s="2313"/>
      <c r="X651" s="2314"/>
      <c r="Y651" s="697"/>
      <c r="Z651" s="695"/>
      <c r="AA651" s="695"/>
      <c r="AB651" s="698"/>
      <c r="AC651" s="695"/>
      <c r="AD651" s="695"/>
      <c r="AE651" s="695"/>
      <c r="AF651" s="696"/>
      <c r="AK651" s="623">
        <f>IF(M651=0,0,(M651*12/workperiod)/CalculationSheet!R$32*CalculationSheet!R$46)</f>
        <v>0</v>
      </c>
    </row>
    <row r="652" spans="1:42" s="622" customFormat="1">
      <c r="A652" s="2334" t="s">
        <v>597</v>
      </c>
      <c r="B652" s="2335"/>
      <c r="C652" s="2335"/>
      <c r="D652" s="2335"/>
      <c r="E652" s="2335"/>
      <c r="F652" s="2335"/>
      <c r="G652" s="2336"/>
      <c r="H652" s="2337"/>
      <c r="I652" s="2335"/>
      <c r="J652" s="2335"/>
      <c r="K652" s="2335"/>
      <c r="L652" s="2336"/>
      <c r="M652" s="2327">
        <f>SUM(M647:P651)</f>
        <v>0</v>
      </c>
      <c r="N652" s="2327"/>
      <c r="O652" s="2327"/>
      <c r="P652" s="2327"/>
      <c r="Q652" s="2327">
        <f>SUM(Q647:T651)</f>
        <v>0</v>
      </c>
      <c r="R652" s="2327"/>
      <c r="S652" s="2327"/>
      <c r="T652" s="2327"/>
      <c r="U652" s="2327">
        <f>SUM(U647:X651)</f>
        <v>0</v>
      </c>
      <c r="V652" s="2327"/>
      <c r="W652" s="2327"/>
      <c r="X652" s="2338"/>
      <c r="Y652" s="2327">
        <f>IF(M652&lt;0,0,M652)</f>
        <v>0</v>
      </c>
      <c r="Z652" s="2327"/>
      <c r="AA652" s="2327"/>
      <c r="AB652" s="2327"/>
      <c r="AC652" s="2328">
        <f>U652</f>
        <v>0</v>
      </c>
      <c r="AD652" s="2329"/>
      <c r="AE652" s="2329"/>
      <c r="AF652" s="2330"/>
      <c r="AJ652" s="699"/>
      <c r="AK652" s="623"/>
    </row>
    <row r="653" spans="1:42" s="623" customFormat="1">
      <c r="A653" s="2331" t="str">
        <f>K159</f>
        <v xml:space="preserve"> </v>
      </c>
      <c r="B653" s="2332"/>
      <c r="C653" s="2332"/>
      <c r="D653" s="2332"/>
      <c r="E653" s="2332"/>
      <c r="F653" s="2332"/>
      <c r="G653" s="2333"/>
      <c r="H653" s="2315" t="s">
        <v>515</v>
      </c>
      <c r="I653" s="2316"/>
      <c r="J653" s="2316"/>
      <c r="K653" s="2316"/>
      <c r="L653" s="2317"/>
      <c r="M653" s="2313">
        <f>Q184</f>
        <v>0</v>
      </c>
      <c r="N653" s="2313"/>
      <c r="O653" s="2313"/>
      <c r="P653" s="2313"/>
      <c r="Q653" s="2313">
        <f>U184</f>
        <v>0</v>
      </c>
      <c r="R653" s="2313"/>
      <c r="S653" s="2313"/>
      <c r="T653" s="2313"/>
      <c r="U653" s="2313">
        <f>AE184</f>
        <v>0</v>
      </c>
      <c r="V653" s="2313"/>
      <c r="W653" s="2313"/>
      <c r="X653" s="2314"/>
      <c r="Y653" s="697"/>
      <c r="Z653" s="695"/>
      <c r="AA653" s="695"/>
      <c r="AB653" s="698"/>
      <c r="AC653" s="695"/>
      <c r="AD653" s="695"/>
      <c r="AE653" s="695"/>
      <c r="AF653" s="696"/>
      <c r="AK653" s="623">
        <f>IF(M653=0,0,(M653*12/workperiod)/CalculationSheet!R$32*CalculationSheet!R$46)</f>
        <v>0</v>
      </c>
    </row>
    <row r="654" spans="1:42" s="623" customFormat="1">
      <c r="A654" s="2321"/>
      <c r="B654" s="2322"/>
      <c r="C654" s="2322"/>
      <c r="D654" s="2322"/>
      <c r="E654" s="2322"/>
      <c r="F654" s="2322"/>
      <c r="G654" s="2323"/>
      <c r="H654" s="2315" t="s">
        <v>593</v>
      </c>
      <c r="I654" s="2316"/>
      <c r="J654" s="2316"/>
      <c r="K654" s="2316"/>
      <c r="L654" s="2317"/>
      <c r="M654" s="2313">
        <f>Q209</f>
        <v>0</v>
      </c>
      <c r="N654" s="2313"/>
      <c r="O654" s="2313"/>
      <c r="P654" s="2313"/>
      <c r="Q654" s="2313">
        <f>U209</f>
        <v>0</v>
      </c>
      <c r="R654" s="2313"/>
      <c r="S654" s="2313"/>
      <c r="T654" s="2313"/>
      <c r="U654" s="2313">
        <f>AE209</f>
        <v>0</v>
      </c>
      <c r="V654" s="2313"/>
      <c r="W654" s="2313"/>
      <c r="X654" s="2314"/>
      <c r="Y654" s="697"/>
      <c r="Z654" s="695"/>
      <c r="AA654" s="695"/>
      <c r="AB654" s="698"/>
      <c r="AC654" s="695"/>
      <c r="AD654" s="695"/>
      <c r="AE654" s="695"/>
      <c r="AF654" s="696"/>
      <c r="AK654" s="623">
        <f>IF(M654=0,0,(M654*12/workperiod)/CalculationSheet!R$32*CalculationSheet!R$46)</f>
        <v>0</v>
      </c>
    </row>
    <row r="655" spans="1:42" s="623" customFormat="1">
      <c r="A655" s="2321"/>
      <c r="B655" s="2322"/>
      <c r="C655" s="2322"/>
      <c r="D655" s="2322"/>
      <c r="E655" s="2322"/>
      <c r="F655" s="2322"/>
      <c r="G655" s="2323"/>
      <c r="H655" s="2315" t="s">
        <v>594</v>
      </c>
      <c r="I655" s="2316"/>
      <c r="J655" s="2316"/>
      <c r="K655" s="2316"/>
      <c r="L655" s="2317"/>
      <c r="M655" s="2313">
        <f>Q234</f>
        <v>0</v>
      </c>
      <c r="N655" s="2313"/>
      <c r="O655" s="2313"/>
      <c r="P655" s="2313"/>
      <c r="Q655" s="2313">
        <f>U234</f>
        <v>0</v>
      </c>
      <c r="R655" s="2313"/>
      <c r="S655" s="2313"/>
      <c r="T655" s="2313"/>
      <c r="U655" s="2313">
        <f>AE234</f>
        <v>0</v>
      </c>
      <c r="V655" s="2313"/>
      <c r="W655" s="2313"/>
      <c r="X655" s="2314"/>
      <c r="Y655" s="697"/>
      <c r="Z655" s="695"/>
      <c r="AA655" s="695"/>
      <c r="AB655" s="698"/>
      <c r="AC655" s="695"/>
      <c r="AD655" s="695"/>
      <c r="AE655" s="695"/>
      <c r="AF655" s="696"/>
      <c r="AK655" s="623">
        <f>IF(M655=0,0,(M655*12/workperiod)/CalculationSheet!R$32*CalculationSheet!R$46)</f>
        <v>0</v>
      </c>
    </row>
    <row r="656" spans="1:42" s="623" customFormat="1">
      <c r="A656" s="2321"/>
      <c r="B656" s="2322"/>
      <c r="C656" s="2322"/>
      <c r="D656" s="2322"/>
      <c r="E656" s="2322"/>
      <c r="F656" s="2322"/>
      <c r="G656" s="2323"/>
      <c r="H656" s="2315" t="s">
        <v>595</v>
      </c>
      <c r="I656" s="2316"/>
      <c r="J656" s="2316"/>
      <c r="K656" s="2316"/>
      <c r="L656" s="2317"/>
      <c r="M656" s="2313">
        <f>IF(AB259&lt;0,0,AB259)</f>
        <v>0</v>
      </c>
      <c r="N656" s="2313"/>
      <c r="O656" s="2313"/>
      <c r="P656" s="2313"/>
      <c r="Q656" s="2313">
        <f>IF(M656=0,0,AF259)</f>
        <v>0</v>
      </c>
      <c r="R656" s="2313"/>
      <c r="S656" s="2313"/>
      <c r="T656" s="2313"/>
      <c r="U656" s="2313">
        <f>MIN(Q656,AK656)</f>
        <v>0</v>
      </c>
      <c r="V656" s="2313"/>
      <c r="W656" s="2313"/>
      <c r="X656" s="2314"/>
      <c r="Y656" s="697"/>
      <c r="Z656" s="695"/>
      <c r="AA656" s="695"/>
      <c r="AB656" s="698"/>
      <c r="AC656" s="695"/>
      <c r="AD656" s="695"/>
      <c r="AE656" s="695"/>
      <c r="AF656" s="696"/>
      <c r="AK656" s="623">
        <f>IF(M656=0,0,(M656*12/workperiod)/CalculationSheet!R$32*CalculationSheet!R$46)</f>
        <v>0</v>
      </c>
    </row>
    <row r="657" spans="1:37" s="623" customFormat="1">
      <c r="A657" s="2324"/>
      <c r="B657" s="2325"/>
      <c r="C657" s="2325"/>
      <c r="D657" s="2325"/>
      <c r="E657" s="2325"/>
      <c r="F657" s="2325"/>
      <c r="G657" s="2326"/>
      <c r="H657" s="2315" t="s">
        <v>596</v>
      </c>
      <c r="I657" s="2316"/>
      <c r="J657" s="2316"/>
      <c r="K657" s="2316"/>
      <c r="L657" s="2317"/>
      <c r="M657" s="2313">
        <f>IF(X305&lt;0,0,X305 )</f>
        <v>0</v>
      </c>
      <c r="N657" s="2313"/>
      <c r="O657" s="2313"/>
      <c r="P657" s="2313"/>
      <c r="Q657" s="2313">
        <f>IF(M657=0,0,X307)</f>
        <v>0</v>
      </c>
      <c r="R657" s="2313"/>
      <c r="S657" s="2313"/>
      <c r="T657" s="2313"/>
      <c r="U657" s="2313">
        <f>MIN(Q657,AK657)</f>
        <v>0</v>
      </c>
      <c r="V657" s="2313"/>
      <c r="W657" s="2313"/>
      <c r="X657" s="2314"/>
      <c r="Y657" s="697"/>
      <c r="Z657" s="695"/>
      <c r="AA657" s="695"/>
      <c r="AB657" s="698"/>
      <c r="AC657" s="695"/>
      <c r="AD657" s="695"/>
      <c r="AE657" s="695"/>
      <c r="AF657" s="696"/>
      <c r="AK657" s="623">
        <f>IF(M657=0,0,(M657*12/workperiod)/CalculationSheet!R$32*CalculationSheet!R$46)</f>
        <v>0</v>
      </c>
    </row>
    <row r="658" spans="1:37" s="622" customFormat="1">
      <c r="A658" s="2334" t="s">
        <v>597</v>
      </c>
      <c r="B658" s="2335"/>
      <c r="C658" s="2335"/>
      <c r="D658" s="2335"/>
      <c r="E658" s="2335"/>
      <c r="F658" s="2335"/>
      <c r="G658" s="2336"/>
      <c r="H658" s="2337"/>
      <c r="I658" s="2335"/>
      <c r="J658" s="2335"/>
      <c r="K658" s="2335"/>
      <c r="L658" s="2336"/>
      <c r="M658" s="2327">
        <f>SUM(M653:P657)</f>
        <v>0</v>
      </c>
      <c r="N658" s="2327"/>
      <c r="O658" s="2327"/>
      <c r="P658" s="2327"/>
      <c r="Q658" s="2327">
        <f>SUM(Q653:T657)</f>
        <v>0</v>
      </c>
      <c r="R658" s="2327"/>
      <c r="S658" s="2327"/>
      <c r="T658" s="2327"/>
      <c r="U658" s="2327">
        <f>SUM(U653:X657)</f>
        <v>0</v>
      </c>
      <c r="V658" s="2327"/>
      <c r="W658" s="2327"/>
      <c r="X658" s="2338"/>
      <c r="Y658" s="2327">
        <f>IF(M658&lt;0,0,M658)</f>
        <v>0</v>
      </c>
      <c r="Z658" s="2327"/>
      <c r="AA658" s="2327"/>
      <c r="AB658" s="2327"/>
      <c r="AC658" s="2328">
        <f>U658</f>
        <v>0</v>
      </c>
      <c r="AD658" s="2329"/>
      <c r="AE658" s="2329"/>
      <c r="AF658" s="2330"/>
      <c r="AK658" s="623"/>
    </row>
    <row r="659" spans="1:37" s="623" customFormat="1">
      <c r="A659" s="2331" t="str">
        <f>K310</f>
        <v xml:space="preserve"> </v>
      </c>
      <c r="B659" s="2332"/>
      <c r="C659" s="2332"/>
      <c r="D659" s="2332"/>
      <c r="E659" s="2332"/>
      <c r="F659" s="2332"/>
      <c r="G659" s="2333"/>
      <c r="H659" s="2315" t="s">
        <v>515</v>
      </c>
      <c r="I659" s="2316"/>
      <c r="J659" s="2316"/>
      <c r="K659" s="2316"/>
      <c r="L659" s="2317"/>
      <c r="M659" s="2313">
        <f>Q335</f>
        <v>0</v>
      </c>
      <c r="N659" s="2313"/>
      <c r="O659" s="2313"/>
      <c r="P659" s="2313"/>
      <c r="Q659" s="2313">
        <f>U335</f>
        <v>0</v>
      </c>
      <c r="R659" s="2313"/>
      <c r="S659" s="2313"/>
      <c r="T659" s="2313"/>
      <c r="U659" s="2313">
        <f>AE335</f>
        <v>0</v>
      </c>
      <c r="V659" s="2313"/>
      <c r="W659" s="2313"/>
      <c r="X659" s="2314"/>
      <c r="Y659" s="697"/>
      <c r="Z659" s="695"/>
      <c r="AA659" s="695"/>
      <c r="AB659" s="698"/>
      <c r="AC659" s="695"/>
      <c r="AD659" s="695"/>
      <c r="AE659" s="695"/>
      <c r="AF659" s="696"/>
      <c r="AK659" s="623">
        <f>IF(M659=0,0,(M659*12/workperiod)/CalculationSheet!R$32*CalculationSheet!R$46)</f>
        <v>0</v>
      </c>
    </row>
    <row r="660" spans="1:37" s="623" customFormat="1">
      <c r="A660" s="2321"/>
      <c r="B660" s="2322"/>
      <c r="C660" s="2322"/>
      <c r="D660" s="2322"/>
      <c r="E660" s="2322"/>
      <c r="F660" s="2322"/>
      <c r="G660" s="2323"/>
      <c r="H660" s="2315" t="s">
        <v>593</v>
      </c>
      <c r="I660" s="2316"/>
      <c r="J660" s="2316"/>
      <c r="K660" s="2316"/>
      <c r="L660" s="2317"/>
      <c r="M660" s="2313">
        <f>Q360</f>
        <v>0</v>
      </c>
      <c r="N660" s="2313"/>
      <c r="O660" s="2313"/>
      <c r="P660" s="2313"/>
      <c r="Q660" s="2313">
        <f>U360</f>
        <v>0</v>
      </c>
      <c r="R660" s="2313"/>
      <c r="S660" s="2313"/>
      <c r="T660" s="2313"/>
      <c r="U660" s="2313">
        <f>AE360</f>
        <v>0</v>
      </c>
      <c r="V660" s="2313"/>
      <c r="W660" s="2313"/>
      <c r="X660" s="2314"/>
      <c r="Y660" s="697"/>
      <c r="Z660" s="695"/>
      <c r="AA660" s="695"/>
      <c r="AB660" s="698"/>
      <c r="AC660" s="695"/>
      <c r="AD660" s="695"/>
      <c r="AE660" s="695"/>
      <c r="AF660" s="696"/>
      <c r="AK660" s="623">
        <f>IF(M660=0,0,(M660*12/workperiod)/CalculationSheet!R$32*CalculationSheet!R$46)</f>
        <v>0</v>
      </c>
    </row>
    <row r="661" spans="1:37" s="623" customFormat="1">
      <c r="A661" s="2321"/>
      <c r="B661" s="2322"/>
      <c r="C661" s="2322"/>
      <c r="D661" s="2322"/>
      <c r="E661" s="2322"/>
      <c r="F661" s="2322"/>
      <c r="G661" s="2323"/>
      <c r="H661" s="2315" t="s">
        <v>594</v>
      </c>
      <c r="I661" s="2316"/>
      <c r="J661" s="2316"/>
      <c r="K661" s="2316"/>
      <c r="L661" s="2317"/>
      <c r="M661" s="2313">
        <f>Q385</f>
        <v>0</v>
      </c>
      <c r="N661" s="2313"/>
      <c r="O661" s="2313"/>
      <c r="P661" s="2313"/>
      <c r="Q661" s="2313">
        <f>U385</f>
        <v>0</v>
      </c>
      <c r="R661" s="2313"/>
      <c r="S661" s="2313"/>
      <c r="T661" s="2313"/>
      <c r="U661" s="2313">
        <f>AE385</f>
        <v>0</v>
      </c>
      <c r="V661" s="2313"/>
      <c r="W661" s="2313"/>
      <c r="X661" s="2314"/>
      <c r="Y661" s="697"/>
      <c r="Z661" s="695"/>
      <c r="AA661" s="695"/>
      <c r="AB661" s="698"/>
      <c r="AC661" s="695"/>
      <c r="AD661" s="695"/>
      <c r="AE661" s="695"/>
      <c r="AF661" s="696"/>
      <c r="AK661" s="623">
        <f>IF(M661=0,0,(M661*12/workperiod)/CalculationSheet!R$32*CalculationSheet!R$46)</f>
        <v>0</v>
      </c>
    </row>
    <row r="662" spans="1:37" s="623" customFormat="1">
      <c r="A662" s="2321"/>
      <c r="B662" s="2322"/>
      <c r="C662" s="2322"/>
      <c r="D662" s="2322"/>
      <c r="E662" s="2322"/>
      <c r="F662" s="2322"/>
      <c r="G662" s="2323"/>
      <c r="H662" s="2315" t="s">
        <v>595</v>
      </c>
      <c r="I662" s="2316"/>
      <c r="J662" s="2316"/>
      <c r="K662" s="2316"/>
      <c r="L662" s="2317"/>
      <c r="M662" s="2314">
        <f>IF(AB410&lt;0,0,AB410)</f>
        <v>0</v>
      </c>
      <c r="N662" s="2339"/>
      <c r="O662" s="2339"/>
      <c r="P662" s="2340"/>
      <c r="Q662" s="2314">
        <f>IF(M662&lt;0,0,AF410)</f>
        <v>0</v>
      </c>
      <c r="R662" s="2339"/>
      <c r="S662" s="2339"/>
      <c r="T662" s="2340"/>
      <c r="U662" s="2314">
        <f>MIN(Q662,AK662)</f>
        <v>0</v>
      </c>
      <c r="V662" s="2339"/>
      <c r="W662" s="2339"/>
      <c r="X662" s="2340"/>
      <c r="Y662" s="697"/>
      <c r="Z662" s="695"/>
      <c r="AA662" s="695"/>
      <c r="AB662" s="698"/>
      <c r="AC662" s="695"/>
      <c r="AD662" s="695"/>
      <c r="AE662" s="695"/>
      <c r="AF662" s="696"/>
      <c r="AK662" s="623">
        <f>IF(M662=0,0,(M662*12/workperiod)/CalculationSheet!R$32*CalculationSheet!R$46)</f>
        <v>0</v>
      </c>
    </row>
    <row r="663" spans="1:37" s="623" customFormat="1">
      <c r="A663" s="2324"/>
      <c r="B663" s="2325"/>
      <c r="C663" s="2325"/>
      <c r="D663" s="2325"/>
      <c r="E663" s="2325"/>
      <c r="F663" s="2325"/>
      <c r="G663" s="2326"/>
      <c r="H663" s="2315" t="s">
        <v>596</v>
      </c>
      <c r="I663" s="2316"/>
      <c r="J663" s="2316"/>
      <c r="K663" s="2316"/>
      <c r="L663" s="2317"/>
      <c r="M663" s="2341">
        <f>IF(X456&lt;0,0,X456)</f>
        <v>0</v>
      </c>
      <c r="N663" s="2342"/>
      <c r="O663" s="2342"/>
      <c r="P663" s="2343"/>
      <c r="Q663" s="2341">
        <f>IF(M663=0,0,X458)</f>
        <v>0</v>
      </c>
      <c r="R663" s="2342"/>
      <c r="S663" s="2342"/>
      <c r="T663" s="2343"/>
      <c r="U663" s="2341">
        <f>MIN(Q663,AK663)</f>
        <v>0</v>
      </c>
      <c r="V663" s="2342"/>
      <c r="W663" s="2342"/>
      <c r="X663" s="2343"/>
      <c r="Y663" s="697"/>
      <c r="Z663" s="695"/>
      <c r="AA663" s="695"/>
      <c r="AB663" s="698"/>
      <c r="AC663" s="695"/>
      <c r="AD663" s="695"/>
      <c r="AE663" s="695"/>
      <c r="AF663" s="696"/>
      <c r="AK663" s="623">
        <f>IF(M663=0,0,(M663*12/workperiod)/CalculationSheet!R$32*CalculationSheet!R$46)</f>
        <v>0</v>
      </c>
    </row>
    <row r="664" spans="1:37" s="622" customFormat="1">
      <c r="A664" s="2334" t="s">
        <v>597</v>
      </c>
      <c r="B664" s="2335"/>
      <c r="C664" s="2335"/>
      <c r="D664" s="2335"/>
      <c r="E664" s="2335"/>
      <c r="F664" s="2335"/>
      <c r="G664" s="2336"/>
      <c r="H664" s="2337"/>
      <c r="I664" s="2335"/>
      <c r="J664" s="2335"/>
      <c r="K664" s="2335"/>
      <c r="L664" s="2336"/>
      <c r="M664" s="2327">
        <f>SUM(M659:P663)</f>
        <v>0</v>
      </c>
      <c r="N664" s="2327"/>
      <c r="O664" s="2327"/>
      <c r="P664" s="2327"/>
      <c r="Q664" s="2327">
        <f>SUM(Q659:T663)</f>
        <v>0</v>
      </c>
      <c r="R664" s="2327"/>
      <c r="S664" s="2327"/>
      <c r="T664" s="2327"/>
      <c r="U664" s="2327">
        <f>SUM(U659:X663)</f>
        <v>0</v>
      </c>
      <c r="V664" s="2327"/>
      <c r="W664" s="2327"/>
      <c r="X664" s="2338"/>
      <c r="Y664" s="2327">
        <f>IF(M664&lt;0,0,M664)</f>
        <v>0</v>
      </c>
      <c r="Z664" s="2327"/>
      <c r="AA664" s="2327"/>
      <c r="AB664" s="2327"/>
      <c r="AC664" s="2328">
        <f>U664</f>
        <v>0</v>
      </c>
      <c r="AD664" s="2329"/>
      <c r="AE664" s="2329"/>
      <c r="AF664" s="2330"/>
      <c r="AK664" s="623"/>
    </row>
    <row r="665" spans="1:37" s="623" customFormat="1">
      <c r="A665" s="2331" t="str">
        <f>K461</f>
        <v xml:space="preserve"> </v>
      </c>
      <c r="B665" s="2332"/>
      <c r="C665" s="2332"/>
      <c r="D665" s="2332"/>
      <c r="E665" s="2332"/>
      <c r="F665" s="2332"/>
      <c r="G665" s="2333"/>
      <c r="H665" s="2315" t="s">
        <v>515</v>
      </c>
      <c r="I665" s="2316"/>
      <c r="J665" s="2316"/>
      <c r="K665" s="2316"/>
      <c r="L665" s="2317"/>
      <c r="M665" s="2313">
        <f>Q486</f>
        <v>0</v>
      </c>
      <c r="N665" s="2313"/>
      <c r="O665" s="2313"/>
      <c r="P665" s="2313"/>
      <c r="Q665" s="2313">
        <f>U486</f>
        <v>0</v>
      </c>
      <c r="R665" s="2313"/>
      <c r="S665" s="2313"/>
      <c r="T665" s="2313"/>
      <c r="U665" s="2313">
        <f>AE486</f>
        <v>0</v>
      </c>
      <c r="V665" s="2313"/>
      <c r="W665" s="2313"/>
      <c r="X665" s="2314"/>
      <c r="Y665" s="697"/>
      <c r="Z665" s="695"/>
      <c r="AA665" s="695"/>
      <c r="AB665" s="698"/>
      <c r="AC665" s="695"/>
      <c r="AD665" s="695"/>
      <c r="AE665" s="695"/>
      <c r="AF665" s="696"/>
      <c r="AK665" s="623">
        <f>IF(M665=0,0,(M665*12/workperiod)/CalculationSheet!R$32*CalculationSheet!R$46)</f>
        <v>0</v>
      </c>
    </row>
    <row r="666" spans="1:37" s="623" customFormat="1">
      <c r="A666" s="2321"/>
      <c r="B666" s="2322"/>
      <c r="C666" s="2322"/>
      <c r="D666" s="2322"/>
      <c r="E666" s="2322"/>
      <c r="F666" s="2322"/>
      <c r="G666" s="2323"/>
      <c r="H666" s="2315" t="s">
        <v>593</v>
      </c>
      <c r="I666" s="2316"/>
      <c r="J666" s="2316"/>
      <c r="K666" s="2316"/>
      <c r="L666" s="2317"/>
      <c r="M666" s="2313">
        <f>Q511</f>
        <v>0</v>
      </c>
      <c r="N666" s="2313"/>
      <c r="O666" s="2313"/>
      <c r="P666" s="2313"/>
      <c r="Q666" s="2313">
        <f>U511</f>
        <v>0</v>
      </c>
      <c r="R666" s="2313"/>
      <c r="S666" s="2313"/>
      <c r="T666" s="2313"/>
      <c r="U666" s="2313">
        <f>AE511</f>
        <v>0</v>
      </c>
      <c r="V666" s="2313"/>
      <c r="W666" s="2313"/>
      <c r="X666" s="2314"/>
      <c r="Y666" s="697"/>
      <c r="Z666" s="695"/>
      <c r="AA666" s="695"/>
      <c r="AB666" s="698"/>
      <c r="AC666" s="695"/>
      <c r="AD666" s="695"/>
      <c r="AE666" s="695"/>
      <c r="AF666" s="696"/>
      <c r="AK666" s="623">
        <f>IF(M666=0,0,(M666*12/workperiod)/CalculationSheet!R$32*CalculationSheet!R$46)</f>
        <v>0</v>
      </c>
    </row>
    <row r="667" spans="1:37" s="623" customFormat="1">
      <c r="A667" s="2321"/>
      <c r="B667" s="2322"/>
      <c r="C667" s="2322"/>
      <c r="D667" s="2322"/>
      <c r="E667" s="2322"/>
      <c r="F667" s="2322"/>
      <c r="G667" s="2323"/>
      <c r="H667" s="2315" t="s">
        <v>594</v>
      </c>
      <c r="I667" s="2316"/>
      <c r="J667" s="2316"/>
      <c r="K667" s="2316"/>
      <c r="L667" s="2317"/>
      <c r="M667" s="2313">
        <f>Q536</f>
        <v>0</v>
      </c>
      <c r="N667" s="2313"/>
      <c r="O667" s="2313"/>
      <c r="P667" s="2313"/>
      <c r="Q667" s="2313">
        <f>U536</f>
        <v>0</v>
      </c>
      <c r="R667" s="2313"/>
      <c r="S667" s="2313"/>
      <c r="T667" s="2313"/>
      <c r="U667" s="2313">
        <f>AE536</f>
        <v>0</v>
      </c>
      <c r="V667" s="2313"/>
      <c r="W667" s="2313"/>
      <c r="X667" s="2314"/>
      <c r="Y667" s="697"/>
      <c r="Z667" s="695"/>
      <c r="AA667" s="695"/>
      <c r="AB667" s="698"/>
      <c r="AC667" s="695"/>
      <c r="AD667" s="695"/>
      <c r="AE667" s="695"/>
      <c r="AF667" s="696"/>
      <c r="AK667" s="623">
        <f>IF(M667=0,0,(M667*12/workperiod)/CalculationSheet!R$32*CalculationSheet!R$46)</f>
        <v>0</v>
      </c>
    </row>
    <row r="668" spans="1:37" s="623" customFormat="1">
      <c r="A668" s="2321"/>
      <c r="B668" s="2322"/>
      <c r="C668" s="2322"/>
      <c r="D668" s="2322"/>
      <c r="E668" s="2322"/>
      <c r="F668" s="2322"/>
      <c r="G668" s="2323"/>
      <c r="H668" s="2315" t="s">
        <v>595</v>
      </c>
      <c r="I668" s="2316"/>
      <c r="J668" s="2316"/>
      <c r="K668" s="2316"/>
      <c r="L668" s="2317"/>
      <c r="M668" s="2313">
        <f>IF(AB561&lt;0,0,AB561)</f>
        <v>0</v>
      </c>
      <c r="N668" s="2313"/>
      <c r="O668" s="2313"/>
      <c r="P668" s="2313"/>
      <c r="Q668" s="2313">
        <f>IF(M668=0,0,AF561)</f>
        <v>0</v>
      </c>
      <c r="R668" s="2313"/>
      <c r="S668" s="2313"/>
      <c r="T668" s="2313"/>
      <c r="U668" s="2313">
        <f>MIN(Q668,AK668)</f>
        <v>0</v>
      </c>
      <c r="V668" s="2313"/>
      <c r="W668" s="2313"/>
      <c r="X668" s="2314"/>
      <c r="Y668" s="697"/>
      <c r="Z668" s="695"/>
      <c r="AA668" s="695"/>
      <c r="AB668" s="698"/>
      <c r="AC668" s="695"/>
      <c r="AD668" s="695"/>
      <c r="AE668" s="695"/>
      <c r="AF668" s="696"/>
      <c r="AK668" s="623">
        <f>IF(M668=0,0,(M668*12/workperiod)/CalculationSheet!R$32*CalculationSheet!R$46)</f>
        <v>0</v>
      </c>
    </row>
    <row r="669" spans="1:37" s="623" customFormat="1">
      <c r="A669" s="2324"/>
      <c r="B669" s="2325"/>
      <c r="C669" s="2325"/>
      <c r="D669" s="2325"/>
      <c r="E669" s="2325"/>
      <c r="F669" s="2325"/>
      <c r="G669" s="2326"/>
      <c r="H669" s="2348" t="s">
        <v>596</v>
      </c>
      <c r="I669" s="2349"/>
      <c r="J669" s="2349"/>
      <c r="K669" s="2349"/>
      <c r="L669" s="2350"/>
      <c r="M669" s="2351">
        <f>IF(X607&lt;0,0,X607)</f>
        <v>0</v>
      </c>
      <c r="N669" s="2351"/>
      <c r="O669" s="2351"/>
      <c r="P669" s="2351"/>
      <c r="Q669" s="2351">
        <f>IF(M669=0,0,X609)</f>
        <v>0</v>
      </c>
      <c r="R669" s="2351"/>
      <c r="S669" s="2351"/>
      <c r="T669" s="2351"/>
      <c r="U669" s="2351">
        <f>MIN(Q669,AK669)</f>
        <v>0</v>
      </c>
      <c r="V669" s="2351"/>
      <c r="W669" s="2351"/>
      <c r="X669" s="2341"/>
      <c r="Y669" s="697"/>
      <c r="Z669" s="695"/>
      <c r="AA669" s="695"/>
      <c r="AB669" s="698"/>
      <c r="AC669" s="695"/>
      <c r="AD669" s="695"/>
      <c r="AE669" s="695"/>
      <c r="AF669" s="696"/>
      <c r="AK669" s="623">
        <f>IF(M669=0,0,(M669*12/workperiod)/CalculationSheet!R$32*CalculationSheet!R$46)</f>
        <v>0</v>
      </c>
    </row>
    <row r="670" spans="1:37" s="622" customFormat="1" ht="13.5" thickBot="1">
      <c r="A670" s="2334" t="s">
        <v>597</v>
      </c>
      <c r="B670" s="2335"/>
      <c r="C670" s="2335"/>
      <c r="D670" s="2335"/>
      <c r="E670" s="2335"/>
      <c r="F670" s="2335"/>
      <c r="G670" s="2336"/>
      <c r="H670" s="2337"/>
      <c r="I670" s="2335"/>
      <c r="J670" s="2335"/>
      <c r="K670" s="2335"/>
      <c r="L670" s="2336"/>
      <c r="M670" s="2327">
        <f>SUM(M665:P669)</f>
        <v>0</v>
      </c>
      <c r="N670" s="2327"/>
      <c r="O670" s="2327"/>
      <c r="P670" s="2327"/>
      <c r="Q670" s="2327">
        <f>SUM(Q665:T669)</f>
        <v>0</v>
      </c>
      <c r="R670" s="2327"/>
      <c r="S670" s="2327"/>
      <c r="T670" s="2327"/>
      <c r="U670" s="2327">
        <f>SUM(U665:X669)</f>
        <v>0</v>
      </c>
      <c r="V670" s="2327"/>
      <c r="W670" s="2327"/>
      <c r="X670" s="2338"/>
      <c r="Y670" s="2344">
        <f>IF(M670&lt;0,0,M670)</f>
        <v>0</v>
      </c>
      <c r="Z670" s="2344"/>
      <c r="AA670" s="2344"/>
      <c r="AB670" s="2344"/>
      <c r="AC670" s="2328">
        <f>U670</f>
        <v>0</v>
      </c>
      <c r="AD670" s="2329"/>
      <c r="AE670" s="2329"/>
      <c r="AF670" s="2330"/>
    </row>
    <row r="671" spans="1:37" s="623" customFormat="1" ht="14.25" thickTop="1" thickBot="1">
      <c r="A671" s="1766" t="s">
        <v>469</v>
      </c>
      <c r="B671" s="700"/>
      <c r="C671" s="700"/>
      <c r="D671" s="700"/>
      <c r="E671" s="700"/>
      <c r="F671" s="700"/>
      <c r="G671" s="700"/>
      <c r="H671" s="700"/>
      <c r="I671" s="700"/>
      <c r="J671" s="700"/>
      <c r="K671" s="700"/>
      <c r="L671" s="700"/>
      <c r="M671" s="700"/>
      <c r="N671" s="700"/>
      <c r="O671" s="700"/>
      <c r="P671" s="700"/>
      <c r="Q671" s="700"/>
      <c r="R671" s="700"/>
      <c r="S671" s="700"/>
      <c r="T671" s="700"/>
      <c r="U671" s="700"/>
      <c r="V671" s="700"/>
      <c r="W671" s="700"/>
      <c r="X671" s="700"/>
      <c r="Y671" s="2345">
        <f>SUM(Y647:AB670)</f>
        <v>0</v>
      </c>
      <c r="Z671" s="2346"/>
      <c r="AA671" s="2346"/>
      <c r="AB671" s="2347"/>
      <c r="AC671" s="2345">
        <f>AC652+AC658+AC664+AC670</f>
        <v>0</v>
      </c>
      <c r="AD671" s="2346"/>
      <c r="AE671" s="2346"/>
      <c r="AF671" s="2347"/>
    </row>
    <row r="672" spans="1:37" ht="13.5" thickTop="1"/>
    <row r="673" spans="1:1">
      <c r="A673" s="679"/>
    </row>
  </sheetData>
  <sheetProtection formatCells="0" formatColumns="0" formatRows="0" sort="0" autoFilter="0" pivotTables="0"/>
  <mergeCells count="3756">
    <mergeCell ref="U664:X664"/>
    <mergeCell ref="Y670:AB670"/>
    <mergeCell ref="AC670:AF670"/>
    <mergeCell ref="Y671:AB671"/>
    <mergeCell ref="AC671:AF671"/>
    <mergeCell ref="H669:L669"/>
    <mergeCell ref="M669:P669"/>
    <mergeCell ref="Q669:T669"/>
    <mergeCell ref="U669:X669"/>
    <mergeCell ref="A670:G670"/>
    <mergeCell ref="H670:L670"/>
    <mergeCell ref="M670:P670"/>
    <mergeCell ref="Q670:T670"/>
    <mergeCell ref="U670:X670"/>
    <mergeCell ref="U666:X666"/>
    <mergeCell ref="H667:L667"/>
    <mergeCell ref="M667:P667"/>
    <mergeCell ref="Q667:T667"/>
    <mergeCell ref="U667:X667"/>
    <mergeCell ref="H668:L668"/>
    <mergeCell ref="M668:P668"/>
    <mergeCell ref="Q668:T668"/>
    <mergeCell ref="U668:X668"/>
    <mergeCell ref="H662:L662"/>
    <mergeCell ref="M662:P662"/>
    <mergeCell ref="Q662:T662"/>
    <mergeCell ref="U662:X662"/>
    <mergeCell ref="Y658:AB658"/>
    <mergeCell ref="AC658:AF658"/>
    <mergeCell ref="A659:G663"/>
    <mergeCell ref="H659:L659"/>
    <mergeCell ref="M659:P659"/>
    <mergeCell ref="Q659:T659"/>
    <mergeCell ref="U659:X659"/>
    <mergeCell ref="H660:L660"/>
    <mergeCell ref="M660:P660"/>
    <mergeCell ref="Q660:T660"/>
    <mergeCell ref="Y664:AB664"/>
    <mergeCell ref="AC664:AF664"/>
    <mergeCell ref="A665:G669"/>
    <mergeCell ref="H665:L665"/>
    <mergeCell ref="M665:P665"/>
    <mergeCell ref="Q665:T665"/>
    <mergeCell ref="U665:X665"/>
    <mergeCell ref="H666:L666"/>
    <mergeCell ref="M666:P666"/>
    <mergeCell ref="Q666:T666"/>
    <mergeCell ref="H663:L663"/>
    <mergeCell ref="M663:P663"/>
    <mergeCell ref="Q663:T663"/>
    <mergeCell ref="U663:X663"/>
    <mergeCell ref="A664:G664"/>
    <mergeCell ref="H664:L664"/>
    <mergeCell ref="M664:P664"/>
    <mergeCell ref="Q664:T664"/>
    <mergeCell ref="A658:G658"/>
    <mergeCell ref="H658:L658"/>
    <mergeCell ref="M658:P658"/>
    <mergeCell ref="Q658:T658"/>
    <mergeCell ref="U658:X658"/>
    <mergeCell ref="U654:X654"/>
    <mergeCell ref="H655:L655"/>
    <mergeCell ref="M655:P655"/>
    <mergeCell ref="Q655:T655"/>
    <mergeCell ref="U655:X655"/>
    <mergeCell ref="H656:L656"/>
    <mergeCell ref="M656:P656"/>
    <mergeCell ref="Q656:T656"/>
    <mergeCell ref="U656:X656"/>
    <mergeCell ref="U660:X660"/>
    <mergeCell ref="H661:L661"/>
    <mergeCell ref="M661:P661"/>
    <mergeCell ref="Q661:T661"/>
    <mergeCell ref="U661:X661"/>
    <mergeCell ref="Y652:AB652"/>
    <mergeCell ref="AC652:AF652"/>
    <mergeCell ref="A653:G657"/>
    <mergeCell ref="H653:L653"/>
    <mergeCell ref="M653:P653"/>
    <mergeCell ref="Q653:T653"/>
    <mergeCell ref="U653:X653"/>
    <mergeCell ref="H654:L654"/>
    <mergeCell ref="M654:P654"/>
    <mergeCell ref="Q654:T654"/>
    <mergeCell ref="H651:L651"/>
    <mergeCell ref="M651:P651"/>
    <mergeCell ref="Q651:T651"/>
    <mergeCell ref="U651:X651"/>
    <mergeCell ref="A652:G652"/>
    <mergeCell ref="H652:L652"/>
    <mergeCell ref="M652:P652"/>
    <mergeCell ref="Q652:T652"/>
    <mergeCell ref="U652:X652"/>
    <mergeCell ref="H657:L657"/>
    <mergeCell ref="M657:P657"/>
    <mergeCell ref="Q657:T657"/>
    <mergeCell ref="U657:X657"/>
    <mergeCell ref="M649:P649"/>
    <mergeCell ref="Q649:T649"/>
    <mergeCell ref="U649:X649"/>
    <mergeCell ref="H650:L650"/>
    <mergeCell ref="M650:P650"/>
    <mergeCell ref="Q650:T650"/>
    <mergeCell ref="U650:X650"/>
    <mergeCell ref="A647:G651"/>
    <mergeCell ref="H647:L647"/>
    <mergeCell ref="M647:P647"/>
    <mergeCell ref="Q647:T647"/>
    <mergeCell ref="U647:X647"/>
    <mergeCell ref="H648:L648"/>
    <mergeCell ref="M648:P648"/>
    <mergeCell ref="Q648:T648"/>
    <mergeCell ref="U648:X648"/>
    <mergeCell ref="H649:L649"/>
    <mergeCell ref="W641:Z641"/>
    <mergeCell ref="A645:G646"/>
    <mergeCell ref="H645:L646"/>
    <mergeCell ref="M645:X645"/>
    <mergeCell ref="Y645:AF645"/>
    <mergeCell ref="M646:P646"/>
    <mergeCell ref="Q646:T646"/>
    <mergeCell ref="U646:X646"/>
    <mergeCell ref="Y646:AB646"/>
    <mergeCell ref="AC646:AF646"/>
    <mergeCell ref="B635:J635"/>
    <mergeCell ref="K635:S635"/>
    <mergeCell ref="T635:W635"/>
    <mergeCell ref="X635:AA635"/>
    <mergeCell ref="AB635:AE635"/>
    <mergeCell ref="K637:S637"/>
    <mergeCell ref="T637:W637"/>
    <mergeCell ref="AB637:AE637"/>
    <mergeCell ref="B626:J626"/>
    <mergeCell ref="K626:S626"/>
    <mergeCell ref="T626:W626"/>
    <mergeCell ref="X626:AA626"/>
    <mergeCell ref="AB626:AE626"/>
    <mergeCell ref="B627:J627"/>
    <mergeCell ref="K627:S627"/>
    <mergeCell ref="T627:W627"/>
    <mergeCell ref="X627:AA627"/>
    <mergeCell ref="AB627:AE627"/>
    <mergeCell ref="B624:J624"/>
    <mergeCell ref="K624:S624"/>
    <mergeCell ref="T624:W624"/>
    <mergeCell ref="X624:AA624"/>
    <mergeCell ref="AB624:AE624"/>
    <mergeCell ref="B625:J625"/>
    <mergeCell ref="K625:S625"/>
    <mergeCell ref="T625:W625"/>
    <mergeCell ref="X625:AA625"/>
    <mergeCell ref="AB625:AE625"/>
    <mergeCell ref="B622:J622"/>
    <mergeCell ref="K622:S622"/>
    <mergeCell ref="T622:W622"/>
    <mergeCell ref="X622:AA622"/>
    <mergeCell ref="AB622:AE622"/>
    <mergeCell ref="B623:J623"/>
    <mergeCell ref="K623:S623"/>
    <mergeCell ref="T623:W623"/>
    <mergeCell ref="X623:AA623"/>
    <mergeCell ref="AB623:AE623"/>
    <mergeCell ref="B620:J620"/>
    <mergeCell ref="K620:S620"/>
    <mergeCell ref="T620:W620"/>
    <mergeCell ref="X620:AA620"/>
    <mergeCell ref="AB620:AE620"/>
    <mergeCell ref="B621:J621"/>
    <mergeCell ref="K621:S621"/>
    <mergeCell ref="T621:W621"/>
    <mergeCell ref="X621:AA621"/>
    <mergeCell ref="AB621:AE621"/>
    <mergeCell ref="C593:J593"/>
    <mergeCell ref="K593:L593"/>
    <mergeCell ref="M593:O593"/>
    <mergeCell ref="P593:T593"/>
    <mergeCell ref="U593:W593"/>
    <mergeCell ref="X593:AB593"/>
    <mergeCell ref="C594:J594"/>
    <mergeCell ref="K594:L594"/>
    <mergeCell ref="M594:O594"/>
    <mergeCell ref="P594:T594"/>
    <mergeCell ref="U594:W594"/>
    <mergeCell ref="X618:AA618"/>
    <mergeCell ref="AB618:AE618"/>
    <mergeCell ref="B619:J619"/>
    <mergeCell ref="K619:S619"/>
    <mergeCell ref="T619:W619"/>
    <mergeCell ref="X619:AA619"/>
    <mergeCell ref="AB619:AE619"/>
    <mergeCell ref="P607:T607"/>
    <mergeCell ref="X607:AB607"/>
    <mergeCell ref="P609:T609"/>
    <mergeCell ref="U609:W609"/>
    <mergeCell ref="X609:AB609"/>
    <mergeCell ref="B616:J618"/>
    <mergeCell ref="K616:S618"/>
    <mergeCell ref="T616:AE616"/>
    <mergeCell ref="T617:W618"/>
    <mergeCell ref="X617:AE617"/>
    <mergeCell ref="P598:T598"/>
    <mergeCell ref="X598:AB598"/>
    <mergeCell ref="P602:T602"/>
    <mergeCell ref="P603:T603"/>
    <mergeCell ref="C575:J575"/>
    <mergeCell ref="K575:L575"/>
    <mergeCell ref="M575:O575"/>
    <mergeCell ref="P575:T575"/>
    <mergeCell ref="U575:W575"/>
    <mergeCell ref="X575:AB575"/>
    <mergeCell ref="C576:J576"/>
    <mergeCell ref="K576:L576"/>
    <mergeCell ref="C588:J588"/>
    <mergeCell ref="K588:L588"/>
    <mergeCell ref="M588:O588"/>
    <mergeCell ref="P588:T588"/>
    <mergeCell ref="U588:W588"/>
    <mergeCell ref="X588:AB588"/>
    <mergeCell ref="C587:J587"/>
    <mergeCell ref="K587:L587"/>
    <mergeCell ref="M587:O587"/>
    <mergeCell ref="P587:T587"/>
    <mergeCell ref="U587:W587"/>
    <mergeCell ref="X587:AB587"/>
    <mergeCell ref="P582:T582"/>
    <mergeCell ref="X582:AB582"/>
    <mergeCell ref="C586:J586"/>
    <mergeCell ref="K586:L586"/>
    <mergeCell ref="M586:O586"/>
    <mergeCell ref="P586:T586"/>
    <mergeCell ref="M576:O576"/>
    <mergeCell ref="P576:T576"/>
    <mergeCell ref="U576:W576"/>
    <mergeCell ref="X576:AB576"/>
    <mergeCell ref="V561:Y561"/>
    <mergeCell ref="AB561:AE561"/>
    <mergeCell ref="AF561:AI561"/>
    <mergeCell ref="C573:J573"/>
    <mergeCell ref="K573:L573"/>
    <mergeCell ref="M573:O573"/>
    <mergeCell ref="P573:T573"/>
    <mergeCell ref="U573:W573"/>
    <mergeCell ref="X573:AB573"/>
    <mergeCell ref="C572:J572"/>
    <mergeCell ref="K572:L572"/>
    <mergeCell ref="M572:O572"/>
    <mergeCell ref="P572:T572"/>
    <mergeCell ref="U572:W572"/>
    <mergeCell ref="X572:AB572"/>
    <mergeCell ref="C574:J574"/>
    <mergeCell ref="K574:L574"/>
    <mergeCell ref="M574:O574"/>
    <mergeCell ref="P574:T574"/>
    <mergeCell ref="U574:W574"/>
    <mergeCell ref="X574:AB574"/>
    <mergeCell ref="B549:E549"/>
    <mergeCell ref="F549:G549"/>
    <mergeCell ref="H549:J549"/>
    <mergeCell ref="K549:N549"/>
    <mergeCell ref="O549:Q549"/>
    <mergeCell ref="R549:U549"/>
    <mergeCell ref="B551:E551"/>
    <mergeCell ref="F551:G551"/>
    <mergeCell ref="H551:J551"/>
    <mergeCell ref="K551:N551"/>
    <mergeCell ref="O551:Q551"/>
    <mergeCell ref="R551:U551"/>
    <mergeCell ref="V551:Y551"/>
    <mergeCell ref="Z551:AA551"/>
    <mergeCell ref="AB551:AE551"/>
    <mergeCell ref="AF551:AI551"/>
    <mergeCell ref="B552:E552"/>
    <mergeCell ref="F552:G552"/>
    <mergeCell ref="H552:J552"/>
    <mergeCell ref="K552:N552"/>
    <mergeCell ref="O552:Q552"/>
    <mergeCell ref="R552:U552"/>
    <mergeCell ref="V552:Y552"/>
    <mergeCell ref="Z552:AA552"/>
    <mergeCell ref="AB552:AE552"/>
    <mergeCell ref="AF552:AI552"/>
    <mergeCell ref="V547:Y547"/>
    <mergeCell ref="Z547:AA547"/>
    <mergeCell ref="AB547:AE547"/>
    <mergeCell ref="AF547:AI547"/>
    <mergeCell ref="B548:E548"/>
    <mergeCell ref="F548:G548"/>
    <mergeCell ref="H548:J548"/>
    <mergeCell ref="K548:N548"/>
    <mergeCell ref="O548:Q548"/>
    <mergeCell ref="R548:U548"/>
    <mergeCell ref="V546:Y546"/>
    <mergeCell ref="Z546:AA546"/>
    <mergeCell ref="AB546:AE546"/>
    <mergeCell ref="AF546:AI546"/>
    <mergeCell ref="B547:E547"/>
    <mergeCell ref="F547:G547"/>
    <mergeCell ref="H547:J547"/>
    <mergeCell ref="K547:N547"/>
    <mergeCell ref="O547:Q547"/>
    <mergeCell ref="R547:U547"/>
    <mergeCell ref="V548:Y548"/>
    <mergeCell ref="Z548:AA548"/>
    <mergeCell ref="AB548:AE548"/>
    <mergeCell ref="AF548:AI548"/>
    <mergeCell ref="V545:Y545"/>
    <mergeCell ref="Z545:AA545"/>
    <mergeCell ref="AB545:AE545"/>
    <mergeCell ref="AF545:AI545"/>
    <mergeCell ref="B546:E546"/>
    <mergeCell ref="F546:G546"/>
    <mergeCell ref="H546:J546"/>
    <mergeCell ref="K546:N546"/>
    <mergeCell ref="O546:Q546"/>
    <mergeCell ref="R546:U546"/>
    <mergeCell ref="V544:Y544"/>
    <mergeCell ref="Z544:AA544"/>
    <mergeCell ref="AB544:AE544"/>
    <mergeCell ref="AF544:AI544"/>
    <mergeCell ref="B545:E545"/>
    <mergeCell ref="F545:G545"/>
    <mergeCell ref="H545:J545"/>
    <mergeCell ref="K545:N545"/>
    <mergeCell ref="O545:Q545"/>
    <mergeCell ref="R545:U545"/>
    <mergeCell ref="V543:Y543"/>
    <mergeCell ref="Z543:AA543"/>
    <mergeCell ref="AB543:AE543"/>
    <mergeCell ref="AF543:AI543"/>
    <mergeCell ref="B544:E544"/>
    <mergeCell ref="F544:G544"/>
    <mergeCell ref="H544:J544"/>
    <mergeCell ref="K544:N544"/>
    <mergeCell ref="O544:Q544"/>
    <mergeCell ref="R544:U544"/>
    <mergeCell ref="B543:E543"/>
    <mergeCell ref="F543:G543"/>
    <mergeCell ref="H543:J543"/>
    <mergeCell ref="K543:N543"/>
    <mergeCell ref="O543:Q543"/>
    <mergeCell ref="R543:U543"/>
    <mergeCell ref="F542:G542"/>
    <mergeCell ref="H542:J542"/>
    <mergeCell ref="K542:N542"/>
    <mergeCell ref="R542:U542"/>
    <mergeCell ref="V542:Y542"/>
    <mergeCell ref="AF542:AI542"/>
    <mergeCell ref="AB540:AI540"/>
    <mergeCell ref="K541:N541"/>
    <mergeCell ref="O541:Q541"/>
    <mergeCell ref="R541:U541"/>
    <mergeCell ref="V541:Y541"/>
    <mergeCell ref="AB541:AE541"/>
    <mergeCell ref="AF541:AI541"/>
    <mergeCell ref="A540:A541"/>
    <mergeCell ref="B540:E541"/>
    <mergeCell ref="F540:G541"/>
    <mergeCell ref="H540:J541"/>
    <mergeCell ref="K540:Y540"/>
    <mergeCell ref="Z540:AA541"/>
    <mergeCell ref="U533:X533"/>
    <mergeCell ref="Y533:Z533"/>
    <mergeCell ref="AA533:AD533"/>
    <mergeCell ref="AE533:AH533"/>
    <mergeCell ref="G536:J536"/>
    <mergeCell ref="K536:N536"/>
    <mergeCell ref="Q536:T536"/>
    <mergeCell ref="U536:X536"/>
    <mergeCell ref="AA536:AD536"/>
    <mergeCell ref="AE536:AH536"/>
    <mergeCell ref="U531:X531"/>
    <mergeCell ref="Y531:Z531"/>
    <mergeCell ref="AA531:AD531"/>
    <mergeCell ref="AE531:AH531"/>
    <mergeCell ref="B533:D533"/>
    <mergeCell ref="E533:F533"/>
    <mergeCell ref="G533:J533"/>
    <mergeCell ref="K533:N533"/>
    <mergeCell ref="O533:P533"/>
    <mergeCell ref="Q533:T533"/>
    <mergeCell ref="U530:X530"/>
    <mergeCell ref="Y530:Z530"/>
    <mergeCell ref="AA530:AD530"/>
    <mergeCell ref="AE530:AH530"/>
    <mergeCell ref="B531:D531"/>
    <mergeCell ref="E531:F531"/>
    <mergeCell ref="G531:J531"/>
    <mergeCell ref="K531:N531"/>
    <mergeCell ref="O531:P531"/>
    <mergeCell ref="Q531:T531"/>
    <mergeCell ref="B532:D532"/>
    <mergeCell ref="E532:F532"/>
    <mergeCell ref="G532:J532"/>
    <mergeCell ref="K532:N532"/>
    <mergeCell ref="O532:P532"/>
    <mergeCell ref="Q532:T532"/>
    <mergeCell ref="U532:X532"/>
    <mergeCell ref="Y532:Z532"/>
    <mergeCell ref="AA532:AD532"/>
    <mergeCell ref="AE532:AH532"/>
    <mergeCell ref="U529:X529"/>
    <mergeCell ref="Y529:Z529"/>
    <mergeCell ref="AA529:AD529"/>
    <mergeCell ref="AE529:AH529"/>
    <mergeCell ref="B530:D530"/>
    <mergeCell ref="E530:F530"/>
    <mergeCell ref="G530:J530"/>
    <mergeCell ref="K530:N530"/>
    <mergeCell ref="O530:P530"/>
    <mergeCell ref="Q530:T530"/>
    <mergeCell ref="U528:X528"/>
    <mergeCell ref="Y528:Z528"/>
    <mergeCell ref="AA528:AD528"/>
    <mergeCell ref="AE528:AH528"/>
    <mergeCell ref="B529:D529"/>
    <mergeCell ref="E529:F529"/>
    <mergeCell ref="G529:J529"/>
    <mergeCell ref="K529:N529"/>
    <mergeCell ref="O529:P529"/>
    <mergeCell ref="Q529:T529"/>
    <mergeCell ref="U527:X527"/>
    <mergeCell ref="Y527:Z527"/>
    <mergeCell ref="AA527:AD527"/>
    <mergeCell ref="AE527:AH527"/>
    <mergeCell ref="B528:D528"/>
    <mergeCell ref="E528:F528"/>
    <mergeCell ref="G528:J528"/>
    <mergeCell ref="K528:N528"/>
    <mergeCell ref="O528:P528"/>
    <mergeCell ref="Q528:T528"/>
    <mergeCell ref="U526:X526"/>
    <mergeCell ref="Y526:Z526"/>
    <mergeCell ref="AA526:AD526"/>
    <mergeCell ref="AE526:AH526"/>
    <mergeCell ref="B527:D527"/>
    <mergeCell ref="E527:F527"/>
    <mergeCell ref="G527:J527"/>
    <mergeCell ref="K527:N527"/>
    <mergeCell ref="O527:P527"/>
    <mergeCell ref="Q527:T527"/>
    <mergeCell ref="U525:X525"/>
    <mergeCell ref="Y525:Z525"/>
    <mergeCell ref="AA525:AD525"/>
    <mergeCell ref="AE525:AH525"/>
    <mergeCell ref="B526:D526"/>
    <mergeCell ref="E526:F526"/>
    <mergeCell ref="G526:J526"/>
    <mergeCell ref="K526:N526"/>
    <mergeCell ref="O526:P526"/>
    <mergeCell ref="Q526:T526"/>
    <mergeCell ref="U524:X524"/>
    <mergeCell ref="Y524:Z524"/>
    <mergeCell ref="AA524:AD524"/>
    <mergeCell ref="AE524:AH524"/>
    <mergeCell ref="B525:D525"/>
    <mergeCell ref="E525:F525"/>
    <mergeCell ref="G525:J525"/>
    <mergeCell ref="K525:N525"/>
    <mergeCell ref="O525:P525"/>
    <mergeCell ref="Q525:T525"/>
    <mergeCell ref="U523:X523"/>
    <mergeCell ref="Y523:Z523"/>
    <mergeCell ref="AA523:AD523"/>
    <mergeCell ref="AE523:AH523"/>
    <mergeCell ref="B524:D524"/>
    <mergeCell ref="E524:F524"/>
    <mergeCell ref="G524:J524"/>
    <mergeCell ref="K524:N524"/>
    <mergeCell ref="O524:P524"/>
    <mergeCell ref="Q524:T524"/>
    <mergeCell ref="U522:X522"/>
    <mergeCell ref="Y522:Z522"/>
    <mergeCell ref="AA522:AD522"/>
    <mergeCell ref="AE522:AH522"/>
    <mergeCell ref="B523:D523"/>
    <mergeCell ref="E523:F523"/>
    <mergeCell ref="G523:J523"/>
    <mergeCell ref="K523:N523"/>
    <mergeCell ref="O523:P523"/>
    <mergeCell ref="Q523:T523"/>
    <mergeCell ref="B522:D522"/>
    <mergeCell ref="E522:F522"/>
    <mergeCell ref="G522:J522"/>
    <mergeCell ref="K522:N522"/>
    <mergeCell ref="O522:P522"/>
    <mergeCell ref="Q522:T522"/>
    <mergeCell ref="U520:X520"/>
    <mergeCell ref="Y520:Z520"/>
    <mergeCell ref="AA520:AD520"/>
    <mergeCell ref="AE520:AH520"/>
    <mergeCell ref="B521:D521"/>
    <mergeCell ref="E521:F521"/>
    <mergeCell ref="G521:J521"/>
    <mergeCell ref="K521:N521"/>
    <mergeCell ref="O521:P521"/>
    <mergeCell ref="Q521:T521"/>
    <mergeCell ref="O520:P520"/>
    <mergeCell ref="Q520:T520"/>
    <mergeCell ref="K518:N518"/>
    <mergeCell ref="O518:P518"/>
    <mergeCell ref="Q518:T518"/>
    <mergeCell ref="A515:A516"/>
    <mergeCell ref="B515:D516"/>
    <mergeCell ref="E515:F516"/>
    <mergeCell ref="G515:N515"/>
    <mergeCell ref="O515:P516"/>
    <mergeCell ref="Q515:X515"/>
    <mergeCell ref="Y515:Z516"/>
    <mergeCell ref="AA515:AD516"/>
    <mergeCell ref="AE515:AH516"/>
    <mergeCell ref="G516:J516"/>
    <mergeCell ref="K516:N516"/>
    <mergeCell ref="Q516:T516"/>
    <mergeCell ref="U516:X516"/>
    <mergeCell ref="U521:X521"/>
    <mergeCell ref="Y521:Z521"/>
    <mergeCell ref="AA521:AD521"/>
    <mergeCell ref="AE521:AH521"/>
    <mergeCell ref="U508:X508"/>
    <mergeCell ref="Y508:Z508"/>
    <mergeCell ref="AA508:AD508"/>
    <mergeCell ref="AE508:AH508"/>
    <mergeCell ref="G511:J511"/>
    <mergeCell ref="K511:N511"/>
    <mergeCell ref="Q511:T511"/>
    <mergeCell ref="U511:X511"/>
    <mergeCell ref="AA511:AD511"/>
    <mergeCell ref="AE511:AH511"/>
    <mergeCell ref="U519:X519"/>
    <mergeCell ref="Y519:Z519"/>
    <mergeCell ref="AA519:AD519"/>
    <mergeCell ref="AE519:AH519"/>
    <mergeCell ref="U498:X498"/>
    <mergeCell ref="Y498:Z498"/>
    <mergeCell ref="AA498:AD498"/>
    <mergeCell ref="AE498:AH498"/>
    <mergeCell ref="O499:P499"/>
    <mergeCell ref="Q499:T499"/>
    <mergeCell ref="U499:X499"/>
    <mergeCell ref="Y499:Z499"/>
    <mergeCell ref="AA499:AD499"/>
    <mergeCell ref="AE499:AH499"/>
    <mergeCell ref="G501:J501"/>
    <mergeCell ref="K501:N501"/>
    <mergeCell ref="O501:P501"/>
    <mergeCell ref="Q501:T501"/>
    <mergeCell ref="U501:X501"/>
    <mergeCell ref="Y501:Z501"/>
    <mergeCell ref="AA501:AD501"/>
    <mergeCell ref="AE501:AH501"/>
    <mergeCell ref="B508:D508"/>
    <mergeCell ref="E508:F508"/>
    <mergeCell ref="G508:J508"/>
    <mergeCell ref="K508:N508"/>
    <mergeCell ref="O508:P508"/>
    <mergeCell ref="Q508:T508"/>
    <mergeCell ref="U497:X497"/>
    <mergeCell ref="Y497:Z497"/>
    <mergeCell ref="AA497:AD497"/>
    <mergeCell ref="AE497:AH497"/>
    <mergeCell ref="B498:D498"/>
    <mergeCell ref="E498:F498"/>
    <mergeCell ref="G498:J498"/>
    <mergeCell ref="K498:N498"/>
    <mergeCell ref="O498:P498"/>
    <mergeCell ref="Q498:T498"/>
    <mergeCell ref="B500:D500"/>
    <mergeCell ref="E500:F500"/>
    <mergeCell ref="G500:J500"/>
    <mergeCell ref="K500:N500"/>
    <mergeCell ref="O500:P500"/>
    <mergeCell ref="Q500:T500"/>
    <mergeCell ref="U500:X500"/>
    <mergeCell ref="Y500:Z500"/>
    <mergeCell ref="AA500:AD500"/>
    <mergeCell ref="AE500:AH500"/>
    <mergeCell ref="B501:D501"/>
    <mergeCell ref="E501:F501"/>
    <mergeCell ref="B499:D499"/>
    <mergeCell ref="E499:F499"/>
    <mergeCell ref="G499:J499"/>
    <mergeCell ref="K499:N499"/>
    <mergeCell ref="U496:X496"/>
    <mergeCell ref="Y496:Z496"/>
    <mergeCell ref="AA496:AD496"/>
    <mergeCell ref="AE496:AH496"/>
    <mergeCell ref="B497:D497"/>
    <mergeCell ref="E497:F497"/>
    <mergeCell ref="G497:J497"/>
    <mergeCell ref="K497:N497"/>
    <mergeCell ref="O497:P497"/>
    <mergeCell ref="Q497:T497"/>
    <mergeCell ref="U495:X495"/>
    <mergeCell ref="Y495:Z495"/>
    <mergeCell ref="AA495:AD495"/>
    <mergeCell ref="AE495:AH495"/>
    <mergeCell ref="B496:D496"/>
    <mergeCell ref="E496:F496"/>
    <mergeCell ref="G496:J496"/>
    <mergeCell ref="K496:N496"/>
    <mergeCell ref="O496:P496"/>
    <mergeCell ref="Q496:T496"/>
    <mergeCell ref="Q495:T495"/>
    <mergeCell ref="B495:D495"/>
    <mergeCell ref="E495:F495"/>
    <mergeCell ref="G495:J495"/>
    <mergeCell ref="K495:N495"/>
    <mergeCell ref="O495:P495"/>
    <mergeCell ref="U493:X493"/>
    <mergeCell ref="Y493:Z493"/>
    <mergeCell ref="AA493:AD493"/>
    <mergeCell ref="AE493:AH493"/>
    <mergeCell ref="B494:D494"/>
    <mergeCell ref="E494:F494"/>
    <mergeCell ref="G494:J494"/>
    <mergeCell ref="K494:N494"/>
    <mergeCell ref="O494:P494"/>
    <mergeCell ref="Q494:T494"/>
    <mergeCell ref="B493:D493"/>
    <mergeCell ref="E493:F493"/>
    <mergeCell ref="G493:J493"/>
    <mergeCell ref="K493:N493"/>
    <mergeCell ref="O493:P493"/>
    <mergeCell ref="Q493:T493"/>
    <mergeCell ref="A490:A491"/>
    <mergeCell ref="B490:D491"/>
    <mergeCell ref="E490:F491"/>
    <mergeCell ref="G490:N490"/>
    <mergeCell ref="O490:P491"/>
    <mergeCell ref="Q490:X490"/>
    <mergeCell ref="Y490:Z491"/>
    <mergeCell ref="AA490:AD491"/>
    <mergeCell ref="AE490:AH491"/>
    <mergeCell ref="G491:J491"/>
    <mergeCell ref="K491:N491"/>
    <mergeCell ref="Q491:T491"/>
    <mergeCell ref="U491:X491"/>
    <mergeCell ref="AA483:AD483"/>
    <mergeCell ref="AE483:AH483"/>
    <mergeCell ref="Y484:Z484"/>
    <mergeCell ref="G486:J486"/>
    <mergeCell ref="K486:N486"/>
    <mergeCell ref="Q486:T486"/>
    <mergeCell ref="U486:X486"/>
    <mergeCell ref="AA486:AD486"/>
    <mergeCell ref="AE486:AH486"/>
    <mergeCell ref="U494:X494"/>
    <mergeCell ref="Y494:Z494"/>
    <mergeCell ref="AA494:AD494"/>
    <mergeCell ref="AE494:AH494"/>
    <mergeCell ref="AA473:AD473"/>
    <mergeCell ref="AE473:AH473"/>
    <mergeCell ref="B483:D483"/>
    <mergeCell ref="E483:F483"/>
    <mergeCell ref="G483:J483"/>
    <mergeCell ref="K483:N483"/>
    <mergeCell ref="O483:P483"/>
    <mergeCell ref="Q483:T483"/>
    <mergeCell ref="U483:X483"/>
    <mergeCell ref="Y483:Z483"/>
    <mergeCell ref="B476:D476"/>
    <mergeCell ref="E476:F476"/>
    <mergeCell ref="G476:J476"/>
    <mergeCell ref="K476:N476"/>
    <mergeCell ref="O476:P476"/>
    <mergeCell ref="Q476:T476"/>
    <mergeCell ref="U476:X476"/>
    <mergeCell ref="Y476:Z476"/>
    <mergeCell ref="AA476:AD476"/>
    <mergeCell ref="B473:D473"/>
    <mergeCell ref="E473:F473"/>
    <mergeCell ref="G473:J473"/>
    <mergeCell ref="K473:N473"/>
    <mergeCell ref="O473:P473"/>
    <mergeCell ref="Q473:T473"/>
    <mergeCell ref="U473:X473"/>
    <mergeCell ref="Y473:Z473"/>
    <mergeCell ref="AE474:AH474"/>
    <mergeCell ref="B475:D475"/>
    <mergeCell ref="E475:F475"/>
    <mergeCell ref="G475:J475"/>
    <mergeCell ref="K475:N475"/>
    <mergeCell ref="O475:P475"/>
    <mergeCell ref="Q475:T475"/>
    <mergeCell ref="U475:X475"/>
    <mergeCell ref="Y475:Z475"/>
    <mergeCell ref="AA475:AD475"/>
    <mergeCell ref="AE475:AH475"/>
    <mergeCell ref="AA471:AD471"/>
    <mergeCell ref="AE471:AH471"/>
    <mergeCell ref="B472:D472"/>
    <mergeCell ref="E472:F472"/>
    <mergeCell ref="G472:J472"/>
    <mergeCell ref="K472:N472"/>
    <mergeCell ref="O472:P472"/>
    <mergeCell ref="Q472:T472"/>
    <mergeCell ref="U472:X472"/>
    <mergeCell ref="Y472:Z472"/>
    <mergeCell ref="AA470:AD470"/>
    <mergeCell ref="AE470:AH470"/>
    <mergeCell ref="B471:D471"/>
    <mergeCell ref="E471:F471"/>
    <mergeCell ref="G471:J471"/>
    <mergeCell ref="K471:N471"/>
    <mergeCell ref="O471:P471"/>
    <mergeCell ref="Q471:T471"/>
    <mergeCell ref="U471:X471"/>
    <mergeCell ref="Y471:Z471"/>
    <mergeCell ref="AA472:AD472"/>
    <mergeCell ref="AE472:AH472"/>
    <mergeCell ref="AE465:AH466"/>
    <mergeCell ref="G466:J466"/>
    <mergeCell ref="K466:N466"/>
    <mergeCell ref="Q466:T466"/>
    <mergeCell ref="U466:X466"/>
    <mergeCell ref="A465:A466"/>
    <mergeCell ref="B465:D466"/>
    <mergeCell ref="E465:F466"/>
    <mergeCell ref="G465:N465"/>
    <mergeCell ref="O465:P466"/>
    <mergeCell ref="Q465:X465"/>
    <mergeCell ref="AA469:AD469"/>
    <mergeCell ref="AE469:AH469"/>
    <mergeCell ref="B470:D470"/>
    <mergeCell ref="E470:F470"/>
    <mergeCell ref="G470:J470"/>
    <mergeCell ref="K470:N470"/>
    <mergeCell ref="O470:P470"/>
    <mergeCell ref="Q470:T470"/>
    <mergeCell ref="U470:X470"/>
    <mergeCell ref="Y470:Z470"/>
    <mergeCell ref="AA468:AD468"/>
    <mergeCell ref="AE468:AH468"/>
    <mergeCell ref="B469:D469"/>
    <mergeCell ref="E469:F469"/>
    <mergeCell ref="G469:J469"/>
    <mergeCell ref="K469:N469"/>
    <mergeCell ref="O469:P469"/>
    <mergeCell ref="Q469:T469"/>
    <mergeCell ref="U469:X469"/>
    <mergeCell ref="Y469:Z469"/>
    <mergeCell ref="U454:W454"/>
    <mergeCell ref="X454:AB454"/>
    <mergeCell ref="C445:J445"/>
    <mergeCell ref="K445:L445"/>
    <mergeCell ref="M445:O445"/>
    <mergeCell ref="P445:T445"/>
    <mergeCell ref="U445:W445"/>
    <mergeCell ref="X445:AB445"/>
    <mergeCell ref="Y467:Z467"/>
    <mergeCell ref="B468:D468"/>
    <mergeCell ref="E468:F468"/>
    <mergeCell ref="G468:J468"/>
    <mergeCell ref="K468:N468"/>
    <mergeCell ref="O468:P468"/>
    <mergeCell ref="Q468:T468"/>
    <mergeCell ref="U468:X468"/>
    <mergeCell ref="Y468:Z468"/>
    <mergeCell ref="Y465:Z466"/>
    <mergeCell ref="AA465:AD466"/>
    <mergeCell ref="C438:J438"/>
    <mergeCell ref="K438:L438"/>
    <mergeCell ref="M438:O438"/>
    <mergeCell ref="P438:T438"/>
    <mergeCell ref="U438:W438"/>
    <mergeCell ref="X438:AB438"/>
    <mergeCell ref="C437:J437"/>
    <mergeCell ref="K437:L437"/>
    <mergeCell ref="M437:O437"/>
    <mergeCell ref="P437:T437"/>
    <mergeCell ref="U437:W437"/>
    <mergeCell ref="X437:AB437"/>
    <mergeCell ref="C436:J436"/>
    <mergeCell ref="K436:L436"/>
    <mergeCell ref="M436:O436"/>
    <mergeCell ref="P436:T436"/>
    <mergeCell ref="U436:W436"/>
    <mergeCell ref="X436:AB436"/>
    <mergeCell ref="C422:J422"/>
    <mergeCell ref="K422:L422"/>
    <mergeCell ref="M422:O422"/>
    <mergeCell ref="P422:T422"/>
    <mergeCell ref="U422:W422"/>
    <mergeCell ref="X422:AB422"/>
    <mergeCell ref="C425:J425"/>
    <mergeCell ref="K425:L425"/>
    <mergeCell ref="M425:O425"/>
    <mergeCell ref="P425:T425"/>
    <mergeCell ref="U425:W425"/>
    <mergeCell ref="X425:AB425"/>
    <mergeCell ref="C426:J426"/>
    <mergeCell ref="K426:L426"/>
    <mergeCell ref="M426:O426"/>
    <mergeCell ref="P426:T426"/>
    <mergeCell ref="U426:W426"/>
    <mergeCell ref="X426:AB426"/>
    <mergeCell ref="V407:Y407"/>
    <mergeCell ref="Z407:AA407"/>
    <mergeCell ref="AB407:AE407"/>
    <mergeCell ref="AF407:AI407"/>
    <mergeCell ref="F408:G408"/>
    <mergeCell ref="H408:J408"/>
    <mergeCell ref="K408:N408"/>
    <mergeCell ref="R408:U408"/>
    <mergeCell ref="V408:Y408"/>
    <mergeCell ref="AF408:AI408"/>
    <mergeCell ref="C421:J421"/>
    <mergeCell ref="K421:L421"/>
    <mergeCell ref="M421:O421"/>
    <mergeCell ref="P421:T421"/>
    <mergeCell ref="U421:W421"/>
    <mergeCell ref="X421:AB421"/>
    <mergeCell ref="C420:J420"/>
    <mergeCell ref="K420:L420"/>
    <mergeCell ref="M420:O420"/>
    <mergeCell ref="P420:T420"/>
    <mergeCell ref="U420:W420"/>
    <mergeCell ref="X420:AB420"/>
    <mergeCell ref="X414:AB415"/>
    <mergeCell ref="C419:J419"/>
    <mergeCell ref="K419:L419"/>
    <mergeCell ref="M419:O419"/>
    <mergeCell ref="P419:T419"/>
    <mergeCell ref="U419:W419"/>
    <mergeCell ref="X419:AB419"/>
    <mergeCell ref="V397:Y397"/>
    <mergeCell ref="Z397:AA397"/>
    <mergeCell ref="AB397:AE397"/>
    <mergeCell ref="AF397:AI397"/>
    <mergeCell ref="B407:E407"/>
    <mergeCell ref="F407:G407"/>
    <mergeCell ref="H407:J407"/>
    <mergeCell ref="K407:N407"/>
    <mergeCell ref="O407:Q407"/>
    <mergeCell ref="R407:U407"/>
    <mergeCell ref="V396:Y396"/>
    <mergeCell ref="Z396:AA396"/>
    <mergeCell ref="AB396:AE396"/>
    <mergeCell ref="AF396:AI396"/>
    <mergeCell ref="B397:E397"/>
    <mergeCell ref="F397:G397"/>
    <mergeCell ref="H397:J397"/>
    <mergeCell ref="K397:N397"/>
    <mergeCell ref="O397:Q397"/>
    <mergeCell ref="R397:U397"/>
    <mergeCell ref="B399:E399"/>
    <mergeCell ref="F399:G399"/>
    <mergeCell ref="H399:J399"/>
    <mergeCell ref="K399:N399"/>
    <mergeCell ref="O399:Q399"/>
    <mergeCell ref="R399:U399"/>
    <mergeCell ref="V399:Y399"/>
    <mergeCell ref="Z399:AA399"/>
    <mergeCell ref="AB399:AE399"/>
    <mergeCell ref="AF399:AI399"/>
    <mergeCell ref="B400:E400"/>
    <mergeCell ref="F400:G400"/>
    <mergeCell ref="V395:Y395"/>
    <mergeCell ref="Z395:AA395"/>
    <mergeCell ref="AB395:AE395"/>
    <mergeCell ref="AF395:AI395"/>
    <mergeCell ref="B396:E396"/>
    <mergeCell ref="F396:G396"/>
    <mergeCell ref="H396:J396"/>
    <mergeCell ref="K396:N396"/>
    <mergeCell ref="O396:Q396"/>
    <mergeCell ref="R396:U396"/>
    <mergeCell ref="V394:Y394"/>
    <mergeCell ref="Z394:AA394"/>
    <mergeCell ref="AB394:AE394"/>
    <mergeCell ref="AF394:AI394"/>
    <mergeCell ref="B395:E395"/>
    <mergeCell ref="F395:G395"/>
    <mergeCell ref="H395:J395"/>
    <mergeCell ref="K395:N395"/>
    <mergeCell ref="O395:Q395"/>
    <mergeCell ref="R395:U395"/>
    <mergeCell ref="V393:Y393"/>
    <mergeCell ref="Z393:AA393"/>
    <mergeCell ref="AB393:AE393"/>
    <mergeCell ref="AF393:AI393"/>
    <mergeCell ref="B394:E394"/>
    <mergeCell ref="F394:G394"/>
    <mergeCell ref="H394:J394"/>
    <mergeCell ref="K394:N394"/>
    <mergeCell ref="O394:Q394"/>
    <mergeCell ref="R394:U394"/>
    <mergeCell ref="V392:Y392"/>
    <mergeCell ref="Z392:AA392"/>
    <mergeCell ref="AB392:AE392"/>
    <mergeCell ref="AF392:AI392"/>
    <mergeCell ref="B393:E393"/>
    <mergeCell ref="F393:G393"/>
    <mergeCell ref="H393:J393"/>
    <mergeCell ref="K393:N393"/>
    <mergeCell ref="O393:Q393"/>
    <mergeCell ref="R393:U393"/>
    <mergeCell ref="B392:E392"/>
    <mergeCell ref="F392:G392"/>
    <mergeCell ref="H392:J392"/>
    <mergeCell ref="K392:N392"/>
    <mergeCell ref="O392:Q392"/>
    <mergeCell ref="R392:U392"/>
    <mergeCell ref="F391:G391"/>
    <mergeCell ref="H391:J391"/>
    <mergeCell ref="K391:N391"/>
    <mergeCell ref="R391:U391"/>
    <mergeCell ref="V391:Y391"/>
    <mergeCell ref="AF391:AI391"/>
    <mergeCell ref="AB389:AI389"/>
    <mergeCell ref="K390:N390"/>
    <mergeCell ref="O390:Q390"/>
    <mergeCell ref="R390:U390"/>
    <mergeCell ref="V390:Y390"/>
    <mergeCell ref="AB390:AE390"/>
    <mergeCell ref="AF390:AI390"/>
    <mergeCell ref="A389:A390"/>
    <mergeCell ref="B389:E390"/>
    <mergeCell ref="F389:G390"/>
    <mergeCell ref="H389:J390"/>
    <mergeCell ref="K389:Y389"/>
    <mergeCell ref="Z389:AA390"/>
    <mergeCell ref="U382:X382"/>
    <mergeCell ref="Y382:Z382"/>
    <mergeCell ref="AA382:AD382"/>
    <mergeCell ref="AE382:AH382"/>
    <mergeCell ref="G385:J385"/>
    <mergeCell ref="K385:N385"/>
    <mergeCell ref="Q385:T385"/>
    <mergeCell ref="U385:X385"/>
    <mergeCell ref="AA385:AD385"/>
    <mergeCell ref="AE385:AH385"/>
    <mergeCell ref="U380:X380"/>
    <mergeCell ref="Y380:Z380"/>
    <mergeCell ref="AA380:AD380"/>
    <mergeCell ref="AE380:AH380"/>
    <mergeCell ref="B382:D382"/>
    <mergeCell ref="E382:F382"/>
    <mergeCell ref="G382:J382"/>
    <mergeCell ref="K382:N382"/>
    <mergeCell ref="O382:P382"/>
    <mergeCell ref="Q382:T382"/>
    <mergeCell ref="B381:D381"/>
    <mergeCell ref="E381:F381"/>
    <mergeCell ref="G381:J381"/>
    <mergeCell ref="K381:N381"/>
    <mergeCell ref="O381:P381"/>
    <mergeCell ref="Q381:T381"/>
    <mergeCell ref="U381:X381"/>
    <mergeCell ref="Y381:Z381"/>
    <mergeCell ref="AA381:AD381"/>
    <mergeCell ref="AE381:AH381"/>
    <mergeCell ref="U379:X379"/>
    <mergeCell ref="Y379:Z379"/>
    <mergeCell ref="AA379:AD379"/>
    <mergeCell ref="AE379:AH379"/>
    <mergeCell ref="B380:D380"/>
    <mergeCell ref="E380:F380"/>
    <mergeCell ref="G380:J380"/>
    <mergeCell ref="K380:N380"/>
    <mergeCell ref="O380:P380"/>
    <mergeCell ref="Q380:T380"/>
    <mergeCell ref="U378:X378"/>
    <mergeCell ref="Y378:Z378"/>
    <mergeCell ref="AA378:AD378"/>
    <mergeCell ref="AE378:AH378"/>
    <mergeCell ref="B379:D379"/>
    <mergeCell ref="E379:F379"/>
    <mergeCell ref="G379:J379"/>
    <mergeCell ref="K379:N379"/>
    <mergeCell ref="O379:P379"/>
    <mergeCell ref="Q379:T379"/>
    <mergeCell ref="U377:X377"/>
    <mergeCell ref="Y377:Z377"/>
    <mergeCell ref="AA377:AD377"/>
    <mergeCell ref="AE377:AH377"/>
    <mergeCell ref="B378:D378"/>
    <mergeCell ref="E378:F378"/>
    <mergeCell ref="G378:J378"/>
    <mergeCell ref="K378:N378"/>
    <mergeCell ref="O378:P378"/>
    <mergeCell ref="Q378:T378"/>
    <mergeCell ref="U376:X376"/>
    <mergeCell ref="Y376:Z376"/>
    <mergeCell ref="AA376:AD376"/>
    <mergeCell ref="AE376:AH376"/>
    <mergeCell ref="B377:D377"/>
    <mergeCell ref="E377:F377"/>
    <mergeCell ref="G377:J377"/>
    <mergeCell ref="K377:N377"/>
    <mergeCell ref="O377:P377"/>
    <mergeCell ref="Q377:T377"/>
    <mergeCell ref="U375:X375"/>
    <mergeCell ref="Y375:Z375"/>
    <mergeCell ref="AA375:AD375"/>
    <mergeCell ref="AE375:AH375"/>
    <mergeCell ref="B376:D376"/>
    <mergeCell ref="E376:F376"/>
    <mergeCell ref="G376:J376"/>
    <mergeCell ref="K376:N376"/>
    <mergeCell ref="O376:P376"/>
    <mergeCell ref="Q376:T376"/>
    <mergeCell ref="U374:X374"/>
    <mergeCell ref="Y374:Z374"/>
    <mergeCell ref="AA374:AD374"/>
    <mergeCell ref="AE374:AH374"/>
    <mergeCell ref="B375:D375"/>
    <mergeCell ref="E375:F375"/>
    <mergeCell ref="G375:J375"/>
    <mergeCell ref="K375:N375"/>
    <mergeCell ref="O375:P375"/>
    <mergeCell ref="Q375:T375"/>
    <mergeCell ref="U373:X373"/>
    <mergeCell ref="Y373:Z373"/>
    <mergeCell ref="AA373:AD373"/>
    <mergeCell ref="AE373:AH373"/>
    <mergeCell ref="B374:D374"/>
    <mergeCell ref="E374:F374"/>
    <mergeCell ref="G374:J374"/>
    <mergeCell ref="K374:N374"/>
    <mergeCell ref="O374:P374"/>
    <mergeCell ref="Q374:T374"/>
    <mergeCell ref="U372:X372"/>
    <mergeCell ref="Y372:Z372"/>
    <mergeCell ref="AA372:AD372"/>
    <mergeCell ref="AE372:AH372"/>
    <mergeCell ref="B373:D373"/>
    <mergeCell ref="E373:F373"/>
    <mergeCell ref="G373:J373"/>
    <mergeCell ref="K373:N373"/>
    <mergeCell ref="O373:P373"/>
    <mergeCell ref="Q373:T373"/>
    <mergeCell ref="U371:X371"/>
    <mergeCell ref="Y371:Z371"/>
    <mergeCell ref="AA371:AD371"/>
    <mergeCell ref="AE371:AH371"/>
    <mergeCell ref="B372:D372"/>
    <mergeCell ref="E372:F372"/>
    <mergeCell ref="G372:J372"/>
    <mergeCell ref="K372:N372"/>
    <mergeCell ref="O372:P372"/>
    <mergeCell ref="Q372:T372"/>
    <mergeCell ref="U370:X370"/>
    <mergeCell ref="Y370:Z370"/>
    <mergeCell ref="AA370:AD370"/>
    <mergeCell ref="AE370:AH370"/>
    <mergeCell ref="B371:D371"/>
    <mergeCell ref="E371:F371"/>
    <mergeCell ref="G371:J371"/>
    <mergeCell ref="K371:N371"/>
    <mergeCell ref="O371:P371"/>
    <mergeCell ref="Q371:T371"/>
    <mergeCell ref="U369:X369"/>
    <mergeCell ref="Y369:Z369"/>
    <mergeCell ref="AA369:AD369"/>
    <mergeCell ref="AE369:AH369"/>
    <mergeCell ref="B370:D370"/>
    <mergeCell ref="E370:F370"/>
    <mergeCell ref="G370:J370"/>
    <mergeCell ref="K370:N370"/>
    <mergeCell ref="O370:P370"/>
    <mergeCell ref="Q370:T370"/>
    <mergeCell ref="U368:X368"/>
    <mergeCell ref="Y368:Z368"/>
    <mergeCell ref="AA368:AD368"/>
    <mergeCell ref="AE368:AH368"/>
    <mergeCell ref="B369:D369"/>
    <mergeCell ref="E369:F369"/>
    <mergeCell ref="G369:J369"/>
    <mergeCell ref="K369:N369"/>
    <mergeCell ref="O369:P369"/>
    <mergeCell ref="Q369:T369"/>
    <mergeCell ref="E368:F368"/>
    <mergeCell ref="G368:J368"/>
    <mergeCell ref="K368:N368"/>
    <mergeCell ref="O368:P368"/>
    <mergeCell ref="Q368:T368"/>
    <mergeCell ref="B368:D368"/>
    <mergeCell ref="B367:D367"/>
    <mergeCell ref="E367:F367"/>
    <mergeCell ref="G367:J367"/>
    <mergeCell ref="K367:N367"/>
    <mergeCell ref="O367:P367"/>
    <mergeCell ref="Q367:T367"/>
    <mergeCell ref="Y364:Z365"/>
    <mergeCell ref="AA364:AD365"/>
    <mergeCell ref="AE364:AH365"/>
    <mergeCell ref="G365:J365"/>
    <mergeCell ref="K365:N365"/>
    <mergeCell ref="Q365:T365"/>
    <mergeCell ref="U365:X365"/>
    <mergeCell ref="A364:A365"/>
    <mergeCell ref="B364:D365"/>
    <mergeCell ref="E364:F365"/>
    <mergeCell ref="G364:N364"/>
    <mergeCell ref="O364:P365"/>
    <mergeCell ref="Q364:X364"/>
    <mergeCell ref="U357:X357"/>
    <mergeCell ref="Y357:Z357"/>
    <mergeCell ref="AA357:AD357"/>
    <mergeCell ref="AE357:AH357"/>
    <mergeCell ref="G360:J360"/>
    <mergeCell ref="K360:N360"/>
    <mergeCell ref="Q360:T360"/>
    <mergeCell ref="U360:X360"/>
    <mergeCell ref="AA360:AD360"/>
    <mergeCell ref="AE360:AH360"/>
    <mergeCell ref="U367:X367"/>
    <mergeCell ref="Y367:Z367"/>
    <mergeCell ref="AA367:AD367"/>
    <mergeCell ref="AE367:AH367"/>
    <mergeCell ref="U347:X347"/>
    <mergeCell ref="Y347:Z347"/>
    <mergeCell ref="AA347:AD347"/>
    <mergeCell ref="AE347:AH347"/>
    <mergeCell ref="U349:X349"/>
    <mergeCell ref="Y349:Z349"/>
    <mergeCell ref="AA349:AD349"/>
    <mergeCell ref="AE349:AH349"/>
    <mergeCell ref="G356:J356"/>
    <mergeCell ref="K356:N356"/>
    <mergeCell ref="O356:P356"/>
    <mergeCell ref="Q356:T356"/>
    <mergeCell ref="U356:X356"/>
    <mergeCell ref="Y356:Z356"/>
    <mergeCell ref="AA356:AD356"/>
    <mergeCell ref="AE356:AH356"/>
    <mergeCell ref="M363:X363"/>
    <mergeCell ref="B357:D357"/>
    <mergeCell ref="E357:F357"/>
    <mergeCell ref="G357:J357"/>
    <mergeCell ref="K357:N357"/>
    <mergeCell ref="O357:P357"/>
    <mergeCell ref="Q357:T357"/>
    <mergeCell ref="U346:X346"/>
    <mergeCell ref="Y346:Z346"/>
    <mergeCell ref="AA346:AD346"/>
    <mergeCell ref="AE346:AH346"/>
    <mergeCell ref="B347:D347"/>
    <mergeCell ref="E347:F347"/>
    <mergeCell ref="G347:J347"/>
    <mergeCell ref="K347:N347"/>
    <mergeCell ref="O347:P347"/>
    <mergeCell ref="Q347:T347"/>
    <mergeCell ref="B348:D348"/>
    <mergeCell ref="E348:F348"/>
    <mergeCell ref="G348:J348"/>
    <mergeCell ref="K348:N348"/>
    <mergeCell ref="O348:P348"/>
    <mergeCell ref="Q348:T348"/>
    <mergeCell ref="U348:X348"/>
    <mergeCell ref="Y348:Z348"/>
    <mergeCell ref="AA348:AD348"/>
    <mergeCell ref="AE348:AH348"/>
    <mergeCell ref="B349:D349"/>
    <mergeCell ref="E349:F349"/>
    <mergeCell ref="G349:J349"/>
    <mergeCell ref="K349:N349"/>
    <mergeCell ref="O349:P349"/>
    <mergeCell ref="Q349:T349"/>
    <mergeCell ref="U345:X345"/>
    <mergeCell ref="Y345:Z345"/>
    <mergeCell ref="AA345:AD345"/>
    <mergeCell ref="AE345:AH345"/>
    <mergeCell ref="B346:D346"/>
    <mergeCell ref="E346:F346"/>
    <mergeCell ref="G346:J346"/>
    <mergeCell ref="K346:N346"/>
    <mergeCell ref="O346:P346"/>
    <mergeCell ref="Q346:T346"/>
    <mergeCell ref="U344:X344"/>
    <mergeCell ref="Y344:Z344"/>
    <mergeCell ref="AA344:AD344"/>
    <mergeCell ref="AE344:AH344"/>
    <mergeCell ref="B345:D345"/>
    <mergeCell ref="E345:F345"/>
    <mergeCell ref="G345:J345"/>
    <mergeCell ref="K345:N345"/>
    <mergeCell ref="O345:P345"/>
    <mergeCell ref="Q345:T345"/>
    <mergeCell ref="U343:X343"/>
    <mergeCell ref="Y343:Z343"/>
    <mergeCell ref="AA343:AD343"/>
    <mergeCell ref="AE343:AH343"/>
    <mergeCell ref="B344:D344"/>
    <mergeCell ref="E344:F344"/>
    <mergeCell ref="G344:J344"/>
    <mergeCell ref="K344:N344"/>
    <mergeCell ref="O344:P344"/>
    <mergeCell ref="Q344:T344"/>
    <mergeCell ref="U342:X342"/>
    <mergeCell ref="Y342:Z342"/>
    <mergeCell ref="AA342:AD342"/>
    <mergeCell ref="AE342:AH342"/>
    <mergeCell ref="B343:D343"/>
    <mergeCell ref="E343:F343"/>
    <mergeCell ref="G343:J343"/>
    <mergeCell ref="K343:N343"/>
    <mergeCell ref="O343:P343"/>
    <mergeCell ref="Q343:T343"/>
    <mergeCell ref="B342:D342"/>
    <mergeCell ref="E342:F342"/>
    <mergeCell ref="G342:J342"/>
    <mergeCell ref="K342:N342"/>
    <mergeCell ref="O342:P342"/>
    <mergeCell ref="Q342:T342"/>
    <mergeCell ref="Y339:Z340"/>
    <mergeCell ref="AA339:AD340"/>
    <mergeCell ref="AE339:AH340"/>
    <mergeCell ref="G340:J340"/>
    <mergeCell ref="K340:N340"/>
    <mergeCell ref="Q340:T340"/>
    <mergeCell ref="U340:X340"/>
    <mergeCell ref="A339:A340"/>
    <mergeCell ref="B339:D340"/>
    <mergeCell ref="E339:F340"/>
    <mergeCell ref="G339:N339"/>
    <mergeCell ref="O339:P340"/>
    <mergeCell ref="Q339:X339"/>
    <mergeCell ref="AA332:AD332"/>
    <mergeCell ref="AE332:AH332"/>
    <mergeCell ref="Y333:Z333"/>
    <mergeCell ref="G335:J335"/>
    <mergeCell ref="K335:N335"/>
    <mergeCell ref="Q335:T335"/>
    <mergeCell ref="U335:X335"/>
    <mergeCell ref="AA335:AD335"/>
    <mergeCell ref="AE335:AH335"/>
    <mergeCell ref="AA322:AD322"/>
    <mergeCell ref="AE322:AH322"/>
    <mergeCell ref="B332:D332"/>
    <mergeCell ref="E332:F332"/>
    <mergeCell ref="G332:J332"/>
    <mergeCell ref="K332:N332"/>
    <mergeCell ref="O332:P332"/>
    <mergeCell ref="Q332:T332"/>
    <mergeCell ref="U332:X332"/>
    <mergeCell ref="Y332:Z332"/>
    <mergeCell ref="AA321:AD321"/>
    <mergeCell ref="AE321:AH321"/>
    <mergeCell ref="B322:D322"/>
    <mergeCell ref="E322:F322"/>
    <mergeCell ref="G322:J322"/>
    <mergeCell ref="K322:N322"/>
    <mergeCell ref="O322:P322"/>
    <mergeCell ref="Q322:T322"/>
    <mergeCell ref="U322:X322"/>
    <mergeCell ref="Y322:Z322"/>
    <mergeCell ref="B325:D325"/>
    <mergeCell ref="E325:F325"/>
    <mergeCell ref="G325:J325"/>
    <mergeCell ref="K325:N325"/>
    <mergeCell ref="O325:P325"/>
    <mergeCell ref="Q325:T325"/>
    <mergeCell ref="U325:X325"/>
    <mergeCell ref="Y325:Z325"/>
    <mergeCell ref="AA325:AD325"/>
    <mergeCell ref="AE325:AH325"/>
    <mergeCell ref="B326:D326"/>
    <mergeCell ref="E326:F326"/>
    <mergeCell ref="AA320:AD320"/>
    <mergeCell ref="AE320:AH320"/>
    <mergeCell ref="B321:D321"/>
    <mergeCell ref="E321:F321"/>
    <mergeCell ref="G321:J321"/>
    <mergeCell ref="K321:N321"/>
    <mergeCell ref="O321:P321"/>
    <mergeCell ref="Q321:T321"/>
    <mergeCell ref="U321:X321"/>
    <mergeCell ref="Y321:Z321"/>
    <mergeCell ref="AA319:AD319"/>
    <mergeCell ref="AE319:AH319"/>
    <mergeCell ref="B320:D320"/>
    <mergeCell ref="E320:F320"/>
    <mergeCell ref="G320:J320"/>
    <mergeCell ref="K320:N320"/>
    <mergeCell ref="O320:P320"/>
    <mergeCell ref="Q320:T320"/>
    <mergeCell ref="U320:X320"/>
    <mergeCell ref="Y320:Z320"/>
    <mergeCell ref="AE314:AH315"/>
    <mergeCell ref="G315:J315"/>
    <mergeCell ref="K315:N315"/>
    <mergeCell ref="Q315:T315"/>
    <mergeCell ref="U315:X315"/>
    <mergeCell ref="A314:A315"/>
    <mergeCell ref="B314:D315"/>
    <mergeCell ref="E314:F315"/>
    <mergeCell ref="G314:N314"/>
    <mergeCell ref="O314:P315"/>
    <mergeCell ref="Q314:X314"/>
    <mergeCell ref="AA318:AD318"/>
    <mergeCell ref="AE318:AH318"/>
    <mergeCell ref="B319:D319"/>
    <mergeCell ref="E319:F319"/>
    <mergeCell ref="G319:J319"/>
    <mergeCell ref="K319:N319"/>
    <mergeCell ref="O319:P319"/>
    <mergeCell ref="Q319:T319"/>
    <mergeCell ref="U319:X319"/>
    <mergeCell ref="Y319:Z319"/>
    <mergeCell ref="AA317:AD317"/>
    <mergeCell ref="AE317:AH317"/>
    <mergeCell ref="B318:D318"/>
    <mergeCell ref="E318:F318"/>
    <mergeCell ref="G318:J318"/>
    <mergeCell ref="K318:N318"/>
    <mergeCell ref="O318:P318"/>
    <mergeCell ref="Q318:T318"/>
    <mergeCell ref="U318:X318"/>
    <mergeCell ref="Y318:Z318"/>
    <mergeCell ref="X296:AB296"/>
    <mergeCell ref="P300:T300"/>
    <mergeCell ref="P301:T301"/>
    <mergeCell ref="P302:T302"/>
    <mergeCell ref="P303:T303"/>
    <mergeCell ref="U303:W303"/>
    <mergeCell ref="X303:AB303"/>
    <mergeCell ref="C294:J294"/>
    <mergeCell ref="K294:L294"/>
    <mergeCell ref="M294:O294"/>
    <mergeCell ref="P294:T294"/>
    <mergeCell ref="U294:W294"/>
    <mergeCell ref="X294:AB294"/>
    <mergeCell ref="Y316:Z316"/>
    <mergeCell ref="B317:D317"/>
    <mergeCell ref="E317:F317"/>
    <mergeCell ref="G317:J317"/>
    <mergeCell ref="K317:N317"/>
    <mergeCell ref="O317:P317"/>
    <mergeCell ref="Q317:T317"/>
    <mergeCell ref="U317:X317"/>
    <mergeCell ref="Y317:Z317"/>
    <mergeCell ref="Y314:Z315"/>
    <mergeCell ref="AA314:AD315"/>
    <mergeCell ref="C287:J287"/>
    <mergeCell ref="K287:L287"/>
    <mergeCell ref="M287:O287"/>
    <mergeCell ref="P287:T287"/>
    <mergeCell ref="U287:W287"/>
    <mergeCell ref="X287:AB287"/>
    <mergeCell ref="C286:J286"/>
    <mergeCell ref="K286:L286"/>
    <mergeCell ref="M286:O286"/>
    <mergeCell ref="P286:T286"/>
    <mergeCell ref="U286:W286"/>
    <mergeCell ref="X286:AB286"/>
    <mergeCell ref="C285:J285"/>
    <mergeCell ref="K285:L285"/>
    <mergeCell ref="M285:O285"/>
    <mergeCell ref="P285:T285"/>
    <mergeCell ref="U285:W285"/>
    <mergeCell ref="X285:AB285"/>
    <mergeCell ref="C271:J271"/>
    <mergeCell ref="K271:L271"/>
    <mergeCell ref="M271:O271"/>
    <mergeCell ref="P271:T271"/>
    <mergeCell ref="U271:W271"/>
    <mergeCell ref="X271:AB271"/>
    <mergeCell ref="C272:J272"/>
    <mergeCell ref="K272:L272"/>
    <mergeCell ref="M272:O272"/>
    <mergeCell ref="P272:T272"/>
    <mergeCell ref="U272:W272"/>
    <mergeCell ref="X272:AB272"/>
    <mergeCell ref="C273:J273"/>
    <mergeCell ref="K273:L273"/>
    <mergeCell ref="M273:O273"/>
    <mergeCell ref="P273:T273"/>
    <mergeCell ref="U273:W273"/>
    <mergeCell ref="X273:AB273"/>
    <mergeCell ref="C270:J270"/>
    <mergeCell ref="K270:L270"/>
    <mergeCell ref="M270:O270"/>
    <mergeCell ref="P270:T270"/>
    <mergeCell ref="U270:W270"/>
    <mergeCell ref="X270:AB270"/>
    <mergeCell ref="C269:J269"/>
    <mergeCell ref="K269:L269"/>
    <mergeCell ref="M269:O269"/>
    <mergeCell ref="P269:T269"/>
    <mergeCell ref="U269:W269"/>
    <mergeCell ref="X269:AB269"/>
    <mergeCell ref="X263:AB264"/>
    <mergeCell ref="C268:J268"/>
    <mergeCell ref="K268:L268"/>
    <mergeCell ref="M268:O268"/>
    <mergeCell ref="P268:T268"/>
    <mergeCell ref="U268:W268"/>
    <mergeCell ref="X268:AB268"/>
    <mergeCell ref="R259:U259"/>
    <mergeCell ref="V259:Y259"/>
    <mergeCell ref="AB259:AE259"/>
    <mergeCell ref="AF259:AI259"/>
    <mergeCell ref="B263:B264"/>
    <mergeCell ref="C263:J264"/>
    <mergeCell ref="K263:L264"/>
    <mergeCell ref="M263:O264"/>
    <mergeCell ref="P263:T264"/>
    <mergeCell ref="U263:W264"/>
    <mergeCell ref="V256:Y256"/>
    <mergeCell ref="Z256:AA256"/>
    <mergeCell ref="AB256:AE256"/>
    <mergeCell ref="AF256:AI256"/>
    <mergeCell ref="F257:G257"/>
    <mergeCell ref="H257:J257"/>
    <mergeCell ref="K257:N257"/>
    <mergeCell ref="R257:U257"/>
    <mergeCell ref="V257:Y257"/>
    <mergeCell ref="AF257:AI257"/>
    <mergeCell ref="V246:Y246"/>
    <mergeCell ref="Z246:AA246"/>
    <mergeCell ref="AB246:AE246"/>
    <mergeCell ref="AF246:AI246"/>
    <mergeCell ref="B256:E256"/>
    <mergeCell ref="F256:G256"/>
    <mergeCell ref="H256:J256"/>
    <mergeCell ref="K256:N256"/>
    <mergeCell ref="O256:Q256"/>
    <mergeCell ref="R256:U256"/>
    <mergeCell ref="V245:Y245"/>
    <mergeCell ref="Z245:AA245"/>
    <mergeCell ref="AB245:AE245"/>
    <mergeCell ref="AF245:AI245"/>
    <mergeCell ref="B246:E246"/>
    <mergeCell ref="F246:G246"/>
    <mergeCell ref="H246:J246"/>
    <mergeCell ref="K246:N246"/>
    <mergeCell ref="O246:Q246"/>
    <mergeCell ref="R246:U246"/>
    <mergeCell ref="B247:E247"/>
    <mergeCell ref="F247:G247"/>
    <mergeCell ref="H247:J247"/>
    <mergeCell ref="K247:N247"/>
    <mergeCell ref="O247:Q247"/>
    <mergeCell ref="R247:U247"/>
    <mergeCell ref="V247:Y247"/>
    <mergeCell ref="Z247:AA247"/>
    <mergeCell ref="AB247:AE247"/>
    <mergeCell ref="AF247:AI247"/>
    <mergeCell ref="B248:E248"/>
    <mergeCell ref="F248:G248"/>
    <mergeCell ref="V244:Y244"/>
    <mergeCell ref="Z244:AA244"/>
    <mergeCell ref="AB244:AE244"/>
    <mergeCell ref="AF244:AI244"/>
    <mergeCell ref="B245:E245"/>
    <mergeCell ref="F245:G245"/>
    <mergeCell ref="H245:J245"/>
    <mergeCell ref="K245:N245"/>
    <mergeCell ref="O245:Q245"/>
    <mergeCell ref="R245:U245"/>
    <mergeCell ref="V243:Y243"/>
    <mergeCell ref="Z243:AA243"/>
    <mergeCell ref="AB243:AE243"/>
    <mergeCell ref="AF243:AI243"/>
    <mergeCell ref="B244:E244"/>
    <mergeCell ref="F244:G244"/>
    <mergeCell ref="H244:J244"/>
    <mergeCell ref="K244:N244"/>
    <mergeCell ref="O244:Q244"/>
    <mergeCell ref="R244:U244"/>
    <mergeCell ref="V242:Y242"/>
    <mergeCell ref="Z242:AA242"/>
    <mergeCell ref="AB242:AE242"/>
    <mergeCell ref="AF242:AI242"/>
    <mergeCell ref="B243:E243"/>
    <mergeCell ref="F243:G243"/>
    <mergeCell ref="H243:J243"/>
    <mergeCell ref="K243:N243"/>
    <mergeCell ref="O243:Q243"/>
    <mergeCell ref="R243:U243"/>
    <mergeCell ref="V241:Y241"/>
    <mergeCell ref="Z241:AA241"/>
    <mergeCell ref="AB241:AE241"/>
    <mergeCell ref="AF241:AI241"/>
    <mergeCell ref="B242:E242"/>
    <mergeCell ref="F242:G242"/>
    <mergeCell ref="H242:J242"/>
    <mergeCell ref="K242:N242"/>
    <mergeCell ref="O242:Q242"/>
    <mergeCell ref="R242:U242"/>
    <mergeCell ref="B241:E241"/>
    <mergeCell ref="F241:G241"/>
    <mergeCell ref="H241:J241"/>
    <mergeCell ref="K241:N241"/>
    <mergeCell ref="O241:Q241"/>
    <mergeCell ref="R241:U241"/>
    <mergeCell ref="F240:G240"/>
    <mergeCell ref="H240:J240"/>
    <mergeCell ref="K240:N240"/>
    <mergeCell ref="R240:U240"/>
    <mergeCell ref="V240:Y240"/>
    <mergeCell ref="AF240:AI240"/>
    <mergeCell ref="AB238:AI238"/>
    <mergeCell ref="K239:N239"/>
    <mergeCell ref="O239:Q239"/>
    <mergeCell ref="R239:U239"/>
    <mergeCell ref="V239:Y239"/>
    <mergeCell ref="AB239:AE239"/>
    <mergeCell ref="AF239:AI239"/>
    <mergeCell ref="A238:A239"/>
    <mergeCell ref="B238:E239"/>
    <mergeCell ref="F238:G239"/>
    <mergeCell ref="H238:J239"/>
    <mergeCell ref="K238:Y238"/>
    <mergeCell ref="Z238:AA239"/>
    <mergeCell ref="U231:X231"/>
    <mergeCell ref="Y231:Z231"/>
    <mergeCell ref="AA231:AD231"/>
    <mergeCell ref="AE231:AH231"/>
    <mergeCell ref="G234:J234"/>
    <mergeCell ref="K234:N234"/>
    <mergeCell ref="Q234:T234"/>
    <mergeCell ref="U234:X234"/>
    <mergeCell ref="AA234:AD234"/>
    <mergeCell ref="AE234:AH234"/>
    <mergeCell ref="U229:X229"/>
    <mergeCell ref="Y229:Z229"/>
    <mergeCell ref="AA229:AD229"/>
    <mergeCell ref="AE229:AH229"/>
    <mergeCell ref="B231:D231"/>
    <mergeCell ref="E231:F231"/>
    <mergeCell ref="G231:J231"/>
    <mergeCell ref="K231:N231"/>
    <mergeCell ref="O231:P231"/>
    <mergeCell ref="Q231:T231"/>
    <mergeCell ref="B230:D230"/>
    <mergeCell ref="E230:F230"/>
    <mergeCell ref="G230:J230"/>
    <mergeCell ref="K230:N230"/>
    <mergeCell ref="O230:P230"/>
    <mergeCell ref="Q230:T230"/>
    <mergeCell ref="U230:X230"/>
    <mergeCell ref="Y230:Z230"/>
    <mergeCell ref="AA230:AD230"/>
    <mergeCell ref="AE230:AH230"/>
    <mergeCell ref="U228:X228"/>
    <mergeCell ref="Y228:Z228"/>
    <mergeCell ref="AA228:AD228"/>
    <mergeCell ref="AE228:AH228"/>
    <mergeCell ref="B229:D229"/>
    <mergeCell ref="E229:F229"/>
    <mergeCell ref="G229:J229"/>
    <mergeCell ref="K229:N229"/>
    <mergeCell ref="O229:P229"/>
    <mergeCell ref="Q229:T229"/>
    <mergeCell ref="U227:X227"/>
    <mergeCell ref="Y227:Z227"/>
    <mergeCell ref="AA227:AD227"/>
    <mergeCell ref="AE227:AH227"/>
    <mergeCell ref="B228:D228"/>
    <mergeCell ref="E228:F228"/>
    <mergeCell ref="G228:J228"/>
    <mergeCell ref="K228:N228"/>
    <mergeCell ref="O228:P228"/>
    <mergeCell ref="Q228:T228"/>
    <mergeCell ref="U226:X226"/>
    <mergeCell ref="Y226:Z226"/>
    <mergeCell ref="AA226:AD226"/>
    <mergeCell ref="AE226:AH226"/>
    <mergeCell ref="B227:D227"/>
    <mergeCell ref="E227:F227"/>
    <mergeCell ref="G227:J227"/>
    <mergeCell ref="K227:N227"/>
    <mergeCell ref="O227:P227"/>
    <mergeCell ref="Q227:T227"/>
    <mergeCell ref="U225:X225"/>
    <mergeCell ref="Y225:Z225"/>
    <mergeCell ref="AA225:AD225"/>
    <mergeCell ref="AE225:AH225"/>
    <mergeCell ref="B226:D226"/>
    <mergeCell ref="E226:F226"/>
    <mergeCell ref="G226:J226"/>
    <mergeCell ref="K226:N226"/>
    <mergeCell ref="O226:P226"/>
    <mergeCell ref="Q226:T226"/>
    <mergeCell ref="U224:X224"/>
    <mergeCell ref="Y224:Z224"/>
    <mergeCell ref="AA224:AD224"/>
    <mergeCell ref="AE224:AH224"/>
    <mergeCell ref="B225:D225"/>
    <mergeCell ref="E225:F225"/>
    <mergeCell ref="G225:J225"/>
    <mergeCell ref="K225:N225"/>
    <mergeCell ref="O225:P225"/>
    <mergeCell ref="Q225:T225"/>
    <mergeCell ref="U223:X223"/>
    <mergeCell ref="Y223:Z223"/>
    <mergeCell ref="AA223:AD223"/>
    <mergeCell ref="AE223:AH223"/>
    <mergeCell ref="B224:D224"/>
    <mergeCell ref="E224:F224"/>
    <mergeCell ref="G224:J224"/>
    <mergeCell ref="K224:N224"/>
    <mergeCell ref="O224:P224"/>
    <mergeCell ref="Q224:T224"/>
    <mergeCell ref="U222:X222"/>
    <mergeCell ref="Y222:Z222"/>
    <mergeCell ref="AA222:AD222"/>
    <mergeCell ref="AE222:AH222"/>
    <mergeCell ref="B223:D223"/>
    <mergeCell ref="E223:F223"/>
    <mergeCell ref="G223:J223"/>
    <mergeCell ref="K223:N223"/>
    <mergeCell ref="O223:P223"/>
    <mergeCell ref="Q223:T223"/>
    <mergeCell ref="U221:X221"/>
    <mergeCell ref="Y221:Z221"/>
    <mergeCell ref="AA221:AD221"/>
    <mergeCell ref="AE221:AH221"/>
    <mergeCell ref="B222:D222"/>
    <mergeCell ref="E222:F222"/>
    <mergeCell ref="G222:J222"/>
    <mergeCell ref="K222:N222"/>
    <mergeCell ref="O222:P222"/>
    <mergeCell ref="Q222:T222"/>
    <mergeCell ref="U220:X220"/>
    <mergeCell ref="Y220:Z220"/>
    <mergeCell ref="AA220:AD220"/>
    <mergeCell ref="AE220:AH220"/>
    <mergeCell ref="B221:D221"/>
    <mergeCell ref="E221:F221"/>
    <mergeCell ref="G221:J221"/>
    <mergeCell ref="K221:N221"/>
    <mergeCell ref="O221:P221"/>
    <mergeCell ref="Q221:T221"/>
    <mergeCell ref="U219:X219"/>
    <mergeCell ref="Y219:Z219"/>
    <mergeCell ref="AA219:AD219"/>
    <mergeCell ref="AE219:AH219"/>
    <mergeCell ref="B220:D220"/>
    <mergeCell ref="E220:F220"/>
    <mergeCell ref="G220:J220"/>
    <mergeCell ref="K220:N220"/>
    <mergeCell ref="O220:P220"/>
    <mergeCell ref="Q220:T220"/>
    <mergeCell ref="U218:X218"/>
    <mergeCell ref="Y218:Z218"/>
    <mergeCell ref="AA218:AD218"/>
    <mergeCell ref="AE218:AH218"/>
    <mergeCell ref="B219:D219"/>
    <mergeCell ref="E219:F219"/>
    <mergeCell ref="G219:J219"/>
    <mergeCell ref="K219:N219"/>
    <mergeCell ref="O219:P219"/>
    <mergeCell ref="Q219:T219"/>
    <mergeCell ref="U217:X217"/>
    <mergeCell ref="Y217:Z217"/>
    <mergeCell ref="AA217:AD217"/>
    <mergeCell ref="AE217:AH217"/>
    <mergeCell ref="B218:D218"/>
    <mergeCell ref="E218:F218"/>
    <mergeCell ref="G218:J218"/>
    <mergeCell ref="K218:N218"/>
    <mergeCell ref="O218:P218"/>
    <mergeCell ref="Q218:T218"/>
    <mergeCell ref="U216:X216"/>
    <mergeCell ref="Y216:Z216"/>
    <mergeCell ref="AA216:AD216"/>
    <mergeCell ref="AE216:AH216"/>
    <mergeCell ref="B217:D217"/>
    <mergeCell ref="E217:F217"/>
    <mergeCell ref="G217:J217"/>
    <mergeCell ref="K217:N217"/>
    <mergeCell ref="O217:P217"/>
    <mergeCell ref="Q217:T217"/>
    <mergeCell ref="B216:D216"/>
    <mergeCell ref="E216:F216"/>
    <mergeCell ref="G216:J216"/>
    <mergeCell ref="K216:N216"/>
    <mergeCell ref="O216:P216"/>
    <mergeCell ref="Q216:T216"/>
    <mergeCell ref="Y213:Z214"/>
    <mergeCell ref="AA213:AD214"/>
    <mergeCell ref="AE213:AH214"/>
    <mergeCell ref="G214:J214"/>
    <mergeCell ref="K214:N214"/>
    <mergeCell ref="Q214:T214"/>
    <mergeCell ref="U214:X214"/>
    <mergeCell ref="M212:X212"/>
    <mergeCell ref="A213:A214"/>
    <mergeCell ref="B213:D214"/>
    <mergeCell ref="E213:F214"/>
    <mergeCell ref="G213:N213"/>
    <mergeCell ref="O213:P214"/>
    <mergeCell ref="Q213:X213"/>
    <mergeCell ref="U206:X206"/>
    <mergeCell ref="Y206:Z206"/>
    <mergeCell ref="AA206:AD206"/>
    <mergeCell ref="AE206:AH206"/>
    <mergeCell ref="G209:J209"/>
    <mergeCell ref="K209:N209"/>
    <mergeCell ref="Q209:T209"/>
    <mergeCell ref="U209:X209"/>
    <mergeCell ref="AA209:AD209"/>
    <mergeCell ref="AE209:AH209"/>
    <mergeCell ref="U196:X196"/>
    <mergeCell ref="Y196:Z196"/>
    <mergeCell ref="AA196:AD196"/>
    <mergeCell ref="AE196:AH196"/>
    <mergeCell ref="B206:D206"/>
    <mergeCell ref="E206:F206"/>
    <mergeCell ref="G206:J206"/>
    <mergeCell ref="K206:N206"/>
    <mergeCell ref="O206:P206"/>
    <mergeCell ref="Q206:T206"/>
    <mergeCell ref="U195:X195"/>
    <mergeCell ref="Y195:Z195"/>
    <mergeCell ref="AA195:AD195"/>
    <mergeCell ref="AE195:AH195"/>
    <mergeCell ref="B196:D196"/>
    <mergeCell ref="E196:F196"/>
    <mergeCell ref="G196:J196"/>
    <mergeCell ref="K196:N196"/>
    <mergeCell ref="O196:P196"/>
    <mergeCell ref="Q196:T196"/>
    <mergeCell ref="B197:D197"/>
    <mergeCell ref="E197:F197"/>
    <mergeCell ref="G197:J197"/>
    <mergeCell ref="K197:N197"/>
    <mergeCell ref="O197:P197"/>
    <mergeCell ref="Q197:T197"/>
    <mergeCell ref="U197:X197"/>
    <mergeCell ref="Y197:Z197"/>
    <mergeCell ref="AA197:AD197"/>
    <mergeCell ref="AE197:AH197"/>
    <mergeCell ref="B198:D198"/>
    <mergeCell ref="E198:F198"/>
    <mergeCell ref="U194:X194"/>
    <mergeCell ref="Y194:Z194"/>
    <mergeCell ref="AA194:AD194"/>
    <mergeCell ref="AE194:AH194"/>
    <mergeCell ref="B195:D195"/>
    <mergeCell ref="E195:F195"/>
    <mergeCell ref="G195:J195"/>
    <mergeCell ref="K195:N195"/>
    <mergeCell ref="O195:P195"/>
    <mergeCell ref="Q195:T195"/>
    <mergeCell ref="U193:X193"/>
    <mergeCell ref="Y193:Z193"/>
    <mergeCell ref="AA193:AD193"/>
    <mergeCell ref="AE193:AH193"/>
    <mergeCell ref="B194:D194"/>
    <mergeCell ref="E194:F194"/>
    <mergeCell ref="G194:J194"/>
    <mergeCell ref="K194:N194"/>
    <mergeCell ref="O194:P194"/>
    <mergeCell ref="Q194:T194"/>
    <mergeCell ref="U192:X192"/>
    <mergeCell ref="Y192:Z192"/>
    <mergeCell ref="AA192:AD192"/>
    <mergeCell ref="AE192:AH192"/>
    <mergeCell ref="B193:D193"/>
    <mergeCell ref="E193:F193"/>
    <mergeCell ref="G193:J193"/>
    <mergeCell ref="K193:N193"/>
    <mergeCell ref="O193:P193"/>
    <mergeCell ref="Q193:T193"/>
    <mergeCell ref="U191:X191"/>
    <mergeCell ref="Y191:Z191"/>
    <mergeCell ref="AA191:AD191"/>
    <mergeCell ref="AE191:AH191"/>
    <mergeCell ref="B192:D192"/>
    <mergeCell ref="E192:F192"/>
    <mergeCell ref="G192:J192"/>
    <mergeCell ref="K192:N192"/>
    <mergeCell ref="O192:P192"/>
    <mergeCell ref="Q192:T192"/>
    <mergeCell ref="B191:D191"/>
    <mergeCell ref="E191:F191"/>
    <mergeCell ref="G191:J191"/>
    <mergeCell ref="K191:N191"/>
    <mergeCell ref="O191:P191"/>
    <mergeCell ref="Q191:T191"/>
    <mergeCell ref="Y188:Z189"/>
    <mergeCell ref="AA188:AD189"/>
    <mergeCell ref="AE188:AH189"/>
    <mergeCell ref="G189:J189"/>
    <mergeCell ref="K189:N189"/>
    <mergeCell ref="Q189:T189"/>
    <mergeCell ref="U189:X189"/>
    <mergeCell ref="A188:A189"/>
    <mergeCell ref="B188:D189"/>
    <mergeCell ref="E188:F189"/>
    <mergeCell ref="G188:N188"/>
    <mergeCell ref="O188:P189"/>
    <mergeCell ref="Q188:X188"/>
    <mergeCell ref="AA181:AD181"/>
    <mergeCell ref="AE181:AH181"/>
    <mergeCell ref="Y182:Z182"/>
    <mergeCell ref="G184:J184"/>
    <mergeCell ref="K184:N184"/>
    <mergeCell ref="Q184:T184"/>
    <mergeCell ref="U184:X184"/>
    <mergeCell ref="AA184:AD184"/>
    <mergeCell ref="AE184:AH184"/>
    <mergeCell ref="AA171:AD171"/>
    <mergeCell ref="AE171:AH171"/>
    <mergeCell ref="B181:D181"/>
    <mergeCell ref="E181:F181"/>
    <mergeCell ref="G181:J181"/>
    <mergeCell ref="K181:N181"/>
    <mergeCell ref="O181:P181"/>
    <mergeCell ref="Q181:T181"/>
    <mergeCell ref="U181:X181"/>
    <mergeCell ref="Y181:Z181"/>
    <mergeCell ref="AA170:AD170"/>
    <mergeCell ref="AE170:AH170"/>
    <mergeCell ref="B171:D171"/>
    <mergeCell ref="E171:F171"/>
    <mergeCell ref="G171:J171"/>
    <mergeCell ref="K171:N171"/>
    <mergeCell ref="O171:P171"/>
    <mergeCell ref="Q171:T171"/>
    <mergeCell ref="U171:X171"/>
    <mergeCell ref="Y171:Z171"/>
    <mergeCell ref="B174:D174"/>
    <mergeCell ref="E174:F174"/>
    <mergeCell ref="G174:J174"/>
    <mergeCell ref="K174:N174"/>
    <mergeCell ref="O174:P174"/>
    <mergeCell ref="Q174:T174"/>
    <mergeCell ref="U174:X174"/>
    <mergeCell ref="Y174:Z174"/>
    <mergeCell ref="AA174:AD174"/>
    <mergeCell ref="AE174:AH174"/>
    <mergeCell ref="B175:D175"/>
    <mergeCell ref="E175:F175"/>
    <mergeCell ref="AA169:AD169"/>
    <mergeCell ref="AE169:AH169"/>
    <mergeCell ref="B170:D170"/>
    <mergeCell ref="E170:F170"/>
    <mergeCell ref="G170:J170"/>
    <mergeCell ref="K170:N170"/>
    <mergeCell ref="O170:P170"/>
    <mergeCell ref="Q170:T170"/>
    <mergeCell ref="U170:X170"/>
    <mergeCell ref="Y170:Z170"/>
    <mergeCell ref="AA168:AD168"/>
    <mergeCell ref="AE168:AH168"/>
    <mergeCell ref="B169:D169"/>
    <mergeCell ref="E169:F169"/>
    <mergeCell ref="G169:J169"/>
    <mergeCell ref="K169:N169"/>
    <mergeCell ref="O169:P169"/>
    <mergeCell ref="Q169:T169"/>
    <mergeCell ref="U169:X169"/>
    <mergeCell ref="Y169:Z169"/>
    <mergeCell ref="AE163:AH164"/>
    <mergeCell ref="G164:J164"/>
    <mergeCell ref="K164:N164"/>
    <mergeCell ref="Q164:T164"/>
    <mergeCell ref="U164:X164"/>
    <mergeCell ref="A163:A164"/>
    <mergeCell ref="B163:D164"/>
    <mergeCell ref="E163:F164"/>
    <mergeCell ref="G163:N163"/>
    <mergeCell ref="O163:P164"/>
    <mergeCell ref="Q163:X163"/>
    <mergeCell ref="AA167:AD167"/>
    <mergeCell ref="AE167:AH167"/>
    <mergeCell ref="B168:D168"/>
    <mergeCell ref="E168:F168"/>
    <mergeCell ref="G168:J168"/>
    <mergeCell ref="K168:N168"/>
    <mergeCell ref="O168:P168"/>
    <mergeCell ref="Q168:T168"/>
    <mergeCell ref="U168:X168"/>
    <mergeCell ref="Y168:Z168"/>
    <mergeCell ref="AA166:AD166"/>
    <mergeCell ref="AE166:AH166"/>
    <mergeCell ref="B167:D167"/>
    <mergeCell ref="E167:F167"/>
    <mergeCell ref="G167:J167"/>
    <mergeCell ref="K167:N167"/>
    <mergeCell ref="O167:P167"/>
    <mergeCell ref="Q167:T167"/>
    <mergeCell ref="U167:X167"/>
    <mergeCell ref="Y167:Z167"/>
    <mergeCell ref="X145:AB145"/>
    <mergeCell ref="P149:T149"/>
    <mergeCell ref="P150:T150"/>
    <mergeCell ref="P151:T151"/>
    <mergeCell ref="P152:T152"/>
    <mergeCell ref="U152:W152"/>
    <mergeCell ref="X152:AB152"/>
    <mergeCell ref="C143:J143"/>
    <mergeCell ref="K143:L143"/>
    <mergeCell ref="M143:O143"/>
    <mergeCell ref="P143:T143"/>
    <mergeCell ref="U143:W143"/>
    <mergeCell ref="X143:AB143"/>
    <mergeCell ref="Y165:Z165"/>
    <mergeCell ref="B166:D166"/>
    <mergeCell ref="E166:F166"/>
    <mergeCell ref="G166:J166"/>
    <mergeCell ref="K166:N166"/>
    <mergeCell ref="O166:P166"/>
    <mergeCell ref="Q166:T166"/>
    <mergeCell ref="U166:X166"/>
    <mergeCell ref="Y166:Z166"/>
    <mergeCell ref="Y163:Z164"/>
    <mergeCell ref="AA163:AD164"/>
    <mergeCell ref="C136:J136"/>
    <mergeCell ref="K136:L136"/>
    <mergeCell ref="M136:O136"/>
    <mergeCell ref="P136:T136"/>
    <mergeCell ref="U136:W136"/>
    <mergeCell ref="X136:AB136"/>
    <mergeCell ref="C135:J135"/>
    <mergeCell ref="K135:L135"/>
    <mergeCell ref="M135:O135"/>
    <mergeCell ref="P135:T135"/>
    <mergeCell ref="U135:W135"/>
    <mergeCell ref="X135:AB135"/>
    <mergeCell ref="C134:J134"/>
    <mergeCell ref="K134:L134"/>
    <mergeCell ref="M134:O134"/>
    <mergeCell ref="P134:T134"/>
    <mergeCell ref="U134:W134"/>
    <mergeCell ref="X134:AB134"/>
    <mergeCell ref="C120:J120"/>
    <mergeCell ref="K120:L120"/>
    <mergeCell ref="M120:O120"/>
    <mergeCell ref="P120:T120"/>
    <mergeCell ref="U120:W120"/>
    <mergeCell ref="X120:AB120"/>
    <mergeCell ref="C121:J121"/>
    <mergeCell ref="K121:L121"/>
    <mergeCell ref="M121:O121"/>
    <mergeCell ref="P121:T121"/>
    <mergeCell ref="U121:W121"/>
    <mergeCell ref="X121:AB121"/>
    <mergeCell ref="C122:J122"/>
    <mergeCell ref="K122:L122"/>
    <mergeCell ref="M122:O122"/>
    <mergeCell ref="P122:T122"/>
    <mergeCell ref="U122:W122"/>
    <mergeCell ref="X122:AB122"/>
    <mergeCell ref="C119:J119"/>
    <mergeCell ref="K119:L119"/>
    <mergeCell ref="M119:O119"/>
    <mergeCell ref="P119:T119"/>
    <mergeCell ref="U119:W119"/>
    <mergeCell ref="X119:AB119"/>
    <mergeCell ref="C118:J118"/>
    <mergeCell ref="K118:L118"/>
    <mergeCell ref="M118:O118"/>
    <mergeCell ref="P118:T118"/>
    <mergeCell ref="U118:W118"/>
    <mergeCell ref="X118:AB118"/>
    <mergeCell ref="X112:AB113"/>
    <mergeCell ref="C117:J117"/>
    <mergeCell ref="K117:L117"/>
    <mergeCell ref="M117:O117"/>
    <mergeCell ref="P117:T117"/>
    <mergeCell ref="U117:W117"/>
    <mergeCell ref="X117:AB117"/>
    <mergeCell ref="R108:U108"/>
    <mergeCell ref="V108:Y108"/>
    <mergeCell ref="AB108:AE108"/>
    <mergeCell ref="AF108:AI108"/>
    <mergeCell ref="B112:B113"/>
    <mergeCell ref="C112:J113"/>
    <mergeCell ref="K112:L113"/>
    <mergeCell ref="M112:O113"/>
    <mergeCell ref="P112:T113"/>
    <mergeCell ref="U112:W113"/>
    <mergeCell ref="V105:Y105"/>
    <mergeCell ref="Z105:AA105"/>
    <mergeCell ref="AB105:AE105"/>
    <mergeCell ref="AF105:AI105"/>
    <mergeCell ref="F106:G106"/>
    <mergeCell ref="H106:J106"/>
    <mergeCell ref="K106:N106"/>
    <mergeCell ref="R106:U106"/>
    <mergeCell ref="V106:Y106"/>
    <mergeCell ref="AF106:AI106"/>
    <mergeCell ref="V95:Y95"/>
    <mergeCell ref="Z95:AA95"/>
    <mergeCell ref="AB95:AE95"/>
    <mergeCell ref="AF95:AI95"/>
    <mergeCell ref="B105:E105"/>
    <mergeCell ref="F105:G105"/>
    <mergeCell ref="H105:J105"/>
    <mergeCell ref="K105:N105"/>
    <mergeCell ref="O105:Q105"/>
    <mergeCell ref="R105:U105"/>
    <mergeCell ref="V94:Y94"/>
    <mergeCell ref="Z94:AA94"/>
    <mergeCell ref="AB94:AE94"/>
    <mergeCell ref="AF94:AI94"/>
    <mergeCell ref="B95:E95"/>
    <mergeCell ref="F95:G95"/>
    <mergeCell ref="H95:J95"/>
    <mergeCell ref="K95:N95"/>
    <mergeCell ref="O95:Q95"/>
    <mergeCell ref="R95:U95"/>
    <mergeCell ref="B98:E98"/>
    <mergeCell ref="F98:G98"/>
    <mergeCell ref="H98:J98"/>
    <mergeCell ref="K98:N98"/>
    <mergeCell ref="O98:Q98"/>
    <mergeCell ref="R98:U98"/>
    <mergeCell ref="V98:Y98"/>
    <mergeCell ref="Z98:AA98"/>
    <mergeCell ref="AB98:AE98"/>
    <mergeCell ref="AF98:AI98"/>
    <mergeCell ref="B99:E99"/>
    <mergeCell ref="F99:G99"/>
    <mergeCell ref="V93:Y93"/>
    <mergeCell ref="Z93:AA93"/>
    <mergeCell ref="AB93:AE93"/>
    <mergeCell ref="AF93:AI93"/>
    <mergeCell ref="B94:E94"/>
    <mergeCell ref="F94:G94"/>
    <mergeCell ref="H94:J94"/>
    <mergeCell ref="K94:N94"/>
    <mergeCell ref="O94:Q94"/>
    <mergeCell ref="R94:U94"/>
    <mergeCell ref="V92:Y92"/>
    <mergeCell ref="Z92:AA92"/>
    <mergeCell ref="AB92:AE92"/>
    <mergeCell ref="AF92:AI92"/>
    <mergeCell ref="B93:E93"/>
    <mergeCell ref="F93:G93"/>
    <mergeCell ref="H93:J93"/>
    <mergeCell ref="K93:N93"/>
    <mergeCell ref="O93:Q93"/>
    <mergeCell ref="R93:U93"/>
    <mergeCell ref="V91:Y91"/>
    <mergeCell ref="Z91:AA91"/>
    <mergeCell ref="AB91:AE91"/>
    <mergeCell ref="AF91:AI91"/>
    <mergeCell ref="B92:E92"/>
    <mergeCell ref="F92:G92"/>
    <mergeCell ref="H92:J92"/>
    <mergeCell ref="K92:N92"/>
    <mergeCell ref="O92:Q92"/>
    <mergeCell ref="R92:U92"/>
    <mergeCell ref="V90:Y90"/>
    <mergeCell ref="Z90:AA90"/>
    <mergeCell ref="AB90:AE90"/>
    <mergeCell ref="AF90:AI90"/>
    <mergeCell ref="B91:E91"/>
    <mergeCell ref="F91:G91"/>
    <mergeCell ref="H91:J91"/>
    <mergeCell ref="K91:N91"/>
    <mergeCell ref="O91:Q91"/>
    <mergeCell ref="R91:U91"/>
    <mergeCell ref="B90:E90"/>
    <mergeCell ref="F90:G90"/>
    <mergeCell ref="H90:J90"/>
    <mergeCell ref="K90:N90"/>
    <mergeCell ref="O90:Q90"/>
    <mergeCell ref="R90:U90"/>
    <mergeCell ref="F89:G89"/>
    <mergeCell ref="H89:J89"/>
    <mergeCell ref="K89:N89"/>
    <mergeCell ref="R89:U89"/>
    <mergeCell ref="V89:Y89"/>
    <mergeCell ref="AF89:AI89"/>
    <mergeCell ref="AB87:AI87"/>
    <mergeCell ref="K88:N88"/>
    <mergeCell ref="O88:Q88"/>
    <mergeCell ref="R88:U88"/>
    <mergeCell ref="V88:Y88"/>
    <mergeCell ref="AB88:AE88"/>
    <mergeCell ref="AF88:AI88"/>
    <mergeCell ref="A87:A88"/>
    <mergeCell ref="B87:E88"/>
    <mergeCell ref="F87:G88"/>
    <mergeCell ref="H87:J88"/>
    <mergeCell ref="K87:Y87"/>
    <mergeCell ref="Z87:AA88"/>
    <mergeCell ref="U80:X80"/>
    <mergeCell ref="Y80:Z80"/>
    <mergeCell ref="AA80:AD80"/>
    <mergeCell ref="AE80:AH80"/>
    <mergeCell ref="G83:J83"/>
    <mergeCell ref="K83:N83"/>
    <mergeCell ref="Q83:T83"/>
    <mergeCell ref="U83:X83"/>
    <mergeCell ref="AA83:AD83"/>
    <mergeCell ref="AE83:AH83"/>
    <mergeCell ref="U78:X78"/>
    <mergeCell ref="Y78:Z78"/>
    <mergeCell ref="AA78:AD78"/>
    <mergeCell ref="AE78:AH78"/>
    <mergeCell ref="B80:D80"/>
    <mergeCell ref="E80:F80"/>
    <mergeCell ref="G80:J80"/>
    <mergeCell ref="K80:N80"/>
    <mergeCell ref="O80:P80"/>
    <mergeCell ref="Q80:T80"/>
    <mergeCell ref="B79:D79"/>
    <mergeCell ref="E79:F79"/>
    <mergeCell ref="G79:J79"/>
    <mergeCell ref="K79:N79"/>
    <mergeCell ref="O79:P79"/>
    <mergeCell ref="Q79:T79"/>
    <mergeCell ref="U79:X79"/>
    <mergeCell ref="Y79:Z79"/>
    <mergeCell ref="AA79:AD79"/>
    <mergeCell ref="AE79:AH79"/>
    <mergeCell ref="U77:X77"/>
    <mergeCell ref="Y77:Z77"/>
    <mergeCell ref="AA77:AD77"/>
    <mergeCell ref="AE77:AH77"/>
    <mergeCell ref="B78:D78"/>
    <mergeCell ref="E78:F78"/>
    <mergeCell ref="G78:J78"/>
    <mergeCell ref="K78:N78"/>
    <mergeCell ref="O78:P78"/>
    <mergeCell ref="Q78:T78"/>
    <mergeCell ref="U76:X76"/>
    <mergeCell ref="Y76:Z76"/>
    <mergeCell ref="AA76:AD76"/>
    <mergeCell ref="AE76:AH76"/>
    <mergeCell ref="B77:D77"/>
    <mergeCell ref="E77:F77"/>
    <mergeCell ref="G77:J77"/>
    <mergeCell ref="K77:N77"/>
    <mergeCell ref="O77:P77"/>
    <mergeCell ref="Q77:T77"/>
    <mergeCell ref="U75:X75"/>
    <mergeCell ref="Y75:Z75"/>
    <mergeCell ref="AA75:AD75"/>
    <mergeCell ref="AE75:AH75"/>
    <mergeCell ref="B76:D76"/>
    <mergeCell ref="E76:F76"/>
    <mergeCell ref="G76:J76"/>
    <mergeCell ref="K76:N76"/>
    <mergeCell ref="O76:P76"/>
    <mergeCell ref="Q76:T76"/>
    <mergeCell ref="U74:X74"/>
    <mergeCell ref="Y74:Z74"/>
    <mergeCell ref="AA74:AD74"/>
    <mergeCell ref="AE74:AH74"/>
    <mergeCell ref="B75:D75"/>
    <mergeCell ref="E75:F75"/>
    <mergeCell ref="G75:J75"/>
    <mergeCell ref="K75:N75"/>
    <mergeCell ref="O75:P75"/>
    <mergeCell ref="Q75:T75"/>
    <mergeCell ref="U73:X73"/>
    <mergeCell ref="Y73:Z73"/>
    <mergeCell ref="AA73:AD73"/>
    <mergeCell ref="AE73:AH73"/>
    <mergeCell ref="B74:D74"/>
    <mergeCell ref="E74:F74"/>
    <mergeCell ref="G74:J74"/>
    <mergeCell ref="K74:N74"/>
    <mergeCell ref="O74:P74"/>
    <mergeCell ref="Q74:T74"/>
    <mergeCell ref="U72:X72"/>
    <mergeCell ref="Y72:Z72"/>
    <mergeCell ref="AA72:AD72"/>
    <mergeCell ref="AE72:AH72"/>
    <mergeCell ref="B73:D73"/>
    <mergeCell ref="E73:F73"/>
    <mergeCell ref="G73:J73"/>
    <mergeCell ref="K73:N73"/>
    <mergeCell ref="O73:P73"/>
    <mergeCell ref="Q73:T73"/>
    <mergeCell ref="U71:X71"/>
    <mergeCell ref="Y71:Z71"/>
    <mergeCell ref="AA71:AD71"/>
    <mergeCell ref="AE71:AH71"/>
    <mergeCell ref="B72:D72"/>
    <mergeCell ref="E72:F72"/>
    <mergeCell ref="G72:J72"/>
    <mergeCell ref="K72:N72"/>
    <mergeCell ref="O72:P72"/>
    <mergeCell ref="Q72:T72"/>
    <mergeCell ref="U70:X70"/>
    <mergeCell ref="Y70:Z70"/>
    <mergeCell ref="AA70:AD70"/>
    <mergeCell ref="AE70:AH70"/>
    <mergeCell ref="B71:D71"/>
    <mergeCell ref="E71:F71"/>
    <mergeCell ref="G71:J71"/>
    <mergeCell ref="K71:N71"/>
    <mergeCell ref="O71:P71"/>
    <mergeCell ref="Q71:T71"/>
    <mergeCell ref="U69:X69"/>
    <mergeCell ref="Y69:Z69"/>
    <mergeCell ref="AA69:AD69"/>
    <mergeCell ref="AE69:AH69"/>
    <mergeCell ref="B70:D70"/>
    <mergeCell ref="E70:F70"/>
    <mergeCell ref="G70:J70"/>
    <mergeCell ref="K70:N70"/>
    <mergeCell ref="O70:P70"/>
    <mergeCell ref="Q70:T70"/>
    <mergeCell ref="U68:X68"/>
    <mergeCell ref="Y68:Z68"/>
    <mergeCell ref="AA68:AD68"/>
    <mergeCell ref="AE68:AH68"/>
    <mergeCell ref="B69:D69"/>
    <mergeCell ref="E69:F69"/>
    <mergeCell ref="G69:J69"/>
    <mergeCell ref="K69:N69"/>
    <mergeCell ref="O69:P69"/>
    <mergeCell ref="Q69:T69"/>
    <mergeCell ref="U67:X67"/>
    <mergeCell ref="Y67:Z67"/>
    <mergeCell ref="AA67:AD67"/>
    <mergeCell ref="AE67:AH67"/>
    <mergeCell ref="B68:D68"/>
    <mergeCell ref="E68:F68"/>
    <mergeCell ref="G68:J68"/>
    <mergeCell ref="K68:N68"/>
    <mergeCell ref="O68:P68"/>
    <mergeCell ref="Q68:T68"/>
    <mergeCell ref="U66:X66"/>
    <mergeCell ref="Y66:Z66"/>
    <mergeCell ref="AA66:AD66"/>
    <mergeCell ref="AE66:AH66"/>
    <mergeCell ref="B67:D67"/>
    <mergeCell ref="E67:F67"/>
    <mergeCell ref="G67:J67"/>
    <mergeCell ref="K67:N67"/>
    <mergeCell ref="O67:P67"/>
    <mergeCell ref="Q67:T67"/>
    <mergeCell ref="U65:X65"/>
    <mergeCell ref="Y65:Z65"/>
    <mergeCell ref="AA65:AD65"/>
    <mergeCell ref="AE65:AH65"/>
    <mergeCell ref="B66:D66"/>
    <mergeCell ref="E66:F66"/>
    <mergeCell ref="G66:J66"/>
    <mergeCell ref="K66:N66"/>
    <mergeCell ref="O66:P66"/>
    <mergeCell ref="Q66:T66"/>
    <mergeCell ref="B65:D65"/>
    <mergeCell ref="E65:F65"/>
    <mergeCell ref="G65:J65"/>
    <mergeCell ref="K65:N65"/>
    <mergeCell ref="O65:P65"/>
    <mergeCell ref="Q65:T65"/>
    <mergeCell ref="Y62:Z63"/>
    <mergeCell ref="AA62:AD63"/>
    <mergeCell ref="AE62:AH63"/>
    <mergeCell ref="G63:J63"/>
    <mergeCell ref="K63:N63"/>
    <mergeCell ref="Q63:T63"/>
    <mergeCell ref="U63:X63"/>
    <mergeCell ref="M61:X61"/>
    <mergeCell ref="A62:A63"/>
    <mergeCell ref="B62:D63"/>
    <mergeCell ref="E62:F63"/>
    <mergeCell ref="G62:N62"/>
    <mergeCell ref="O62:P63"/>
    <mergeCell ref="Q62:X62"/>
    <mergeCell ref="U55:X55"/>
    <mergeCell ref="Y55:Z55"/>
    <mergeCell ref="AA55:AD55"/>
    <mergeCell ref="AE55:AH55"/>
    <mergeCell ref="G58:J58"/>
    <mergeCell ref="K58:N58"/>
    <mergeCell ref="Q58:T58"/>
    <mergeCell ref="U58:X58"/>
    <mergeCell ref="AA58:AD58"/>
    <mergeCell ref="AE58:AH58"/>
    <mergeCell ref="U45:X45"/>
    <mergeCell ref="Y45:Z45"/>
    <mergeCell ref="AA45:AD45"/>
    <mergeCell ref="AE45:AH45"/>
    <mergeCell ref="B55:D55"/>
    <mergeCell ref="E55:F55"/>
    <mergeCell ref="G55:J55"/>
    <mergeCell ref="K55:N55"/>
    <mergeCell ref="O55:P55"/>
    <mergeCell ref="Q55:T55"/>
    <mergeCell ref="U44:X44"/>
    <mergeCell ref="Y44:Z44"/>
    <mergeCell ref="AA44:AD44"/>
    <mergeCell ref="AE44:AH44"/>
    <mergeCell ref="B45:D45"/>
    <mergeCell ref="E45:F45"/>
    <mergeCell ref="G45:J45"/>
    <mergeCell ref="K45:N45"/>
    <mergeCell ref="O45:P45"/>
    <mergeCell ref="Q45:T45"/>
    <mergeCell ref="B47:D47"/>
    <mergeCell ref="E47:F47"/>
    <mergeCell ref="G47:J47"/>
    <mergeCell ref="K47:N47"/>
    <mergeCell ref="O47:P47"/>
    <mergeCell ref="Q47:T47"/>
    <mergeCell ref="U47:X47"/>
    <mergeCell ref="Y47:Z47"/>
    <mergeCell ref="AA47:AD47"/>
    <mergeCell ref="AE47:AH47"/>
    <mergeCell ref="B48:D48"/>
    <mergeCell ref="E48:F48"/>
    <mergeCell ref="U43:X43"/>
    <mergeCell ref="Y43:Z43"/>
    <mergeCell ref="AA43:AD43"/>
    <mergeCell ref="AE43:AH43"/>
    <mergeCell ref="B44:D44"/>
    <mergeCell ref="E44:F44"/>
    <mergeCell ref="G44:J44"/>
    <mergeCell ref="K44:N44"/>
    <mergeCell ref="O44:P44"/>
    <mergeCell ref="Q44:T44"/>
    <mergeCell ref="U42:X42"/>
    <mergeCell ref="Y42:Z42"/>
    <mergeCell ref="AA42:AD42"/>
    <mergeCell ref="AE42:AH42"/>
    <mergeCell ref="B43:D43"/>
    <mergeCell ref="E43:F43"/>
    <mergeCell ref="G43:J43"/>
    <mergeCell ref="K43:N43"/>
    <mergeCell ref="O43:P43"/>
    <mergeCell ref="Q43:T43"/>
    <mergeCell ref="U41:X41"/>
    <mergeCell ref="Y41:Z41"/>
    <mergeCell ref="AA41:AD41"/>
    <mergeCell ref="AE41:AH41"/>
    <mergeCell ref="B42:D42"/>
    <mergeCell ref="E42:F42"/>
    <mergeCell ref="G42:J42"/>
    <mergeCell ref="K42:N42"/>
    <mergeCell ref="O42:P42"/>
    <mergeCell ref="Q42:T42"/>
    <mergeCell ref="U40:X40"/>
    <mergeCell ref="Y40:Z40"/>
    <mergeCell ref="AA40:AD40"/>
    <mergeCell ref="AE40:AH40"/>
    <mergeCell ref="B41:D41"/>
    <mergeCell ref="E41:F41"/>
    <mergeCell ref="G41:J41"/>
    <mergeCell ref="K41:N41"/>
    <mergeCell ref="O41:P41"/>
    <mergeCell ref="Q41:T41"/>
    <mergeCell ref="G38:J38"/>
    <mergeCell ref="K38:N38"/>
    <mergeCell ref="Q38:T38"/>
    <mergeCell ref="U38:X38"/>
    <mergeCell ref="B40:D40"/>
    <mergeCell ref="E40:F40"/>
    <mergeCell ref="G40:J40"/>
    <mergeCell ref="K40:N40"/>
    <mergeCell ref="O40:P40"/>
    <mergeCell ref="Q40:T40"/>
    <mergeCell ref="AE33:AH33"/>
    <mergeCell ref="A37:A38"/>
    <mergeCell ref="B37:D38"/>
    <mergeCell ref="E37:F38"/>
    <mergeCell ref="G37:N37"/>
    <mergeCell ref="O37:P38"/>
    <mergeCell ref="Q37:X37"/>
    <mergeCell ref="Y37:Z38"/>
    <mergeCell ref="AA37:AD38"/>
    <mergeCell ref="AE37:AH38"/>
    <mergeCell ref="U30:X30"/>
    <mergeCell ref="Y30:Z30"/>
    <mergeCell ref="AA30:AD30"/>
    <mergeCell ref="AE30:AH30"/>
    <mergeCell ref="Y31:Z31"/>
    <mergeCell ref="G33:J33"/>
    <mergeCell ref="K33:N33"/>
    <mergeCell ref="Q33:T33"/>
    <mergeCell ref="U33:X33"/>
    <mergeCell ref="AA33:AD33"/>
    <mergeCell ref="U24:X24"/>
    <mergeCell ref="Y24:Z24"/>
    <mergeCell ref="AA24:AD24"/>
    <mergeCell ref="AE24:AH24"/>
    <mergeCell ref="B30:D30"/>
    <mergeCell ref="E30:F30"/>
    <mergeCell ref="G30:J30"/>
    <mergeCell ref="K30:N30"/>
    <mergeCell ref="O30:P30"/>
    <mergeCell ref="Q30:T30"/>
    <mergeCell ref="Y28:Z28"/>
    <mergeCell ref="AA28:AD28"/>
    <mergeCell ref="AE28:AH28"/>
    <mergeCell ref="B29:D29"/>
    <mergeCell ref="E29:F29"/>
    <mergeCell ref="G29:J29"/>
    <mergeCell ref="K29:N29"/>
    <mergeCell ref="O29:P29"/>
    <mergeCell ref="Q29:T29"/>
    <mergeCell ref="U29:X29"/>
    <mergeCell ref="Y29:Z29"/>
    <mergeCell ref="AA29:AD29"/>
    <mergeCell ref="E20:F20"/>
    <mergeCell ref="G20:J20"/>
    <mergeCell ref="U23:X23"/>
    <mergeCell ref="Y23:Z23"/>
    <mergeCell ref="AA23:AD23"/>
    <mergeCell ref="AE23:AH23"/>
    <mergeCell ref="B24:D24"/>
    <mergeCell ref="E24:F24"/>
    <mergeCell ref="G24:J24"/>
    <mergeCell ref="K24:N24"/>
    <mergeCell ref="O24:P24"/>
    <mergeCell ref="Q24:T24"/>
    <mergeCell ref="U22:X22"/>
    <mergeCell ref="Y22:Z22"/>
    <mergeCell ref="AA22:AD22"/>
    <mergeCell ref="AE22:AH22"/>
    <mergeCell ref="B23:D23"/>
    <mergeCell ref="E23:F23"/>
    <mergeCell ref="G23:J23"/>
    <mergeCell ref="K23:N23"/>
    <mergeCell ref="O23:P23"/>
    <mergeCell ref="Q23:T23"/>
    <mergeCell ref="G13:J13"/>
    <mergeCell ref="K13:N13"/>
    <mergeCell ref="Q13:T13"/>
    <mergeCell ref="U13:X13"/>
    <mergeCell ref="Y14:Z14"/>
    <mergeCell ref="U21:X21"/>
    <mergeCell ref="Y21:Z21"/>
    <mergeCell ref="AA21:AD21"/>
    <mergeCell ref="AE21:AH21"/>
    <mergeCell ref="B22:D22"/>
    <mergeCell ref="E22:F22"/>
    <mergeCell ref="G22:J22"/>
    <mergeCell ref="K22:N22"/>
    <mergeCell ref="O22:P22"/>
    <mergeCell ref="Q22:T22"/>
    <mergeCell ref="U16:X16"/>
    <mergeCell ref="Y16:Z16"/>
    <mergeCell ref="AA16:AD16"/>
    <mergeCell ref="AE16:AH16"/>
    <mergeCell ref="B21:D21"/>
    <mergeCell ref="E21:F21"/>
    <mergeCell ref="G21:J21"/>
    <mergeCell ref="K21:N21"/>
    <mergeCell ref="O21:P21"/>
    <mergeCell ref="Q21:T21"/>
    <mergeCell ref="O19:P19"/>
    <mergeCell ref="Q19:T19"/>
    <mergeCell ref="U19:X19"/>
    <mergeCell ref="Y19:Z19"/>
    <mergeCell ref="AA19:AD19"/>
    <mergeCell ref="AE19:AH19"/>
    <mergeCell ref="B20:D20"/>
    <mergeCell ref="G19:J19"/>
    <mergeCell ref="K19:N19"/>
    <mergeCell ref="K8:T8"/>
    <mergeCell ref="K159:T159"/>
    <mergeCell ref="K310:T310"/>
    <mergeCell ref="K461:T461"/>
    <mergeCell ref="A1:AI1"/>
    <mergeCell ref="A12:A13"/>
    <mergeCell ref="B12:D13"/>
    <mergeCell ref="E12:F13"/>
    <mergeCell ref="G12:N12"/>
    <mergeCell ref="O12:P13"/>
    <mergeCell ref="Q12:X12"/>
    <mergeCell ref="Y12:Z13"/>
    <mergeCell ref="AA12:AD13"/>
    <mergeCell ref="U15:X15"/>
    <mergeCell ref="Y15:Z15"/>
    <mergeCell ref="AA15:AD15"/>
    <mergeCell ref="AE15:AH15"/>
    <mergeCell ref="B16:D16"/>
    <mergeCell ref="E16:F16"/>
    <mergeCell ref="G16:J16"/>
    <mergeCell ref="K16:N16"/>
    <mergeCell ref="O16:P16"/>
    <mergeCell ref="Q16:T16"/>
    <mergeCell ref="B15:D15"/>
    <mergeCell ref="E15:F15"/>
    <mergeCell ref="G15:J15"/>
    <mergeCell ref="K15:N15"/>
    <mergeCell ref="O15:P15"/>
    <mergeCell ref="Q15:T15"/>
    <mergeCell ref="AE12:AH13"/>
    <mergeCell ref="Y27:Z27"/>
    <mergeCell ref="AA27:AD27"/>
    <mergeCell ref="AE27:AH27"/>
    <mergeCell ref="B28:D28"/>
    <mergeCell ref="E28:F28"/>
    <mergeCell ref="G28:J28"/>
    <mergeCell ref="K28:N28"/>
    <mergeCell ref="O28:P28"/>
    <mergeCell ref="Q28:T28"/>
    <mergeCell ref="U28:X28"/>
    <mergeCell ref="B17:D17"/>
    <mergeCell ref="E17:F17"/>
    <mergeCell ref="G17:J17"/>
    <mergeCell ref="K17:N17"/>
    <mergeCell ref="O17:P17"/>
    <mergeCell ref="Q17:T17"/>
    <mergeCell ref="U17:X17"/>
    <mergeCell ref="Y17:Z17"/>
    <mergeCell ref="AA17:AD17"/>
    <mergeCell ref="AE17:AH17"/>
    <mergeCell ref="B18:D18"/>
    <mergeCell ref="E18:F18"/>
    <mergeCell ref="G18:J18"/>
    <mergeCell ref="K18:N18"/>
    <mergeCell ref="O18:P18"/>
    <mergeCell ref="Q18:T18"/>
    <mergeCell ref="U18:X18"/>
    <mergeCell ref="Y18:Z18"/>
    <mergeCell ref="AA18:AD18"/>
    <mergeCell ref="AE18:AH18"/>
    <mergeCell ref="B19:D19"/>
    <mergeCell ref="E19:F19"/>
    <mergeCell ref="B49:D49"/>
    <mergeCell ref="E49:F49"/>
    <mergeCell ref="G49:J49"/>
    <mergeCell ref="K49:N49"/>
    <mergeCell ref="O49:P49"/>
    <mergeCell ref="Q49:T49"/>
    <mergeCell ref="U49:X49"/>
    <mergeCell ref="Y49:Z49"/>
    <mergeCell ref="AA49:AD49"/>
    <mergeCell ref="AE49:AH49"/>
    <mergeCell ref="K20:N20"/>
    <mergeCell ref="O20:P20"/>
    <mergeCell ref="Q20:T20"/>
    <mergeCell ref="U20:X20"/>
    <mergeCell ref="Y20:Z20"/>
    <mergeCell ref="AA20:AD20"/>
    <mergeCell ref="AE20:AH20"/>
    <mergeCell ref="B46:D46"/>
    <mergeCell ref="E46:F46"/>
    <mergeCell ref="G46:J46"/>
    <mergeCell ref="K46:N46"/>
    <mergeCell ref="O46:P46"/>
    <mergeCell ref="Q46:T46"/>
    <mergeCell ref="U46:X46"/>
    <mergeCell ref="Y46:Z46"/>
    <mergeCell ref="AA46:AD46"/>
    <mergeCell ref="AE46:AH46"/>
    <mergeCell ref="G27:J27"/>
    <mergeCell ref="K27:N27"/>
    <mergeCell ref="O27:P27"/>
    <mergeCell ref="Q27:T27"/>
    <mergeCell ref="U27:X27"/>
    <mergeCell ref="E51:F51"/>
    <mergeCell ref="G51:J51"/>
    <mergeCell ref="K51:N51"/>
    <mergeCell ref="O51:P51"/>
    <mergeCell ref="Q51:T51"/>
    <mergeCell ref="U51:X51"/>
    <mergeCell ref="Y51:Z51"/>
    <mergeCell ref="AA51:AD51"/>
    <mergeCell ref="AE51:AH51"/>
    <mergeCell ref="G48:J48"/>
    <mergeCell ref="K48:N48"/>
    <mergeCell ref="O48:P48"/>
    <mergeCell ref="Q48:T48"/>
    <mergeCell ref="U48:X48"/>
    <mergeCell ref="Y48:Z48"/>
    <mergeCell ref="AA48:AD48"/>
    <mergeCell ref="AE48:AH48"/>
    <mergeCell ref="B27:D27"/>
    <mergeCell ref="E27:F27"/>
    <mergeCell ref="B52:D52"/>
    <mergeCell ref="E52:F52"/>
    <mergeCell ref="G52:J52"/>
    <mergeCell ref="K52:N52"/>
    <mergeCell ref="O52:P52"/>
    <mergeCell ref="Q52:T52"/>
    <mergeCell ref="U52:X52"/>
    <mergeCell ref="Y52:Z52"/>
    <mergeCell ref="AA52:AD52"/>
    <mergeCell ref="AE52:AH52"/>
    <mergeCell ref="B53:D53"/>
    <mergeCell ref="E53:F53"/>
    <mergeCell ref="G53:J53"/>
    <mergeCell ref="K53:N53"/>
    <mergeCell ref="O53:P53"/>
    <mergeCell ref="Q53:T53"/>
    <mergeCell ref="U53:X53"/>
    <mergeCell ref="Y53:Z53"/>
    <mergeCell ref="AA53:AD53"/>
    <mergeCell ref="AE53:AH53"/>
    <mergeCell ref="B50:D50"/>
    <mergeCell ref="E50:F50"/>
    <mergeCell ref="G50:J50"/>
    <mergeCell ref="K50:N50"/>
    <mergeCell ref="O50:P50"/>
    <mergeCell ref="Q50:T50"/>
    <mergeCell ref="U50:X50"/>
    <mergeCell ref="Y50:Z50"/>
    <mergeCell ref="AA50:AD50"/>
    <mergeCell ref="AE50:AH50"/>
    <mergeCell ref="B25:D25"/>
    <mergeCell ref="E25:F25"/>
    <mergeCell ref="G25:J25"/>
    <mergeCell ref="K25:N25"/>
    <mergeCell ref="O25:P25"/>
    <mergeCell ref="Q25:T25"/>
    <mergeCell ref="U25:X25"/>
    <mergeCell ref="Y25:Z25"/>
    <mergeCell ref="AA25:AD25"/>
    <mergeCell ref="AE25:AH25"/>
    <mergeCell ref="B26:D26"/>
    <mergeCell ref="E26:F26"/>
    <mergeCell ref="G26:J26"/>
    <mergeCell ref="K26:N26"/>
    <mergeCell ref="O26:P26"/>
    <mergeCell ref="Q26:T26"/>
    <mergeCell ref="U26:X26"/>
    <mergeCell ref="Y26:Z26"/>
    <mergeCell ref="AA26:AD26"/>
    <mergeCell ref="AE26:AH26"/>
    <mergeCell ref="AE29:AH29"/>
    <mergeCell ref="B96:E96"/>
    <mergeCell ref="F96:G96"/>
    <mergeCell ref="H96:J96"/>
    <mergeCell ref="K96:N96"/>
    <mergeCell ref="O96:Q96"/>
    <mergeCell ref="R96:U96"/>
    <mergeCell ref="V96:Y96"/>
    <mergeCell ref="Z96:AA96"/>
    <mergeCell ref="AB96:AE96"/>
    <mergeCell ref="AF96:AI96"/>
    <mergeCell ref="B97:E97"/>
    <mergeCell ref="F97:G97"/>
    <mergeCell ref="H97:J97"/>
    <mergeCell ref="K97:N97"/>
    <mergeCell ref="O97:Q97"/>
    <mergeCell ref="R97:U97"/>
    <mergeCell ref="V97:Y97"/>
    <mergeCell ref="Z97:AA97"/>
    <mergeCell ref="AB97:AE97"/>
    <mergeCell ref="AF97:AI97"/>
    <mergeCell ref="B54:D54"/>
    <mergeCell ref="E54:F54"/>
    <mergeCell ref="G54:J54"/>
    <mergeCell ref="K54:N54"/>
    <mergeCell ref="O54:P54"/>
    <mergeCell ref="Q54:T54"/>
    <mergeCell ref="U54:X54"/>
    <mergeCell ref="Y54:Z54"/>
    <mergeCell ref="AA54:AD54"/>
    <mergeCell ref="AE54:AH54"/>
    <mergeCell ref="B51:D51"/>
    <mergeCell ref="H99:J99"/>
    <mergeCell ref="K99:N99"/>
    <mergeCell ref="O99:Q99"/>
    <mergeCell ref="R99:U99"/>
    <mergeCell ref="V99:Y99"/>
    <mergeCell ref="Z99:AA99"/>
    <mergeCell ref="AB99:AE99"/>
    <mergeCell ref="AF99:AI99"/>
    <mergeCell ref="B100:E100"/>
    <mergeCell ref="F100:G100"/>
    <mergeCell ref="H100:J100"/>
    <mergeCell ref="K100:N100"/>
    <mergeCell ref="O100:Q100"/>
    <mergeCell ref="R100:U100"/>
    <mergeCell ref="V100:Y100"/>
    <mergeCell ref="Z100:AA100"/>
    <mergeCell ref="AB100:AE100"/>
    <mergeCell ref="AF100:AI100"/>
    <mergeCell ref="B101:E101"/>
    <mergeCell ref="F101:G101"/>
    <mergeCell ref="H101:J101"/>
    <mergeCell ref="K101:N101"/>
    <mergeCell ref="O101:Q101"/>
    <mergeCell ref="R101:U101"/>
    <mergeCell ref="V101:Y101"/>
    <mergeCell ref="Z101:AA101"/>
    <mergeCell ref="AB101:AE101"/>
    <mergeCell ref="AF101:AI101"/>
    <mergeCell ref="B102:E102"/>
    <mergeCell ref="F102:G102"/>
    <mergeCell ref="H102:J102"/>
    <mergeCell ref="K102:N102"/>
    <mergeCell ref="O102:Q102"/>
    <mergeCell ref="R102:U102"/>
    <mergeCell ref="V102:Y102"/>
    <mergeCell ref="Z102:AA102"/>
    <mergeCell ref="AB102:AE102"/>
    <mergeCell ref="AF102:AI102"/>
    <mergeCell ref="B103:E103"/>
    <mergeCell ref="F103:G103"/>
    <mergeCell ref="H103:J103"/>
    <mergeCell ref="K103:N103"/>
    <mergeCell ref="O103:Q103"/>
    <mergeCell ref="R103:U103"/>
    <mergeCell ref="V103:Y103"/>
    <mergeCell ref="Z103:AA103"/>
    <mergeCell ref="AB103:AE103"/>
    <mergeCell ref="AF103:AI103"/>
    <mergeCell ref="B104:E104"/>
    <mergeCell ref="F104:G104"/>
    <mergeCell ref="H104:J104"/>
    <mergeCell ref="K104:N104"/>
    <mergeCell ref="O104:Q104"/>
    <mergeCell ref="R104:U104"/>
    <mergeCell ref="V104:Y104"/>
    <mergeCell ref="Z104:AA104"/>
    <mergeCell ref="AB104:AE104"/>
    <mergeCell ref="AF104:AI104"/>
    <mergeCell ref="C123:J123"/>
    <mergeCell ref="K123:L123"/>
    <mergeCell ref="M123:O123"/>
    <mergeCell ref="P123:T123"/>
    <mergeCell ref="U123:W123"/>
    <mergeCell ref="X123:AB123"/>
    <mergeCell ref="C124:J124"/>
    <mergeCell ref="K124:L124"/>
    <mergeCell ref="M124:O124"/>
    <mergeCell ref="P124:T124"/>
    <mergeCell ref="U124:W124"/>
    <mergeCell ref="X124:AB124"/>
    <mergeCell ref="C125:J125"/>
    <mergeCell ref="K125:L125"/>
    <mergeCell ref="M125:O125"/>
    <mergeCell ref="P125:T125"/>
    <mergeCell ref="U125:W125"/>
    <mergeCell ref="X125:AB125"/>
    <mergeCell ref="C126:J126"/>
    <mergeCell ref="K126:L126"/>
    <mergeCell ref="M126:O126"/>
    <mergeCell ref="P126:T126"/>
    <mergeCell ref="U126:W126"/>
    <mergeCell ref="X126:AB126"/>
    <mergeCell ref="C137:J137"/>
    <mergeCell ref="K137:L137"/>
    <mergeCell ref="M137:O137"/>
    <mergeCell ref="P137:T137"/>
    <mergeCell ref="U137:W137"/>
    <mergeCell ref="X137:AB137"/>
    <mergeCell ref="C138:J138"/>
    <mergeCell ref="K138:L138"/>
    <mergeCell ref="M138:O138"/>
    <mergeCell ref="P138:T138"/>
    <mergeCell ref="U138:W138"/>
    <mergeCell ref="X138:AB138"/>
    <mergeCell ref="P129:T129"/>
    <mergeCell ref="X129:AB129"/>
    <mergeCell ref="C133:J133"/>
    <mergeCell ref="K133:L133"/>
    <mergeCell ref="M133:O133"/>
    <mergeCell ref="P133:T133"/>
    <mergeCell ref="U133:W133"/>
    <mergeCell ref="X133:AB133"/>
    <mergeCell ref="C127:J127"/>
    <mergeCell ref="K127:L127"/>
    <mergeCell ref="M127:O127"/>
    <mergeCell ref="P127:T127"/>
    <mergeCell ref="U127:W127"/>
    <mergeCell ref="X127:AB127"/>
    <mergeCell ref="C139:J139"/>
    <mergeCell ref="K139:L139"/>
    <mergeCell ref="M139:O139"/>
    <mergeCell ref="P139:T139"/>
    <mergeCell ref="U139:W139"/>
    <mergeCell ref="X139:AB139"/>
    <mergeCell ref="C140:J140"/>
    <mergeCell ref="K140:L140"/>
    <mergeCell ref="M140:O140"/>
    <mergeCell ref="P140:T140"/>
    <mergeCell ref="U140:W140"/>
    <mergeCell ref="X140:AB140"/>
    <mergeCell ref="C141:J141"/>
    <mergeCell ref="K141:L141"/>
    <mergeCell ref="M141:O141"/>
    <mergeCell ref="P141:T141"/>
    <mergeCell ref="U141:W141"/>
    <mergeCell ref="X141:AB141"/>
    <mergeCell ref="C142:J142"/>
    <mergeCell ref="K142:L142"/>
    <mergeCell ref="M142:O142"/>
    <mergeCell ref="P142:T142"/>
    <mergeCell ref="U142:W142"/>
    <mergeCell ref="X142:AB142"/>
    <mergeCell ref="B172:D172"/>
    <mergeCell ref="E172:F172"/>
    <mergeCell ref="G172:J172"/>
    <mergeCell ref="K172:N172"/>
    <mergeCell ref="O172:P172"/>
    <mergeCell ref="Q172:T172"/>
    <mergeCell ref="U172:X172"/>
    <mergeCell ref="Y172:Z172"/>
    <mergeCell ref="AA172:AD172"/>
    <mergeCell ref="AE172:AH172"/>
    <mergeCell ref="B173:D173"/>
    <mergeCell ref="E173:F173"/>
    <mergeCell ref="G173:J173"/>
    <mergeCell ref="K173:N173"/>
    <mergeCell ref="O173:P173"/>
    <mergeCell ref="Q173:T173"/>
    <mergeCell ref="U173:X173"/>
    <mergeCell ref="Y173:Z173"/>
    <mergeCell ref="AA173:AD173"/>
    <mergeCell ref="AE173:AH173"/>
    <mergeCell ref="P154:T154"/>
    <mergeCell ref="X154:AB154"/>
    <mergeCell ref="P156:T156"/>
    <mergeCell ref="U156:W156"/>
    <mergeCell ref="X156:AB156"/>
    <mergeCell ref="P145:T145"/>
    <mergeCell ref="G175:J175"/>
    <mergeCell ref="K175:N175"/>
    <mergeCell ref="O175:P175"/>
    <mergeCell ref="Q175:T175"/>
    <mergeCell ref="U175:X175"/>
    <mergeCell ref="Y175:Z175"/>
    <mergeCell ref="AA175:AD175"/>
    <mergeCell ref="AE175:AH175"/>
    <mergeCell ref="B176:D176"/>
    <mergeCell ref="E176:F176"/>
    <mergeCell ref="G176:J176"/>
    <mergeCell ref="K176:N176"/>
    <mergeCell ref="O176:P176"/>
    <mergeCell ref="Q176:T176"/>
    <mergeCell ref="U176:X176"/>
    <mergeCell ref="Y176:Z176"/>
    <mergeCell ref="AA176:AD176"/>
    <mergeCell ref="AE176:AH176"/>
    <mergeCell ref="B177:D177"/>
    <mergeCell ref="E177:F177"/>
    <mergeCell ref="G177:J177"/>
    <mergeCell ref="K177:N177"/>
    <mergeCell ref="O177:P177"/>
    <mergeCell ref="Q177:T177"/>
    <mergeCell ref="U177:X177"/>
    <mergeCell ref="Y177:Z177"/>
    <mergeCell ref="AA177:AD177"/>
    <mergeCell ref="AE177:AH177"/>
    <mergeCell ref="B178:D178"/>
    <mergeCell ref="E178:F178"/>
    <mergeCell ref="G178:J178"/>
    <mergeCell ref="K178:N178"/>
    <mergeCell ref="O178:P178"/>
    <mergeCell ref="Q178:T178"/>
    <mergeCell ref="U178:X178"/>
    <mergeCell ref="Y178:Z178"/>
    <mergeCell ref="AA178:AD178"/>
    <mergeCell ref="AE178:AH178"/>
    <mergeCell ref="B179:D179"/>
    <mergeCell ref="E179:F179"/>
    <mergeCell ref="G179:J179"/>
    <mergeCell ref="K179:N179"/>
    <mergeCell ref="O179:P179"/>
    <mergeCell ref="Q179:T179"/>
    <mergeCell ref="U179:X179"/>
    <mergeCell ref="Y179:Z179"/>
    <mergeCell ref="AA179:AD179"/>
    <mergeCell ref="AE179:AH179"/>
    <mergeCell ref="B180:D180"/>
    <mergeCell ref="E180:F180"/>
    <mergeCell ref="G180:J180"/>
    <mergeCell ref="K180:N180"/>
    <mergeCell ref="O180:P180"/>
    <mergeCell ref="Q180:T180"/>
    <mergeCell ref="U180:X180"/>
    <mergeCell ref="Y180:Z180"/>
    <mergeCell ref="AA180:AD180"/>
    <mergeCell ref="AE180:AH180"/>
    <mergeCell ref="G198:J198"/>
    <mergeCell ref="K198:N198"/>
    <mergeCell ref="O198:P198"/>
    <mergeCell ref="Q198:T198"/>
    <mergeCell ref="U198:X198"/>
    <mergeCell ref="Y198:Z198"/>
    <mergeCell ref="AA198:AD198"/>
    <mergeCell ref="AE198:AH198"/>
    <mergeCell ref="B199:D199"/>
    <mergeCell ref="E199:F199"/>
    <mergeCell ref="G199:J199"/>
    <mergeCell ref="K199:N199"/>
    <mergeCell ref="O199:P199"/>
    <mergeCell ref="Q199:T199"/>
    <mergeCell ref="U199:X199"/>
    <mergeCell ref="Y199:Z199"/>
    <mergeCell ref="AA199:AD199"/>
    <mergeCell ref="AE199:AH199"/>
    <mergeCell ref="B200:D200"/>
    <mergeCell ref="E200:F200"/>
    <mergeCell ref="G200:J200"/>
    <mergeCell ref="K200:N200"/>
    <mergeCell ref="O200:P200"/>
    <mergeCell ref="Q200:T200"/>
    <mergeCell ref="U200:X200"/>
    <mergeCell ref="Y200:Z200"/>
    <mergeCell ref="AA200:AD200"/>
    <mergeCell ref="AE200:AH200"/>
    <mergeCell ref="B201:D201"/>
    <mergeCell ref="E201:F201"/>
    <mergeCell ref="G201:J201"/>
    <mergeCell ref="K201:N201"/>
    <mergeCell ref="O201:P201"/>
    <mergeCell ref="Q201:T201"/>
    <mergeCell ref="U201:X201"/>
    <mergeCell ref="Y201:Z201"/>
    <mergeCell ref="AA201:AD201"/>
    <mergeCell ref="AE201:AH201"/>
    <mergeCell ref="B202:D202"/>
    <mergeCell ref="E202:F202"/>
    <mergeCell ref="G202:J202"/>
    <mergeCell ref="K202:N202"/>
    <mergeCell ref="O202:P202"/>
    <mergeCell ref="Q202:T202"/>
    <mergeCell ref="U202:X202"/>
    <mergeCell ref="Y202:Z202"/>
    <mergeCell ref="AA202:AD202"/>
    <mergeCell ref="AE202:AH202"/>
    <mergeCell ref="B203:D203"/>
    <mergeCell ref="E203:F203"/>
    <mergeCell ref="G203:J203"/>
    <mergeCell ref="K203:N203"/>
    <mergeCell ref="O203:P203"/>
    <mergeCell ref="Q203:T203"/>
    <mergeCell ref="U203:X203"/>
    <mergeCell ref="Y203:Z203"/>
    <mergeCell ref="AA203:AD203"/>
    <mergeCell ref="AE203:AH203"/>
    <mergeCell ref="B204:D204"/>
    <mergeCell ref="E204:F204"/>
    <mergeCell ref="G204:J204"/>
    <mergeCell ref="K204:N204"/>
    <mergeCell ref="O204:P204"/>
    <mergeCell ref="Q204:T204"/>
    <mergeCell ref="U204:X204"/>
    <mergeCell ref="Y204:Z204"/>
    <mergeCell ref="AA204:AD204"/>
    <mergeCell ref="AE204:AH204"/>
    <mergeCell ref="B205:D205"/>
    <mergeCell ref="E205:F205"/>
    <mergeCell ref="G205:J205"/>
    <mergeCell ref="K205:N205"/>
    <mergeCell ref="O205:P205"/>
    <mergeCell ref="Q205:T205"/>
    <mergeCell ref="U205:X205"/>
    <mergeCell ref="Y205:Z205"/>
    <mergeCell ref="AA205:AD205"/>
    <mergeCell ref="AE205:AH205"/>
    <mergeCell ref="H248:J248"/>
    <mergeCell ref="K248:N248"/>
    <mergeCell ref="O248:Q248"/>
    <mergeCell ref="R248:U248"/>
    <mergeCell ref="V248:Y248"/>
    <mergeCell ref="Z248:AA248"/>
    <mergeCell ref="AB248:AE248"/>
    <mergeCell ref="AF248:AI248"/>
    <mergeCell ref="B249:E249"/>
    <mergeCell ref="F249:G249"/>
    <mergeCell ref="H249:J249"/>
    <mergeCell ref="K249:N249"/>
    <mergeCell ref="O249:Q249"/>
    <mergeCell ref="R249:U249"/>
    <mergeCell ref="V249:Y249"/>
    <mergeCell ref="Z249:AA249"/>
    <mergeCell ref="AB249:AE249"/>
    <mergeCell ref="AF249:AI249"/>
    <mergeCell ref="B250:E250"/>
    <mergeCell ref="F250:G250"/>
    <mergeCell ref="H250:J250"/>
    <mergeCell ref="K250:N250"/>
    <mergeCell ref="O250:Q250"/>
    <mergeCell ref="R250:U250"/>
    <mergeCell ref="V250:Y250"/>
    <mergeCell ref="Z250:AA250"/>
    <mergeCell ref="AB250:AE250"/>
    <mergeCell ref="AF250:AI250"/>
    <mergeCell ref="B251:E251"/>
    <mergeCell ref="F251:G251"/>
    <mergeCell ref="H251:J251"/>
    <mergeCell ref="K251:N251"/>
    <mergeCell ref="O251:Q251"/>
    <mergeCell ref="R251:U251"/>
    <mergeCell ref="V251:Y251"/>
    <mergeCell ref="Z251:AA251"/>
    <mergeCell ref="AB251:AE251"/>
    <mergeCell ref="AF251:AI251"/>
    <mergeCell ref="B252:E252"/>
    <mergeCell ref="F252:G252"/>
    <mergeCell ref="H252:J252"/>
    <mergeCell ref="K252:N252"/>
    <mergeCell ref="O252:Q252"/>
    <mergeCell ref="R252:U252"/>
    <mergeCell ref="V252:Y252"/>
    <mergeCell ref="Z252:AA252"/>
    <mergeCell ref="AB252:AE252"/>
    <mergeCell ref="AF252:AI252"/>
    <mergeCell ref="B253:E253"/>
    <mergeCell ref="F253:G253"/>
    <mergeCell ref="H253:J253"/>
    <mergeCell ref="K253:N253"/>
    <mergeCell ref="O253:Q253"/>
    <mergeCell ref="R253:U253"/>
    <mergeCell ref="V253:Y253"/>
    <mergeCell ref="Z253:AA253"/>
    <mergeCell ref="AB253:AE253"/>
    <mergeCell ref="AF253:AI253"/>
    <mergeCell ref="B254:E254"/>
    <mergeCell ref="F254:G254"/>
    <mergeCell ref="H254:J254"/>
    <mergeCell ref="K254:N254"/>
    <mergeCell ref="O254:Q254"/>
    <mergeCell ref="R254:U254"/>
    <mergeCell ref="V254:Y254"/>
    <mergeCell ref="Z254:AA254"/>
    <mergeCell ref="AB254:AE254"/>
    <mergeCell ref="AF254:AI254"/>
    <mergeCell ref="B255:E255"/>
    <mergeCell ref="F255:G255"/>
    <mergeCell ref="H255:J255"/>
    <mergeCell ref="K255:N255"/>
    <mergeCell ref="O255:Q255"/>
    <mergeCell ref="R255:U255"/>
    <mergeCell ref="V255:Y255"/>
    <mergeCell ref="Z255:AA255"/>
    <mergeCell ref="AB255:AE255"/>
    <mergeCell ref="AF255:AI255"/>
    <mergeCell ref="C274:J274"/>
    <mergeCell ref="K274:L274"/>
    <mergeCell ref="M274:O274"/>
    <mergeCell ref="P274:T274"/>
    <mergeCell ref="U274:W274"/>
    <mergeCell ref="X274:AB274"/>
    <mergeCell ref="C275:J275"/>
    <mergeCell ref="K275:L275"/>
    <mergeCell ref="M275:O275"/>
    <mergeCell ref="P275:T275"/>
    <mergeCell ref="U275:W275"/>
    <mergeCell ref="X275:AB275"/>
    <mergeCell ref="C276:J276"/>
    <mergeCell ref="K276:L276"/>
    <mergeCell ref="M276:O276"/>
    <mergeCell ref="P276:T276"/>
    <mergeCell ref="U276:W276"/>
    <mergeCell ref="X276:AB276"/>
    <mergeCell ref="C277:J277"/>
    <mergeCell ref="K277:L277"/>
    <mergeCell ref="M277:O277"/>
    <mergeCell ref="P277:T277"/>
    <mergeCell ref="U277:W277"/>
    <mergeCell ref="X277:AB277"/>
    <mergeCell ref="C288:J288"/>
    <mergeCell ref="K288:L288"/>
    <mergeCell ref="M288:O288"/>
    <mergeCell ref="P288:T288"/>
    <mergeCell ref="U288:W288"/>
    <mergeCell ref="X288:AB288"/>
    <mergeCell ref="C289:J289"/>
    <mergeCell ref="K289:L289"/>
    <mergeCell ref="M289:O289"/>
    <mergeCell ref="P289:T289"/>
    <mergeCell ref="U289:W289"/>
    <mergeCell ref="X289:AB289"/>
    <mergeCell ref="P280:T280"/>
    <mergeCell ref="X280:AB280"/>
    <mergeCell ref="C284:J284"/>
    <mergeCell ref="K284:L284"/>
    <mergeCell ref="M284:O284"/>
    <mergeCell ref="P284:T284"/>
    <mergeCell ref="U284:W284"/>
    <mergeCell ref="X284:AB284"/>
    <mergeCell ref="C278:J278"/>
    <mergeCell ref="K278:L278"/>
    <mergeCell ref="M278:O278"/>
    <mergeCell ref="P278:T278"/>
    <mergeCell ref="U278:W278"/>
    <mergeCell ref="X278:AB278"/>
    <mergeCell ref="C290:J290"/>
    <mergeCell ref="K290:L290"/>
    <mergeCell ref="M290:O290"/>
    <mergeCell ref="P290:T290"/>
    <mergeCell ref="U290:W290"/>
    <mergeCell ref="X290:AB290"/>
    <mergeCell ref="C291:J291"/>
    <mergeCell ref="K291:L291"/>
    <mergeCell ref="M291:O291"/>
    <mergeCell ref="P291:T291"/>
    <mergeCell ref="U291:W291"/>
    <mergeCell ref="X291:AB291"/>
    <mergeCell ref="C292:J292"/>
    <mergeCell ref="K292:L292"/>
    <mergeCell ref="M292:O292"/>
    <mergeCell ref="P292:T292"/>
    <mergeCell ref="U292:W292"/>
    <mergeCell ref="X292:AB292"/>
    <mergeCell ref="C293:J293"/>
    <mergeCell ref="K293:L293"/>
    <mergeCell ref="M293:O293"/>
    <mergeCell ref="P293:T293"/>
    <mergeCell ref="U293:W293"/>
    <mergeCell ref="X293:AB293"/>
    <mergeCell ref="B323:D323"/>
    <mergeCell ref="E323:F323"/>
    <mergeCell ref="G323:J323"/>
    <mergeCell ref="K323:N323"/>
    <mergeCell ref="O323:P323"/>
    <mergeCell ref="Q323:T323"/>
    <mergeCell ref="U323:X323"/>
    <mergeCell ref="Y323:Z323"/>
    <mergeCell ref="AA323:AD323"/>
    <mergeCell ref="AE323:AH323"/>
    <mergeCell ref="B324:D324"/>
    <mergeCell ref="E324:F324"/>
    <mergeCell ref="G324:J324"/>
    <mergeCell ref="K324:N324"/>
    <mergeCell ref="O324:P324"/>
    <mergeCell ref="Q324:T324"/>
    <mergeCell ref="U324:X324"/>
    <mergeCell ref="Y324:Z324"/>
    <mergeCell ref="AA324:AD324"/>
    <mergeCell ref="AE324:AH324"/>
    <mergeCell ref="P305:T305"/>
    <mergeCell ref="X305:AB305"/>
    <mergeCell ref="P307:T307"/>
    <mergeCell ref="U307:W307"/>
    <mergeCell ref="X307:AB307"/>
    <mergeCell ref="P296:T296"/>
    <mergeCell ref="G326:J326"/>
    <mergeCell ref="K326:N326"/>
    <mergeCell ref="O326:P326"/>
    <mergeCell ref="Q326:T326"/>
    <mergeCell ref="U326:X326"/>
    <mergeCell ref="Y326:Z326"/>
    <mergeCell ref="AA326:AD326"/>
    <mergeCell ref="AE326:AH326"/>
    <mergeCell ref="B327:D327"/>
    <mergeCell ref="E327:F327"/>
    <mergeCell ref="G327:J327"/>
    <mergeCell ref="K327:N327"/>
    <mergeCell ref="O327:P327"/>
    <mergeCell ref="Q327:T327"/>
    <mergeCell ref="U327:X327"/>
    <mergeCell ref="Y327:Z327"/>
    <mergeCell ref="AA327:AD327"/>
    <mergeCell ref="AE327:AH327"/>
    <mergeCell ref="B328:D328"/>
    <mergeCell ref="E328:F328"/>
    <mergeCell ref="G328:J328"/>
    <mergeCell ref="K328:N328"/>
    <mergeCell ref="O328:P328"/>
    <mergeCell ref="Q328:T328"/>
    <mergeCell ref="U328:X328"/>
    <mergeCell ref="Y328:Z328"/>
    <mergeCell ref="AA328:AD328"/>
    <mergeCell ref="AE328:AH328"/>
    <mergeCell ref="B329:D329"/>
    <mergeCell ref="E329:F329"/>
    <mergeCell ref="G329:J329"/>
    <mergeCell ref="K329:N329"/>
    <mergeCell ref="O329:P329"/>
    <mergeCell ref="Q329:T329"/>
    <mergeCell ref="U329:X329"/>
    <mergeCell ref="Y329:Z329"/>
    <mergeCell ref="AA329:AD329"/>
    <mergeCell ref="AE329:AH329"/>
    <mergeCell ref="B330:D330"/>
    <mergeCell ref="E330:F330"/>
    <mergeCell ref="G330:J330"/>
    <mergeCell ref="K330:N330"/>
    <mergeCell ref="O330:P330"/>
    <mergeCell ref="Q330:T330"/>
    <mergeCell ref="U330:X330"/>
    <mergeCell ref="Y330:Z330"/>
    <mergeCell ref="AA330:AD330"/>
    <mergeCell ref="AE330:AH330"/>
    <mergeCell ref="B331:D331"/>
    <mergeCell ref="E331:F331"/>
    <mergeCell ref="G331:J331"/>
    <mergeCell ref="K331:N331"/>
    <mergeCell ref="O331:P331"/>
    <mergeCell ref="Q331:T331"/>
    <mergeCell ref="U331:X331"/>
    <mergeCell ref="Y331:Z331"/>
    <mergeCell ref="AA331:AD331"/>
    <mergeCell ref="AE331:AH331"/>
    <mergeCell ref="B350:D350"/>
    <mergeCell ref="E350:F350"/>
    <mergeCell ref="G350:J350"/>
    <mergeCell ref="K350:N350"/>
    <mergeCell ref="O350:P350"/>
    <mergeCell ref="Q350:T350"/>
    <mergeCell ref="U350:X350"/>
    <mergeCell ref="Y350:Z350"/>
    <mergeCell ref="AA350:AD350"/>
    <mergeCell ref="AE350:AH350"/>
    <mergeCell ref="B351:D351"/>
    <mergeCell ref="E351:F351"/>
    <mergeCell ref="G351:J351"/>
    <mergeCell ref="K351:N351"/>
    <mergeCell ref="O351:P351"/>
    <mergeCell ref="Q351:T351"/>
    <mergeCell ref="U351:X351"/>
    <mergeCell ref="Y351:Z351"/>
    <mergeCell ref="AA351:AD351"/>
    <mergeCell ref="AE351:AH351"/>
    <mergeCell ref="B352:D352"/>
    <mergeCell ref="E352:F352"/>
    <mergeCell ref="G352:J352"/>
    <mergeCell ref="K352:N352"/>
    <mergeCell ref="O352:P352"/>
    <mergeCell ref="Q352:T352"/>
    <mergeCell ref="U352:X352"/>
    <mergeCell ref="Y352:Z352"/>
    <mergeCell ref="AA352:AD352"/>
    <mergeCell ref="AE352:AH352"/>
    <mergeCell ref="B353:D353"/>
    <mergeCell ref="E353:F353"/>
    <mergeCell ref="G353:J353"/>
    <mergeCell ref="K353:N353"/>
    <mergeCell ref="O353:P353"/>
    <mergeCell ref="Q353:T353"/>
    <mergeCell ref="U353:X353"/>
    <mergeCell ref="Y353:Z353"/>
    <mergeCell ref="AA353:AD353"/>
    <mergeCell ref="AE353:AH353"/>
    <mergeCell ref="B354:D354"/>
    <mergeCell ref="E354:F354"/>
    <mergeCell ref="G354:J354"/>
    <mergeCell ref="K354:N354"/>
    <mergeCell ref="O354:P354"/>
    <mergeCell ref="Q354:T354"/>
    <mergeCell ref="U354:X354"/>
    <mergeCell ref="Y354:Z354"/>
    <mergeCell ref="AA354:AD354"/>
    <mergeCell ref="AE354:AH354"/>
    <mergeCell ref="B398:E398"/>
    <mergeCell ref="F398:G398"/>
    <mergeCell ref="H398:J398"/>
    <mergeCell ref="K398:N398"/>
    <mergeCell ref="O398:Q398"/>
    <mergeCell ref="R398:U398"/>
    <mergeCell ref="V398:Y398"/>
    <mergeCell ref="Z398:AA398"/>
    <mergeCell ref="AB398:AE398"/>
    <mergeCell ref="AF398:AI398"/>
    <mergeCell ref="B355:D355"/>
    <mergeCell ref="E355:F355"/>
    <mergeCell ref="G355:J355"/>
    <mergeCell ref="K355:N355"/>
    <mergeCell ref="O355:P355"/>
    <mergeCell ref="Q355:T355"/>
    <mergeCell ref="U355:X355"/>
    <mergeCell ref="Y355:Z355"/>
    <mergeCell ref="AA355:AD355"/>
    <mergeCell ref="AE355:AH355"/>
    <mergeCell ref="B356:D356"/>
    <mergeCell ref="E356:F356"/>
    <mergeCell ref="H400:J400"/>
    <mergeCell ref="K400:N400"/>
    <mergeCell ref="O400:Q400"/>
    <mergeCell ref="R400:U400"/>
    <mergeCell ref="V400:Y400"/>
    <mergeCell ref="Z400:AA400"/>
    <mergeCell ref="AB400:AE400"/>
    <mergeCell ref="AF400:AI400"/>
    <mergeCell ref="B401:E401"/>
    <mergeCell ref="F401:G401"/>
    <mergeCell ref="H401:J401"/>
    <mergeCell ref="K401:N401"/>
    <mergeCell ref="O401:Q401"/>
    <mergeCell ref="R401:U401"/>
    <mergeCell ref="V401:Y401"/>
    <mergeCell ref="Z401:AA401"/>
    <mergeCell ref="AB401:AE401"/>
    <mergeCell ref="AF401:AI401"/>
    <mergeCell ref="B402:E402"/>
    <mergeCell ref="F402:G402"/>
    <mergeCell ref="H402:J402"/>
    <mergeCell ref="K402:N402"/>
    <mergeCell ref="O402:Q402"/>
    <mergeCell ref="R402:U402"/>
    <mergeCell ref="V402:Y402"/>
    <mergeCell ref="Z402:AA402"/>
    <mergeCell ref="AB402:AE402"/>
    <mergeCell ref="AF402:AI402"/>
    <mergeCell ref="B403:E403"/>
    <mergeCell ref="F403:G403"/>
    <mergeCell ref="H403:J403"/>
    <mergeCell ref="K403:N403"/>
    <mergeCell ref="O403:Q403"/>
    <mergeCell ref="R403:U403"/>
    <mergeCell ref="V403:Y403"/>
    <mergeCell ref="Z403:AA403"/>
    <mergeCell ref="AB403:AE403"/>
    <mergeCell ref="AF403:AI403"/>
    <mergeCell ref="B404:E404"/>
    <mergeCell ref="F404:G404"/>
    <mergeCell ref="H404:J404"/>
    <mergeCell ref="K404:N404"/>
    <mergeCell ref="O404:Q404"/>
    <mergeCell ref="R404:U404"/>
    <mergeCell ref="V404:Y404"/>
    <mergeCell ref="Z404:AA404"/>
    <mergeCell ref="AB404:AE404"/>
    <mergeCell ref="AF404:AI404"/>
    <mergeCell ref="B405:E405"/>
    <mergeCell ref="F405:G405"/>
    <mergeCell ref="H405:J405"/>
    <mergeCell ref="K405:N405"/>
    <mergeCell ref="O405:Q405"/>
    <mergeCell ref="R405:U405"/>
    <mergeCell ref="V405:Y405"/>
    <mergeCell ref="Z405:AA405"/>
    <mergeCell ref="AB405:AE405"/>
    <mergeCell ref="AF405:AI405"/>
    <mergeCell ref="B406:E406"/>
    <mergeCell ref="F406:G406"/>
    <mergeCell ref="H406:J406"/>
    <mergeCell ref="K406:N406"/>
    <mergeCell ref="O406:Q406"/>
    <mergeCell ref="R406:U406"/>
    <mergeCell ref="V406:Y406"/>
    <mergeCell ref="Z406:AA406"/>
    <mergeCell ref="AB406:AE406"/>
    <mergeCell ref="AF406:AI406"/>
    <mergeCell ref="C423:J423"/>
    <mergeCell ref="K423:L423"/>
    <mergeCell ref="M423:O423"/>
    <mergeCell ref="P423:T423"/>
    <mergeCell ref="U423:W423"/>
    <mergeCell ref="X423:AB423"/>
    <mergeCell ref="C424:J424"/>
    <mergeCell ref="K424:L424"/>
    <mergeCell ref="M424:O424"/>
    <mergeCell ref="P424:T424"/>
    <mergeCell ref="U424:W424"/>
    <mergeCell ref="X424:AB424"/>
    <mergeCell ref="R410:U410"/>
    <mergeCell ref="V410:Y410"/>
    <mergeCell ref="AB410:AE410"/>
    <mergeCell ref="AF410:AI410"/>
    <mergeCell ref="B414:B415"/>
    <mergeCell ref="C414:J415"/>
    <mergeCell ref="K414:L415"/>
    <mergeCell ref="M414:O415"/>
    <mergeCell ref="P414:T415"/>
    <mergeCell ref="U414:W415"/>
    <mergeCell ref="C427:J427"/>
    <mergeCell ref="K427:L427"/>
    <mergeCell ref="M427:O427"/>
    <mergeCell ref="P427:T427"/>
    <mergeCell ref="U427:W427"/>
    <mergeCell ref="X427:AB427"/>
    <mergeCell ref="C428:J428"/>
    <mergeCell ref="K428:L428"/>
    <mergeCell ref="M428:O428"/>
    <mergeCell ref="P428:T428"/>
    <mergeCell ref="U428:W428"/>
    <mergeCell ref="X428:AB428"/>
    <mergeCell ref="C439:J439"/>
    <mergeCell ref="K439:L439"/>
    <mergeCell ref="M439:O439"/>
    <mergeCell ref="P439:T439"/>
    <mergeCell ref="U439:W439"/>
    <mergeCell ref="X439:AB439"/>
    <mergeCell ref="P431:T431"/>
    <mergeCell ref="X431:AB431"/>
    <mergeCell ref="C435:J435"/>
    <mergeCell ref="K435:L435"/>
    <mergeCell ref="M435:O435"/>
    <mergeCell ref="P435:T435"/>
    <mergeCell ref="U435:W435"/>
    <mergeCell ref="X435:AB435"/>
    <mergeCell ref="C429:J429"/>
    <mergeCell ref="K429:L429"/>
    <mergeCell ref="M429:O429"/>
    <mergeCell ref="P429:T429"/>
    <mergeCell ref="U429:W429"/>
    <mergeCell ref="X429:AB429"/>
    <mergeCell ref="C440:J440"/>
    <mergeCell ref="K440:L440"/>
    <mergeCell ref="M440:O440"/>
    <mergeCell ref="P440:T440"/>
    <mergeCell ref="U440:W440"/>
    <mergeCell ref="X440:AB440"/>
    <mergeCell ref="C441:J441"/>
    <mergeCell ref="K441:L441"/>
    <mergeCell ref="M441:O441"/>
    <mergeCell ref="P441:T441"/>
    <mergeCell ref="U441:W441"/>
    <mergeCell ref="X441:AB441"/>
    <mergeCell ref="C442:J442"/>
    <mergeCell ref="K442:L442"/>
    <mergeCell ref="M442:O442"/>
    <mergeCell ref="P442:T442"/>
    <mergeCell ref="U442:W442"/>
    <mergeCell ref="X442:AB442"/>
    <mergeCell ref="C443:J443"/>
    <mergeCell ref="K443:L443"/>
    <mergeCell ref="M443:O443"/>
    <mergeCell ref="P443:T443"/>
    <mergeCell ref="U443:W443"/>
    <mergeCell ref="X443:AB443"/>
    <mergeCell ref="C444:J444"/>
    <mergeCell ref="K444:L444"/>
    <mergeCell ref="M444:O444"/>
    <mergeCell ref="P444:T444"/>
    <mergeCell ref="U444:W444"/>
    <mergeCell ref="X444:AB444"/>
    <mergeCell ref="B474:D474"/>
    <mergeCell ref="E474:F474"/>
    <mergeCell ref="G474:J474"/>
    <mergeCell ref="K474:N474"/>
    <mergeCell ref="O474:P474"/>
    <mergeCell ref="Q474:T474"/>
    <mergeCell ref="U474:X474"/>
    <mergeCell ref="Y474:Z474"/>
    <mergeCell ref="AA474:AD474"/>
    <mergeCell ref="P456:T456"/>
    <mergeCell ref="X456:AB456"/>
    <mergeCell ref="P458:T458"/>
    <mergeCell ref="U458:W458"/>
    <mergeCell ref="X458:AB458"/>
    <mergeCell ref="P447:T447"/>
    <mergeCell ref="X447:AB447"/>
    <mergeCell ref="P451:T451"/>
    <mergeCell ref="P452:T452"/>
    <mergeCell ref="P453:T453"/>
    <mergeCell ref="P454:T454"/>
    <mergeCell ref="AE476:AH476"/>
    <mergeCell ref="B477:D477"/>
    <mergeCell ref="E477:F477"/>
    <mergeCell ref="G477:J477"/>
    <mergeCell ref="K477:N477"/>
    <mergeCell ref="O477:P477"/>
    <mergeCell ref="Q477:T477"/>
    <mergeCell ref="U477:X477"/>
    <mergeCell ref="Y477:Z477"/>
    <mergeCell ref="AA477:AD477"/>
    <mergeCell ref="AE477:AH477"/>
    <mergeCell ref="B478:D478"/>
    <mergeCell ref="E478:F478"/>
    <mergeCell ref="G478:J478"/>
    <mergeCell ref="K478:N478"/>
    <mergeCell ref="O478:P478"/>
    <mergeCell ref="Q478:T478"/>
    <mergeCell ref="U478:X478"/>
    <mergeCell ref="Y478:Z478"/>
    <mergeCell ref="AA478:AD478"/>
    <mergeCell ref="AE478:AH478"/>
    <mergeCell ref="B479:D479"/>
    <mergeCell ref="E479:F479"/>
    <mergeCell ref="G479:J479"/>
    <mergeCell ref="K479:N479"/>
    <mergeCell ref="O479:P479"/>
    <mergeCell ref="Q479:T479"/>
    <mergeCell ref="U479:X479"/>
    <mergeCell ref="Y479:Z479"/>
    <mergeCell ref="AA479:AD479"/>
    <mergeCell ref="AE479:AH479"/>
    <mergeCell ref="B480:D480"/>
    <mergeCell ref="E480:F480"/>
    <mergeCell ref="G480:J480"/>
    <mergeCell ref="K480:N480"/>
    <mergeCell ref="O480:P480"/>
    <mergeCell ref="Q480:T480"/>
    <mergeCell ref="U480:X480"/>
    <mergeCell ref="Y480:Z480"/>
    <mergeCell ref="AA480:AD480"/>
    <mergeCell ref="AE480:AH480"/>
    <mergeCell ref="B481:D481"/>
    <mergeCell ref="E481:F481"/>
    <mergeCell ref="G481:J481"/>
    <mergeCell ref="K481:N481"/>
    <mergeCell ref="O481:P481"/>
    <mergeCell ref="Q481:T481"/>
    <mergeCell ref="U481:X481"/>
    <mergeCell ref="Y481:Z481"/>
    <mergeCell ref="AA481:AD481"/>
    <mergeCell ref="AE481:AH481"/>
    <mergeCell ref="B482:D482"/>
    <mergeCell ref="E482:F482"/>
    <mergeCell ref="G482:J482"/>
    <mergeCell ref="K482:N482"/>
    <mergeCell ref="O482:P482"/>
    <mergeCell ref="Q482:T482"/>
    <mergeCell ref="U482:X482"/>
    <mergeCell ref="Y482:Z482"/>
    <mergeCell ref="AA482:AD482"/>
    <mergeCell ref="AE482:AH482"/>
    <mergeCell ref="B502:D502"/>
    <mergeCell ref="E502:F502"/>
    <mergeCell ref="G502:J502"/>
    <mergeCell ref="K502:N502"/>
    <mergeCell ref="O502:P502"/>
    <mergeCell ref="Q502:T502"/>
    <mergeCell ref="U502:X502"/>
    <mergeCell ref="Y502:Z502"/>
    <mergeCell ref="AA502:AD502"/>
    <mergeCell ref="AE502:AH502"/>
    <mergeCell ref="B503:D503"/>
    <mergeCell ref="E503:F503"/>
    <mergeCell ref="G503:J503"/>
    <mergeCell ref="K503:N503"/>
    <mergeCell ref="O503:P503"/>
    <mergeCell ref="Q503:T503"/>
    <mergeCell ref="U503:X503"/>
    <mergeCell ref="Y503:Z503"/>
    <mergeCell ref="AA503:AD503"/>
    <mergeCell ref="AE503:AH503"/>
    <mergeCell ref="B504:D504"/>
    <mergeCell ref="E504:F504"/>
    <mergeCell ref="G504:J504"/>
    <mergeCell ref="K504:N504"/>
    <mergeCell ref="O504:P504"/>
    <mergeCell ref="Q504:T504"/>
    <mergeCell ref="U504:X504"/>
    <mergeCell ref="Y504:Z504"/>
    <mergeCell ref="AA504:AD504"/>
    <mergeCell ref="AE504:AH504"/>
    <mergeCell ref="B505:D505"/>
    <mergeCell ref="E505:F505"/>
    <mergeCell ref="G505:J505"/>
    <mergeCell ref="K505:N505"/>
    <mergeCell ref="O505:P505"/>
    <mergeCell ref="Q505:T505"/>
    <mergeCell ref="U505:X505"/>
    <mergeCell ref="Y505:Z505"/>
    <mergeCell ref="AA505:AD505"/>
    <mergeCell ref="AE505:AH505"/>
    <mergeCell ref="B506:D506"/>
    <mergeCell ref="E506:F506"/>
    <mergeCell ref="G506:J506"/>
    <mergeCell ref="K506:N506"/>
    <mergeCell ref="O506:P506"/>
    <mergeCell ref="Q506:T506"/>
    <mergeCell ref="U506:X506"/>
    <mergeCell ref="Y506:Z506"/>
    <mergeCell ref="AA506:AD506"/>
    <mergeCell ref="AE506:AH506"/>
    <mergeCell ref="B507:D507"/>
    <mergeCell ref="E507:F507"/>
    <mergeCell ref="G507:J507"/>
    <mergeCell ref="K507:N507"/>
    <mergeCell ref="O507:P507"/>
    <mergeCell ref="Q507:T507"/>
    <mergeCell ref="U507:X507"/>
    <mergeCell ref="Y507:Z507"/>
    <mergeCell ref="AA507:AD507"/>
    <mergeCell ref="AE507:AH507"/>
    <mergeCell ref="M514:X514"/>
    <mergeCell ref="B520:D520"/>
    <mergeCell ref="E520:F520"/>
    <mergeCell ref="G520:J520"/>
    <mergeCell ref="K520:N520"/>
    <mergeCell ref="V549:Y549"/>
    <mergeCell ref="Z549:AA549"/>
    <mergeCell ref="AB549:AE549"/>
    <mergeCell ref="AF549:AI549"/>
    <mergeCell ref="B550:E550"/>
    <mergeCell ref="F550:G550"/>
    <mergeCell ref="H550:J550"/>
    <mergeCell ref="K550:N550"/>
    <mergeCell ref="O550:Q550"/>
    <mergeCell ref="R550:U550"/>
    <mergeCell ref="V550:Y550"/>
    <mergeCell ref="Z550:AA550"/>
    <mergeCell ref="AB550:AE550"/>
    <mergeCell ref="AF550:AI550"/>
    <mergeCell ref="U518:X518"/>
    <mergeCell ref="Y518:Z518"/>
    <mergeCell ref="AA518:AD518"/>
    <mergeCell ref="AE518:AH518"/>
    <mergeCell ref="B519:D519"/>
    <mergeCell ref="E519:F519"/>
    <mergeCell ref="G519:J519"/>
    <mergeCell ref="K519:N519"/>
    <mergeCell ref="O519:P519"/>
    <mergeCell ref="Q519:T519"/>
    <mergeCell ref="B518:D518"/>
    <mergeCell ref="E518:F518"/>
    <mergeCell ref="G518:J518"/>
    <mergeCell ref="B553:E553"/>
    <mergeCell ref="F553:G553"/>
    <mergeCell ref="H553:J553"/>
    <mergeCell ref="K553:N553"/>
    <mergeCell ref="O553:Q553"/>
    <mergeCell ref="R553:U553"/>
    <mergeCell ref="V553:Y553"/>
    <mergeCell ref="Z553:AA553"/>
    <mergeCell ref="AB553:AE553"/>
    <mergeCell ref="AF553:AI553"/>
    <mergeCell ref="B554:E554"/>
    <mergeCell ref="F554:G554"/>
    <mergeCell ref="H554:J554"/>
    <mergeCell ref="K554:N554"/>
    <mergeCell ref="O554:Q554"/>
    <mergeCell ref="R554:U554"/>
    <mergeCell ref="V554:Y554"/>
    <mergeCell ref="Z554:AA554"/>
    <mergeCell ref="AB554:AE554"/>
    <mergeCell ref="AF554:AI554"/>
    <mergeCell ref="B555:E555"/>
    <mergeCell ref="F555:G555"/>
    <mergeCell ref="H555:J555"/>
    <mergeCell ref="K555:N555"/>
    <mergeCell ref="O555:Q555"/>
    <mergeCell ref="R555:U555"/>
    <mergeCell ref="V555:Y555"/>
    <mergeCell ref="Z555:AA555"/>
    <mergeCell ref="AB555:AE555"/>
    <mergeCell ref="AF555:AI555"/>
    <mergeCell ref="B556:E556"/>
    <mergeCell ref="F556:G556"/>
    <mergeCell ref="H556:J556"/>
    <mergeCell ref="K556:N556"/>
    <mergeCell ref="O556:Q556"/>
    <mergeCell ref="R556:U556"/>
    <mergeCell ref="V556:Y556"/>
    <mergeCell ref="Z556:AA556"/>
    <mergeCell ref="AB556:AE556"/>
    <mergeCell ref="AF556:AI556"/>
    <mergeCell ref="B557:E557"/>
    <mergeCell ref="F557:G557"/>
    <mergeCell ref="H557:J557"/>
    <mergeCell ref="K557:N557"/>
    <mergeCell ref="O557:Q557"/>
    <mergeCell ref="R557:U557"/>
    <mergeCell ref="V557:Y557"/>
    <mergeCell ref="Z557:AA557"/>
    <mergeCell ref="AB557:AE557"/>
    <mergeCell ref="AF557:AI557"/>
    <mergeCell ref="C577:J577"/>
    <mergeCell ref="K577:L577"/>
    <mergeCell ref="M577:O577"/>
    <mergeCell ref="P577:T577"/>
    <mergeCell ref="U577:W577"/>
    <mergeCell ref="X577:AB577"/>
    <mergeCell ref="B565:B566"/>
    <mergeCell ref="C565:J566"/>
    <mergeCell ref="K565:L566"/>
    <mergeCell ref="M565:O566"/>
    <mergeCell ref="P565:T566"/>
    <mergeCell ref="U565:W566"/>
    <mergeCell ref="V558:Y558"/>
    <mergeCell ref="Z558:AA558"/>
    <mergeCell ref="AB558:AE558"/>
    <mergeCell ref="AF558:AI558"/>
    <mergeCell ref="F559:G559"/>
    <mergeCell ref="H559:J559"/>
    <mergeCell ref="K559:N559"/>
    <mergeCell ref="R559:U559"/>
    <mergeCell ref="V559:Y559"/>
    <mergeCell ref="AF559:AI559"/>
    <mergeCell ref="B558:E558"/>
    <mergeCell ref="F558:G558"/>
    <mergeCell ref="H558:J558"/>
    <mergeCell ref="K558:N558"/>
    <mergeCell ref="O558:Q558"/>
    <mergeCell ref="R558:U558"/>
    <mergeCell ref="C571:J571"/>
    <mergeCell ref="K571:L571"/>
    <mergeCell ref="M571:O571"/>
    <mergeCell ref="P571:T571"/>
    <mergeCell ref="C578:J578"/>
    <mergeCell ref="K578:L578"/>
    <mergeCell ref="M578:O578"/>
    <mergeCell ref="P578:T578"/>
    <mergeCell ref="U578:W578"/>
    <mergeCell ref="X578:AB578"/>
    <mergeCell ref="C579:J579"/>
    <mergeCell ref="K579:L579"/>
    <mergeCell ref="M579:O579"/>
    <mergeCell ref="P579:T579"/>
    <mergeCell ref="U579:W579"/>
    <mergeCell ref="X579:AB579"/>
    <mergeCell ref="U571:W571"/>
    <mergeCell ref="X571:AB571"/>
    <mergeCell ref="X565:AB566"/>
    <mergeCell ref="C570:J570"/>
    <mergeCell ref="K570:L570"/>
    <mergeCell ref="M570:O570"/>
    <mergeCell ref="P570:T570"/>
    <mergeCell ref="U570:W570"/>
    <mergeCell ref="X570:AB570"/>
    <mergeCell ref="R561:U561"/>
    <mergeCell ref="C592:J592"/>
    <mergeCell ref="K592:L592"/>
    <mergeCell ref="M592:O592"/>
    <mergeCell ref="P592:T592"/>
    <mergeCell ref="U592:W592"/>
    <mergeCell ref="X592:AB592"/>
    <mergeCell ref="C580:J580"/>
    <mergeCell ref="K580:L580"/>
    <mergeCell ref="M580:O580"/>
    <mergeCell ref="P580:T580"/>
    <mergeCell ref="U580:W580"/>
    <mergeCell ref="X580:AB580"/>
    <mergeCell ref="C589:J589"/>
    <mergeCell ref="K589:L589"/>
    <mergeCell ref="M589:O589"/>
    <mergeCell ref="P589:T589"/>
    <mergeCell ref="U586:W586"/>
    <mergeCell ref="X586:AB586"/>
    <mergeCell ref="U589:W589"/>
    <mergeCell ref="X589:AB589"/>
    <mergeCell ref="C590:J590"/>
    <mergeCell ref="K590:L590"/>
    <mergeCell ref="M590:O590"/>
    <mergeCell ref="P590:T590"/>
    <mergeCell ref="U590:W590"/>
    <mergeCell ref="X590:AB590"/>
    <mergeCell ref="C591:J591"/>
    <mergeCell ref="K591:L591"/>
    <mergeCell ref="M591:O591"/>
    <mergeCell ref="P591:T591"/>
    <mergeCell ref="U591:W591"/>
    <mergeCell ref="X591:AB591"/>
    <mergeCell ref="M596:O596"/>
    <mergeCell ref="B631:J631"/>
    <mergeCell ref="K631:S631"/>
    <mergeCell ref="T631:W631"/>
    <mergeCell ref="X631:AA631"/>
    <mergeCell ref="AB631:AE631"/>
    <mergeCell ref="X594:AB594"/>
    <mergeCell ref="C595:J595"/>
    <mergeCell ref="K595:L595"/>
    <mergeCell ref="M595:O595"/>
    <mergeCell ref="P595:T595"/>
    <mergeCell ref="U595:W595"/>
    <mergeCell ref="X595:AB595"/>
    <mergeCell ref="B628:J628"/>
    <mergeCell ref="K628:S628"/>
    <mergeCell ref="T628:W628"/>
    <mergeCell ref="X628:AA628"/>
    <mergeCell ref="AB628:AE628"/>
    <mergeCell ref="B629:J629"/>
    <mergeCell ref="K629:S629"/>
    <mergeCell ref="T629:W629"/>
    <mergeCell ref="X629:AA629"/>
    <mergeCell ref="AB629:AE629"/>
    <mergeCell ref="P596:T596"/>
    <mergeCell ref="U596:W596"/>
    <mergeCell ref="X596:AB596"/>
    <mergeCell ref="P604:T604"/>
    <mergeCell ref="P605:T605"/>
    <mergeCell ref="U605:W605"/>
    <mergeCell ref="X605:AB605"/>
    <mergeCell ref="C596:J596"/>
    <mergeCell ref="K596:L596"/>
    <mergeCell ref="B632:J632"/>
    <mergeCell ref="K632:S632"/>
    <mergeCell ref="T632:W632"/>
    <mergeCell ref="X632:AA632"/>
    <mergeCell ref="AB632:AE632"/>
    <mergeCell ref="B633:J633"/>
    <mergeCell ref="K633:S633"/>
    <mergeCell ref="T633:W633"/>
    <mergeCell ref="X633:AA633"/>
    <mergeCell ref="AB633:AE633"/>
    <mergeCell ref="B634:J634"/>
    <mergeCell ref="K634:S634"/>
    <mergeCell ref="T634:W634"/>
    <mergeCell ref="X634:AA634"/>
    <mergeCell ref="AB634:AE634"/>
    <mergeCell ref="B630:J630"/>
    <mergeCell ref="K630:S630"/>
    <mergeCell ref="T630:W630"/>
    <mergeCell ref="X630:AA630"/>
    <mergeCell ref="AB630:AE630"/>
  </mergeCells>
  <hyperlinks>
    <hyperlink ref="P5" location="'OVERSEAS INCOME'!A455" display="Irregular Income"/>
  </hyperlinks>
  <printOptions horizontalCentered="1"/>
  <pageMargins left="0.31496062992125984" right="0.35433070866141736" top="0.82677165354330717" bottom="0.78740157480314965" header="0.51181102362204722" footer="0.51181102362204722"/>
  <pageSetup paperSize="5" scale="57" orientation="portrait" horizontalDpi="4294967293" verticalDpi="4294967293" r:id="rId1"/>
  <headerFooter alignWithMargins="0">
    <oddHeader>&amp;R&amp;"Arial,Bold"&amp;14B.3.&amp;P</oddHeader>
    <oddFooter>&amp;R&amp;8Printed on &amp;D, &amp;T</oddFooter>
  </headerFooter>
  <rowBreaks count="8" manualBreakCount="8">
    <brk id="109" max="34" man="1"/>
    <brk id="158" max="34" man="1"/>
    <brk id="260" max="34" man="1"/>
    <brk id="309" max="34" man="1"/>
    <brk id="411" max="34" man="1"/>
    <brk id="460" max="34" man="1"/>
    <brk id="562" max="34" man="1"/>
    <brk id="611" max="34" man="1"/>
  </row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S222"/>
  <sheetViews>
    <sheetView view="pageBreakPreview" zoomScale="70" zoomScaleNormal="100" zoomScaleSheetLayoutView="70" workbookViewId="0">
      <selection activeCell="A2" sqref="A2:I2"/>
    </sheetView>
  </sheetViews>
  <sheetFormatPr defaultColWidth="9.140625" defaultRowHeight="14.25"/>
  <cols>
    <col min="1" max="1" width="6.28515625" style="539" customWidth="1"/>
    <col min="2" max="2" width="17.28515625" style="539" customWidth="1"/>
    <col min="3" max="3" width="55.85546875" style="539" bestFit="1" customWidth="1"/>
    <col min="4" max="4" width="23.140625" style="539" customWidth="1"/>
    <col min="5" max="5" width="19" style="1846" customWidth="1"/>
    <col min="6" max="6" width="19.140625" style="539" bestFit="1" customWidth="1"/>
    <col min="7" max="7" width="22.7109375" style="1143" customWidth="1"/>
    <col min="8" max="8" width="19.5703125" style="539" customWidth="1"/>
    <col min="9" max="9" width="22.85546875" style="539" customWidth="1"/>
    <col min="10" max="10" width="21.5703125" style="539" customWidth="1"/>
    <col min="11" max="11" width="65.42578125" style="539" customWidth="1"/>
    <col min="12" max="12" width="15.85546875" style="539" customWidth="1"/>
    <col min="13" max="13" width="25" style="539" customWidth="1"/>
    <col min="14" max="14" width="11.140625" style="1144" customWidth="1"/>
    <col min="15" max="15" width="39.42578125" style="1143" bestFit="1" customWidth="1"/>
    <col min="16" max="16" width="28.28515625" style="1145" customWidth="1"/>
    <col min="17" max="17" width="49" style="1145" bestFit="1" customWidth="1"/>
    <col min="18" max="18" width="56.140625" style="539" bestFit="1" customWidth="1"/>
    <col min="19" max="19" width="28.28515625" style="539" customWidth="1"/>
    <col min="20" max="16384" width="9.140625" style="539"/>
  </cols>
  <sheetData>
    <row r="1" spans="1:19" ht="36" customHeight="1">
      <c r="A1" s="1142"/>
      <c r="C1" s="1142"/>
    </row>
    <row r="2" spans="1:19" ht="36" customHeight="1" thickBot="1">
      <c r="A2" s="2037" t="s">
        <v>828</v>
      </c>
      <c r="B2" s="2037"/>
      <c r="C2" s="2037"/>
      <c r="D2" s="2037"/>
      <c r="E2" s="2037"/>
      <c r="F2" s="2037"/>
      <c r="G2" s="2037"/>
      <c r="H2" s="2037"/>
      <c r="I2" s="2037"/>
      <c r="J2" s="1146"/>
    </row>
    <row r="3" spans="1:19" ht="9" customHeight="1" thickTop="1">
      <c r="A3" s="1147"/>
      <c r="C3" s="1147"/>
      <c r="J3" s="1143"/>
    </row>
    <row r="4" spans="1:19" ht="21" customHeight="1">
      <c r="A4" s="1616"/>
      <c r="G4" s="539"/>
    </row>
    <row r="5" spans="1:19" s="1155" customFormat="1" ht="21" customHeight="1" thickBot="1">
      <c r="A5" s="1148" t="s">
        <v>829</v>
      </c>
      <c r="B5" s="1149"/>
      <c r="C5" s="541"/>
      <c r="D5" s="541"/>
      <c r="E5" s="1847"/>
      <c r="F5" s="1149"/>
      <c r="G5" s="1150"/>
      <c r="H5" s="1149"/>
      <c r="I5" s="1149"/>
      <c r="J5" s="1149"/>
      <c r="K5" s="1151" t="s">
        <v>830</v>
      </c>
      <c r="L5" s="1151" t="s">
        <v>831</v>
      </c>
      <c r="M5" s="1152" t="s">
        <v>832</v>
      </c>
      <c r="N5" s="1152" t="s">
        <v>831</v>
      </c>
      <c r="O5" s="1152" t="s">
        <v>830</v>
      </c>
      <c r="P5" s="1153" t="s">
        <v>832</v>
      </c>
      <c r="Q5" s="1154"/>
    </row>
    <row r="6" spans="1:19" s="1155" customFormat="1" ht="7.5" customHeight="1" thickTop="1">
      <c r="A6" s="1156"/>
      <c r="C6" s="1157"/>
      <c r="D6" s="1157"/>
      <c r="E6" s="1848"/>
      <c r="G6" s="1158"/>
      <c r="N6" s="1159"/>
      <c r="O6" s="1158"/>
      <c r="P6" s="1160"/>
      <c r="Q6" s="1160"/>
    </row>
    <row r="7" spans="1:19" s="1161" customFormat="1" ht="21" customHeight="1" thickBot="1">
      <c r="A7" s="2352" t="s">
        <v>361</v>
      </c>
      <c r="B7" s="2354" t="s">
        <v>833</v>
      </c>
      <c r="C7" s="2352" t="s">
        <v>834</v>
      </c>
      <c r="D7" s="2354" t="s">
        <v>835</v>
      </c>
      <c r="E7" s="2355" t="s">
        <v>836</v>
      </c>
      <c r="F7" s="2354" t="s">
        <v>542</v>
      </c>
      <c r="G7" s="2354" t="s">
        <v>837</v>
      </c>
      <c r="H7" s="2354"/>
      <c r="I7" s="2354"/>
      <c r="K7" s="2356" t="s">
        <v>838</v>
      </c>
      <c r="L7" s="2356"/>
      <c r="M7" s="2356"/>
      <c r="N7" s="1162"/>
      <c r="O7" s="1163"/>
      <c r="P7" s="1164"/>
      <c r="Q7" s="1164"/>
    </row>
    <row r="8" spans="1:19" s="1161" customFormat="1" ht="31.5">
      <c r="A8" s="2353"/>
      <c r="B8" s="2354"/>
      <c r="C8" s="2353"/>
      <c r="D8" s="2354"/>
      <c r="E8" s="2355"/>
      <c r="F8" s="2354"/>
      <c r="G8" s="1165" t="s">
        <v>839</v>
      </c>
      <c r="H8" s="1165" t="s">
        <v>840</v>
      </c>
      <c r="I8" s="1165" t="s">
        <v>841</v>
      </c>
      <c r="K8" s="1166" t="s">
        <v>842</v>
      </c>
      <c r="L8" s="1167" t="s">
        <v>843</v>
      </c>
      <c r="M8" s="1168">
        <f ca="1">SUMIF($B$9:$I$23,L8,$I$9:$I$23)</f>
        <v>0</v>
      </c>
      <c r="N8" s="1169" t="str">
        <f ca="1">IF(Cash&gt;0,L8,IF(BankAccount&gt;0,L9,IF(Giro&gt;0,L10,IF(Deposit&gt;0,L11,IF(OtherCash&gt;0,L12,IF(M13&gt;0,L13,IF(M14&gt;0,L14,IF(M15&gt;0,L15,IF(M16&gt;0,L16,IF(M17&gt;0,L17,IF(M18&gt;0,L18,IF(M19&gt;0,L19,IF(M20&gt;0,L20,IF(M21&gt;0,L21,IF(M22&gt;0,L22,IF(M23&gt;0,L23,IF(M24&gt;0,L24,IF(M25&gt;0,L25,IF(M26&gt;0,L26,IF(M27&gt;0,L27,IF(M28&gt;0,L28,IF(M29&gt;0,L29,IF(M30&gt;0,L30,IF(M31&gt;0,L31,IF(M32&gt;0,L32,IF(M33&gt;0,L33,IF(M34&gt;0,L34,IF(M35&gt;0,L35,IF(M36&gt;0,L36,IF(M37&gt;0,L37,IF(M38&gt;0,L38,"")))))))))))))))))))))))))))))))</f>
        <v/>
      </c>
      <c r="O8" s="1170" t="str">
        <f ca="1">IF(Cash&gt;0,K8,IF(BankAccount&gt;0,K9,IF(Giro&gt;0,K10,IF(Deposit&gt;0,K11,IF(OtherCash&gt;0,K12,IF(M13&gt;0,K13,IF(M14&gt;0,K14,IF(M15&gt;0,K15,IF(M16&gt;0,K16,IF(M17&gt;0,K17,IF(M18&gt;0,K18,IF(M19&gt;0,K19,IF(M20&gt;0,K20,IF(M21&gt;0,K21,IF(M22&gt;0,K22,IF(M23&gt;0,K23,IF(M24&gt;0,K24,IF(M25&gt;0,K25,IF(M26&gt;0,K26,IF(M27&gt;0,K27,IF(M28&gt;0,K28,IF(M29&gt;0,K29,IF(M30&gt;0,K30,IF(M31&gt;0,K31,IF(M32&gt;0,K32,IF(M33&gt;0,K33,IF(M34&gt;0,K34,IF(M35&gt;0,K35,IF(M36&gt;0,K36,IF(M37&gt;0,K37,IF(M38&gt;0,K38,"")))))))))))))))))))))))))))))))</f>
        <v/>
      </c>
      <c r="P8" s="1171" t="str">
        <f ca="1">IF(Cash&gt;0,Cash,IF(BankAccount&gt;0,BankAccount,IF(Giro&gt;0,Giro,IF(Deposit&gt;0,Deposit,IF(OtherCash&gt;0,OtherCash,IF(M13&gt;0,M13,IF(M14&gt;0,M14,IF(M15&gt;0,M15,IF(M16&gt;0,M16,IF(M17&gt;0,M17,IF(M18&gt;0,M18,IF(M19&gt;0,M19,IF(M20&gt;0,M20,IF(M21&gt;0,M21,IF(M22&gt;0,M22,IF(M23&gt;0,M23,IF(M24&gt;0,M24,IF(M25&gt;0,M25,IF(M26&gt;0,M26,IF(M27&gt;0,M27,IF(M28&gt;0,M28,IF(M29&gt;0,M29,IF(M30&gt;0,M30,IF(M31&gt;0,M31,IF(M32&gt;0,M32,IF(M33&gt;0,M33,IF(M34&gt;0,M34,IF(M35&gt;0,M35,IF(M36&gt;0,M36,IF(M37&gt;0,M37,IF(M38&gt;0,M38,"")))))))))))))))))))))))))))))))</f>
        <v/>
      </c>
      <c r="Q8" s="1171" t="str">
        <f ca="1">IF(N8="","",VLOOKUP(N8,$R$8:$S$38,2))</f>
        <v/>
      </c>
      <c r="R8" s="1167" t="s">
        <v>843</v>
      </c>
      <c r="S8" s="1164" t="s">
        <v>844</v>
      </c>
    </row>
    <row r="9" spans="1:19" s="1172" customFormat="1" ht="21.75" customHeight="1">
      <c r="A9" s="1738">
        <v>1</v>
      </c>
      <c r="B9" s="1739" t="str">
        <f t="shared" ref="B9:B23" si="0">IF(C9="","",VLOOKUP(C9,$K$8:$L$12,2,0))</f>
        <v/>
      </c>
      <c r="C9" s="1740"/>
      <c r="D9" s="1740"/>
      <c r="E9" s="1849"/>
      <c r="F9" s="1741"/>
      <c r="G9" s="1742"/>
      <c r="H9" s="1743"/>
      <c r="I9" s="1744">
        <f>G9*H9</f>
        <v>0</v>
      </c>
      <c r="K9" s="1173" t="s">
        <v>845</v>
      </c>
      <c r="L9" s="1174" t="s">
        <v>846</v>
      </c>
      <c r="M9" s="1175">
        <f ca="1">SUMIF($B$9:$I$23,L9,$I$9:$I$23)</f>
        <v>0</v>
      </c>
      <c r="N9" s="1176" t="str">
        <f ca="1">IF(AND(BankAccount&gt;0,L9&lt;&gt;N8),L9,IF(AND(Giro&gt;0,L10&lt;&gt;N8),L10,IF(AND(Deposit&gt;0,L11&lt;&gt;N8),L11,IF(AND(OtherCash&lt;&gt;0,L12&lt;&gt;N8),L12,IF(AND(M13&lt;&gt;0,L13&lt;&gt;N8),L13,IF(AND(M14&lt;&gt;0,L14&lt;&gt;N8),L14,IF(AND(M15&lt;&gt;0,L15&lt;&gt;N8),L15,IF(AND(M16&lt;&gt;0,L16&lt;&gt;N8),L16,IF(AND(M17&lt;&gt;0,L17&lt;&gt;N8),L17,IF(AND(M18&lt;&gt;0,L18&lt;&gt;N8),L18,IF(AND(M19&lt;&gt;0,L19&lt;&gt;N8),L19,IF(AND(M20&lt;&gt;0,L20&lt;&gt;N8),L20,IF(AND(M21&lt;&gt;0,L21&lt;&gt;N8),L21,IF(AND(M22&lt;&gt;0,L22&lt;&gt;N8),L22,IF(AND(M23&lt;&gt;0,L23&lt;&gt;N8),L23,IF(AND(M24&lt;&gt;0,L24&lt;&gt;N8),L24,IF(AND(M25&lt;&gt;0,L25&lt;&gt;N8),L25,IF(AND(M26&lt;&gt;0,L26&lt;&gt;N8),L26,IF(AND(M27&lt;&gt;0,L27&lt;&gt;N8),L27,IF(AND(M28&lt;&gt;0,L28&lt;&gt;N8),L28,IF(AND(M29&lt;&gt;0,L29&lt;&gt;N8),L29,IF(AND(M30&lt;&gt;0,L30&lt;&gt;N8),L30,IF(AND(M31&lt;&gt;0,L31&lt;&gt;N8),L31,IF(AND(M32&lt;&gt;0,L32&lt;&gt;N8),L32,IF(AND(M33&lt;&gt;0,L33&lt;&gt;N8),L33,IF(AND(M34&lt;&gt;0,L34&lt;&gt;N8),L34,IF(AND(M35&lt;&gt;0,L35&lt;&gt;N8),L35,IF(AND(M36&lt;&gt;0,L36&lt;&gt;N8),L36,IF(AND(M37&lt;&gt;0,L37&lt;&gt;N8),L37,IF(AND(M38&lt;&gt;0,L38&lt;&gt;N8),L38,""))))))))))))))))))))))))))))))</f>
        <v/>
      </c>
      <c r="O9" s="1177" t="str">
        <f ca="1">IF(N9=L9,K9,IF(N9=L10,K10,IF(N9=L11,K11,IF(N9=L12,K12,IF(N9=L13,K13,IF(N9=L14,K14,IF(N9=L15,K15,IF(N9=L16,K16,IF(N9=L17,K17,IF(N9=L18,K18,IF(N9=L19,K19,IF(N9=L20,K20,IF(N9=L21,K21,IF(N9=L22,K22,IF(N9=L23,K23,IF(N9=L24,K24,IF(N9=L25,K25,IF(N9=L26,K26,IF(N9=L27,K27,IF(N9=L28,K28,IF(N9=L29,K29,IF(N9=L30,K30,IF(N9=L31,K31,IF(N9=L32,K32,IF(N9=L33,K33,IF(N9=L34,K34,IF(N9=L35,K35,IF(N9=L36,K36,IF(N9=L37,K37,IF(N9=L38,K38,""))))))))))))))))))))))))))))))</f>
        <v/>
      </c>
      <c r="P9" s="1178" t="str">
        <f ca="1">IF(N9=L9,BankAccount,IF(N9=L10,Giro,IF(N9=L11,Deposit,IF(N9=L12,OtherCash,IF(N9=L13,M13,IF(N9=L14,M14,IF(N9=L15,M15,IF(N9=L16,M16,IF(N9=L17,M17,IF(N9=L18,M18,IF(N9=L19,M19,IF(N9=L20,M20,IF(N9=L21,M21,IF(N9=L22,M22,IF(N9=L23,M23,IF(N9=L24,M24,IF(N9=L25,M25,IF(N9=L26,M26,IF(N9=L27,M27,IF(N9=L28,M28,IF(N9=L29,M29,IF(N9=L30,M30,IF(N9=L31,M31,IF(N9=L32,M32,IF(N9=L33,M33,IF(N9=L34,M34,IF(N9=L35,M35,IF(N9=L36,M36,IF(N9=L37,M37,IF(N9=L38,M38,""))))))))))))))))))))))))))))))</f>
        <v/>
      </c>
      <c r="Q9" s="1171" t="str">
        <f ca="1">IF(N9="","",VLOOKUP(N9,$R$8:$S$38,2))</f>
        <v/>
      </c>
      <c r="R9" s="1174" t="s">
        <v>846</v>
      </c>
      <c r="S9" s="1164" t="s">
        <v>847</v>
      </c>
    </row>
    <row r="10" spans="1:19" s="1172" customFormat="1" ht="21.75" customHeight="1">
      <c r="A10" s="1738">
        <v>2</v>
      </c>
      <c r="B10" s="1739" t="str">
        <f t="shared" si="0"/>
        <v/>
      </c>
      <c r="C10" s="1740"/>
      <c r="D10" s="1740"/>
      <c r="E10" s="1849"/>
      <c r="F10" s="1741"/>
      <c r="G10" s="1742"/>
      <c r="H10" s="1743"/>
      <c r="I10" s="1744">
        <f t="shared" ref="I10:I23" si="1">G10*H10</f>
        <v>0</v>
      </c>
      <c r="K10" s="1173" t="s">
        <v>848</v>
      </c>
      <c r="L10" s="1174" t="s">
        <v>849</v>
      </c>
      <c r="M10" s="1175">
        <f ca="1">SUMIF($B$9:$I$23,L10,$I$9:$I$23)</f>
        <v>0</v>
      </c>
      <c r="N10" s="1176" t="str">
        <f ca="1">IF(AND(Giro&gt;0,L10&lt;&gt;N9,L10&lt;&gt;N8),L10,IF(AND(Deposit&gt;0,L11&lt;&gt;N9,L11&lt;&gt;N8),L11,IF(AND(OtherCash&lt;&gt;0,L12&lt;&gt;N9,L12&lt;&gt;N8),L12,IF(AND(M13&lt;&gt;0,L13&lt;&gt;N9,L13&lt;&gt;N8),L13,IF(AND(M14&lt;&gt;0,L14&lt;&gt;N9,L14&lt;&gt;N8),L14,IF(AND(M15&lt;&gt;0,L15&lt;&gt;N9,L15&lt;&gt;N8),L15,IF(AND(M16&lt;&gt;0,L16&lt;&gt;N9,L16&lt;&gt;N8),L16,IF(AND(M17&lt;&gt;0,L17&lt;&gt;N9,L17&lt;&gt;N8),L17,IF(AND(M18&lt;&gt;0,L18&lt;&gt;N9,L18&lt;&gt;N8),L18,IF(AND(M19&lt;&gt;0,L19&lt;&gt;N9,L19&lt;&gt;N8),L19,IF(AND(M20&lt;&gt;0,L20&lt;&gt;N9,L20&lt;&gt;N8),L20,IF(AND(M21&lt;&gt;0,L21&lt;&gt;N9,L21&lt;&gt;N8),L21,IF(AND(M22&lt;&gt;0,L22&lt;&gt;N9,L22&lt;&gt;N8),L22,IF(AND(M23&lt;&gt;0,L23&lt;&gt;N9,L23&lt;&gt;N8),L23,IF(AND(M24&lt;&gt;0,L24&lt;&gt;N9,L24&lt;&gt;N8),L24,IF(AND(M25&lt;&gt;0,L25&lt;&gt;N9,L25&lt;&gt;N8),L25,IF(AND(M26&lt;&gt;0,L26&lt;&gt;N9,L26&lt;&gt;N8),L26,IF(AND(M27&lt;&gt;0,L27&lt;&gt;N9,L27&lt;&gt;N8),L27,IF(AND(M28&lt;&gt;0,L28&lt;&gt;N9,L28&lt;&gt;N8),L28,IF(AND(M29&lt;&gt;0,L29&lt;&gt;N9,L29&lt;&gt;N8),L29,IF(AND(M30&lt;&gt;0,L30&lt;&gt;N9,L30&lt;&gt;N8),L30,IF(AND(M31&lt;&gt;0,L31&lt;&gt;N9,L31&lt;&gt;N8),L31,IF(AND(M32&lt;&gt;0,L32&lt;&gt;N9,L32&lt;&gt;N8),L32,IF(AND(M33&lt;&gt;0,L33&lt;&gt;N9,L33&lt;&gt;N8),L33,IF(AND(M34&lt;&gt;0,L34&lt;&gt;N9,L34&lt;&gt;N8),L34,IF(AND(M35&lt;&gt;0,L35&lt;&gt;N9,L35&lt;&gt;N8),L35,IF(AND(M36&lt;&gt;0,L36&lt;&gt;N9,L36&lt;&gt;N8),L36,IF(AND(M37&lt;&gt;0,L37&lt;&gt;N9,L37&lt;&gt;N8),L37,IF(AND(M38&lt;&gt;0,L38&lt;&gt;N9,L38&lt;&gt;N8),L38,"")))))))))))))))))))))))))))))</f>
        <v/>
      </c>
      <c r="O10" s="1177" t="str">
        <f ca="1">IF(N10=L10,K10,IF(N10=L11,K11,IF(N10=L12,K12,IF(N10=L13,K13,IF(N10=L14,K14,IF(N10=L15,K15,IF(N10=L16,K16,IF(N10=L17,K17,IF(N10=L18,K18,IF(N10=L19,K19,IF(N10=L20,K20,IF(N10=L21,K21,IF(N10=L22,K22,IF(N10=L23,K23,IF(N10=L24,K24,IF(N10=L25,K25,IF(N10=L26,K26,IF(N10=L27,K27,IF(N10=L28,K28,IF(N10=L29,K29,IF(N10=L30,K30,IF(N10=L31,K31,IF(N10=L32,K32,IF(N10=L33,K33,IF(N10=L34,K34,IF(N10=L35,K35,IF(N10=L36,K36,IF(N10=L37,K37,IF(N10=L38,K38,"")))))))))))))))))))))))))))))</f>
        <v/>
      </c>
      <c r="P10" s="1178" t="str">
        <f ca="1">IF(N10=L10,Giro,IF(N10=L11,Deposit,IF(N10=L12,OtherCash,IF(N10=L13,M13,IF(N10=L14,M14,IF(N10=L15,M15,IF(N10=L16,M16,IF(N10=L17,M17,IF(N10=L18,M18,IF(N10=L19,M19,IF(N10=L20,M20,IF(N10=L21,M21,IF(N10=L22,M22,IF(N10=L23,M23,IF(N10=L24,M24,IF(N10=L25,M25,IF(N10=L26,M26,IF(N10=L27,M27,IF(N10=L28,M28,IF(N10=L29,M29,IF(N10=L30,M30,IF(N10=L31,M31,IF(N10=L32,M32,IF(N10=L33,M33,IF(N10=L34,M34,IF(N10=L35,M35,IF(N10=L36,M36,IF(N10=L37,M37,IF(N10=L38,M38,"")))))))))))))))))))))))))))))</f>
        <v/>
      </c>
      <c r="Q10" s="1171" t="str">
        <f t="shared" ref="Q10:Q38" ca="1" si="2">IF(N10="","",VLOOKUP(N10,$R$8:$S$38,2))</f>
        <v/>
      </c>
      <c r="R10" s="1174" t="s">
        <v>849</v>
      </c>
      <c r="S10" s="1164" t="s">
        <v>848</v>
      </c>
    </row>
    <row r="11" spans="1:19" s="1172" customFormat="1" ht="21.75" customHeight="1">
      <c r="A11" s="1738">
        <v>3</v>
      </c>
      <c r="B11" s="1739" t="str">
        <f t="shared" si="0"/>
        <v/>
      </c>
      <c r="C11" s="1740"/>
      <c r="D11" s="1740"/>
      <c r="E11" s="1849"/>
      <c r="F11" s="1741"/>
      <c r="G11" s="1742"/>
      <c r="H11" s="1743"/>
      <c r="I11" s="1744">
        <f t="shared" si="1"/>
        <v>0</v>
      </c>
      <c r="K11" s="1173" t="s">
        <v>850</v>
      </c>
      <c r="L11" s="1174" t="s">
        <v>851</v>
      </c>
      <c r="M11" s="1175">
        <f ca="1">SUMIF($B$9:$I$23,L11,$I$9:$I$23)</f>
        <v>0</v>
      </c>
      <c r="N11" s="1176" t="str">
        <f ca="1">IF(AND(Deposit&gt;0,L11&lt;&gt;N10,L11&lt;&gt;N9,L11&lt;&gt;N8),L11,IF(AND(OtherCash&lt;&gt;0,L12&lt;&gt;N10,L12&lt;&gt;N9,L12&lt;&gt;N8),L12,IF(AND(M13&lt;&gt;0,L13&lt;&gt;N10,L13&lt;&gt;N9,L13&lt;&gt;N8),L13,IF(AND(M14&lt;&gt;0,L14&lt;&gt;N10,L14&lt;&gt;N9,L14&lt;&gt;N8),L14,IF(AND(M15&lt;&gt;0,L15&lt;&gt;N10,L15&lt;&gt;N9,L15&lt;&gt;N8),L15,IF(AND(M16&lt;&gt;0,L16&lt;&gt;N10,L16&lt;&gt;N9,L16&lt;&gt;N8),L16,IF(AND(M17&lt;&gt;0,L17&lt;&gt;N10,L17&lt;&gt;N9,L17&lt;&gt;N8),L17,IF(AND(M18&lt;&gt;0,L18&lt;&gt;N10,L18&lt;&gt;N9,L18&lt;&gt;N8),L18,IF(AND(M19&lt;&gt;0,L19&lt;&gt;N10,L19&lt;&gt;N9,L19&lt;&gt;N8),L19,IF(AND(M20&lt;&gt;0,L20&lt;&gt;N10,L20&lt;&gt;N9,L20&lt;&gt;N8),L20,IF(AND(M21&lt;&gt;0,L21&lt;&gt;N10,L21&lt;&gt;N9,L21&lt;&gt;N8),L21,IF(AND(M22&lt;&gt;0,L22&lt;&gt;N10,L22&lt;&gt;N9,L22&lt;&gt;N8),L22,IF(AND(M23&lt;&gt;0,L23&lt;&gt;N10,L23&lt;&gt;N9,L23&lt;&gt;N8),L23,IF(AND(M24&lt;&gt;0,L24&lt;&gt;N10,L24&lt;&gt;N9,L24&lt;&gt;N8),L24,IF(AND(M25&lt;&gt;0,L25&lt;&gt;N10,L25&lt;&gt;N9,L25&lt;&gt;N8),L25,IF(AND(M26&lt;&gt;0,L26&lt;&gt;N10,L26&lt;&gt;N9,L26&lt;&gt;N8),L26,IF(AND(M27&lt;&gt;0,L27&lt;&gt;N10,L27&lt;&gt;N9,L27&lt;&gt;N8),L27,IF(AND(M28&lt;&gt;0,L28&lt;&gt;N10,L28&lt;&gt;N9,L28&lt;&gt;N8),L28,IF(AND(M29&lt;&gt;0,L29&lt;&gt;N10,L29&lt;&gt;N9,L29&lt;&gt;N8),L29,IF(AND(M30&lt;&gt;0,L30&lt;&gt;N10,L30&lt;&gt;N9,L30&lt;&gt;N8),L30,IF(AND(M31&lt;&gt;0,L31&lt;&gt;N10,L31&lt;&gt;N9,L31&lt;&gt;N8),L31,IF(AND(M32&lt;&gt;0,L32&lt;&gt;N10,L32&lt;&gt;N9,L32&lt;&gt;N8),L32,IF(AND(M33&lt;&gt;0,L33&lt;&gt;N10,L33&lt;&gt;N9,L33&lt;&gt;N8),L33,IF(AND(M34&lt;&gt;0,L34&lt;&gt;N10,L34&lt;&gt;N9,L34&lt;&gt;N8),L34,IF(AND(M35&lt;&gt;0,L35&lt;&gt;N10,L35&lt;&gt;N9,L35&lt;&gt;N8),L35,IF(AND(M36&lt;&gt;0,L36&lt;&gt;N10,L36&lt;&gt;N9,L36&lt;&gt;N8),L36,IF(AND(M37&lt;&gt;0,L37&lt;&gt;N10,L37&lt;&gt;N9,L37&lt;&gt;N8),L37,IF(AND(M38&lt;&gt;0,L38&lt;&gt;N10,L38&lt;&gt;N9,L38&lt;&gt;N8),L38,""))))))))))))))))))))))))))))</f>
        <v/>
      </c>
      <c r="O11" s="1177" t="str">
        <f ca="1">IF(N11=L11,K11,IF(N11=L12,K12,IF(N11=L13,K13,IF(N11=L14,K14,IF(N11=L15,K15,IF(N11=L16,K16,IF(N11=L17,K17,IF(N11=L18,K18,IF(N11=L19,K19,IF(N11=L20,K20,IF(N11=L21,K21,IF(N11=L22,K22,IF(N11=L23,K23,IF(N11=L24,K24,IF(N11=L25,K25,IF(N11=L26,K26,IF(N11=L27,K27,IF(N11=L28,K28,IF(N11=L29,K29,IF(N11=L30,K30,IF(N11=L31,K31,IF(N11=L32,K32,IF(N11=L33,K33,IF(N11=L34,K34,IF(N11=L35,K35,IF(N11=L36,K36,IF(N11=L37,K37,IF(N11=L38,K38,""))))))))))))))))))))))))))))</f>
        <v/>
      </c>
      <c r="P11" s="1178" t="str">
        <f ca="1">IF(N11=L11,Deposit,IF(N11=L12,OtherCash,IF(N11=L13,M13,IF(N11=L14,M14,IF(N11=L15,M15,IF(N11=L16,M16,IF(N11=L17,M17,IF(N11=L18,M18,IF(N11=L19,M19,IF(N11=L20,M20,IF(N11=L21,M21,IF(N11=L22,M22,IF(N11=L23,M23,IF(N11=L24,M24,IF(N11=L25,M25,IF(N11=L26,M26,IF(N11=L27,M27,IF(N11=L28,M28,IF(N11=L29,M29,IF(N11=L30,M30,IF(N11=L31,M31,IF(N11=L32,M32,IF(N11=L33,M33,IF(N11=L34,M34,IF(N11=L35,M35,IF(N11=L36,M36,IF(N11=L37,M37,IF(N11=L38,M38,""))))))))))))))))))))))))))))</f>
        <v/>
      </c>
      <c r="Q11" s="1171" t="str">
        <f t="shared" ca="1" si="2"/>
        <v/>
      </c>
      <c r="R11" s="1174" t="s">
        <v>851</v>
      </c>
      <c r="S11" s="1164" t="s">
        <v>852</v>
      </c>
    </row>
    <row r="12" spans="1:19" s="1172" customFormat="1" ht="21.75" customHeight="1" thickBot="1">
      <c r="A12" s="1738">
        <v>4</v>
      </c>
      <c r="B12" s="1739" t="str">
        <f t="shared" si="0"/>
        <v/>
      </c>
      <c r="C12" s="1740"/>
      <c r="D12" s="1740"/>
      <c r="E12" s="1849"/>
      <c r="F12" s="1741"/>
      <c r="G12" s="1742"/>
      <c r="H12" s="1743"/>
      <c r="I12" s="1744">
        <f t="shared" si="1"/>
        <v>0</v>
      </c>
      <c r="K12" s="1179" t="s">
        <v>853</v>
      </c>
      <c r="L12" s="1180" t="s">
        <v>854</v>
      </c>
      <c r="M12" s="1181">
        <f ca="1">SUMIF($B$9:$I$23,L12,$I$9:$I$23)</f>
        <v>0</v>
      </c>
      <c r="N12" s="1176" t="str">
        <f ca="1">IF(AND(OtherCash&lt;&gt;0,L12&lt;&gt;N10,L12&lt;&gt;N11,L12&lt;&gt;N9,L12&lt;&gt;N8),L12,IF(AND(M13&lt;&gt;0,L13&lt;&gt;N11,L13&lt;&gt;N10,L13&lt;&gt;N9,L13&lt;&gt;N8),L13,IF(AND(M14&lt;&gt;0,L14&lt;&gt;N11,L14&lt;&gt;N10,L14&lt;&gt;N9,L14&lt;&gt;N8),L14,IF(AND(M15&lt;&gt;0,L15&lt;&gt;N11,L15&lt;&gt;N10,L15&lt;&gt;N9,L15&lt;&gt;N8),L15,IF(AND(M16&lt;&gt;0,L16&lt;&gt;N11,L16&lt;&gt;N10,L16&lt;&gt;N9,L16&lt;&gt;N8),L16,IF(AND(M17&lt;&gt;0,L17&lt;&gt;N11,L17&lt;&gt;N10,L17&lt;&gt;N9,L17&lt;&gt;N8),L17,IF(AND(M18&lt;&gt;0,L18&lt;&gt;N11,L18&lt;&gt;N10,L18&lt;&gt;N9,L18&lt;&gt;N8),L18,IF(AND(M19&lt;&gt;0,L19&lt;&gt;N11,L19&lt;&gt;N10,L19&lt;&gt;N9,L19&lt;&gt;N8),L19,IF(AND(M20&lt;&gt;0,L20&lt;&gt;N11,L20&lt;&gt;N10,L20&lt;&gt;N9,L20&lt;&gt;N8),L20,IF(AND(M21&lt;&gt;0,L21&lt;&gt;N11,L21&lt;&gt;N10,L21&lt;&gt;N9,L21&lt;&gt;N8),L21,IF(AND(M22&lt;&gt;0,L22&lt;&gt;N11,L22&lt;&gt;N10,L22&lt;&gt;N9,L22&lt;&gt;N8),L22,IF(AND(M23&lt;&gt;0,L23&lt;&gt;N11,L23&lt;&gt;N10,L23&lt;&gt;N9,L23&lt;&gt;N8),L23,IF(AND(M24&lt;&gt;0,L24&lt;&gt;N11,L24&lt;&gt;N10,L24&lt;&gt;N9,L24&lt;&gt;N8),L24,IF(AND(M25&lt;&gt;0,L25&lt;&gt;N11,L25&lt;&gt;N10,L25&lt;&gt;N9,L25&lt;&gt;N8),L25,IF(AND(M26&lt;&gt;0,L26&lt;&gt;N11,L26&lt;&gt;N10,L26&lt;&gt;N9,L26&lt;&gt;N8),L26,IF(AND(M27&lt;&gt;0,L27&lt;&gt;N11,L27&lt;&gt;N10,L27&lt;&gt;N9,L27&lt;&gt;N8),L27,IF(AND(M28&lt;&gt;0,L28&lt;&gt;N11,L28&lt;&gt;N10,L28&lt;&gt;N9,L28&lt;&gt;N8),L28,IF(AND(M29&lt;&gt;0,L29&lt;&gt;N11,L29&lt;&gt;N10,L29&lt;&gt;N9,L29&lt;&gt;N8),L29,IF(AND(M30&lt;&gt;0,L30&lt;&gt;N11,L30&lt;&gt;N10,L30&lt;&gt;N9,L30&lt;&gt;N8),L30,IF(AND(M31&lt;&gt;0,L31&lt;&gt;N11,L31&lt;&gt;N10,L31&lt;&gt;N9,L31&lt;&gt;N8),L31,IF(AND(M32&lt;&gt;0,L32&lt;&gt;N11,L32&lt;&gt;N10,L32&lt;&gt;N9,L32&lt;&gt;N8),L32,IF(AND(M33&lt;&gt;0,L33&lt;&gt;N11,L33&lt;&gt;N10,L33&lt;&gt;N9,L33&lt;&gt;N8),L33,IF(AND(M34&lt;&gt;0,L34&lt;&gt;N11,L34&lt;&gt;N10,L34&lt;&gt;N9,L34&lt;&gt;N8),L34,IF(AND(M35&lt;&gt;0,L35&lt;&gt;N11,L35&lt;&gt;N10,L35&lt;&gt;N9,L35&lt;&gt;N8),L35,IF(AND(M36&lt;&gt;0,L36&lt;&gt;N11,L36&lt;&gt;N10,L36&lt;&gt;N9,L36&lt;&gt;N8),L36,IF(AND(M37&lt;&gt;0,L37&lt;&gt;N11,L37&lt;&gt;N10,L37&lt;&gt;N9,L37&lt;&gt;N8),L37,IF(AND(M38&lt;&gt;0,L38&lt;&gt;N11,L38&lt;&gt;N10,L38&lt;&gt;N9,L38&lt;&gt;N8),L38,"")))))))))))))))))))))))))))</f>
        <v/>
      </c>
      <c r="O12" s="1177" t="str">
        <f ca="1">IF(N12=L12,K12,IF(N12=L13,K13,IF(N12=L14,K14,IF(N12=L15,K15,IF(N12=L16,K16,IF(N12=L17,K17,IF(N12=L18,K18,IF(N12=L19,K19,IF(N12=L20,K20,IF(N12=L21,K21,IF(N12=L22,K22,IF(N12=L23,K23,IF(N12=L24,K24,IF(N12=L25,K25,IF(N12=L26,K26,IF(N12=L27,K27,IF(N12=L28,K28,IF(N12=L29,K29,IF(N12=L30,K30,IF(N12=L31,K31,IF(N12=L32,K32,IF(N12=L33,K33,IF(N12=L34,K34,IF(N12=L35,K35,IF(N12=L36,K36,IF(N12=L37,K37,IF(N12=L38,K38,"")))))))))))))))))))))))))))</f>
        <v/>
      </c>
      <c r="P12" s="1178" t="str">
        <f ca="1">IF(N12=L12,OtherCash,IF(N12=L13,M13,IF(N12=L14,M14,IF(N12=L15,M15,IF(N12=L16,M16,IF(N12=L17,M17,IF(N12=L18,M18,IF(N12=L19,M19,IF(N12=L20,M20,IF(N12=L21,M21,IF(N12=L22,M22,IF(N12=L23,M23,IF(N12=L24,M24,IF(N12=L25,M25,IF(N12=L26,M26,IF(N12=L27,M27,IF(N12=L28,M28,IF(N12=L29,M29,IF(N12=L30,M30,IF(N12=L31,M31,IF(N12=L32,M32,IF(N12=L33,M33,IF(N12=L34,M34,IF(N12=L35,M35,IF(N12=L36,M36,IF(N12=L37,M37,IF(N12=L38,M38,"")))))))))))))))))))))))))))</f>
        <v/>
      </c>
      <c r="Q12" s="1171" t="str">
        <f t="shared" ca="1" si="2"/>
        <v/>
      </c>
      <c r="R12" s="1180" t="s">
        <v>854</v>
      </c>
      <c r="S12" s="1164" t="s">
        <v>855</v>
      </c>
    </row>
    <row r="13" spans="1:19" s="1172" customFormat="1" ht="21.75" customHeight="1">
      <c r="A13" s="1738">
        <v>5</v>
      </c>
      <c r="B13" s="1739" t="str">
        <f t="shared" si="0"/>
        <v/>
      </c>
      <c r="C13" s="1740"/>
      <c r="D13" s="1740"/>
      <c r="E13" s="1849"/>
      <c r="F13" s="1741"/>
      <c r="G13" s="1742"/>
      <c r="H13" s="1743"/>
      <c r="I13" s="1744">
        <f t="shared" si="1"/>
        <v>0</v>
      </c>
      <c r="K13" s="1166" t="s">
        <v>856</v>
      </c>
      <c r="L13" s="1167" t="s">
        <v>857</v>
      </c>
      <c r="M13" s="1182">
        <f ca="1">SUMIF($B$30:I40,L13,I$30:I$40)</f>
        <v>0</v>
      </c>
      <c r="N13" s="1176" t="str">
        <f ca="1">IF(AND(M13&lt;&gt;0,L13&lt;&gt;N12,L13&lt;&gt;N11,L13&lt;&gt;N10,L13&lt;&gt;N9,L13&lt;&gt;N8),L13,IF(AND(M14&lt;&gt;0,L14&lt;&gt;N12,L14&lt;&gt;N11,L14&lt;&gt;N10,L14&lt;&gt;N9,L14&lt;&gt;N8),L14,IF(AND(M15&lt;&gt;0,L15&lt;&gt;N12,L15&lt;&gt;N11,L15&lt;&gt;N10,L15&lt;&gt;N9,L15&lt;&gt;N8),L15,IF(AND(M16&lt;&gt;0,L16&lt;&gt;N12,L16&lt;&gt;N11,L16&lt;&gt;N10,L16&lt;&gt;N9,L16&lt;&gt;N8),L16,IF(AND(M17&lt;&gt;0,L17&lt;&gt;N12,L17&lt;&gt;N11,L17&lt;&gt;N10,L17&lt;&gt;N9,L17&lt;&gt;N8),L17,IF(AND(M18&lt;&gt;0,L18&lt;&gt;N12,L18&lt;&gt;N11,L18&lt;&gt;N10,L18&lt;&gt;N9,L18&lt;&gt;N8),L18,IF(AND(M19&lt;&gt;0,L19&lt;&gt;N12,L19&lt;&gt;N11,L19&lt;&gt;N10,L19&lt;&gt;N9,L19&lt;&gt;N8),L19,IF(AND(M20&lt;&gt;0,L20&lt;&gt;N12,L20&lt;&gt;N11,L20&lt;&gt;N10,L20&lt;&gt;N9,L20&lt;&gt;N8),L20,IF(AND(M21&lt;&gt;0,L21&lt;&gt;N12,L21&lt;&gt;N11,L21&lt;&gt;N10,L21&lt;&gt;N9,L21&lt;&gt;N8),L21,IF(AND(M22&lt;&gt;0,L22&lt;&gt;N12,L22&lt;&gt;N11,L22&lt;&gt;N10,L22&lt;&gt;N9,L22&lt;&gt;N8),L22,IF(AND(M23&lt;&gt;0,L23&lt;&gt;N12,L23&lt;&gt;N11,L23&lt;&gt;N10,L23&lt;&gt;N9,L20&lt;&gt;N8),L23,IF(AND(M24&lt;&gt;0,L24&lt;&gt;N12,L24&lt;&gt;N11,L24&lt;&gt;N10,L24&lt;&gt;N9,L24&lt;&gt;N8),L24,IF(AND(M25&lt;&gt;0,L25&lt;&gt;N12,L25&lt;&gt;N11,L25&lt;&gt;N10,L25&lt;&gt;N9,L25&lt;&gt;N8),L25,IF(AND(M26&lt;&gt;0,L26&lt;&gt;N12,L26&lt;&gt;N11,L26&lt;&gt;N10,L26&lt;&gt;N9,L26&lt;&gt;N8),L26,IF(AND(M27&lt;&gt;0,L27&lt;&gt;N12,L27&lt;&gt;N11,L27&lt;&gt;N10,L27&lt;&gt;N9,L27&lt;&gt;N8),L27,IF(AND(M28&lt;&gt;0,L28&lt;&gt;N12,L28&lt;&gt;N11,L28&lt;&gt;N10,L28&lt;&gt;N9,L28&lt;&gt;N8),L28,IF(AND(M29&lt;&gt;0,L29&lt;&gt;N12,L29&lt;&gt;N11,L29&lt;&gt;N10,L29&lt;&gt;N9,L29&lt;&gt;N8),L29,IF(AND(M30&lt;&gt;0,L30&lt;&gt;N12,L30&lt;&gt;N11,L30&lt;&gt;N10,L30&lt;&gt;N9,L30&lt;&gt;N8),L30,IF(AND(M31&lt;&gt;0,L31&lt;&gt;N12,L31&lt;&gt;N11,L31&lt;&gt;N10,L31&lt;&gt;N9,L31&lt;&gt;N8),L31,IF(AND(M32&lt;&gt;0,L32&lt;&gt;N12,L32&lt;&gt;N11,L32&lt;&gt;N10,L32&lt;&gt;N9,L32&lt;&gt;N8),L32,IF(AND(M33&lt;&gt;0,L33&lt;&gt;N12,L33&lt;&gt;N11,L33&lt;&gt;N10,L33&lt;&gt;N9,L33&lt;&gt;N8),L33,IF(AND(M34&lt;&gt;0,L34&lt;&gt;N12,L34&lt;&gt;N11,L34&lt;&gt;N10,L34&lt;&gt;N9,L34&lt;&gt;N8),L34,IF(AND(M35&lt;&gt;0,L35&lt;&gt;N12,L35&lt;&gt;N11,L35&lt;&gt;N10,L35&lt;&gt;N9,L35&lt;&gt;N8),L35,IF(AND(M36&lt;&gt;0,L36&lt;&gt;N12,L36&lt;&gt;N11,L36&lt;&gt;N10,L36&lt;&gt;N9,L36&lt;&gt;N8),L36,IF(AND(M37&lt;&gt;0,L37&lt;&gt;N12,L37&lt;&gt;N11,L37&lt;&gt;N10,L37&lt;&gt;N9,L37&lt;&gt;N8),L37,IF(AND(M38&lt;&gt;0,L38&lt;&gt;N12,L38&lt;&gt;N11,L38&lt;&gt;N10,L38&lt;&gt;N9,L38&lt;&gt;N8),L38,""))))))))))))))))))))))))))</f>
        <v/>
      </c>
      <c r="O13" s="1177" t="str">
        <f ca="1">IF(N13=L13,K13,IF(N13=L14,K14,IF(N13=L15,K15,IF(N13=L16,K16,IF(N13=L17,K17,IF(N13=L18,K18,IF(N13=L19,K19,IF(N13=L20,K20,IF(N13=L21,K21,IF(N13=L22,K22,IF(N13=L23,K23,IF(N13=L24,K24,IF(N13=L25,K25,IF(N13=L26,K26,IF(N13=L27,K27,IF(N13=L28,K28,IF(N13=L29,K29,IF(N13=L30,K30,IF(N13=L31,K31,IF(N13=L32,K32,IF(N13=L33,K33,IF(N13=L34,K34,IF(N13=L35,K35,IF(N13=L36,K36,IF(N13=L37,K37,IF(N13=L38,K38,""))))))))))))))))))))))))))</f>
        <v/>
      </c>
      <c r="P13" s="1178" t="str">
        <f ca="1">IF(N13=L13,M13,IF(N13=L14,M14,IF(N13=L15,M15,IF(N13=L16,M16,IF(N13=L17,M17,IF(N13=L18,M18,IF(N13=L19,M19,IF(N13=L20,M20,IF(N13=L21,M21,IF(N13=L22,M22,IF(N13=L23,M23,IF(N13=L24,M24,IF(N13=L25,M25,IF(N13=L26,M26,IF(N13=L27,M27,IF(N13=L28,M28,IF(N13=L29,M29,IF(N13=L30,M30,IF(N13=L31,M31,IF(N13=L32,M32,IF(N13=L33,M33,IF(N13=L34,M34,IF(N13=L35,M35,IF(N13=L36,M36,IF(N13=L37,M37,IF(N13=L38,M38,""))))))))))))))))))))))))))</f>
        <v/>
      </c>
      <c r="Q13" s="1171" t="str">
        <f t="shared" ca="1" si="2"/>
        <v/>
      </c>
      <c r="R13" s="1167" t="s">
        <v>857</v>
      </c>
      <c r="S13" s="1164" t="s">
        <v>858</v>
      </c>
    </row>
    <row r="14" spans="1:19" s="1172" customFormat="1" ht="21.75" customHeight="1">
      <c r="A14" s="1738">
        <v>6</v>
      </c>
      <c r="B14" s="1739" t="str">
        <f t="shared" si="0"/>
        <v/>
      </c>
      <c r="C14" s="1740"/>
      <c r="D14" s="1740"/>
      <c r="E14" s="1849"/>
      <c r="F14" s="1741"/>
      <c r="G14" s="1742"/>
      <c r="H14" s="1743"/>
      <c r="I14" s="1744">
        <f t="shared" si="1"/>
        <v>0</v>
      </c>
      <c r="K14" s="1183" t="s">
        <v>859</v>
      </c>
      <c r="L14" s="1184" t="s">
        <v>860</v>
      </c>
      <c r="M14" s="1175">
        <f ca="1">SUMIF($B$30:I45,L14,I$30:I$40)</f>
        <v>0</v>
      </c>
      <c r="N14" s="1176" t="str">
        <f ca="1">IF(AND(M$14&lt;&gt;0,L14&lt;&gt;N13,L14&lt;&gt;N12,L14&lt;&gt;N11,L14&lt;&gt;N10,L14&lt;&gt;N9,L14&lt;&gt;N8),L14,IF(AND(M15&lt;&gt;0,L15&lt;&gt;N13,L15&lt;&gt;N12,L15&lt;&gt;N11,L15&lt;&gt;N10,L15&lt;&gt;N9,L15&lt;&gt;N8),L15,IF(AND(M16&lt;&gt;0,L16&lt;&gt;N13,L16&lt;&gt;N12,L16&lt;&gt;N11,L16&lt;&gt;N10,L16&lt;&gt;N9,L16&lt;&gt;N8),L16,IF(AND(M17&lt;&gt;0,L17&lt;&gt;N13,L17&lt;&gt;N12,L17&lt;&gt;N11,L17&lt;&gt;N10,L17&lt;&gt;N9,L17&lt;&gt;N8),L17,IF(AND(M18&lt;&gt;0,L18&lt;&gt;N13,L18&lt;&gt;N12,L18&lt;&gt;N11,L18&lt;&gt;N10,L18&lt;&gt;N9,L18&lt;&gt;N8),L18,IF(AND(M19&lt;&gt;0,L19&lt;&gt;N13,L19&lt;&gt;N12,L19&lt;&gt;N11,L19&lt;&gt;N10,L19&lt;&gt;N9,L19&lt;&gt;N8),L19,IF(AND(M20&lt;&gt;0,L20&lt;&gt;N13,L20&lt;&gt;N12,L20&lt;&gt;N11,L20&lt;&gt;N10,L20&lt;&gt;N9,L20&lt;&gt;N8),L20,IF(AND(M21&lt;&gt;0,L21&lt;&gt;N13,L21&lt;&gt;N12,L21&lt;&gt;N11,L21&lt;&gt;N10,L21&lt;&gt;N9,L21&lt;&gt;N8),L21,IF(AND(M22&lt;&gt;0,L22&lt;&gt;N13,L22&lt;&gt;N12,L22&lt;&gt;N11,L22&lt;&gt;N10,L22&lt;&gt;N9,L21&lt;&gt;N8),L22,IF(AND(M23&lt;&gt;0,L23&lt;&gt;N13,L23&lt;&gt;N12,L23&lt;&gt;N11,L23&lt;&gt;N10,L23&lt;&gt;N9,L23&lt;&gt;N8),L23,IF(AND(M24&lt;&gt;0,L24&lt;&gt;N13,L24&lt;&gt;N12,L24&lt;&gt;N11,L24&lt;&gt;N10,L24&lt;&gt;N9,L24&lt;&gt;N8),L24,IF(AND(M25&lt;&gt;0,L25&lt;&gt;N13,L25&lt;&gt;N12,L25&lt;&gt;N11,L25&lt;&gt;N10,L25&lt;&gt;N9,L25&lt;&gt;N8),L25,IF(AND(M26&lt;&gt;0,L26&lt;&gt;N13,L26&lt;&gt;N12,L26&lt;&gt;N11,L26&lt;&gt;N10,L26&lt;&gt;N9,L26&lt;&gt;N8),L26,IF(AND(M27&lt;&gt;0,L27&lt;&gt;N13,L27&lt;&gt;N12,L27&lt;&gt;N11,L27&lt;&gt;N10,L27&lt;&gt;N9,L27&lt;&gt;N8),L27,IF(AND(M28&lt;&gt;0,L28&lt;&gt;N13,L28&lt;&gt;N12,L28&lt;&gt;N11,L28&lt;&gt;N10,L28&lt;&gt;N9,L28&lt;&gt;N8),L28,IF(AND(M29&lt;&gt;0,L29&lt;&gt;N13,L29&lt;&gt;N12,L29&lt;&gt;N11,L29&lt;&gt;N10,L29&lt;&gt;N9,L29&lt;&gt;N8),L29,IF(AND(M30&lt;&gt;0,L30&lt;&gt;N13,L30&lt;&gt;N12,L30&lt;&gt;N11,L30&lt;&gt;N10,L30&lt;&gt;N9,L30&lt;&gt;N8),L30,IF(AND(M31&lt;&gt;0,L31&lt;&gt;N13,L31&lt;&gt;N12,L31&lt;&gt;N11,L31&lt;&gt;N10,L31&lt;&gt;N9,L31&lt;&gt;N8),L31,IF(AND(M32&lt;&gt;0,L32&lt;&gt;N13,L32&lt;&gt;N12,L32&lt;&gt;N11,L32&lt;&gt;N10,L32&lt;&gt;N9,L32&lt;&gt;N8),L32,IF(AND(M33&lt;&gt;0,L33&lt;&gt;N13,L33&lt;&gt;N12,L33&lt;&gt;N11,L33&lt;&gt;N10,L33&lt;&gt;N9,L33&lt;&gt;N8),L33,IF(AND(M34&lt;&gt;0,L34&lt;&gt;N13,L34&lt;&gt;N12,L34&lt;&gt;N11,L34&lt;&gt;N10,L34&lt;&gt;N9,L34&lt;&gt;N8),L34,IF(AND(M35&lt;&gt;0,L35&lt;&gt;N13,L35&lt;&gt;N12,L35&lt;&gt;N11,L35&lt;&gt;N10,L35&lt;&gt;N9,L35&lt;&gt;N8),L35,IF(AND(M36&lt;&gt;0,L36&lt;&gt;N13,L36&lt;&gt;N12,L36&lt;&gt;N11,L36&lt;&gt;N10,L36&lt;&gt;N9,L36&lt;&gt;N8),L36,IF(AND(M37&lt;&gt;0,L37&lt;&gt;N13,L37&lt;&gt;N12,L37&lt;&gt;N11,L37&lt;&gt;N10,L37&lt;&gt;N9,L37&lt;&gt;N8),L37,IF(AND(M38&lt;&gt;0,L38&lt;&gt;N13,L38&lt;&gt;N12,L38&lt;&gt;N11,L38&lt;&gt;N10,L38&lt;&gt;N9,L38&lt;&gt;N8),L38,"")))))))))))))))))))))))))</f>
        <v/>
      </c>
      <c r="O14" s="1177" t="str">
        <f ca="1">IF(N14=L14,K14,IF(N14=L15,K15,IF(N14=L16,K16,IF(N14=L17,K17,IF(N14=L18,K18,IF(N14=L19,K19,IF(N14=L20,K20,IF(N14=L21,K21,IF(N14=L22,K22,IF(N14=L23,K23,IF(N14=L24,K24,IF(N14=L25,K25,IF(N14=L26,K26,IF(N14=L27,K27,IF(N14=L28,K28,IF(N14=L29,K29,IF(N14=L30,K30,IF(N14=L31,K31,IF(N14=L32,K32,IF(N14=L33,K33,IF(N14=L34,K34,IF(N14=L35,K35,IF(N14=L36,K36,IF(N14=L37,K37,IF(N14=L38,K38,"")))))))))))))))))))))))))</f>
        <v/>
      </c>
      <c r="P14" s="1178" t="str">
        <f ca="1">IF(N14=L14,M14,IF(N14=L15,M15,IF(N14=L16,M16,IF(N14=L17,M17,IF(N14=L18,M18,IF(N14=L19,M19,IF(N14=L20,M20,IF(N14=L21,M21,IF(N14=L22,M22,IF(N14=L23,M23,IF(N14=L24,M24,IF(N14=L25,M25,IF(N14=L26,M26,IF(N14=L27,M27,IF(N14=L28,M28,IF(N14=L29,M29,IF(N14=L30,M30,IF(N14=L31,M31,IF(N14=L32,M32,IF(N14=L33,M33,IF(N14=L34,M34,IF(N14=L35,M35,IF(N14=L36,M36,IF(N14=L37,M37,IF(N14=L38,M38,"")))))))))))))))))))))))))</f>
        <v/>
      </c>
      <c r="Q14" s="1171" t="str">
        <f t="shared" ca="1" si="2"/>
        <v/>
      </c>
      <c r="R14" s="1184" t="s">
        <v>860</v>
      </c>
      <c r="S14" s="1164" t="s">
        <v>861</v>
      </c>
    </row>
    <row r="15" spans="1:19" s="1172" customFormat="1" ht="21.75" customHeight="1" thickBot="1">
      <c r="A15" s="1738">
        <v>7</v>
      </c>
      <c r="B15" s="1739" t="str">
        <f t="shared" si="0"/>
        <v/>
      </c>
      <c r="C15" s="1740"/>
      <c r="D15" s="1740"/>
      <c r="E15" s="1849"/>
      <c r="F15" s="1741"/>
      <c r="G15" s="1742"/>
      <c r="H15" s="1743"/>
      <c r="I15" s="1744">
        <f t="shared" si="1"/>
        <v>0</v>
      </c>
      <c r="K15" s="1179" t="s">
        <v>862</v>
      </c>
      <c r="L15" s="1180" t="s">
        <v>863</v>
      </c>
      <c r="M15" s="1181">
        <f ca="1">SUMIF($B$30:I46,L15,I$30:I$40)</f>
        <v>0</v>
      </c>
      <c r="N15" s="1176" t="str">
        <f ca="1">IF(AND(M15&lt;&gt;0,L15&lt;&gt;N14,L15&lt;&gt;N13,L15&lt;&gt;N12,L15&lt;&gt;N11,L15&lt;&gt;N10,L15&lt;&gt;N9,L15&lt;&gt;N8),L15,IF(AND(M16&lt;&gt;0,L16&lt;&gt;N14,L16&lt;&gt;N13,L16&lt;&gt;N12,L16&lt;&gt;N11,L16&lt;&gt;N10,L16&lt;&gt;N9,L16&lt;&gt;N8),L16,IF(AND(M17&lt;&gt;0,L17&lt;&gt;N14,L17&lt;&gt;N13,L17&lt;&gt;N12,L17&lt;&gt;N11,L17&lt;&gt;N10,L17&lt;&gt;N9,L17&lt;&gt;N8),L17,IF(AND(M18&lt;&gt;0,L18&lt;&gt;N14,L18&lt;&gt;N13,L18&lt;&gt;N12,L18&lt;&gt;N11,L18&lt;&gt;N10,L18&lt;&gt;N9,L18&lt;&gt;N8),L18,IF(AND(M19&lt;&gt;0,L19&lt;&gt;N14,L19&lt;&gt;N13,L19&lt;&gt;N12,L19&lt;&gt;N11,L19&lt;&gt;N10,L19&lt;&gt;N9,L19&lt;&gt;N8),L19,IF(AND(M20&lt;&gt;0,L20&lt;&gt;N14,L20&lt;&gt;N13,L20&lt;&gt;N12,L20&lt;&gt;N11,L20&lt;&gt;N10,L20&lt;&gt;N9,L20&lt;&gt;N8),L20,IF(AND(M21&lt;&gt;0,L21&lt;&gt;N14,L21&lt;&gt;N13,L21&lt;&gt;N12,L21&lt;&gt;N11,L21&lt;&gt;N10,L21&lt;&gt;N9,L21&lt;&gt;N8),L21,IF(AND(M22&lt;&gt;0,L22&lt;&gt;N14,L22&lt;&gt;N13,L22&lt;&gt;N12,L22&lt;&gt;N11,L22&lt;&gt;N10,L22&lt;&gt;N9,L22&lt;&gt;N8),L22,IF(AND(M23&lt;&gt;0,L23&lt;&gt;N14,L23&lt;&gt;N13,L23&lt;&gt;N12,L23&lt;&gt;N11,L23&lt;&gt;N10,L23&lt;&gt;N9,L23&lt;&gt;N8),L23,IF(AND(M24&lt;&gt;0,L24&lt;&gt;N14,L24&lt;&gt;N13,L24&lt;&gt;N12,L24&lt;&gt;N11,L24&lt;&gt;N10,L24&lt;&gt;N9,L24&lt;&gt;N8),L24,IF(AND(M25&lt;&gt;0,L25&lt;&gt;N14,L25&lt;&gt;N13,L25&lt;&gt;N12,L25&lt;&gt;N11,L25&lt;&gt;N10,L25&lt;&gt;N9,L25&lt;&gt;N8),L25,IF(AND(M26&lt;&gt;0,L26&lt;&gt;N14,L26&lt;&gt;N13,L26&lt;&gt;N12,L26&lt;&gt;N11,L26&lt;&gt;N10,L26&lt;&gt;N9,L26&lt;&gt;N8),L26,IF(AND(M27&lt;&gt;0,L27&lt;&gt;N14,L27&lt;&gt;N13,L27&lt;&gt;N12,L27&lt;&gt;N11,L27&lt;&gt;N10,L27&lt;&gt;N9,L27&lt;&gt;N8),L27,IF(AND(M28&lt;&gt;0,L28&lt;&gt;N14,L28&lt;&gt;N13,L28&lt;&gt;N12,L28&lt;&gt;N11,L28&lt;&gt;N10,L28&lt;&gt;N9,L28&lt;&gt;N8),L28,IF(AND(M29&lt;&gt;0,L29&lt;&gt;N14,L29&lt;&gt;N13,L29&lt;&gt;N12,L29&lt;&gt;N11,L29&lt;&gt;N10,L29&lt;&gt;N9,L29&lt;&gt;N8),L29,IF(AND(M30&lt;&gt;0,L30&lt;&gt;N14,L30&lt;&gt;N13,L30&lt;&gt;N12,L30&lt;&gt;N11,L30&lt;&gt;N10,L30&lt;&gt;N9,L30&lt;&gt;N8),L30,IF(AND(M31&lt;&gt;0,L31&lt;&gt;N14,L31&lt;&gt;N13,L31&lt;&gt;N12,L31&lt;&gt;N11,L31&lt;&gt;N10,L31&lt;&gt;N9,L31&lt;&gt;N8),L31,IF(AND(M32&lt;&gt;0,L32&lt;&gt;N14,L32&lt;&gt;N13,L32&lt;&gt;N12,L32&lt;&gt;N11,L32&lt;&gt;N10,L32&lt;&gt;N9,L32&lt;&gt;N8),L32,IF(AND(M33&lt;&gt;0,L33&lt;&gt;N14,L33&lt;&gt;N13,L33&lt;&gt;N12,L33&lt;&gt;N11,L33&lt;&gt;N10,L33&lt;&gt;N9,L33&lt;&gt;N8),L33,IF(AND(M34&lt;&gt;0,L34&lt;&gt;N14,L34&lt;&gt;N13,L34&lt;&gt;N12,L34&lt;&gt;N11,L34&lt;&gt;N10,L34&lt;&gt;N9,L34&lt;&gt;N8),L34,IF(AND(M35&lt;&gt;0,L35&lt;&gt;N14,L35&lt;&gt;N13,L35&lt;&gt;N12,L35&lt;&gt;N11,L35&lt;&gt;N10,L35&lt;&gt;N9,L35&lt;&gt;N8),L35,IF(AND(M36&lt;&gt;0,L36&lt;&gt;N14,L36&lt;&gt;N13,L36&lt;&gt;N12,L36&lt;&gt;N11,L36&lt;&gt;N10,L36&lt;&gt;N9,L36&lt;&gt;N8),L36,IF(AND(M37&lt;&gt;0,L37&lt;&gt;N14,L37&lt;&gt;N13,L37&lt;&gt;N12,L37&lt;&gt;N11,L37&lt;&gt;N10,L37&lt;&gt;N9,L37&lt;&gt;N8),L37,IF(AND(M38&lt;&gt;0,L38&lt;&gt;N14,L38&lt;&gt;N13,L38&lt;&gt;N12,L38&lt;&gt;N11,L38&lt;&gt;N10,L38&lt;&gt;N9,L38&lt;&gt;N8),L38,""))))))))))))))))))))))))</f>
        <v/>
      </c>
      <c r="O15" s="1177" t="str">
        <f ca="1">IF(N15=L15,K15,IF(N15=L16,K16,IF(N15=L17,K17,IF(N15=L18,K18,IF(N15=L19,K19,IF(N15=L20,K20,IF(N15=L21,K21,IF(N15=L22,K22,IF(N15=L23,K23,IF(N15=L24,K24,IF(N15=L25,K25,IF(N15=L26,K26,IF(N15=L27,K27,IF(N15=L28,K28,IF(N15=L29,K29,IF(N15=L30,K30,IF(N15=L31,K31,IF(N15=L32,K32,IF(N15=L33,K33,IF(N15=L34,K34,IF(N15=L35,K35,IF(N15=L36,K36,IF(N15=L37,K37,IF(N15=L38,K38,""))))))))))))))))))))))))</f>
        <v/>
      </c>
      <c r="P15" s="1178" t="str">
        <f ca="1">IF(N15=L15,M15,IF(N15=L16,M16,IF(N15=L17,M17,IF(N15=L18,M18,IF(N15=L19,M19,IF(N15=L20,M20,IF(N15=L21,M21,IF(N15=L22,M22,IF(N15=L23,M23,IF(N15=L24,M24,IF(N15=L25,M25,IF(N15=L26,M26,IF(N15=L27,M27,IF(N15=L28,M28,IF(N15=L29,M29,IF(N15=L30,M30,IF(N15=L31,M31,IF(N15=L32,M32,IF(N15=L33,M33,IF(N15=L34,M34,IF(N15=L35,M35,IF(N15=L36,M36,IF(N15=L37,M37,IF(N15=L38,M38,""))))))))))))))))))))))))</f>
        <v/>
      </c>
      <c r="Q15" s="1171" t="str">
        <f t="shared" ca="1" si="2"/>
        <v/>
      </c>
      <c r="R15" s="1180" t="s">
        <v>863</v>
      </c>
      <c r="S15" s="1172" t="s">
        <v>864</v>
      </c>
    </row>
    <row r="16" spans="1:19" s="1172" customFormat="1" ht="21.75" customHeight="1">
      <c r="A16" s="1738">
        <v>8</v>
      </c>
      <c r="B16" s="1739" t="str">
        <f t="shared" si="0"/>
        <v/>
      </c>
      <c r="C16" s="1740"/>
      <c r="D16" s="1740"/>
      <c r="E16" s="1849"/>
      <c r="F16" s="1741"/>
      <c r="G16" s="1742"/>
      <c r="H16" s="1743"/>
      <c r="I16" s="1744">
        <f t="shared" si="1"/>
        <v>0</v>
      </c>
      <c r="J16" s="1185"/>
      <c r="K16" s="1186" t="s">
        <v>865</v>
      </c>
      <c r="L16" s="1187" t="s">
        <v>866</v>
      </c>
      <c r="M16" s="1175">
        <f t="shared" ref="M16:M24" ca="1" si="3">SUMIF($B$51:$I$60,L16,I$51:I$60)</f>
        <v>0</v>
      </c>
      <c r="N16" s="1176" t="str">
        <f ca="1">IF(AND(M16&lt;&gt;0,L16&lt;&gt;N15,L16&lt;&gt;N14,L16&lt;&gt;N13,L16&lt;&gt;N12,L16&lt;&gt;N11,L16&lt;&gt;N10,L16&lt;&gt;N9,L16&lt;&gt;N8),L16,IF(AND(M17&lt;&gt;0,L17&lt;&gt;N15,L17&lt;&gt;N14,L17&lt;&gt;N13,L17&lt;&gt;N12,L17&lt;&gt;N11,L17&lt;&gt;N10,L17&lt;&gt;N9,L17&lt;&gt;N8),L17,IF(AND(M18&lt;&gt;0,L18&lt;&gt;N15,L18&lt;&gt;N14,L18&lt;&gt;N13,L18&lt;&gt;N12,L18&lt;&gt;N11,L18&lt;&gt;N10,L18&lt;&gt;N9,L18&lt;&gt;N8),L18,IF(AND(M19&lt;&gt;0,L19&lt;&gt;N15,L19&lt;&gt;N14,L19&lt;&gt;N13,L19&lt;&gt;N12,L19&lt;&gt;N11,L19&lt;&gt;N10,L19&lt;&gt;N9,L19&lt;&gt;N8),L19,IF(AND(M20&lt;&gt;0,L20&lt;&gt;N15,L20&lt;&gt;N14,L20&lt;&gt;N13,L20&lt;&gt;N12,L20&lt;&gt;N11,L20&lt;&gt;N10,L20&lt;&gt;N9,L20&lt;&gt;N8),L20,IF(AND(M21&lt;&gt;0,L21&lt;&gt;N15,L21&lt;&gt;N14,L21&lt;&gt;N13,L21&lt;&gt;N12,L21&lt;&gt;N11,L21&lt;&gt;N10,L21&lt;&gt;N9,L21&lt;&gt;N8),L21,IF(AND(M22&lt;&gt;0,L22&lt;&gt;N15,L22&lt;&gt;N14,L22&lt;&gt;N13,L22&lt;&gt;N12,L22&lt;&gt;N11,L22&lt;&gt;N10,L22&lt;&gt;N9,L22&lt;&gt;N8),L22,IF(AND(M23&lt;&gt;0,L23&lt;&gt;N15,L23&lt;&gt;N14,L23&lt;&gt;N13,L23&lt;&gt;N12,L23&lt;&gt;N11,L23&lt;&gt;N10,L23&lt;&gt;N9,L23&lt;&gt;N8),L23,IF(AND(M24&lt;&gt;0,L24&lt;&gt;N15,L24&lt;&gt;N14,L24&lt;&gt;N13,L24&lt;&gt;N12,L24&lt;&gt;N11,L24&lt;&gt;N10,L24&lt;&gt;N9,L24&lt;&gt;N8),L24,IF(AND(M25&lt;&gt;0,L25&lt;&gt;N15,L25&lt;&gt;N14,L25&lt;&gt;N13,L25&lt;&gt;N12,L25&lt;&gt;N11,L25&lt;&gt;N10,L25&lt;&gt;N9,L25&lt;&gt;N8),L25,IF(AND(M26&lt;&gt;0,L26&lt;&gt;N15,L26&lt;&gt;N14,L26&lt;&gt;N13,L26&lt;&gt;N12,L26&lt;&gt;N11,L26&lt;&gt;N10,L26&lt;&gt;N9,L26&lt;&gt;N8),L26,IF(AND(M27&lt;&gt;0,L27&lt;&gt;N15,L27&lt;&gt;N14,L27&lt;&gt;N13,L27&lt;&gt;N12,L27&lt;&gt;N11,L27&lt;&gt;N10,L27&lt;&gt;N9,L27&lt;&gt;N8),L27,IF(AND(M28&lt;&gt;0,L28&lt;&gt;N15,L28&lt;&gt;N14,L28&lt;&gt;N13,L28&lt;&gt;N12,L28&lt;&gt;N11,L28&lt;&gt;N10,L28&lt;&gt;N9,L28&lt;&gt;N8),L28,IF(AND(M29&lt;&gt;0,L29&lt;&gt;N15,L29&lt;&gt;N14,L29&lt;&gt;N13,L29&lt;&gt;N12,L29&lt;&gt;N11,L29&lt;&gt;N10,L29&lt;&gt;N9,L29&lt;&gt;N8),L29,IF(AND(M30&lt;&gt;0,L30&lt;&gt;N15,L30&lt;&gt;N14,L30&lt;&gt;N13,L30&lt;&gt;N12,L30&lt;&gt;N11,L30&lt;&gt;N10,L30&lt;&gt;N9,L30&lt;&gt;N8),L30,IF(AND(M31&lt;&gt;0,L31&lt;&gt;N15,L31&lt;&gt;N14,L31&lt;&gt;N13,L31&lt;&gt;N12,L31&lt;&gt;N11,L31&lt;&gt;N10,L31&lt;&gt;N9,L31&lt;&gt;N8),L31,IF(AND(M32&lt;&gt;0,L32&lt;&gt;N15,L32&lt;&gt;N14,L32&lt;&gt;N13,L32&lt;&gt;N12,L32&lt;&gt;N11,L32&lt;&gt;N10,L32&lt;&gt;N9,L32&lt;&gt;N8),L32,IF(AND(M33&lt;&gt;0,L33&lt;&gt;N15,L33&lt;&gt;N14,L33&lt;&gt;N13,L33&lt;&gt;N12,L33&lt;&gt;N11,L33&lt;&gt;N10,L33&lt;&gt;N9,L33&lt;&gt;N8),L33,IF(AND(M34&lt;&gt;0,L34&lt;&gt;N15,L34&lt;&gt;N14,L34&lt;&gt;N13,L34&lt;&gt;N12,L34&lt;&gt;N11,L34&lt;&gt;N10,L34&lt;&gt;N9,L34&lt;&gt;N8),L34,IF(AND(M35&lt;&gt;0,L35&lt;&gt;N15,L35&lt;&gt;N14,L35&lt;&gt;N13,L35&lt;&gt;N12,L35&lt;&gt;N11,L35&lt;&gt;N10,L35&lt;&gt;N9,L35&lt;&gt;N8),L35,IF(AND(M36&lt;&gt;0,L36&lt;&gt;N15,L36&lt;&gt;N14,L36&lt;&gt;N13,L36&lt;&gt;N12,L36&lt;&gt;N11,L36&lt;&gt;N10,L36&lt;&gt;N9,L36&lt;&gt;N8),L36,IF(AND(M37&lt;&gt;0,L37&lt;&gt;N15,L37&lt;&gt;N14,L37&lt;&gt;N13,L37&lt;&gt;N12,L37&lt;&gt;N11,L37&lt;&gt;N10,L37&lt;&gt;N9,L37&lt;&gt;N8),L37,IF(AND(M38&lt;&gt;0,L38&lt;&gt;N15,L38&lt;&gt;N14,L38&lt;&gt;N13,L38&lt;&gt;N12,L38&lt;&gt;N11,L38&lt;&gt;N10,L38&lt;&gt;N9,L38&lt;&gt;N8),L38,"")))))))))))))))))))))))</f>
        <v/>
      </c>
      <c r="O16" s="1177" t="str">
        <f ca="1">IF(N16=L16,K16,IF(N16=L17,K17,IF(N16=L18,K18,IF(N16=L19,K19,IF(N16=L20,K20,IF(N16=L21,K21,IF(N16=L22,K22,IF(N16=L23,K23,IF(N16=L24,K24,IF(N16=L25,K25,IF(N16=L26,K26,IF(N16=L27,K27,IF(N16=L28,K28,IF(N16=L29,K29,IF(N16=L30,K30,IF(N16=L31,K31,IF(N16=L32,K32,IF(N16=L33,K33,IF(N16=L34,K34,IF(N16=L35,K35,IF(N16=L36,K36,IF(N16=L37,K37,IF(N16=L38,K38,"")))))))))))))))))))))))</f>
        <v/>
      </c>
      <c r="P16" s="1178" t="str">
        <f ca="1">IF(N16=L16,M16,IF(N16=L17,M17,IF(N16=L18,M18,IF(N16=L19,M19,IF(N16=L20,M20,IF(N16=L21,M21,IF(N16=L22,M22,IF(N16=L23,M23,IF(N16=L24,M24,IF(N16=L25,M25,IF(N16=L26,M26,IF(N16=L27,M27,IF(N16=L28,M28,IF(N16=L29,M29,IF(N16=L30,M30,IF(N16=L31,M31,IF(N16=L32,M32,IF(N16=L33,M33,IF(N16=L34,M34,IF(N16=L35,M35,IF(N16=L36,M36,IF(N16=L37,M37,IF(N16=L38,M38,"")))))))))))))))))))))))</f>
        <v/>
      </c>
      <c r="Q16" s="1171" t="str">
        <f t="shared" ca="1" si="2"/>
        <v/>
      </c>
      <c r="R16" s="1187" t="s">
        <v>866</v>
      </c>
      <c r="S16" s="1172" t="s">
        <v>867</v>
      </c>
    </row>
    <row r="17" spans="1:19" s="1172" customFormat="1" ht="21.75" customHeight="1">
      <c r="A17" s="1738">
        <v>9</v>
      </c>
      <c r="B17" s="1739" t="str">
        <f t="shared" si="0"/>
        <v/>
      </c>
      <c r="C17" s="1740"/>
      <c r="D17" s="1740"/>
      <c r="E17" s="1849"/>
      <c r="F17" s="1741"/>
      <c r="G17" s="1742"/>
      <c r="H17" s="1743"/>
      <c r="I17" s="1744">
        <f t="shared" si="1"/>
        <v>0</v>
      </c>
      <c r="J17" s="1185"/>
      <c r="K17" s="1183" t="s">
        <v>868</v>
      </c>
      <c r="L17" s="1188" t="s">
        <v>869</v>
      </c>
      <c r="M17" s="1175">
        <f t="shared" ca="1" si="3"/>
        <v>0</v>
      </c>
      <c r="N17" s="1189" t="str">
        <f ca="1">IF(AND(M17&lt;&gt;0,L17&lt;&gt;N16,L17&lt;&gt;N15,L17&lt;&gt;N14,L17&lt;&gt;N13,L17&lt;&gt;N12,L17&lt;&gt;N11,L17&lt;&gt;N10,L17&lt;&gt;N9,L17&lt;&gt;N8),L17,IF(AND(M18&lt;&gt;0,L18&lt;&gt;N16,L18&lt;&gt;N15,L18&lt;&gt;N14,L18&lt;&gt;N13,L18&lt;&gt;N12,L18&lt;&gt;N11,L18&lt;&gt;N10,L18&lt;&gt;N9,L18&lt;&gt;NL8),L18,IF(AND(M19&lt;&gt;0,L19&lt;&gt;N16,L19&lt;&gt;N15,L19&lt;&gt;N14,L19&lt;&gt;N13,L19&lt;&gt;N12,L19&lt;&gt;N11,L19&lt;&gt;N10,L19&lt;&gt;N9,L19&lt;&gt;N8),L19,IF(AND(M20&lt;&gt;0,L20&lt;&gt;N16,L20&lt;&gt;N15,L20&lt;&gt;N14,L20&lt;&gt;N13,L20&lt;&gt;N12,L20&lt;&gt;N11,L20&lt;&gt;N10,L20&lt;&gt;N9,L20&lt;&gt;N8),L20,IF(AND(M21&lt;&gt;0,L21&lt;&gt;N16,L21&lt;&gt;N15,L21&lt;&gt;N14,L21&lt;&gt;N13,L21&lt;&gt;N12,L21&lt;&gt;N11,L21&lt;&gt;N10,L21&lt;&gt;N9,L21&lt;&gt;N8),L21,IF(AND(M22&lt;&gt;0,L22&lt;&gt;N16,L22&lt;&gt;N15,L22&lt;&gt;N14,L22&lt;&gt;N13,L22&lt;&gt;N12,L22&lt;&gt;N11,L22&lt;&gt;N10,L22&lt;&gt;N9,L22&lt;&gt;N8),L22,IF(AND(M23&lt;&gt;0,L23&lt;&gt;N16,L23&lt;&gt;N15,L23&lt;&gt;N14,L23&lt;&gt;N13,L23&lt;&gt;N12,L23&lt;&gt;N11,L23&lt;&gt;N10,L23&lt;&gt;N9,L23&lt;&gt;N8),L23,IF(AND(M24&lt;&gt;0,L24&lt;&gt;N16,L24&lt;&gt;N15,L24&lt;&gt;N14,L24&lt;&gt;N13,L24&lt;&gt;N12,L24&lt;&gt;N11,L24&lt;&gt;N10,L24&lt;&gt;N9,L24&lt;&gt;N8),L24,IF(AND(M25&lt;&gt;0,L25&lt;&gt;N16,L25&lt;&gt;N15,L25&lt;&gt;N14,L25&lt;&gt;N13,L25&lt;&gt;N12,L25&lt;&gt;N11,L25&lt;&gt;N10,L25&lt;&gt;N9,L25&lt;&gt;N8),L25,IF(AND(M26&lt;&gt;0,L26&lt;&gt;N16,L26&lt;&gt;N15,L26&lt;&gt;N14,L26&lt;&gt;N13,L26&lt;&gt;N12,L26&lt;&gt;N11,L26&lt;&gt;N10,L26&lt;&gt;N9,L26&lt;&gt;N8),L26,IF(AND(M27&lt;&gt;0,L27&lt;&gt;N16,L27&lt;&gt;N15,L27&lt;&gt;N14,L27&lt;&gt;N13,L27&lt;&gt;N12,L27&lt;&gt;N11,L27&lt;&gt;N10,L27&lt;&gt;N9,L27&lt;&gt;N8),L27,IF(AND(M28&lt;&gt;0,L28&lt;&gt;N16,L28&lt;&gt;N15,L28&lt;&gt;N14,L28&lt;&gt;N13,L28&lt;&gt;N12,L28&lt;&gt;N11,L28&lt;&gt;N10,L28&lt;&gt;N9,L28&lt;&gt;N8),L28,IF(AND(M29&lt;&gt;0,L29&lt;&gt;N16,L29&lt;&gt;N15,L29&lt;&gt;N14,L29&lt;&gt;N13,L29&lt;&gt;N12,L29&lt;&gt;N11,L29&lt;&gt;N10,L29&lt;&gt;N9,L29&lt;&gt;N8),L29,IF(AND(M30&lt;&gt;0,L30&lt;&gt;N16,L30&lt;&gt;N15,L30&lt;&gt;N14,L30&lt;&gt;N13,L30&lt;&gt;N12,L30&lt;&gt;N11,L30&lt;&gt;N10,L30&lt;&gt;N9,L30&lt;&gt;N8),L30,IF(AND(M31&lt;&gt;0,L31&lt;&gt;N16,L31&lt;&gt;N15,L31&lt;&gt;N14,L31&lt;&gt;N13,L31&lt;&gt;N12,L31&lt;&gt;N11,L31&lt;&gt;N10,L31&lt;&gt;N9,L31&lt;&gt;N8),L31,IF(AND(M32&lt;&gt;0,L32&lt;&gt;N16,L32&lt;&gt;N15,L32&lt;&gt;N14,L32&lt;&gt;N13,L32&lt;&gt;N12,L32&lt;&gt;N11,L32&lt;&gt;N10,L32&lt;&gt;N9,L32&lt;&gt;N8),L32,IF(AND(M33&lt;&gt;0,L33&lt;&gt;N16,L33&lt;&gt;N15,L33&lt;&gt;N14,L33&lt;&gt;N13,L33&lt;&gt;N12,L33&lt;&gt;N11,L33&lt;&gt;N10,L33&lt;&gt;N9,L33&lt;&gt;N8),L33,IF(AND(M34&lt;&gt;0,L34&lt;&gt;N16,L34&lt;&gt;N15,L34&lt;&gt;N14,L34&lt;&gt;N13,L34&lt;&gt;N12,L34&lt;&gt;N11,L34&lt;&gt;N10,L34&lt;&gt;N9,L34&lt;&gt;N8),L34,IF(AND(M35&lt;&gt;0,L35&lt;&gt;N16,L35&lt;&gt;N15,L35&lt;&gt;N14,L35&lt;&gt;N13,L35&lt;&gt;N12,L35&lt;&gt;N11,L35&lt;&gt;N10,L35&lt;&gt;N9,L35&lt;&gt;N8),L35,IF(AND(M36&lt;&gt;0,L36&lt;&gt;N16,L36&lt;&gt;N15,L36&lt;&gt;N14,L36&lt;&gt;N13,L36&lt;&gt;N12,L36&lt;&gt;N11,L36&lt;&gt;N10,L36&lt;&gt;N9,L36&lt;&gt;N8),L36,IF(AND(M37&lt;&gt;0,L37&lt;&gt;N16,L37&lt;&gt;N15,L37&lt;&gt;N14,L37&lt;&gt;N13,L37&lt;&gt;N12,L37&lt;&gt;N11,L37&lt;&gt;N10,L37&lt;&gt;N9,L37&lt;&gt;N8),L37,IF(AND(M38&lt;&gt;0,L38&lt;&gt;N16,L38&lt;&gt;N15,L38&lt;&gt;N14,L38&lt;&gt;N13,L38&lt;&gt;N12,L38&lt;&gt;N11,L38&lt;&gt;N10,L38&lt;&gt;N9,L38&lt;&gt;N8),L38,""))))))))))))))))))))))</f>
        <v/>
      </c>
      <c r="O17" s="1680" t="str">
        <f ca="1">IF(N17=L17,K17,IF(N17=L18,K18,IF(N17=L19,K19,IF(N17=L20,K20,IF(N17=L21,K21,IF(N17=L22,K22,IF(N17=L23,K23,IF(N17=L24,K24,IF(N17=L25,K25,IF(N17=L26,K26,IF(N17=L27,K27,IF(N17=L28,K28,IF(N17=L29,K29,IF(N17=L30,K30,IF(N17=L31,K31,IF(N17=L32,K32,IF(N17=L33,K33,IF(N17=L34,K34,IF(N17=L35,K35,IF(N17=L36,K36,IF(N17=L37,K37,IF(N17=L38,K38,""))))))))))))))))))))))</f>
        <v/>
      </c>
      <c r="P17" s="1178" t="str">
        <f ca="1">IF(N17=L17,M17,IF(N17=L18,M18,IF(N17=L19,M19,IF(N17=L20,M20,IF(N17=L21,M21,IF(N17=L22,M22,IF(N17=L23,M23,IF(N17=L24,M24,IF(N17=L25,M25,IF(N17=L26,M26,IF(N17=L27,M27,IF(N17=L28,M28,IF(N17=L29,M29,IF(N17=L30,M30,IF(N17=L31,M31,IF(N17=L32,M32,IF(N17=L33,M33,IF(N17=L34,M34,IF(N17=L35,M35,IF(N17=L36,M36,IF(N17=L37,M37,IF(N17=L38,M38,""))))))))))))))))))))))</f>
        <v/>
      </c>
      <c r="Q17" s="1171" t="str">
        <f t="shared" ca="1" si="2"/>
        <v/>
      </c>
      <c r="R17" s="1188" t="s">
        <v>869</v>
      </c>
      <c r="S17" s="1172" t="s">
        <v>870</v>
      </c>
    </row>
    <row r="18" spans="1:19" s="1172" customFormat="1" ht="21.75" customHeight="1">
      <c r="A18" s="1738">
        <v>10</v>
      </c>
      <c r="B18" s="1739" t="str">
        <f t="shared" si="0"/>
        <v/>
      </c>
      <c r="C18" s="1740"/>
      <c r="D18" s="1740"/>
      <c r="E18" s="1849"/>
      <c r="F18" s="1741"/>
      <c r="G18" s="1742"/>
      <c r="H18" s="1743"/>
      <c r="I18" s="1744">
        <f t="shared" si="1"/>
        <v>0</v>
      </c>
      <c r="J18" s="1185"/>
      <c r="K18" s="1183" t="s">
        <v>871</v>
      </c>
      <c r="L18" s="1188" t="s">
        <v>872</v>
      </c>
      <c r="M18" s="1175">
        <f t="shared" ca="1" si="3"/>
        <v>0</v>
      </c>
      <c r="N18" s="1189" t="str">
        <f ca="1">IF(AND(M18&lt;&gt;0,L18&lt;&gt;N17,L18&lt;&gt;N16,L18&lt;&gt;N15,L18&lt;&gt;N14,L18&lt;&gt;N13,L18&lt;&gt;N12,L18&lt;&gt;N11,L18&lt;&gt;N10,L18&lt;&gt;N9,L18&lt;&gt;N8),L18,IF(AND(M19&lt;&gt;0,L19&lt;&gt;N17,L19&lt;&gt;N16,L19&lt;&gt;N15,L19&lt;&gt;N14,L19&lt;&gt;N13,L19&lt;&gt;N12,L19&lt;&gt;N11,L19&lt;&gt;N10,L19&lt;&gt;N9,L19&lt;&gt;N8),L19,IF(AND(M20&lt;&gt;0,L20&lt;&gt;N17,L20&lt;&gt;N16,L20&lt;&gt;N15,L20&lt;&gt;N14,L20&lt;&gt;N13,L20&lt;&gt;N12,L20&lt;&gt;N11,L20&lt;&gt;N10,L20&lt;&gt;N9,L20&lt;&gt;N8),L20,IF(AND(M21&lt;&gt;0,L21&lt;&gt;N17,L21&lt;&gt;N16,L21&lt;&gt;N15,L21&lt;&gt;N14,L21&lt;&gt;N13,L21&lt;&gt;N12,L21&lt;&gt;N11,L21&lt;&gt;N10,L21&lt;&gt;N9,L21&lt;&gt;N8),L21,IF(AND(M22&lt;&gt;0,L22&lt;&gt;N17,L22&lt;&gt;N16,L22&lt;&gt;N15,L22&lt;&gt;N14,L22&lt;&gt;N13,L22&lt;&gt;N12,L22&lt;&gt;N11,L22&lt;&gt;N10,L22&lt;&gt;N9,L22&lt;&gt;N8),L22,IF(AND(M23&lt;&gt;0,L23&lt;&gt;N17,L23&lt;&gt;N16,L23&lt;&gt;N15,L23&lt;&gt;N14,L23&lt;&gt;N13,L23&lt;&gt;N12,L23&lt;&gt;N11,L23&lt;&gt;N10,L23&lt;&gt;N9,L23&lt;&gt;N8),L23,IF(AND(M24&lt;&gt;0,L24&lt;&gt;N17,L24&lt;&gt;N16,L24&lt;&gt;N15,L24&lt;&gt;N14,L24&lt;&gt;N13,L24&lt;&gt;N12,L24&lt;&gt;N11,L24&lt;&gt;N10,L24&lt;&gt;N9,L24&lt;&gt;N8),L24,IF(AND(M25&lt;&gt;0,L25&lt;&gt;N17,L25&lt;&gt;N16,L25&lt;&gt;N15,L25&lt;&gt;N14,L25&lt;&gt;N13,L25&lt;&gt;N12,L25&lt;&gt;N11,L25&lt;&gt;N10,L25&lt;&gt;N9,L25&lt;&gt;N8),L25,IF(AND(M26&lt;&gt;0,L26&lt;&gt;N17,L26&lt;&gt;N16,L26&lt;&gt;N15,L26&lt;&gt;N14,L26&lt;&gt;N13,L26&lt;&gt;N12,L26&lt;&gt;N11,L26&lt;&gt;N10,L26&lt;&gt;N9,L26&lt;&gt;N8),L26,IF(AND(M27&lt;&gt;0,L27&lt;&gt;N17,L27&lt;&gt;N16,L27&lt;&gt;N15,L27&lt;&gt;N14,L27&lt;&gt;N13,L27&lt;&gt;N12,L27&lt;&gt;N11,L27&lt;&gt;N10,L27&lt;&gt;N9,L27&lt;&gt;N8),L27,IF(AND(M28&lt;&gt;0,L28&lt;&gt;N17,L28&lt;&gt;N16,L28&lt;&gt;N15,L28&lt;&gt;N14,L28&lt;&gt;N13,L28&lt;&gt;N12,L28&lt;&gt;N11,L28&lt;&gt;N10,L28&lt;&gt;N9,L28&lt;&gt;N8),L28,IF(AND(M29&lt;&gt;0,L29&lt;&gt;N17,L29&lt;&gt;N16,L29&lt;&gt;N15,L29&lt;&gt;N14,L29&lt;&gt;N13,L29&lt;&gt;N12,L29&lt;&gt;N11,L29&lt;&gt;N10,L29&lt;&gt;N9,L29&lt;&gt;N8),L29,IF(AND(M30&lt;&gt;0,L30&lt;&gt;N17,L30&lt;&gt;N16,L30&lt;&gt;N15,L30&lt;&gt;N14,L30&lt;&gt;N13,L30&lt;&gt;N12,L30&lt;&gt;N11,L30&lt;&gt;N10,L30&lt;&gt;N9,L30&lt;&gt;N8),L30,IF(AND(M31&lt;&gt;0,L31&lt;&gt;N17,L31&lt;&gt;N16,L31&lt;&gt;N15,L31&lt;&gt;N14,L31&lt;&gt;N13,L31&lt;&gt;N12,L31&lt;&gt;N11,L31&lt;&gt;N10,L31&lt;&gt;N9,L31&lt;&gt;N8),L31,IF(AND(M32&lt;&gt;0,L32&lt;&gt;N17,L32&lt;&gt;N16,L32&lt;&gt;N15,L32&lt;&gt;N14,L32&lt;&gt;N13,L32&lt;&gt;N12,L32&lt;&gt;N11,L32&lt;&gt;N10,L32&lt;&gt;N9,L32&lt;&gt;N8),L32,IF(AND(M33&lt;&gt;0,L33&lt;&gt;N17,L33&lt;&gt;N16,L33&lt;&gt;N15,L33&lt;&gt;N14,L33&lt;&gt;N13,L33&lt;&gt;N12,L33&lt;&gt;N11,L33&lt;&gt;N10,L33&lt;&gt;N9,L33&lt;&gt;N8),L33,IF(AND(M34&lt;&gt;0,L34&lt;&gt;N17,L34&lt;&gt;N16,L34&lt;&gt;N15,L34&lt;&gt;N14,L34&lt;&gt;N13,L34&lt;&gt;N12,L34&lt;&gt;N11,L34&lt;&gt;N10,L34&lt;&gt;N9,L34&lt;&gt;N8),L34,IF(AND(M35&lt;&gt;0,L35&lt;&gt;N17,L35&lt;&gt;N16,L35&lt;&gt;N15,L35&lt;&gt;N14,L35&lt;&gt;N13,L35&lt;&gt;N12,L35&lt;&gt;N11,L35&lt;&gt;N10,L35&lt;&gt;N9,L35&lt;&gt;N8),L35,IF(AND(M36&lt;&gt;0,L36&lt;&gt;N17,L36&lt;&gt;N16,L36&lt;&gt;N15,L36&lt;&gt;N14,L36&lt;&gt;N13,L36&lt;&gt;N12,L36&lt;&gt;N11,L36&lt;&gt;N10,L36&lt;&gt;N9,L36&lt;&gt;N8),L36,IF(AND(M37&lt;&gt;0,L37&lt;&gt;N17,L37&lt;&gt;N16,L37&lt;&gt;N15,L37&lt;&gt;N14,L37&lt;&gt;N13,L37&lt;&gt;N12,L37&lt;&gt;N11,L37&lt;&gt;N10,L37&lt;&gt;N9,L37&lt;&gt;N8),L37,IF(AND(M38&lt;&gt;0,L38&lt;&gt;N17,L38&lt;&gt;N16,L38&lt;&gt;N15,L38&lt;&gt;N14,L38&lt;&gt;N13,L38&lt;&gt;N12,L38&lt;&gt;N11,L38&lt;&gt;N10,L38&lt;&gt;N9,L38&lt;&gt;N8),L38,"")))))))))))))))))))))</f>
        <v/>
      </c>
      <c r="O18" s="1178" t="str">
        <f ca="1">IF(N18=L18,K18,IF(N18=L19,K19,IF(N18=L20,K20,IF(N18=L21,K21,IF(N18=L22,K22,IF(N18=L23,K23,IF(N18=L24,K24,IF(N18=L25,K25,IF(N18=L26,K26,IF(N18=L27,K27,IF(N18=L28,K28,IF(N18=L29,K29,IF(N18=L30,K30,IF(N18=L31,K31,IF(N18=L32,K32,IF(N18=L33,K33,IF(N18=L34,K34,IF(N18=L35,K35,IF(N18=L36,K36,IF(N18=L37,K37,IF(N18=L38,K38,"")))))))))))))))))))))</f>
        <v/>
      </c>
      <c r="P18" s="1178" t="str">
        <f ca="1">IF(N18=L18,M18,IF(N18=L19,M19,IF(N18=L20,M20,IF(N18=L21,M21,IF(N18=L22,M22,IF(N18=L23,M23,IF(N18=L24,M24,IF(N18=L25,M25,IF(N18=L26,M26,IF(N18=L27,M27,IF(N18=L28,M28,IF(N18=L29,M29,IF(N18=L30,M30,IF(N18=L31,M31,IF(N18=L32,M32,IF(N18=L33,M33,IF(N18=L34,M34,IF(N18=L35,M35,IF(N18=L36,M36,IF(N18=L37,M37,IF(N18=L38,M38,"")))))))))))))))))))))</f>
        <v/>
      </c>
      <c r="Q18" s="1171" t="str">
        <f t="shared" ca="1" si="2"/>
        <v/>
      </c>
      <c r="R18" s="1188" t="s">
        <v>872</v>
      </c>
      <c r="S18" s="1172" t="s">
        <v>873</v>
      </c>
    </row>
    <row r="19" spans="1:19" s="1172" customFormat="1" ht="21.75" customHeight="1">
      <c r="A19" s="1738">
        <v>11</v>
      </c>
      <c r="B19" s="1739" t="str">
        <f t="shared" si="0"/>
        <v/>
      </c>
      <c r="C19" s="1740"/>
      <c r="D19" s="1740"/>
      <c r="E19" s="1849"/>
      <c r="F19" s="1741"/>
      <c r="G19" s="1742"/>
      <c r="H19" s="1743"/>
      <c r="I19" s="1744">
        <f t="shared" si="1"/>
        <v>0</v>
      </c>
      <c r="J19" s="1185"/>
      <c r="K19" s="1173" t="s">
        <v>874</v>
      </c>
      <c r="L19" s="1190" t="s">
        <v>875</v>
      </c>
      <c r="M19" s="1175">
        <f t="shared" ca="1" si="3"/>
        <v>0</v>
      </c>
      <c r="N19" s="1189" t="str">
        <f ca="1">IF(AND(M19&lt;&gt;0,L19&lt;&gt;N18,L19&lt;&gt;N17,L19&lt;&gt;N16,L19&lt;&gt;N15,L19&lt;&gt;N14,L19&lt;&gt;N13,L19&lt;&gt;N12,L19&lt;&gt;N11,L19&lt;&gt;N10,L19&lt;&gt;N9,L19&lt;&gt;N8),L19,IF(AND(M20&lt;&gt;0,L20&lt;&gt;N18,L20&lt;&gt;N17,L20&lt;&gt;N16,L20&lt;&gt;N15,L20&lt;&gt;N14,L20&lt;&gt;N13,L20&lt;&gt;N12,L20&lt;&gt;N11,L20&lt;&gt;N10,L20&lt;&gt;N9,L20&lt;&gt;N8),L20,IF(AND(M21&lt;&gt;0,L21&lt;&gt;N18,L21&lt;&gt;N17,L21&lt;&gt;N16,L21&lt;&gt;N15,L21&lt;&gt;N14,L21&lt;&gt;N13,L21&lt;&gt;N12,L21&lt;&gt;N11,L21&lt;&gt;N10,L21&lt;&gt;N9,L21&lt;&gt;N8),L21,IF(AND(M22&lt;&gt;0,L22&lt;&gt;N18,L22&lt;&gt;N17,L22&lt;&gt;N16,L22&lt;&gt;N15,L22&lt;&gt;N14,L22&lt;&gt;N13,L22&lt;&gt;N12,L22&lt;&gt;N11,L22&lt;&gt;N10,L22&lt;&gt;N9,L22&lt;&gt;N8),L22,IF(AND(M23&lt;&gt;0,L23&lt;&gt;N18,L23&lt;&gt;N17,L23&lt;&gt;N16,L23&lt;&gt;N15,L23&lt;&gt;N14,L23&lt;&gt;N13,L23&lt;&gt;N12,L23&lt;&gt;N11,L23&lt;&gt;N10,L23&lt;&gt;N9,L23&lt;&gt;N8),L23,IF(AND(M24&lt;&gt;0,L24&lt;&gt;N18,L24&lt;&gt;N17,L24&lt;&gt;N16,L24&lt;&gt;N15,L24&lt;&gt;N14,L24&lt;&gt;N13,L24&lt;&gt;N12,L24&lt;&gt;N11,L24&lt;&gt;N10,L24&lt;&gt;N9,L24&lt;&gt;N8),L24,IF(AND(M25&lt;&gt;0,L25&lt;&gt;N18,L25&lt;&gt;N17,L25&lt;&gt;N16,L25&lt;&gt;N15,L25&lt;&gt;N14,L25&lt;&gt;N13,L25&lt;&gt;N12,L25&lt;&gt;N11,L25&lt;&gt;N10,L25&lt;&gt;N9,L25&lt;&gt;N8),L25,IF(AND(M26&lt;&gt;0,L26&lt;&gt;N18,L26&lt;&gt;N17,L26&lt;&gt;N16,L26&lt;&gt;N15,L26&lt;&gt;N14,L26&lt;&gt;N13,L26&lt;&gt;N12,L26&lt;&gt;N11,L26&lt;&gt;N10,L26&lt;&gt;N9,L26&lt;&gt;N8),L26,IF(AND(M27&lt;&gt;0,L27&lt;&gt;N18,L27&lt;&gt;N17,L27&lt;&gt;N16,L27&lt;&gt;N15,L27&lt;&gt;N14,L27&lt;&gt;N13,L27&lt;&gt;N12,L27&lt;&gt;N11,L27&lt;&gt;N10,L27&lt;&gt;N9,L27&lt;&gt;N8),L27,IF(AND(M28&lt;&gt;0,L28&lt;&gt;N18,L28&lt;&gt;N17,L28&lt;&gt;N16,L28&lt;&gt;N15,L28&lt;&gt;N14,L28&lt;&gt;N13,L28&lt;&gt;N12,L28&lt;&gt;N11,L28&lt;&gt;N10,L28&lt;&gt;N9,L28&lt;&gt;N8),L28,IF(AND(M29&lt;&gt;0,L29&lt;&gt;N18,L29&lt;&gt;N17,L29&lt;&gt;N16,L29&lt;&gt;N15,L29&lt;&gt;N14,L29&lt;&gt;N13,L29&lt;&gt;N12,L29&lt;&gt;N11,L29&lt;&gt;N10,L29&lt;&gt;N9,L29&lt;&gt;N8),L29,IF(AND(M30&lt;&gt;0,L30&lt;&gt;N18,L30&lt;&gt;N17,L30&lt;&gt;N16,L30&lt;&gt;N15,L30&lt;&gt;N14,L30&lt;&gt;N13,L30&lt;&gt;N12,L30&lt;&gt;N11,L30&lt;&gt;N10,L30&lt;&gt;N9,L30&lt;&gt;N8),L30,IF(AND(M31&lt;&gt;0,L31&lt;&gt;N18,L31&lt;&gt;N17,L31&lt;&gt;N16,L31&lt;&gt;N15,L31&lt;&gt;N14,L31&lt;&gt;N13,L31&lt;&gt;N12,L31&lt;&gt;N11,L31&lt;&gt;N10,L31&lt;&gt;N9,L31&lt;&gt;N8),L31,IF(AND(M32&lt;&gt;0,L32&lt;&gt;N18,L32&lt;&gt;N17,L32&lt;&gt;N16,L32&lt;&gt;N15,L32&lt;&gt;N14,L32&lt;&gt;N13,L32&lt;&gt;N12,L32&lt;&gt;N11,L32&lt;&gt;N10,L32&lt;&gt;N9,L32&lt;&gt;N8),L32,IF(AND(M33&lt;&gt;0,L33&lt;&gt;N18,L33&lt;&gt;N17,L33&lt;&gt;N16,L33&lt;&gt;N15,L33&lt;&gt;N14,L33&lt;&gt;N13,L33&lt;&gt;N12,L33&lt;&gt;N11,L33&lt;&gt;N10,L33&lt;&gt;N9,L33&lt;&gt;N8),L33,IF(AND(M34&lt;&gt;0,L34&lt;&gt;N18,L34&lt;&gt;N17,L34&lt;&gt;N16,L34&lt;&gt;N15,L34&lt;&gt;N14,L34&lt;&gt;N13,L34&lt;&gt;N12,L34&lt;&gt;N11,L34&lt;&gt;N10,L34&lt;&gt;N9,L34&lt;&gt;N8),L34,IF(AND(M35&lt;&gt;0,L35&lt;&gt;N18,L35&lt;&gt;N17,L35&lt;&gt;N16,L35&lt;&gt;N15,L35&lt;&gt;N14,L35&lt;&gt;N13,L35&lt;&gt;N12,L35&lt;&gt;N11,L35&lt;&gt;N10,L35&lt;&gt;N9,L35&lt;&gt;N8),L35,IF(AND(M36&lt;&gt;0,L36&lt;&gt;N18,L36&lt;&gt;N17,L36&lt;&gt;N16,L36&lt;&gt;N15,L36&lt;&gt;N14,L36&lt;&gt;N13,L36&lt;&gt;N12,L36&lt;&gt;N11,L36&lt;&gt;N10,L36&lt;&gt;N9,L36&lt;&gt;N8),L36,IF(AND(M37&lt;&gt;0,L37&lt;&gt;N18,L37&lt;&gt;N17,L37&lt;&gt;N16,L37&lt;&gt;N15,L37&lt;&gt;N14,L37&lt;&gt;N13,L37&lt;&gt;N12,L37&lt;&gt;N11,L37&lt;&gt;N10,L37&lt;&gt;N9,L37&lt;&gt;N8),L37,IF(AND(M38&lt;&gt;0,L38&lt;&gt;N18,L38&lt;&gt;N17,L38&lt;&gt;N16,L38&lt;&gt;N15,L38&lt;&gt;N14,L38&lt;&gt;N13,L38&lt;&gt;N12,L38&lt;&gt;N11,L38&lt;&gt;N10,L38&lt;&gt;N9,L38&lt;&gt;N8),L38,""))))))))))))))))))))</f>
        <v/>
      </c>
      <c r="O19" s="1178" t="str">
        <f ca="1">IF(N19=L19,K19,IF(N19=L20,K20,IF(N19=L21,K21,IF(N19=L22,K22,IF(N19=L23,K23,IF(N19=L24,K24,IF(N19=L25,K25,IF(N19=L26,K26,IF(N19=L27,K27,IF(N19=L28,K28,IF(N19=L29,K29,IF(N19=L30,K30,IF(N19=L31,K31,IF(N19=L32,K32,IF(N19=L33,K33,IF(N19=L34,K34,IF(N19=L35,K35,IF(N19=L36,K36,IF(N19=L37,K37,IF(N19=L38,K38,""))))))))))))))))))))</f>
        <v/>
      </c>
      <c r="P19" s="1178" t="str">
        <f ca="1">IF(N19=L19,M19,IF(N19=L20,M20,IF(N19=L21,M21,IF(N19=L22,M22,IF(N19=L23,M23,IF(N19=L24,M24,IF(N19=L25,M25,IF(N19=L26,M26,IF(N19=L27,M27,IF(N19=L28,M28,IF(N19=L29,M29,IF(N19=L30,M30,IF(N19=L31,M31,IF(N19=L32,M32,IF(N19=L33,M33,IF(N19=L34,M34,IF(N19=L35,M35,IF(N19=L36,M36,IF(N19=L37,M37,IF(N19=L38,M38,""))))))))))))))))))))</f>
        <v/>
      </c>
      <c r="Q19" s="1171" t="str">
        <f t="shared" ca="1" si="2"/>
        <v/>
      </c>
      <c r="R19" s="1190" t="s">
        <v>875</v>
      </c>
      <c r="S19" s="1172" t="s">
        <v>876</v>
      </c>
    </row>
    <row r="20" spans="1:19" s="1172" customFormat="1" ht="21.75" customHeight="1">
      <c r="A20" s="1738">
        <v>12</v>
      </c>
      <c r="B20" s="1739" t="str">
        <f t="shared" si="0"/>
        <v/>
      </c>
      <c r="C20" s="1740"/>
      <c r="D20" s="1740"/>
      <c r="E20" s="1849"/>
      <c r="F20" s="1741"/>
      <c r="G20" s="1742"/>
      <c r="H20" s="1743"/>
      <c r="I20" s="1744">
        <f t="shared" si="1"/>
        <v>0</v>
      </c>
      <c r="J20" s="1185"/>
      <c r="K20" s="1173" t="s">
        <v>877</v>
      </c>
      <c r="L20" s="1190" t="s">
        <v>878</v>
      </c>
      <c r="M20" s="1175">
        <f t="shared" ca="1" si="3"/>
        <v>0</v>
      </c>
      <c r="N20" s="1189" t="str">
        <f ca="1">IF(AND(M20&lt;&gt;0,L20&lt;&gt;N19,L20&lt;&gt;N18,L20&lt;&gt;N17,L20&lt;&gt;N16,L20&lt;&gt;N15,L20&lt;&gt;N14,L20&lt;&gt;N13,L20&lt;&gt;N12,L20&lt;&gt;N11,L20&lt;&gt;N10,L20&lt;&gt;N9,L20&lt;&gt;N8),L20,IF(AND(M21&lt;&gt;0,L21&lt;&gt;N19,L21&lt;&gt;N18,L21&lt;&gt;N17,L21&lt;&gt;N16,L21&lt;&gt;N15,L21&lt;&gt;N14,L21&lt;&gt;N13,L21&lt;&gt;N12,L21&lt;&gt;N11,L21&lt;&gt;N10,L21&lt;&gt;N9,L21&lt;&gt;N8),L21,IF(AND(M22&lt;&gt;0,L22&lt;&gt;N19,L22&lt;&gt;N18,L22&lt;&gt;N17,L22&lt;&gt;N16,L22&lt;&gt;N15,L22&lt;&gt;N14,L22&lt;&gt;N13,L22&lt;&gt;N12,L22&lt;&gt;N11,L22&lt;&gt;N10,L22&lt;&gt;N9,L22&lt;&gt;N8),L22,IF(AND(M23&lt;&gt;0,L23&lt;&gt;N19,L23&lt;&gt;N18,L23&lt;&gt;N17,L23&lt;&gt;N16,L23&lt;&gt;N15,L23&lt;&gt;N14,L23&lt;&gt;N13,L23&lt;&gt;N12,L23&lt;&gt;N11,L23&lt;&gt;N10,L23&lt;&gt;N9,L23&lt;&gt;N8),L23,IF(AND(M24&lt;&gt;0,L24&lt;&gt;N19,L24&lt;&gt;N18,L24&lt;&gt;N17,L24&lt;&gt;N16,L24&lt;&gt;N15,L24&lt;&gt;N14,L24&lt;&gt;N13,L24&lt;&gt;N12,L24&lt;&gt;N11,L24&lt;&gt;N10,L24&lt;&gt;N9,L24&lt;&gt;N8),L24,IF(AND(M25&lt;&gt;0,L25&lt;&gt;N19,L25&lt;&gt;N18,L25&lt;&gt;N17,L25&lt;&gt;N16,L25&lt;&gt;N15,L25&lt;&gt;N14,L25&lt;&gt;N13,L25&lt;&gt;N12,L25&lt;&gt;N11,L25&lt;&gt;N10,L25&lt;&gt;N9,L25&lt;&gt;N8),L25,IF(AND(M26&lt;&gt;0,L26&lt;&gt;N19,L26&lt;&gt;N18,L26&lt;&gt;N17,L26&lt;&gt;N16,L26&lt;&gt;N15,L26&lt;&gt;N14,L26&lt;&gt;N13,L26&lt;&gt;N12,L26&lt;&gt;N11,L26&lt;&gt;N10,L26&lt;&gt;N9,L26&lt;&gt;N8),L26,IF(AND(M27&lt;&gt;0,L27&lt;&gt;N19,L27&lt;&gt;N18,L27&lt;&gt;N17,L27&lt;&gt;N16,L27&lt;&gt;N15,L27&lt;&gt;N14,L27&lt;&gt;N13,L27&lt;&gt;N12,L27&lt;&gt;N11,L27&lt;&gt;N10,L27&lt;&gt;N9,L27&lt;&gt;N8),L27,IF(AND(M28&lt;&gt;0,L28&lt;&gt;N19,L28&lt;&gt;N18,L28&lt;&gt;N17,L28&lt;&gt;N16,L28&lt;&gt;N15,L28&lt;&gt;N14,L28&lt;&gt;N13,L28&lt;&gt;N12,L28&lt;&gt;N11,L28&lt;&gt;N10,L28&lt;&gt;N9,L28&lt;&gt;N8),L28,IF(AND(M29&lt;&gt;0,L29&lt;&gt;N19,L29&lt;&gt;N18,L29&lt;&gt;N17,L29&lt;&gt;N16,L29&lt;&gt;N15,L29&lt;&gt;N14,L29&lt;&gt;N13,L29&lt;&gt;N12,L29&lt;&gt;N11,L29&lt;&gt;N10,L29&lt;&gt;N9,L29&lt;&gt;N8),L29,IF(AND(M30&lt;&gt;0,L30&lt;&gt;N19,L30&lt;&gt;N18,L30&lt;&gt;N17,L30&lt;&gt;N16,L30&lt;&gt;N15,L30&lt;&gt;N14,L30&lt;&gt;N13,L30&lt;&gt;N12,L30&lt;&gt;N11,L30&lt;&gt;N10,L30&lt;&gt;N9,L30&lt;&gt;N8),L30,IF(AND(M31&lt;&gt;0,L31&lt;&gt;N19,L31&lt;&gt;N18,L31&lt;&gt;N17,L31&lt;&gt;N16,L31&lt;&gt;N15,L31&lt;&gt;N14,L31&lt;&gt;N13,L31&lt;&gt;N12,L31&lt;&gt;N11,L31&lt;&gt;N10,L31&lt;&gt;N9,L31&lt;&gt;N8),L31,IF(AND(M32&lt;&gt;0,L32&lt;&gt;N19,L32&lt;&gt;N18,L32&lt;&gt;N17,L32&lt;&gt;N16,L32&lt;&gt;N15,L32&lt;&gt;N14,L32&lt;&gt;N13,L32&lt;&gt;N12,L32&lt;&gt;N11,L32&lt;&gt;N10,L32&lt;&gt;N9,L32&lt;&gt;N8),L32,IF(AND(M33&lt;&gt;0,L33&lt;&gt;N19,L33&lt;&gt;N18,L33&lt;&gt;N17,L33&lt;&gt;N16,L33&lt;&gt;N15,L33&lt;&gt;N14,L33&lt;&gt;N13,L33&lt;&gt;N12,L33&lt;&gt;N11,L33&lt;&gt;N10,L33&lt;&gt;N9,L33&lt;&gt;N8),L33,IF(AND(M34&lt;&gt;0,L34&lt;&gt;N19,L34&lt;&gt;N18,L34&lt;&gt;N17,L34&lt;&gt;N16,L34&lt;&gt;N15,L34&lt;&gt;N14,L34&lt;&gt;N13,L34&lt;&gt;N12,L34&lt;&gt;N11,L34&lt;&gt;N10,L34&lt;&gt;N9,L34&lt;&gt;N8),L34,IF(AND(M35&lt;&gt;0,L35&lt;&gt;N19,L35&lt;&gt;N18,L35&lt;&gt;N17,L35&lt;&gt;N16,L35&lt;&gt;N15,L35&lt;&gt;N14,L35&lt;&gt;N13,L35&lt;&gt;N12,L35&lt;&gt;N11,L35&lt;&gt;N10,L35&lt;&gt;N9,L35&lt;&gt;N8),L35,IF(AND(M36&lt;&gt;0,L36&lt;&gt;N19,L36&lt;&gt;N18,L36&lt;&gt;N17,L36&lt;&gt;N16,L36&lt;&gt;N15,L36&lt;&gt;N14,L36&lt;&gt;N13,L36&lt;&gt;N12,L36&lt;&gt;N11,L36&lt;&gt;N10,L36&lt;&gt;N9,L36&lt;&gt;N8),L36,IF(AND(M37&lt;&gt;0,L37&lt;&gt;N19,L37&lt;&gt;N18,L37&lt;&gt;N17,L37&lt;&gt;N16,L37&lt;&gt;N15,L37&lt;&gt;N14,L37&lt;&gt;N13,L37&lt;&gt;N12,L37&lt;&gt;N11,L37&lt;&gt;N10,L37&lt;&gt;N9,L37&lt;&gt;N8),L37,IF(AND(M38&lt;&gt;0,L38&lt;&gt;N19,L38&lt;&gt;N18,L38&lt;&gt;N17,L38&lt;&gt;N16,L38&lt;&gt;N15,L38&lt;&gt;N14,L38&lt;&gt;N13,L38&lt;&gt;N12,L38&lt;&gt;N11,L38&lt;&gt;N10,L38&lt;&gt;N9,L38&lt;&gt;N8),L38,"")))))))))))))))))))</f>
        <v/>
      </c>
      <c r="O20" s="1178" t="str">
        <f ca="1">IF(N20=L20,K20,IF(N20=L21,K21,IF(N20=L22,K22,IF(N20=L23,K23,IF(N20=L24,K24,IF(N20=L25,K25,IF(N20=L26,K26,IF(N20=L27,K27,IF(N20=L28,K28,IF(N20=L29,K29,IF(N20=L30,K30,IF(N20=L31,K31,IF(N20=L32,K32,IF(N20=L33,K33,IF(N20=L34,K34,IF(N20=L35,K35,IF(N20=L36,K36,IF(N20=L37,K37,IF(N20=L38,K38,"")))))))))))))))))))</f>
        <v/>
      </c>
      <c r="P20" s="1178" t="str">
        <f ca="1">IF(N20=L20,M20,IF(N20=L21,M21,IF(N20=L22,M22,IF(N20=L23,M23,IF(N20=L24,M24,IF(N20=L25,M25,IF(N20=L26,M26,IF(N20=L27,M27,IF(N20=L28,M28,IF(N20=L29,M29,IF(N20=L30,M30,IF(N20=L31,M31,IF(N20=L32,M32,IF(N20=L33,M33,IF(N20=L34,M34,IF(N20=L35,M35,IF(N20=L36,M36,IF(N20=L37,M37,IF(N20=L38,M38,"")))))))))))))))))))</f>
        <v/>
      </c>
      <c r="Q20" s="1171" t="str">
        <f t="shared" ca="1" si="2"/>
        <v/>
      </c>
      <c r="R20" s="1190" t="s">
        <v>878</v>
      </c>
      <c r="S20" s="1172" t="s">
        <v>879</v>
      </c>
    </row>
    <row r="21" spans="1:19" s="1172" customFormat="1" ht="21.75" customHeight="1">
      <c r="A21" s="1738">
        <v>13</v>
      </c>
      <c r="B21" s="1739" t="str">
        <f t="shared" si="0"/>
        <v/>
      </c>
      <c r="C21" s="1740"/>
      <c r="D21" s="1740"/>
      <c r="E21" s="1849"/>
      <c r="F21" s="1741"/>
      <c r="G21" s="1742"/>
      <c r="H21" s="1743"/>
      <c r="I21" s="1744">
        <f t="shared" si="1"/>
        <v>0</v>
      </c>
      <c r="J21" s="1185"/>
      <c r="K21" s="1173" t="s">
        <v>880</v>
      </c>
      <c r="L21" s="1190" t="s">
        <v>881</v>
      </c>
      <c r="M21" s="1175">
        <f t="shared" ca="1" si="3"/>
        <v>0</v>
      </c>
      <c r="N21" s="1189" t="str">
        <f ca="1">IF(AND(M21&lt;&gt;0,L21&lt;&gt;N20,L21&lt;&gt;N19,L21&lt;&gt;N18,L21&lt;&gt;N17,L21&lt;&gt;N16,L21&lt;&gt;N15,L21&lt;&gt;N14,L21&lt;&gt;N13,L21&lt;&gt;N12,L21&lt;&gt;N11,L21&lt;&gt;N10,L21&lt;&gt;N9,L21&lt;&gt;N8),L21,IF(AND(M22&lt;&gt;0,L22&lt;&gt;N20,L22&lt;&gt;N19,L22&lt;&gt;N18,L22&lt;&gt;N17,L22&lt;&gt;N16,L22&lt;&gt;N15,L22&lt;&gt;N14,L22&lt;&gt;N13,L22&lt;&gt;N12,L22&lt;&gt;N11,L22&lt;&gt;N10,L22&lt;&gt;N9,L22&lt;&gt;N8),L22,IF(AND(M23&lt;&gt;0,L23&lt;&gt;N20,L23&lt;&gt;N19,L23&lt;&gt;N18,L23&lt;&gt;N17,L23&lt;&gt;N16,L23&lt;&gt;N15,L23&lt;&gt;N14,L23&lt;&gt;N13,L23&lt;&gt;N12,L23&lt;&gt;N11,L23&lt;&gt;N10,L23&lt;&gt;N9,L23&lt;&gt;N8),L23,IF(AND(M24&lt;&gt;0,L24&lt;&gt;N20,L24&lt;&gt;N19,L24&lt;&gt;N18,L24&lt;&gt;N17,L24&lt;&gt;N16,L24&lt;&gt;N15,L24&lt;&gt;N14,L24&lt;&gt;N13,L24&lt;&gt;N12,L24&lt;&gt;N11,L24&lt;&gt;N10,L24&lt;&gt;N9,L24&lt;&gt;N8),L24,IF(AND(M25&lt;&gt;0,L25&lt;&gt;N20,L25&lt;&gt;N19,L25&lt;&gt;N18,L25&lt;&gt;N17,L25&lt;&gt;N16,L25&lt;&gt;N15,L25&lt;&gt;N14,L25&lt;&gt;N13,L25&lt;&gt;N12,L25&lt;&gt;N11,L25&lt;&gt;N10,L25&lt;&gt;N9,L25&lt;&gt;N8),L25,IF(AND(M26&lt;&gt;0,L26&lt;&gt;N20,L26&lt;&gt;N19,L26&lt;&gt;N18,L26&lt;&gt;N17,L26&lt;&gt;N16,L26&lt;&gt;N15,L26&lt;&gt;N14,L26&lt;&gt;N13,L26&lt;&gt;N12,L26&lt;&gt;N11,L26&lt;&gt;N10,L26&lt;&gt;N9,L26&lt;&gt;N8),L26,IF(AND(M27&lt;&gt;0,L27&lt;&gt;N20,L27&lt;&gt;N19,L27&lt;&gt;N18,L27&lt;&gt;N17,L27&lt;&gt;N16,L27&lt;&gt;N15,L27&lt;&gt;N14,L27&lt;&gt;N13,L27&lt;&gt;N12,L27&lt;&gt;N11,L27&lt;&gt;N10,L27&lt;&gt;N9,L27&lt;&gt;N8),L27,IF(AND(M28&lt;&gt;0,L28&lt;&gt;N20,L28&lt;&gt;N19,L28&lt;&gt;N18,L28&lt;&gt;N17,L28&lt;&gt;N16,L28&lt;&gt;N15,L28&lt;&gt;N14,L28&lt;&gt;N13,L28&lt;&gt;N12,L28&lt;&gt;N11,L28&lt;&gt;N10,L28&lt;&gt;N9,L28&lt;&gt;N8),L28,IF(AND(M29&lt;&gt;0,L29&lt;&gt;N20,L29&lt;&gt;N19,L29&lt;&gt;N18,L29&lt;&gt;N17,L29&lt;&gt;N16,L29&lt;&gt;N15,L29&lt;&gt;N14,L29&lt;&gt;N13,L29&lt;&gt;N12,L29&lt;&gt;N11,L29&lt;&gt;N10,L29&lt;&gt;N9,L29&lt;&gt;N8),L29,IF(AND(M30&lt;&gt;0,L30&lt;&gt;N20,L30&lt;&gt;N19,L30&lt;&gt;N18,L30&lt;&gt;N17,L30&lt;&gt;N16,L30&lt;&gt;N15,L30&lt;&gt;N14,L30&lt;&gt;N13,L30&lt;&gt;N12,L30&lt;&gt;N11,L30&lt;&gt;N10,L30&lt;&gt;N9,L30&lt;&gt;N8),L30,IF(AND(M31&lt;&gt;0,L31&lt;&gt;N20,L31&lt;&gt;N19,L31&lt;&gt;N18,L31&lt;&gt;N17,L31&lt;&gt;N16,L31&lt;&gt;N15,L31&lt;&gt;N14,L31&lt;&gt;N13,L31&lt;&gt;N12,L31&lt;&gt;N11,L31&lt;&gt;N10,L31&lt;&gt;N9,L31&lt;&gt;N8),L31,IF(AND(M32&lt;&gt;0,L32&lt;&gt;N20,L32&lt;&gt;N19,L32&lt;&gt;N18,L32&lt;&gt;N17,L32&lt;&gt;N16,L32&lt;&gt;N15,L32&lt;&gt;N14,L32&lt;&gt;N13,L32&lt;&gt;N12,L32&lt;&gt;N11,L32&lt;&gt;N10,L32&lt;&gt;N9,L32&lt;&gt;N8),L32,IF(AND(M33&lt;&gt;0,L33&lt;&gt;N20,L33&lt;&gt;N19,L33&lt;&gt;N18,L33&lt;&gt;N17,L33&lt;&gt;N16,L33&lt;&gt;N15,L33&lt;&gt;N14,L33&lt;&gt;N13,L33&lt;&gt;N12,L33&lt;&gt;N11,L33&lt;&gt;N10,L33&lt;&gt;N9,L33&lt;&gt;N8),L33,IF(AND(M34&lt;&gt;0,L34&lt;&gt;N20,L34&lt;&gt;N19,L34&lt;&gt;N18,L34&lt;&gt;N17,L34&lt;&gt;N16,L34&lt;&gt;N15,L34&lt;&gt;N14,L34&lt;&gt;N13,L34&lt;&gt;N12,L34&lt;&gt;N11,L34&lt;&gt;N10,L34&lt;&gt;N9,L34&lt;&gt;N8),L34,IF(AND(M35&lt;&gt;0,L35&lt;&gt;N20,L35&lt;&gt;N19,L35&lt;&gt;N18,L35&lt;&gt;N17,L35&lt;&gt;N16,L35&lt;&gt;N15,L35&lt;&gt;N14,L35&lt;&gt;N13,L35&lt;&gt;N12,L35&lt;&gt;N11,L35&lt;&gt;N10,L35&lt;&gt;N9,L35&lt;&gt;N8),L35,IF(AND(M36&lt;&gt;0,L36&lt;&gt;N20,L36&lt;&gt;N19,L36&lt;&gt;N18,L36&lt;&gt;N17,L36&lt;&gt;N16,L36&lt;&gt;N15,L36&lt;&gt;N14,L36&lt;&gt;N13,L36&lt;&gt;N12,L36&lt;&gt;N11,L36&lt;&gt;N10,L36&lt;&gt;N9,L36&lt;&gt;N8),L36,IF(AND(M37&lt;&gt;0,L37&lt;&gt;N20,L37&lt;&gt;N19,L37&lt;&gt;N18,L37&lt;&gt;N17,L37&lt;&gt;N16,L37&lt;&gt;N15,L37&lt;&gt;N14,L37&lt;&gt;N13,L37&lt;&gt;N12,L37&lt;&gt;N11,L37&lt;&gt;N10,L37&lt;&gt;N9,L37&lt;&gt;N8),L37,IF(AND(M38&lt;&gt;0,L38&lt;&gt;N20,L38&lt;&gt;N19,L38&lt;&gt;N18,L38&lt;&gt;N17,L38&lt;&gt;N16,L38&lt;&gt;N15,L38&lt;&gt;N14,L38&lt;&gt;N13,L38&lt;&gt;N12,L38&lt;&gt;N11,L38&lt;&gt;N10,L38&lt;&gt;N9,L38&lt;&gt;N8),L38,""))))))))))))))))))</f>
        <v/>
      </c>
      <c r="O21" s="1178" t="str">
        <f ca="1">IF(N21=L21,K21,IF(N21=L22,K22,IF(N21=L23,K23,IF(N21=L24,K24,IF(N21=L25,K25,IF(N21=L26,K26,IF(N21=L27,K27,IF(N21=L28,K28,IF(N21=L29,K29,IF(N21=L30,K30,IF(N21=L31,K31,IF(N21=L32,K32,IF(N21=L33,K33,IF(N21=L34,K34,IF(N21=L35,K35,IF(N21=L36,K36,IF(N21=L37,K37,IF(N21=L38,K38,""))))))))))))))))))</f>
        <v/>
      </c>
      <c r="P21" s="1178" t="str">
        <f ca="1">IF(N21=L21,M21,IF(N21=L22,M22,IF(N21=L23,M23,IF(N21=L24,M24,IF(N21=L25,M25,IF(N21=L26,M26,IF(N21=L27,M27,IF(N21=L28,M28,IF(N21=L29,M29,IF(N21=L30,M30,IF(N21=L31,M31,IF(N21=L32,M32,IF(N21=L33,M33,IF(N21=L34,M34,IF(N21=L35,M35,IF(N21=L36,M36,IF(N21=L37,M37,IF(N21=L38,M38,""))))))))))))))))))</f>
        <v/>
      </c>
      <c r="Q21" s="1171" t="str">
        <f t="shared" ca="1" si="2"/>
        <v/>
      </c>
      <c r="R21" s="1190" t="s">
        <v>881</v>
      </c>
      <c r="S21" s="1172" t="s">
        <v>882</v>
      </c>
    </row>
    <row r="22" spans="1:19" s="1172" customFormat="1" ht="21.75" customHeight="1">
      <c r="A22" s="1738">
        <v>14</v>
      </c>
      <c r="B22" s="1739" t="str">
        <f t="shared" si="0"/>
        <v/>
      </c>
      <c r="C22" s="1740"/>
      <c r="D22" s="1740"/>
      <c r="E22" s="1849"/>
      <c r="F22" s="1741"/>
      <c r="G22" s="1742"/>
      <c r="H22" s="1743"/>
      <c r="I22" s="1744">
        <f t="shared" si="1"/>
        <v>0</v>
      </c>
      <c r="J22" s="1185"/>
      <c r="K22" s="1173" t="s">
        <v>883</v>
      </c>
      <c r="L22" s="1190" t="s">
        <v>884</v>
      </c>
      <c r="M22" s="1175">
        <f t="shared" ca="1" si="3"/>
        <v>0</v>
      </c>
      <c r="N22" s="1189" t="str">
        <f ca="1">IF(AND(M22&lt;&gt;0,L22&lt;&gt;N21,L22&lt;&gt;N20,L22&lt;&gt;N19,L22&lt;&gt;N18,L22&lt;&gt;N17,L22&lt;&gt;N16,L22&lt;&gt;N15,L22&lt;&gt;N14,L22&lt;&gt;N13,L22&lt;&gt;N12,L22&lt;&gt;N11,L22&lt;&gt;N10,L22&lt;&gt;N9,L22&lt;&gt;N8),L22,IF(AND(M23&lt;&gt;0,L23&lt;&gt;N21,L23&lt;&gt;N20,L23&lt;&gt;N19,L23&lt;&gt;N18,L23&lt;&gt;N17,L23&lt;&gt;N16,L23&lt;&gt;N15,L23&lt;&gt;N14,L23&lt;&gt;N13,L23&lt;&gt;N12,L23&lt;&gt;N11,L23&lt;&gt;N10,L23&lt;&gt;N9,L23&lt;&gt;N8),L23,IF(AND(M24&lt;&gt;0,L24&lt;&gt;N21,L24&lt;&gt;N20,L24&lt;&gt;N19,L24&lt;&gt;N18,L24&lt;&gt;N17,L24&lt;&gt;N16,L24&lt;&gt;N15,L24&lt;&gt;N14,L24&lt;&gt;N13,L24&lt;&gt;N12,L24&lt;&gt;N11,L24&lt;&gt;N10,L24&lt;&gt;N9,L24&lt;&gt;N8),L24,IF(AND(M25&lt;&gt;0,L25&lt;&gt;N21,L25&lt;&gt;N20,L25&lt;&gt;N19,L25&lt;&gt;N18,L25&lt;&gt;N17,L25&lt;&gt;N16,L25&lt;&gt;N15,L25&lt;&gt;N14,L25&lt;&gt;N13,L25&lt;&gt;N12,L25&lt;&gt;N11,L25&lt;&gt;N10,L25&lt;&gt;N9,L25&lt;&gt;N8),L25,IF(AND(M26&lt;&gt;0,L26&lt;&gt;N21,L26&lt;&gt;N20,L26&lt;&gt;N19,L26&lt;&gt;N18,L26&lt;&gt;N17,L26&lt;&gt;N16,L26&lt;&gt;N15,L26&lt;&gt;N14,L26&lt;&gt;N13,L26&lt;&gt;N12,L26&lt;&gt;N11,L26&lt;&gt;N10,L26&lt;&gt;N9,L26&lt;&gt;N8),L26,IF(AND(M27&lt;&gt;0,L27&lt;&gt;N21,L27&lt;&gt;N20,L27&lt;&gt;N19,L27&lt;&gt;N18,L27&lt;&gt;N17,L27&lt;&gt;N16,L27&lt;&gt;N15,L27&lt;&gt;N14,L27&lt;&gt;N13,L27&lt;&gt;N12,L27&lt;&gt;N11,L27&lt;&gt;N10,L27&lt;&gt;N9,L27&lt;&gt;N8),L27,IF(AND(M28&lt;&gt;0,L28&lt;&gt;N21,L28&lt;&gt;N20,L28&lt;&gt;N19,L28&lt;&gt;N18,L28&lt;&gt;N17,L28&lt;&gt;N16,L28&lt;&gt;N15,L28&lt;&gt;N14,L28&lt;&gt;N13,L28&lt;&gt;N12,L28&lt;&gt;N11,L28&lt;&gt;N10,L28&lt;&gt;N9,L28&lt;&gt;N8),L28,IF(AND(M29&lt;&gt;0,L29&lt;&gt;N21,L29&lt;&gt;N20,L29&lt;&gt;N19,L29&lt;&gt;N18,L29&lt;&gt;N17,L29&lt;&gt;N16,L29&lt;&gt;N15,L29&lt;&gt;N14,L29&lt;&gt;N13,L29&lt;&gt;N12,L29&lt;&gt;N11,L29&lt;&gt;N10,L29&lt;&gt;N9,L29&lt;&gt;N8),L29,IF(AND(M30&lt;&gt;0,L30&lt;&gt;N21,L30&lt;&gt;N20,L30&lt;&gt;N19,L30&lt;&gt;N18,L30&lt;&gt;N17,L30&lt;&gt;N16,L30&lt;&gt;N15,L30&lt;&gt;N14,L30&lt;&gt;N13,L30&lt;&gt;N12,L30&lt;&gt;N11,L30&lt;&gt;N10,L30&lt;&gt;N9,L30&lt;&gt;N8),L30,IF(AND(M31&lt;&gt;0,L31&lt;&gt;N21,L31&lt;&gt;N20,L31&lt;&gt;N19,L31&lt;&gt;N18,L31&lt;&gt;N17,L31&lt;&gt;N16,L31&lt;&gt;N15,L31&lt;&gt;N14,L31&lt;&gt;N13,L31&lt;&gt;N12,L31&lt;&gt;N11,L31&lt;&gt;N10,L31&lt;&gt;N9,L31&lt;&gt;N8),L31,IF(AND(M32&lt;&gt;0,L32&lt;&gt;N21,L32&lt;&gt;N20,L32&lt;&gt;N19,L32&lt;&gt;N18,L32&lt;&gt;N17,L32&lt;&gt;N16,L32&lt;&gt;N15,L32&lt;&gt;N14,L32&lt;&gt;N13,L32&lt;&gt;N12,L32&lt;&gt;N11,L32&lt;&gt;N10,L32&lt;&gt;N9,L32&lt;&gt;N8),L32,IF(AND(M33&lt;&gt;0,L33&lt;&gt;N21,L33&lt;&gt;N20,L33&lt;&gt;N19,L33&lt;&gt;N18,L33&lt;&gt;N17,L33&lt;&gt;N16,L33&lt;&gt;N15,L33&lt;&gt;N14,L33&lt;&gt;N13,L33&lt;&gt;N12,L33&lt;&gt;N11,L33&lt;&gt;N10,L33&lt;&gt;N9,L33&lt;&gt;N8),L33,IF(AND(M34&lt;&gt;0,L34&lt;&gt;N21,L34&lt;&gt;N20,L34&lt;&gt;N19,L34&lt;&gt;N18,L34&lt;&gt;N17,L34&lt;&gt;N16,L34&lt;&gt;N15,L34&lt;&gt;N14,L34&lt;&gt;N13,L34&lt;&gt;N12,L34&lt;&gt;N11,L34&lt;&gt;N10,L34&lt;&gt;N9,L34&lt;&gt;N8),L34,IF(AND(M35&lt;&gt;0,L35&lt;&gt;N21,L35&lt;&gt;N20,L35&lt;&gt;N19,L35&lt;&gt;N18,L35&lt;&gt;N17,L35&lt;&gt;N16,L35&lt;&gt;N15,L35&lt;&gt;N14,L35&lt;&gt;N13,L35&lt;&gt;N12,L35&lt;&gt;N11,L35&lt;&gt;N10,L35&lt;&gt;N9,L35&lt;&gt;N8),L35,IF(AND(M36&lt;&gt;0,L36&lt;&gt;N21,L36&lt;&gt;N20,L36&lt;&gt;N19,L36&lt;&gt;N18,L36&lt;&gt;N17,L36&lt;&gt;N16,L36&lt;&gt;N15,L36&lt;&gt;N14,L36&lt;&gt;N13,L36&lt;&gt;N12,L36&lt;&gt;N11,L36&lt;&gt;N10,L36&lt;&gt;N9,L36&lt;&gt;N8),L36,IF(AND(M37&lt;&gt;0,L37&lt;&gt;N21,L37&lt;&gt;N20,L37&lt;&gt;N19,L37&lt;&gt;N18,L37&lt;&gt;N17,L37&lt;&gt;N16,L37&lt;&gt;N15,L37&lt;&gt;N14,L37&lt;&gt;N13,L37&lt;&gt;N12,L37&lt;&gt;N11,L37&lt;&gt;N10,L37&lt;&gt;N9,L37&lt;&gt;N8),L37,IF(AND(M38&lt;&gt;0,L38&lt;&gt;N21,L38&lt;&gt;N20,L38&lt;&gt;N19,L38&lt;&gt;N18,L38&lt;&gt;N17,L38&lt;&gt;N16,L38&lt;&gt;N15,L38&lt;&gt;N14,L38&lt;&gt;N13,L38&lt;&gt;N12,L38&lt;&gt;N11,L38&lt;&gt;N10,L38&lt;&gt;N9,L38&lt;&gt;N8),L38,"")))))))))))))))))</f>
        <v/>
      </c>
      <c r="O22" s="1178" t="str">
        <f ca="1">IF(N22=L22,K22,IF(N22=L23,K23,IF(N22=L24,K24,IF(N22=L25,K25,IF(N22=L26,K26,IF(N22=L27,K27,IF(N22=L28,K28,IF(N22=L29,K29,IF(N22=L30,K30,IF(N22=L31,K31,IF(N22=L32,K32,IF(N22=L33,K33,IF(N22=L34,K34,IF(N22=L35,K35,IF(N22=L36,K36,IF(N22=L37,K37,IF(N22=L38,K38,"")))))))))))))))))</f>
        <v/>
      </c>
      <c r="P22" s="1178" t="str">
        <f ca="1">IF(N22=L22,M22,IF(N22=L23,M23,IF(N22=L24,M24,IF(N22=L25,M25,IF(N22=L26,M26,IF(N22=L27,M27,IF(N22=L28,M28,IF(N22=L29,M29,IF(N22=L30,M30,IF(N22=L31,M31,IF(N22=L32,M32,IF(N22=L33,M33,IF(N22=L34,M34,IF(N22=L35,M35,IF(N22=L36,M36,IF(N22=L37,M37,IF(N22=L38,M38,"")))))))))))))))))</f>
        <v/>
      </c>
      <c r="Q22" s="1171" t="str">
        <f t="shared" ca="1" si="2"/>
        <v/>
      </c>
      <c r="R22" s="1190" t="s">
        <v>884</v>
      </c>
      <c r="S22" s="1172" t="s">
        <v>885</v>
      </c>
    </row>
    <row r="23" spans="1:19" s="1172" customFormat="1" ht="21.75" customHeight="1">
      <c r="A23" s="1738">
        <v>15</v>
      </c>
      <c r="B23" s="1739" t="str">
        <f t="shared" si="0"/>
        <v/>
      </c>
      <c r="C23" s="1740"/>
      <c r="D23" s="1740"/>
      <c r="E23" s="1849"/>
      <c r="F23" s="1741"/>
      <c r="G23" s="1742"/>
      <c r="H23" s="1743"/>
      <c r="I23" s="1744">
        <f t="shared" si="1"/>
        <v>0</v>
      </c>
      <c r="J23" s="1185"/>
      <c r="K23" s="1173" t="s">
        <v>886</v>
      </c>
      <c r="L23" s="1190" t="s">
        <v>887</v>
      </c>
      <c r="M23" s="1175">
        <f t="shared" ca="1" si="3"/>
        <v>0</v>
      </c>
      <c r="N23" s="1189" t="str">
        <f ca="1">IF(AND(M23&lt;&gt;0,L23&lt;&gt;N22,L23&lt;&gt;N21,L23&lt;&gt;N20,L23&lt;&gt;N19,L23&lt;&gt;N18,L23&lt;&gt;N17,L23&lt;&gt;N16,L23&lt;&gt;N15,L23&lt;&gt;N14,L23&lt;&gt;N13,L23&lt;&gt;N12,L23&lt;&gt;N11,L23&lt;&gt;N10,L23&lt;&gt;N9,L23&lt;&gt;N8),L23,IF(AND(M24&lt;&gt;0,L24&lt;&gt;N22,L24&lt;&gt;N21,L24&lt;&gt;N20,L24&lt;&gt;N19,L24&lt;&gt;N18,L24&lt;&gt;N17,L24&lt;&gt;N16,L24&lt;&gt;N15,L24&lt;&gt;N14,L24&lt;&gt;N13,L24&lt;&gt;N12,L24&lt;&gt;N11,L24&lt;&gt;N10,L24&lt;&gt;N9,L24&lt;&gt;N8),L24,IF(AND(M25&lt;&gt;0,L25&lt;&gt;N22,L25&lt;&gt;N21,L25&lt;&gt;N20,L25&lt;&gt;N19,L25&lt;&gt;N18,L25&lt;&gt;N17,L25&lt;&gt;N16,L25&lt;&gt;N15,L25&lt;&gt;N14,L25&lt;&gt;N13,L25&lt;&gt;N12,L25&lt;&gt;N11,L25&lt;&gt;N10,L25&lt;&gt;N9,L25&lt;&gt;N8),L25,IF(AND(M26&lt;&gt;0,L26&lt;&gt;N22,L26&lt;&gt;N21,L26&lt;&gt;N20,L26&lt;&gt;N19,L26&lt;&gt;N18,L26&lt;&gt;N17,L26&lt;&gt;N16,L26&lt;&gt;N15,L26&lt;&gt;N14,L26&lt;&gt;N13,L26&lt;&gt;N12,L26&lt;&gt;N11,L26&lt;&gt;N10,L26&lt;&gt;N9,L26&lt;&gt;N8),L26,IF(AND(M27&lt;&gt;0,L27&lt;&gt;N22,L27&lt;&gt;N21,L27&lt;&gt;N20,L27&lt;&gt;N19,L27&lt;&gt;N18,L27&lt;&gt;N17,L27&lt;&gt;N16,L27&lt;&gt;N15,L27&lt;&gt;N14,L27&lt;&gt;N13,L27&lt;&gt;N12,L27&lt;&gt;N11,L27&lt;&gt;N10,L27&lt;&gt;N9,L27&lt;&gt;N8),L27,IF(AND(M28&lt;&gt;0,L28&lt;&gt;N22,L28&lt;&gt;N21,L28&lt;&gt;N20,L28&lt;&gt;N19,L28&lt;&gt;N18,L28&lt;&gt;N17,L28&lt;&gt;N16,L28&lt;&gt;N15,L28&lt;&gt;N14,L28&lt;&gt;N13,L28&lt;&gt;N12,L28&lt;&gt;N11,L28&lt;&gt;N10,L28&lt;&gt;N9,L28&lt;&gt;N8),L28,IF(AND(M29&lt;&gt;0,L29&lt;&gt;N22,L29&lt;&gt;N21,L29&lt;&gt;N20,L29&lt;&gt;N19,L29&lt;&gt;N18,L29&lt;&gt;N17,L29&lt;&gt;N16,L29&lt;&gt;N15,L29&lt;&gt;N14,L29&lt;&gt;N13,L29&lt;&gt;N12,L29&lt;&gt;N11,L29&lt;&gt;N10,L29&lt;&gt;N9,L29&lt;&gt;N8),L29,IF(AND(M30&lt;&gt;0,L30&lt;&gt;N22,L30&lt;&gt;N21,L30&lt;&gt;N20,L30&lt;&gt;N19,L30&lt;&gt;N18,L30&lt;&gt;N17,L30&lt;&gt;N16,L30&lt;&gt;N15,L30&lt;&gt;N14,L30&lt;&gt;N13,L30&lt;&gt;N12,L30&lt;&gt;N11,L30&lt;&gt;N10,L30&lt;&gt;N9,L30&lt;&gt;N8),L30,IF(AND(M31&lt;&gt;0,L31&lt;&gt;N22,L31&lt;&gt;N21,L31&lt;&gt;N20,L31&lt;&gt;N19,L31&lt;&gt;N18,L31&lt;&gt;N17,L31&lt;&gt;N16,L31&lt;&gt;N15,L31&lt;&gt;N14,L31&lt;&gt;N13,L31&lt;&gt;N12,L31&lt;&gt;N11,L31&lt;&gt;N10,L31&lt;&gt;N9,L31&lt;&gt;N8),L31,IF(AND(M32&lt;&gt;0,L32&lt;&gt;N22,L32&lt;&gt;N21,L32&lt;&gt;N20,L32&lt;&gt;N19,L32&lt;&gt;N18,L32&lt;&gt;N17,L32&lt;&gt;N16,L32&lt;&gt;N15,L32&lt;&gt;N14,L32&lt;&gt;N13,L32&lt;&gt;N12,L32&lt;&gt;N11,L32&lt;&gt;N10,L32&lt;&gt;N9,L32&lt;&gt;N8),L32,IF(AND(M33&lt;&gt;0,L33&lt;&gt;N22,L33&lt;&gt;N21,L33&lt;&gt;N20,L33&lt;&gt;N19,L33&lt;&gt;N18,L33&lt;&gt;N17,L33&lt;&gt;N16,L33&lt;&gt;N15,L33&lt;&gt;N14,L33&lt;&gt;N13,L33&lt;&gt;N12,L33&lt;&gt;N11,L33&lt;&gt;N10,L33&lt;&gt;N9,L33&lt;&gt;N8),L33,IF(AND(M34&lt;&gt;0,L34&lt;&gt;N22,L34&lt;&gt;N21,L34&lt;&gt;N20,L34&lt;&gt;N19,L34&lt;&gt;N18,L34&lt;&gt;N17,L34&lt;&gt;N16,L34&lt;&gt;N15,L34&lt;&gt;N14,L34&lt;&gt;N13,L34&lt;&gt;N12,L34&lt;&gt;N11,L34&lt;&gt;N10,L34&lt;&gt;N9,L34&lt;&gt;N8),L34,IF(AND(M35&lt;&gt;0,L35&lt;&gt;N22,L35&lt;&gt;N21,L35&lt;&gt;N20,L35&lt;&gt;N19,L35&lt;&gt;N18,L35&lt;&gt;N17,L35&lt;&gt;N16,L35&lt;&gt;N15,L35&lt;&gt;N14,L35&lt;&gt;N13,L35&lt;&gt;N12,L35&lt;&gt;N11,L35&lt;&gt;N10,L35&lt;&gt;N9,L35&lt;&gt;N8),L35,IF(AND(M36&lt;&gt;0,L36&lt;&gt;N22,L36&lt;&gt;N21,L36&lt;&gt;N20,L36&lt;&gt;N19,L36&lt;&gt;N18,L36&lt;&gt;N17,L36&lt;&gt;N16,L36&lt;&gt;N15,L36&lt;&gt;N14,L36&lt;&gt;N13,L36&lt;&gt;N12,L36&lt;&gt;N11,L36&lt;&gt;N10,L36&lt;&gt;N9,L36&lt;&gt;N8),L36,IF(AND(M37&lt;&gt;0,L37&lt;&gt;N22,L37&lt;&gt;N21,L37&lt;&gt;N20,L37&lt;&gt;N19,L37&lt;&gt;N18,L37&lt;&gt;N17,L37&lt;&gt;N16,L37&lt;&gt;N15,L37&lt;&gt;N14,L37&lt;&gt;N13,L37&lt;&gt;N12,L37&lt;&gt;N11,L37&lt;&gt;N10,L37&lt;&gt;N9,L37&lt;&gt;N8),L37,IF(AND(M38&lt;&gt;0,L38&lt;&gt;N22,L38&lt;&gt;N21,L38&lt;&gt;N20,L38&lt;&gt;N19,L38&lt;&gt;N18,L38&lt;&gt;N17,L38&lt;&gt;N16,L38&lt;&gt;N15,L38&lt;&gt;N14,L38&lt;&gt;N13,L38&lt;&gt;N12,L38&lt;&gt;N11,L38&lt;&gt;N10,L38&lt;&gt;N9,L38&lt;&gt;N8),L38,""))))))))))))))))</f>
        <v/>
      </c>
      <c r="O23" s="1178" t="str">
        <f ca="1">IF(N23=L23,K23,IF(N23=L24,K24,IF(N23=L25,K25,IF(N23=L26,K26,IF(N23=L27,K27,IF(N23=L28,K28,IF(N23=L29,K29,IF(N23=L30,K30,IF(N23=L31,K31,IF(N23=L32,K32,IF(N23=L33,K33,IF(N23=L34,K34,IF(N23=L35,K35,IF(N23=L36,K36,IF(N23=L37,K37,IF(N23=L38,K38,""))))))))))))))))</f>
        <v/>
      </c>
      <c r="P23" s="1178" t="str">
        <f ca="1">IF(N23=L23,M23,IF(N23=L24,M24,IF(N23=L25,M25,IF(N23=L26,M26,IF(N23=L27,M27,IF(N23=L28,M28,IF(N23=L29,M29,IF(N23=L30,M30,IF(N23=L31,M31,IF(N23=L32,M32,IF(N23=L33,M33,IF(N23=L34,M34,IF(N23=L35,M35,IF(N23=L36,M36,IF(N23=L37,M37,IF(N23=L38,M38,""))))))))))))))))</f>
        <v/>
      </c>
      <c r="Q23" s="1171" t="str">
        <f t="shared" ca="1" si="2"/>
        <v/>
      </c>
      <c r="R23" s="1190" t="s">
        <v>887</v>
      </c>
      <c r="S23" s="1172" t="s">
        <v>888</v>
      </c>
    </row>
    <row r="24" spans="1:19" s="1172" customFormat="1" ht="21" customHeight="1" thickBot="1">
      <c r="E24" s="1850"/>
      <c r="G24" s="1191"/>
      <c r="H24" s="1192" t="s">
        <v>499</v>
      </c>
      <c r="I24" s="1751">
        <f>SUM(I9:I23)</f>
        <v>0</v>
      </c>
      <c r="J24" s="1185"/>
      <c r="K24" s="1179" t="s">
        <v>889</v>
      </c>
      <c r="L24" s="1193" t="s">
        <v>890</v>
      </c>
      <c r="M24" s="1181">
        <f t="shared" ca="1" si="3"/>
        <v>0</v>
      </c>
      <c r="N24" s="1189" t="str">
        <f ca="1">IF(AND(M24&lt;&gt;0,L24&lt;&gt;N23,L24&lt;&gt;N22,L24&lt;&gt;N21,L24&lt;&gt;N20,L24&lt;&gt;N19,L24&lt;&gt;N18,L24&lt;&gt;N17,L24&lt;&gt;N16,L24&lt;&gt;N15,L24&lt;&gt;N14,L24&lt;&gt;N13,L24&lt;&gt;N12,L24&lt;&gt;N11,L24&lt;&gt;N10,L24&lt;&gt;N9,L24&lt;&gt;N8),L24,IF(AND(M25&lt;&gt;0,L25&lt;&gt;N23,L25&lt;&gt;N22,L25&lt;&gt;N21,L25&lt;&gt;N20,L25&lt;&gt;N19,L25&lt;&gt;N18,L25&lt;&gt;N17,L25&lt;&gt;N16,L25&lt;&gt;N15,L25&lt;&gt;N14,L25&lt;&gt;N13,L25&lt;&gt;N12,L25&lt;&gt;N11,L25&lt;&gt;N10,L25&lt;&gt;N9,L25&lt;&gt;N8),L25,IF(AND(M26&lt;&gt;0,L26&lt;&gt;N23,L26&lt;&gt;N22,L26&lt;&gt;N21,L26&lt;&gt;N20,L26&lt;&gt;N19,L26&lt;&gt;N18,L26&lt;&gt;N17,L26&lt;&gt;N16,L26&lt;&gt;N15,L26&lt;&gt;N14,L26&lt;&gt;N13,L26&lt;&gt;N12,L26&lt;&gt;N11,L26&lt;&gt;N10,L26&lt;&gt;N9,L26&lt;&gt;N8),L26,IF(AND(M27&lt;&gt;0,L27&lt;&gt;N23,L27&lt;&gt;N22,L27&lt;&gt;N21,L27&lt;&gt;N20,L27&lt;&gt;N19,L27&lt;&gt;N18,L27&lt;&gt;N17,L27&lt;&gt;N16,L27&lt;&gt;N15,L27&lt;&gt;N14,L27&lt;&gt;N13,L27&lt;&gt;N12,L27&lt;&gt;N11,L27&lt;&gt;N10,L27&lt;&gt;N9,L27&lt;&gt;N8),L27,IF(AND(M28&lt;&gt;0,L28&lt;&gt;N23,L28&lt;&gt;N22,L28&lt;&gt;N21,L28&lt;&gt;N20,L28&lt;&gt;N19,L28&lt;&gt;N18,L28&lt;&gt;N17,L28&lt;&gt;N16,L28&lt;&gt;N15,L28&lt;&gt;N14,L28&lt;&gt;N13,L28&lt;&gt;N12,L28&lt;&gt;N11,L28&lt;&gt;N10,L28&lt;&gt;N9,L28&lt;&gt;N8),L28,IF(AND(M29&lt;&gt;0,L29&lt;&gt;N23,L29&lt;&gt;N22,L29&lt;&gt;N21,L29&lt;&gt;N20,L29&lt;&gt;N19,L29&lt;&gt;N18,L29&lt;&gt;N17,L29&lt;&gt;N16,L29&lt;&gt;N15,L29&lt;&gt;N14,L29&lt;&gt;N13,L29&lt;&gt;N12,L29&lt;&gt;N11,L29&lt;&gt;N10,L29&lt;&gt;N9,L29&lt;&gt;N8),L29,IF(AND(M30&lt;&gt;0,L30&lt;&gt;N23,L30&lt;&gt;N22,L30&lt;&gt;N21,L30&lt;&gt;N20,L30&lt;&gt;N19,L30&lt;&gt;N18,L30&lt;&gt;N17,L30&lt;&gt;N16,L30&lt;&gt;N15,L30&lt;&gt;N14,L30&lt;&gt;N13,L30&lt;&gt;N12,L30&lt;&gt;N11,L30&lt;&gt;N10,L30&lt;&gt;N9,L30&lt;&gt;N8),L30,IF(AND(M31&lt;&gt;0,L31&lt;&gt;N23,L31&lt;&gt;N22,L31&lt;&gt;N21,L31&lt;&gt;N20,L31&lt;&gt;N19,L31&lt;&gt;N18,L31&lt;&gt;N17,L31&lt;&gt;N16,L31&lt;&gt;N15,L31&lt;&gt;N14,L31&lt;&gt;N13,L31&lt;&gt;N12,L31&lt;&gt;N11,L31&lt;&gt;N10,L31&lt;&gt;N9,L31&lt;&gt;N8),L31,IF(AND(M32&lt;&gt;0,L32&lt;&gt;N23,L32&lt;&gt;N22,L32&lt;&gt;N21,L32&lt;&gt;N20,L32&lt;&gt;N19,L32&lt;&gt;N18,L32&lt;&gt;N17,L32&lt;&gt;N16,L32&lt;&gt;N15,L32&lt;&gt;N14,L32&lt;&gt;N13,L32&lt;&gt;N12,L32&lt;&gt;N11,L32&lt;&gt;N10,L32&lt;&gt;N9,L32&lt;&gt;N8),L32,IF(AND(M33&lt;&gt;0,L33&lt;&gt;N23,L33&lt;&gt;N22,L33&lt;&gt;N21,L33&lt;&gt;N20,L33&lt;&gt;N19,L33&lt;&gt;N18,L33&lt;&gt;N17,L33&lt;&gt;N16,L33&lt;&gt;N15,L33&lt;&gt;N14,L33&lt;&gt;N13,L33&lt;&gt;N12,L33&lt;&gt;N11,L33&lt;&gt;N10,L33&lt;&gt;N9,L33&lt;&gt;N8),L33,IF(AND(M34&lt;&gt;0,L34&lt;&gt;N23,L34&lt;&gt;N22,L34&lt;&gt;N21,L34&lt;&gt;N20,L34&lt;&gt;N19,L34&lt;&gt;N18,L34&lt;&gt;N17,L34&lt;&gt;N16,L34&lt;&gt;N15,L34&lt;&gt;N14,L34&lt;&gt;N13,L34&lt;&gt;N12,L34&lt;&gt;N11,L34&lt;&gt;N10,L34&lt;&gt;N9,L34&lt;&gt;N8),L34,IF(AND(M35&lt;&gt;0,L35&lt;&gt;N23,L35&lt;&gt;N22,L35&lt;&gt;N21,L35&lt;&gt;N20,L35&lt;&gt;N19,L35&lt;&gt;N18,L35&lt;&gt;N17,L35&lt;&gt;N16,L35&lt;&gt;N15,L35&lt;&gt;N14,L35&lt;&gt;N13,L35&lt;&gt;N12,L35&lt;&gt;N11,L35&lt;&gt;N10,L35&lt;&gt;N9,L35&lt;&gt;N8),L35,IF(AND(M36&lt;&gt;0,L36&lt;&gt;N23,L36&lt;&gt;N22,L36&lt;&gt;N21,L36&lt;&gt;N20,L36&lt;&gt;N19,L36&lt;&gt;N18,L36&lt;&gt;N17,L36&lt;&gt;N16,L36&lt;&gt;N15,L36&lt;&gt;N14,L36&lt;&gt;N13,L36&lt;&gt;N12,L36&lt;&gt;N11,L36&lt;&gt;N10,L36&lt;&gt;N9,L36&lt;&gt;N8),L36,IF(AND(M37&lt;&gt;0,L37&lt;&gt;N23,L37&lt;&gt;N22,L37&lt;&gt;N21,L37&lt;&gt;N20,L37&lt;&gt;N19,L37&lt;&gt;N18,L37&lt;&gt;N17,L37&lt;&gt;N16,L37&lt;&gt;N15,L37&lt;&gt;N14,L37&lt;&gt;N13,L37&lt;&gt;N12,L37&lt;&gt;N11,L37&lt;&gt;N10,L37&lt;&gt;N9,L37&lt;&gt;N8),L37,IF(AND(M38&lt;&gt;0,L38&lt;&gt;N23,L38&lt;&gt;N22,L38&lt;&gt;N21,L38&lt;&gt;N20,L38&lt;&gt;N19,L38&lt;&gt;N18,L38&lt;&gt;N17,L38&lt;&gt;N16,L38&lt;&gt;N15,L38&lt;&gt;N14,L38&lt;&gt;N13,L38&lt;&gt;N12,L38&lt;&gt;N11,L38&lt;&gt;N10,L38&lt;&gt;N9,L38&lt;&gt;N8),L38,"")))))))))))))))</f>
        <v/>
      </c>
      <c r="O24" s="1178" t="str">
        <f ca="1">IF(N24=L24,K24,IF(N24=L25,K25,IF(N24=L26,K26,IF(N24=L27,K27,IF(N24=L28,K28,IF(N24=L29,K29,IF(N24=L30,K30,IF(N24=L31,K31,IF(N24=L32,K32,IF(N24=L33,K33,IF(N24=L34,K34,IF(N24=L35,K35,IF(N24=L36,K36,IF(N24=L37,K37,IF(N24=L38,K38,"")))))))))))))))</f>
        <v/>
      </c>
      <c r="P24" s="1178" t="str">
        <f ca="1">IF(N24=L24,M24,IF(N24=L25,M25,IF(N24=L26,M26,IF(N24=L27,M27,IF(N24=L28,M28,IF(N24=L29,M29,IF(N24=L30,M30,IF(N24=L31,M31,IF(N24=L32,M32,IF(N24=L33,M33,IF(N24=L34,M34,IF(N24=L35,M35,IF(N24=L36,M36,IF(N24=L37,M37,IF(N24=L38,M38,"")))))))))))))))</f>
        <v/>
      </c>
      <c r="Q24" s="1171" t="str">
        <f t="shared" ca="1" si="2"/>
        <v/>
      </c>
      <c r="R24" s="1193" t="s">
        <v>890</v>
      </c>
      <c r="S24" s="1172" t="s">
        <v>891</v>
      </c>
    </row>
    <row r="25" spans="1:19" s="1172" customFormat="1" ht="21" customHeight="1">
      <c r="E25" s="1850"/>
      <c r="G25" s="1191"/>
      <c r="H25" s="1194"/>
      <c r="I25" s="1195"/>
      <c r="K25" s="1166" t="s">
        <v>892</v>
      </c>
      <c r="L25" s="1167" t="s">
        <v>893</v>
      </c>
      <c r="M25" s="1182">
        <f ca="1">SUMIF($B$72:$I$81,L25,I$72:I$81)</f>
        <v>0</v>
      </c>
      <c r="N25" s="1189" t="str">
        <f ca="1">IF(AND(M25&lt;&gt;0,L25&lt;&gt;N24,L25&lt;&gt;N23,L25&lt;&gt;N22,L25&lt;&gt;N21,L25&lt;&gt;N20,L25&lt;&gt;N19,L25&lt;&gt;N18,L25&lt;&gt;N17,L25&lt;&gt;N16,L25&lt;&gt;N15,L25&lt;&gt;N14,L25&lt;&gt;N13,L25&lt;&gt;N12,L25&lt;&gt;N11,L25&lt;&gt;N10,L25&lt;&gt;N9,L25&lt;&gt;N8),L25,IF(AND(M26&lt;&gt;0,L26&lt;&gt;N24,L26&lt;&gt;N23,L26&lt;&gt;N22,L26&lt;&gt;N21,L26&lt;&gt;N20,L26&lt;&gt;N19,L26&lt;&gt;N18,L26&lt;&gt;N17,L26&lt;&gt;N16,L26&lt;&gt;N15,L26&lt;&gt;N14,L26&lt;&gt;N13,L26&lt;&gt;N12,L26&lt;&gt;N11,L26&lt;&gt;N10,L26&lt;&gt;N9,L26&lt;&gt;N8),L26,IF(AND(M27&lt;&gt;0,L27&lt;&gt;N24,L27&lt;&gt;N23,L27&lt;&gt;N22,L27&lt;&gt;N21,L27&lt;&gt;N20,L27&lt;&gt;N19,L27&lt;&gt;N18,L27&lt;&gt;N17,L27&lt;&gt;N16,L27&lt;&gt;N15,L27&lt;&gt;N14,L27&lt;&gt;N13,L27&lt;&gt;N12,L27&lt;&gt;N11,L27&lt;&gt;N10,L27&lt;&gt;N9,L27&lt;&gt;N8),L27,IF(AND(M28&lt;&gt;0,L28&lt;&gt;N24,L28&lt;&gt;N23,L28&lt;&gt;N22,L28&lt;&gt;N21,L28&lt;&gt;N20,L28&lt;&gt;N19,L28&lt;&gt;N18,L28&lt;&gt;N17,L28&lt;&gt;N16,L28&lt;&gt;N15,L28&lt;&gt;N14,L28&lt;&gt;N13,L28&lt;&gt;N12,L28&lt;&gt;N11,L28&lt;&gt;N10,L28&lt;&gt;N9,L28&lt;&gt;N8),L28,IF(AND(M29&lt;&gt;0,L29&lt;&gt;N24,L29&lt;&gt;N23,L29&lt;&gt;N22,L29&lt;&gt;N21,L29&lt;&gt;N20,L29&lt;&gt;N19,L29&lt;&gt;N18,L29&lt;&gt;N17,L29&lt;&gt;N16,L29&lt;&gt;N15,L29&lt;&gt;N14,L29&lt;&gt;N13,L29&lt;&gt;N12,L29&lt;&gt;N11,L29&lt;&gt;N10,L29&lt;&gt;N9,L29&lt;&gt;N8),L29,IF(AND(M30&lt;&gt;0,L30&lt;&gt;N24,L30&lt;&gt;N23,L30&lt;&gt;N22,L30&lt;&gt;N21,L30&lt;&gt;N20,L30&lt;&gt;N19,L30&lt;&gt;N18,L30&lt;&gt;N17,L30&lt;&gt;N16,L30&lt;&gt;N15,L30&lt;&gt;N14,L30&lt;&gt;N13,L30&lt;&gt;N12,L30&lt;&gt;N11,L30&lt;&gt;N10,L30&lt;&gt;N9,L30&lt;&gt;N8),L30,IF(AND(M31&lt;&gt;0,L31&lt;&gt;N24,L31&lt;&gt;N23,L31&lt;&gt;N22,L31&lt;&gt;N21,L31&lt;&gt;N20,L31&lt;&gt;N19,L31&lt;&gt;N18,L31&lt;&gt;N17,L31&lt;&gt;N16,L31&lt;&gt;N15,L31&lt;&gt;N14,L31&lt;&gt;N13,L31&lt;&gt;N12,L31&lt;&gt;N11,L31&lt;&gt;N10,L31&lt;&gt;N9,L31&lt;&gt;N8),L31,IF(AND(M32&lt;&gt;0,L32&lt;&gt;N24,L32&lt;&gt;N23,L32&lt;&gt;N22,L32&lt;&gt;N21,L32&lt;&gt;N20,L32&lt;&gt;N19,L32&lt;&gt;N18,L32&lt;&gt;N17,L32&lt;&gt;N16,L32&lt;&gt;N15,L32&lt;&gt;N14,L32&lt;&gt;N13,L32&lt;&gt;N12,L32&lt;&gt;N11,L32&lt;&gt;N10,L32&lt;&gt;N9,L32&lt;&gt;N8),L32,IF(AND(M33&lt;&gt;0,L33&lt;&gt;N24,L33&lt;&gt;N23,L33&lt;&gt;N22,L33&lt;&gt;N21,L33&lt;&gt;N20,L33&lt;&gt;N19,L33&lt;&gt;N18,L33&lt;&gt;N17,L33&lt;&gt;N16,L33&lt;&gt;N15,L33&lt;&gt;N14,L33&lt;&gt;N13,L33&lt;&gt;N12,L33&lt;&gt;N11,L33&lt;&gt;N10,L33&lt;&gt;N9,L33&lt;&gt;N8),L33,IF(AND(M34&lt;&gt;0,L34&lt;&gt;N24,L34&lt;&gt;N23,L34&lt;&gt;N22,L34&lt;&gt;N21,L34&lt;&gt;N20,L34&lt;&gt;N19,L34&lt;&gt;N18,L34&lt;&gt;N17,L34&lt;&gt;N16,L34&lt;&gt;N15,L34&lt;&gt;N14,L34&lt;&gt;N13,L34&lt;&gt;N12,L34&lt;&gt;N11,L34&lt;&gt;N10,L34&lt;&gt;N9,L34&lt;&gt;N8),L34,IF(AND(M35&lt;&gt;0,L35&lt;&gt;N24,L35&lt;&gt;N23,L35&lt;&gt;N22,L35&lt;&gt;N21,L35&lt;&gt;N20,L35&lt;&gt;N19,L35&lt;&gt;N18,L35&lt;&gt;N17,L35&lt;&gt;N16,L35&lt;&gt;N15,L35&lt;&gt;N14,L35&lt;&gt;N13,L35&lt;&gt;N12,L35&lt;&gt;N11,L35&lt;&gt;N10,L35&lt;&gt;N9,L35&lt;&gt;N8),L35,IF(AND(M36&lt;&gt;0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24,L38&lt;&gt;N23,L38&lt;&gt;N22,L38&lt;&gt;N21,L38&lt;&gt;N20,L38&lt;&gt;N19,L38&lt;&gt;N18,L38&lt;&gt;N17,L38&lt;&gt;N16,L38&lt;&gt;N15,L38&lt;&gt;N14,L38&lt;&gt;N13,L38&lt;&gt;N12,L38&lt;&gt;N11,L38&lt;&gt;N10,L38&lt;&gt;N9,L38&lt;&gt;N8),L38,""))))))))))))))</f>
        <v/>
      </c>
      <c r="O25" s="1178" t="str">
        <f ca="1">IF(N25=L25,K25,IF(N25=L26,K26,IF(N25=L27,K27,IF(N25=L28,K28,IF(N25=L29,K29,IF(N25=L30,K30,IF(N25=L31,K31,IF(N25=L32,K32,IF(N25=L33,K33,IF(N25=L34,K34,IF(N25=L35,K35,IF(N25=L36,K36,IF(N25=L37,K37,IF(N25=L38,K38,""))))))))))))))</f>
        <v/>
      </c>
      <c r="P25" s="1178" t="str">
        <f ca="1">IF(N25=L25,M25,IF(N25=L26,M26,IF(N25=L27,M27,IF(N25=L28,M28,IF(N25=L29,M29,IF(N25=L30,M30,IF(N25=L31,M31,IF(N25=L32,M32,IF(N25=L33,M33,IF(N25=L34,M34,IF(N25=L35,M35,IF(N25=L36,M36,IF(N25=L37,M37,IF(N25=L38,M38,""))))))))))))))</f>
        <v/>
      </c>
      <c r="Q25" s="1171" t="str">
        <f t="shared" ca="1" si="2"/>
        <v/>
      </c>
      <c r="R25" s="1167" t="s">
        <v>893</v>
      </c>
      <c r="S25" s="1172" t="s">
        <v>894</v>
      </c>
    </row>
    <row r="26" spans="1:19" s="1155" customFormat="1" ht="21" customHeight="1">
      <c r="A26" s="1148" t="s">
        <v>959</v>
      </c>
      <c r="B26" s="1149"/>
      <c r="C26" s="541"/>
      <c r="D26" s="541"/>
      <c r="E26" s="1847"/>
      <c r="F26" s="1149"/>
      <c r="G26" s="1150"/>
      <c r="H26" s="1149"/>
      <c r="I26" s="1149"/>
      <c r="J26" s="1149"/>
      <c r="K26" s="1173" t="s">
        <v>895</v>
      </c>
      <c r="L26" s="1174" t="s">
        <v>896</v>
      </c>
      <c r="M26" s="1175">
        <f ca="1">SUMIF($B$72:$I$81,L26,I$72:I$81)</f>
        <v>0</v>
      </c>
      <c r="N26" s="1176" t="str">
        <f ca="1">IF(AND(M26&lt;&gt;0,L26&lt;&gt;N25,L26&lt;&gt;N24,L26&lt;&gt;N23,L26&lt;&gt;N22,L26&lt;&gt;N21,L26&lt;&gt;N20,L26&lt;&gt;N19,L26&lt;&gt;N18,L26&lt;&gt;N17,L26&lt;&gt;N16,L26&lt;&gt;N15,L26&lt;&gt;N14,L26&lt;&gt;N13,L26&lt;&gt;N12,L26&lt;&gt;N11,L26&lt;&gt;N10,L26&lt;&gt;N9,L26&lt;&gt;N8),L26,IF(AND(M27&lt;&gt;0,L27&lt;&gt;N25,L27&lt;&gt;N24,L27&lt;&gt;N23,L27&lt;&gt;N22,L27&lt;&gt;N21,L27&lt;&gt;N20,L27&lt;&gt;N19,L27&lt;&gt;N18,L27&lt;&gt;N17,L27&lt;&gt;N16,L27&lt;&gt;N15,L27&lt;&gt;N14,L27&lt;&gt;N13,L27&lt;&gt;N12,L27&lt;&gt;N11,L27&lt;&gt;N10,L27&lt;&gt;N9,L27&lt;&gt;N8),L27,IF(AND(M28&lt;&gt;0,L28&lt;&gt;N25,L28&lt;&gt;N24,L28&lt;&gt;N23,L28&lt;&gt;N22,L28&lt;&gt;N21,L28&lt;&gt;N20,L28&lt;&gt;N19,L28&lt;&gt;N18,L28&lt;&gt;N17,L28&lt;&gt;N16,L28&lt;&gt;N15,L28&lt;&gt;N14,L28&lt;&gt;N13,L28&lt;&gt;N12,L28&lt;&gt;N11,L28&lt;&gt;N10,L28&lt;&gt;N9,L28&lt;&gt;N8),L28,IF(AND(M29&lt;&gt;0,L29&lt;&gt;N25,L29&lt;&gt;N24,L29&lt;&gt;N23,L29&lt;&gt;N22,L29&lt;&gt;N21,L29&lt;&gt;N20,L29&lt;&gt;N19,L29&lt;&gt;N18,L29&lt;&gt;N17,L29&lt;&gt;N16,L29&lt;&gt;N15,L29&lt;&gt;N14,L29&lt;&gt;N13,L29&lt;&gt;N12,L29&lt;&gt;N11,L29&lt;&gt;N10,L29&lt;&gt;N9,L29&lt;&gt;N8),L29,IF(AND(M30&lt;&gt;0,L30&lt;&gt;N25,L30&lt;&gt;N24,L30&lt;&gt;N23,L30&lt;&gt;N22,L30&lt;&gt;N21,L30&lt;&gt;N20,L30&lt;&gt;N19,L30&lt;&gt;N18,L30&lt;&gt;N17,L30&lt;&gt;N16,L30&lt;&gt;N15,L30&lt;&gt;N14,L30&lt;&gt;N13,L30&lt;&gt;N12,L30&lt;&gt;N11,L30&lt;&gt;N10,L30&lt;&gt;N9,L30&lt;&gt;N8),L30,IF(AND(M31&lt;&gt;0,L31&lt;&gt;N25,L31&lt;&gt;N24,L31&lt;&gt;N23,L31&lt;&gt;N22,L31&lt;&gt;N21,L31&lt;&gt;N20,L31&lt;&gt;N19,L31&lt;&gt;N18,L31&lt;&gt;N17,L31&lt;&gt;N16,L31&lt;&gt;N15,L31&lt;&gt;N14,L31&lt;&gt;N13,L31&lt;&gt;N12,L31&lt;&gt;N11,L31&lt;&gt;N10,L31&lt;&gt;N9,L31&lt;&gt;N8),L31,IF(AND(M32&lt;&gt;0,L32&lt;&gt;N25,L32&lt;&gt;N24,L32&lt;&gt;N23,L32&lt;&gt;N22,L32&lt;&gt;N21,L32&lt;&gt;N20,L32&lt;&gt;N19,L32&lt;&gt;N18,L32&lt;&gt;N17,L32&lt;&gt;N16,L32&lt;&gt;N15,L32&lt;&gt;N14,L32&lt;&gt;N13,L32&lt;&gt;N12,L32&lt;&gt;N11,L32&lt;&gt;N10,L32&lt;&gt;N9,L32&lt;&gt;N8),L32,IF(AND(M33&lt;&gt;0,L33&lt;&gt;N25,L33&lt;&gt;N24,L33&lt;&gt;N23,L33&lt;&gt;N22,L33&lt;&gt;N21,L33&lt;&gt;N20,L33&lt;&gt;N19,L33&lt;&gt;N18,L33&lt;&gt;N17,L33&lt;&gt;N16,L33&lt;&gt;N15,L33&lt;&gt;N14,L33&lt;&gt;N13,L33&lt;&gt;N12,L33&lt;&gt;N11,L33&lt;&gt;N10,L33&lt;&gt;N9,L33&lt;&gt;N8),L33,IF(AND(M34&lt;&gt;0,L34&lt;&gt;N25,L34&lt;&gt;N24,L34&lt;&gt;N23,L34&lt;&gt;N22,L34&lt;&gt;N21,L34&lt;&gt;N20,L34&lt;&gt;N19,L34&lt;&gt;N18,L34&lt;&gt;N17,L34&lt;&gt;N16,L34&lt;&gt;N15,L34&lt;&gt;N14,L34&lt;&gt;N13,L34&lt;&gt;N12,L34&lt;&gt;N11,L34&lt;&gt;N10,L34&lt;&gt;N9,L34&lt;&gt;N8),L34,IF(AND(M35&lt;&gt;0,L35&lt;&gt;N25,L35&lt;&gt;N24,L35&lt;&gt;N23,L35&lt;&gt;N22,L35&lt;&gt;N21,L35&lt;&gt;N20,L35&lt;&gt;N19,L35&lt;&gt;N18,L35&lt;&gt;N17,L35&lt;&gt;N16,L35&lt;&gt;N15,L35&lt;&gt;N14,L35&lt;&gt;N13,L35&lt;&gt;N12,L35&lt;&gt;N11,L35&lt;&gt;N10,L35&lt;&gt;N9,L35&lt;&gt;N8),L35,IF(AND(M36&lt;&gt;0,L36&lt;&gt;N25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25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25,L38&lt;&gt;N24,L38&lt;&gt;N23,L38&lt;&gt;N22,L38&lt;&gt;N21,L38&lt;&gt;N20,L38&lt;&gt;N19,L38&lt;&gt;N18,L38&lt;&gt;N17,L38&lt;&gt;N16,L38&lt;&gt;N15,L38&lt;&gt;N14,L38&lt;&gt;N13,L38&lt;&gt;N12,L38&lt;&gt;N11,L38&lt;&gt;N10,L38&lt;&gt;N9,L38&lt;&gt;N8),L38,"")))))))))))))</f>
        <v/>
      </c>
      <c r="O26" s="1196" t="str">
        <f ca="1">IF(N26=L26,K26,IF(N26=L27,K27,IF(N26=L28,K28,IF(N26=L29,K29,IF(N26=L30,K30,IF(N26=L31,K31,IF(N26=L32,K32,IF(N26=L33,K33,IF(N26=L34,K34,IF(N26=L35,K35,IF(N26=L36,K36,IF(N26=L37,K37,IF(N26=L38,K38,"")))))))))))))</f>
        <v/>
      </c>
      <c r="P26" s="1178" t="str">
        <f ca="1">IF(N26=L26,M26,IF(N26=L27,M27,IF(N26=L28,M28,IF(N26=L29,M29,IF(N26=L30,M30,IF(N26=L31,M31,IF(N26=L32,M32,IF(N26=L33,M33,IF(N26=L34,M34,IF(N26=L35,M35,IF(N26=L36,M36,IF(N26=L37,M37,IF(N26=L38,M38,"")))))))))))))</f>
        <v/>
      </c>
      <c r="Q26" s="1171" t="str">
        <f t="shared" ca="1" si="2"/>
        <v/>
      </c>
      <c r="R26" s="1174" t="s">
        <v>896</v>
      </c>
      <c r="S26" s="1155" t="s">
        <v>897</v>
      </c>
    </row>
    <row r="27" spans="1:19" s="1155" customFormat="1" ht="15.75">
      <c r="A27" s="1197"/>
      <c r="C27" s="1157"/>
      <c r="D27" s="1157"/>
      <c r="E27" s="1848"/>
      <c r="G27" s="1158"/>
      <c r="K27" s="1173" t="s">
        <v>898</v>
      </c>
      <c r="L27" s="1174" t="s">
        <v>899</v>
      </c>
      <c r="M27" s="1175">
        <f ca="1">SUMIF($B$72:$I$81,L27,I$72:I$81)</f>
        <v>0</v>
      </c>
      <c r="N27" s="1176" t="str">
        <f ca="1">IF(AND(M27&lt;&gt;0,L27&lt;&gt;N26,L27&lt;&gt;N25,L27&lt;&gt;N24,L27&lt;&gt;N23,L27&lt;&gt;N22,L27&lt;&gt;N21,L27&lt;&gt;N20,L27&lt;&gt;N19,L27&lt;&gt;N18,L27&lt;&gt;N17,L27&lt;&gt;N16,L27&lt;&gt;N15,L27&lt;&gt;N14,L27&lt;&gt;N13,L27&lt;&gt;N12,L27&lt;&gt;N11,L27&lt;&gt;N10,L27&lt;&gt;N9,L27&lt;&gt;N8),L27,IF(AND(M28&lt;&gt;0,L28&lt;&gt;N26,L28&lt;&gt;N25,L28&lt;&gt;N24,L28&lt;&gt;N23,L28&lt;&gt;N22,L28&lt;&gt;N21,L28&lt;&gt;N20,L28&lt;&gt;N19,L28&lt;&gt;N18,L28&lt;&gt;N17,L28&lt;&gt;N16,L28&lt;&gt;N15,L28&lt;&gt;N14,L28&lt;&gt;N13,L28&lt;&gt;N12,L28&lt;&gt;N11,L28&lt;&gt;N10,L28&lt;&gt;N9,L28&lt;&gt;N8),L28,IF(AND(M29&lt;&gt;0,L29&lt;&gt;N26,L29&lt;&gt;N25,L29&lt;&gt;N24,L29&lt;&gt;N23,L29&lt;&gt;N22,L29&lt;&gt;N21,L29&lt;&gt;N20,L29&lt;&gt;N19,L29&lt;&gt;N18,L29&lt;&gt;N17,L29&lt;&gt;N16,L29&lt;&gt;N15,L29&lt;&gt;N14,L29&lt;&gt;N13,L29&lt;&gt;N12,L29&lt;&gt;N11,L29&lt;&gt;N10,L29&lt;&gt;N9,L29&lt;&gt;N8),L29,IF(AND(M30&lt;&gt;0,L30&lt;&gt;N26,L30&lt;&gt;N25,L30&lt;&gt;N24,L30&lt;&gt;N23,L30&lt;&gt;N22,L30&lt;&gt;N21,L30&lt;&gt;N20,L30&lt;&gt;N19,L30&lt;&gt;N18,L30&lt;&gt;N17,L30&lt;&gt;N16,L30&lt;&gt;N15,L30&lt;&gt;N14,L30&lt;&gt;N13,L30&lt;&gt;N12,L30&lt;&gt;N11,L30&lt;&gt;N10,L30&lt;&gt;N9,L30&lt;&gt;N8),L30,IF(AND(M31&lt;&gt;0,L31&lt;&gt;N26,L31&lt;&gt;N25,L31&lt;&gt;N24,L31&lt;&gt;N23,L31&lt;&gt;N22,L31&lt;&gt;N21,L31&lt;&gt;N20,L31&lt;&gt;N19,L31&lt;&gt;N18,L31&lt;&gt;N17,L31&lt;&gt;N16,L31&lt;&gt;N15,L31&lt;&gt;N14,L31&lt;&gt;N13,L31&lt;&gt;N12,L31&lt;&gt;N11,L31&lt;&gt;N10,L31&lt;&gt;N9,L31&lt;&gt;N8),L31,IF(AND(M32&lt;&gt;0,L32&lt;&gt;N26,L32&lt;&gt;N25,L32&lt;&gt;N24,L32&lt;&gt;N23,L32&lt;&gt;N22,L32&lt;&gt;N21,L32&lt;&gt;N20,L32&lt;&gt;N19,L32&lt;&gt;N18,L32&lt;&gt;N17,L32&lt;&gt;N16,L32&lt;&gt;N15,L32&lt;&gt;N14,L32&lt;&gt;N13,L32&lt;&gt;N12,L32&lt;&gt;N11,L32&lt;&gt;N10,L32&lt;&gt;N9,L32&lt;&gt;N8),L32,IF(AND(M33&lt;&gt;0,L33&lt;&gt;N26,L33&lt;&gt;N25,L33&lt;&gt;N24,L33&lt;&gt;N23,L33&lt;&gt;N22,L33&lt;&gt;N21,L33&lt;&gt;N20,L33&lt;&gt;N19,L33&lt;&gt;N18,L33&lt;&gt;N17,L33&lt;&gt;N16,L33&lt;&gt;N15,L33&lt;&gt;N14,L33&lt;&gt;N13,L33&lt;&gt;N12,L33&lt;&gt;N11,L33&lt;&gt;N10,L33&lt;&gt;N9,L33&lt;&gt;N8),L33,IF(AND(M34&lt;&gt;0,L34&lt;&gt;N26,L34&lt;&gt;N25,L34&lt;&gt;N24,L34&lt;&gt;N23,L34&lt;&gt;N22,L34&lt;&gt;N21,L34&lt;&gt;N20,L34&lt;&gt;N19,L34&lt;&gt;N18,L34&lt;&gt;N17,L34&lt;&gt;N16,L34&lt;&gt;N15,L34&lt;&gt;N14,L34&lt;&gt;N13,L34&lt;&gt;N12,L34&lt;&gt;N11,L34&lt;&gt;N10,L34&lt;&gt;N9,L34&lt;&gt;N8),L34,IF(AND(M35&lt;&gt;0,L35&lt;&gt;N26,L35&lt;&gt;N25,L35&lt;&gt;N24,L35&lt;&gt;N23,L35&lt;&gt;N22,L35&lt;&gt;N21,L35&lt;&gt;N20,L35&lt;&gt;N19,L35&lt;&gt;N18,L35&lt;&gt;N17,L35&lt;&gt;N16,L35&lt;&gt;N15,L35&lt;&gt;N14,L35&lt;&gt;N13,L35&lt;&gt;N12,L35&lt;&gt;N11,L35&lt;&gt;N10,L35&lt;&gt;N9,L35&lt;&gt;N8),L35,IF(AND(M36&lt;&gt;0,L36&lt;&gt;N26,L36&lt;&gt;N25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26,L37&lt;&gt;N25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)))))))))))</f>
        <v/>
      </c>
      <c r="O27" s="1196" t="str">
        <f ca="1">IF(N27=L27,K27,IF(N27=L28,K28,IF(N27=L29,K29,IF(N27=L30,K30,IF(N27=L31,K31,IF(N27=L32,K32,IF(N27=L33,K33,IF(N27=L34,K34,IF(N27=L35,K35,IF(N27=L36,K36,IF(N27=L37,K37,IF(N27=L38,K38,""))))))))))))</f>
        <v/>
      </c>
      <c r="P27" s="1178" t="str">
        <f ca="1">IF(N27=L27,M27,IF(N27=L28,M28,IF(N27=L29,M29,IF(N27=L30,M30,IF(N27=L31,M31,IF(N27=L32,M32,IF(N27=L33,M33,IF(N27=L34,M34,IF(N27=L35,M35,IF(N27=L36,M36,IF(N27=L37,M37,IF(N27=L38,M38,""))))))))))))</f>
        <v/>
      </c>
      <c r="Q27" s="1171" t="str">
        <f t="shared" ca="1" si="2"/>
        <v/>
      </c>
      <c r="R27" s="1174" t="s">
        <v>899</v>
      </c>
      <c r="S27" s="1155" t="s">
        <v>900</v>
      </c>
    </row>
    <row r="28" spans="1:19" s="1161" customFormat="1" ht="23.25" customHeight="1" thickBot="1">
      <c r="A28" s="2352" t="s">
        <v>361</v>
      </c>
      <c r="B28" s="2354" t="s">
        <v>833</v>
      </c>
      <c r="C28" s="2352" t="s">
        <v>834</v>
      </c>
      <c r="D28" s="2354" t="s">
        <v>901</v>
      </c>
      <c r="E28" s="2355" t="s">
        <v>836</v>
      </c>
      <c r="F28" s="2354" t="s">
        <v>542</v>
      </c>
      <c r="G28" s="2354" t="s">
        <v>837</v>
      </c>
      <c r="H28" s="2354"/>
      <c r="I28" s="2354"/>
      <c r="J28" s="1198"/>
      <c r="K28" s="1179" t="s">
        <v>902</v>
      </c>
      <c r="L28" s="1180" t="s">
        <v>903</v>
      </c>
      <c r="M28" s="1181">
        <f ca="1">SUMIF($B$72:$I$81,L28,I$72:I$81)</f>
        <v>0</v>
      </c>
      <c r="N28" s="1169" t="str">
        <f ca="1">IF(AND(M28&lt;&gt;0,L28&lt;&gt;N27,L28&lt;&gt;N26,L28&lt;&gt;N25,L28&lt;&gt;N24,L28&lt;&gt;N23,L28&lt;&gt;N22,L28&lt;&gt;N21,L28&lt;&gt;N20,L28&lt;&gt;N19,L28&lt;&gt;N18,L28&lt;&gt;N17,L28&lt;&gt;N16,L28&lt;&gt;N15,L28&lt;&gt;N14,L28&lt;&gt;N13,L28&lt;&gt;N12,L28&lt;&gt;N11,L28&lt;&gt;N10,L28&lt;&gt;N9,L28&lt;&gt;N8),L28,IF(AND(M29&lt;&gt;0,L29&lt;&gt;N27,L29&lt;&gt;N26,L29&lt;&gt;N25,L29&lt;&gt;N24,L29&lt;&gt;N23,L29&lt;&gt;N22,L29&lt;&gt;N21,L29&lt;&gt;N20,L29&lt;&gt;N19,L29&lt;&gt;N18,L29&lt;&gt;N17,L29&lt;&gt;N16,L29&lt;&gt;N15,L29&lt;&gt;N14,L29&lt;&gt;N13,L29&lt;&gt;N12,L29&lt;&gt;N11,L29&lt;&gt;N10,L29&lt;&gt;N9,L29&lt;&gt;N8),L29,IF(AND(M30&lt;&gt;0,L30&lt;&gt;N27,L30&lt;&gt;N26,L30&lt;&gt;N25,L30&lt;&gt;N24,L30&lt;&gt;N23,L30&lt;&gt;N22,L30&lt;&gt;N21,L30&lt;&gt;N20,L30&lt;&gt;N19,L30&lt;&gt;N18,L30&lt;&gt;N17,L30&lt;&gt;N16,L30&lt;&gt;N15,L30&lt;&gt;N14,L30&lt;&gt;N13,L30&lt;&gt;N12,L30&lt;&gt;N11,L30&lt;&gt;N10,L30&lt;&gt;N9,L30&lt;&gt;N8),L30,IF(AND(M31&lt;&gt;0,L31&lt;&gt;N27,L31&lt;&gt;N26,L31&lt;&gt;N25,L31&lt;&gt;N24,L31&lt;&gt;N23,L31&lt;&gt;N22,L31&lt;&gt;N21,L31&lt;&gt;N20,L31&lt;&gt;N19,L31&lt;&gt;N18,L31&lt;&gt;N17,L31&lt;&gt;N16,L31&lt;&gt;N15,L31&lt;&gt;N14,L31&lt;&gt;N13,L31&lt;&gt;N12,L31&lt;&gt;N11,L31&lt;&gt;N10,L31&lt;&gt;N9,L31&lt;&gt;N8),L31,IF(AND(M32&lt;&gt;0,L32&lt;&gt;N27,L32&lt;&gt;N26,L32&lt;&gt;N25,L32&lt;&gt;N24,L32&lt;&gt;N23,L32&lt;&gt;N22,L32&lt;&gt;N21,L32&lt;&gt;N20,L32&lt;&gt;N19,L32&lt;&gt;N18,L32&lt;&gt;N17,L32&lt;&gt;N16,L32&lt;&gt;N15,L32&lt;&gt;N14,L32&lt;&gt;N13,L32&lt;&gt;N12,L32&lt;&gt;N11,L32&lt;&gt;N10,L32&lt;&gt;N9,L32&lt;&gt;N8),L32,IF(AND(M33&lt;&gt;0,L33&lt;&gt;N27,L33&lt;&gt;N26,L33&lt;&gt;N25,L33&lt;&gt;N24,L33&lt;&gt;N23,L33&lt;&gt;N22,L33&lt;&gt;N21,L33&lt;&gt;N20,L33&lt;&gt;N19,L33&lt;&gt;N18,L33&lt;&gt;N17,L33&lt;&gt;N16,L33&lt;&gt;N15,L33&lt;&gt;N14,L33&lt;&gt;N13,L33&lt;&gt;N12,L33&lt;&gt;N11,L33&lt;&gt;N10,L33&lt;&gt;N9,L33&lt;&gt;N8),L33,IF(AND(M34&lt;&gt;0,L34&lt;&gt;N27,L34&lt;&gt;N26,L34&lt;&gt;N25,L34&lt;&gt;N24,L34&lt;&gt;N23,L34&lt;&gt;N22,L34&lt;&gt;N21,L34&lt;&gt;N20,L34&lt;&gt;N19,L34&lt;&gt;N18,L34&lt;&gt;N17,L34&lt;&gt;N16,L34&lt;&gt;N15,L34&lt;&gt;N14,L34&lt;&gt;N13,L34&lt;&gt;N12,L34&lt;&gt;N11,L34&lt;&gt;N10,L34&lt;&gt;N9,L34&lt;&gt;N8),L34,IF(AND(M35&lt;&gt;0,L35&lt;&gt;N27,L35&lt;&gt;N26,L35&lt;&gt;N25,L35&lt;&gt;N24,L35&lt;&gt;N23,L35&lt;&gt;N22,L35&lt;&gt;N21,L35&lt;&gt;N20,L35&lt;&gt;N19,L35&lt;&gt;N18,L35&lt;&gt;N17,L35&lt;&gt;N16,L35&lt;&gt;N15,L35&lt;&gt;N14,L35&lt;&gt;N13,L35&lt;&gt;N12,L35&lt;&gt;N11,L35&lt;&gt;N10,L35&lt;&gt;N9,L35&lt;&gt;N8),L35,IF(AND(M36&lt;&gt;0,L36&lt;&gt;N27,L36&lt;&gt;N26,L36&lt;&gt;N25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27,L37&lt;&gt;N26,L37&lt;&gt;N25,L37&lt;&gt;N24,L37&lt;&gt;N23,L37&lt;&gt;N22,L37&lt;&gt;N21,L37&lt;&gt;N20,L37&lt;&gt;N19,L37&lt;&gt;N18,L37&lt;&gt;N17,L37&lt;&gt;N16,L37&lt;&gt;N15,L37&lt;&gt;N14,L37&lt;&gt;N13,L37&lt;&gt;N12,L37&lt;&gt;N11,L37&lt;&gt;N10,L37&lt;&gt;N9,37&lt;&gt;N8),L37,IF(AND(M38&lt;&gt;0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))))))))))</f>
        <v/>
      </c>
      <c r="O28" s="1170" t="str">
        <f ca="1">IF(N28=L28,K28,IF(N28=L29,K29,IF(N28=L30,K30,IF(N28=L31,K31,IF(N28=L32,K32,IF(N28=L33,K33,IF(N28=L34,K34,IF(N28=L35,K35,IF(N28=L36,K36,IF(N28=L37,K37,IF(N28=L38,K38,"")))))))))))</f>
        <v/>
      </c>
      <c r="P28" s="1178" t="str">
        <f ca="1">IF(N28=L28,M28,IF(N28=L29,M29,IF(N28=L30,M30,IF(N28=L31,M31,IF(N28=L32,M32,IF(N28=L33,M33,IF(N28=L34,M34,IF(N28=L35,M35,IF(N28=L36,M36,IF(N28=L37,M37,IF(N28=L38,M38,"")))))))))))</f>
        <v/>
      </c>
      <c r="Q28" s="1171" t="str">
        <f t="shared" ca="1" si="2"/>
        <v/>
      </c>
      <c r="R28" s="1180" t="s">
        <v>903</v>
      </c>
      <c r="S28" s="1161" t="s">
        <v>904</v>
      </c>
    </row>
    <row r="29" spans="1:19" s="1161" customFormat="1" ht="31.5">
      <c r="A29" s="2353"/>
      <c r="B29" s="2354"/>
      <c r="C29" s="2353"/>
      <c r="D29" s="2354"/>
      <c r="E29" s="2355"/>
      <c r="F29" s="2354"/>
      <c r="G29" s="1165" t="s">
        <v>839</v>
      </c>
      <c r="H29" s="1165" t="s">
        <v>840</v>
      </c>
      <c r="I29" s="1165" t="s">
        <v>841</v>
      </c>
      <c r="J29" s="1198"/>
      <c r="K29" s="1166" t="s">
        <v>905</v>
      </c>
      <c r="L29" s="1167" t="s">
        <v>906</v>
      </c>
      <c r="M29" s="1182">
        <f t="shared" ref="M29:M34" ca="1" si="4">SUMIF($B$93:$I$102,L29,I$93:I$102)</f>
        <v>0</v>
      </c>
      <c r="N29" s="1169" t="str">
        <f ca="1">IF(AND(M29&lt;&gt;0,L29&lt;&gt;N28,L29&lt;&gt;N27,L29&lt;&gt;N26,L29&lt;&gt;N25,L29&lt;&gt;N24,L29&lt;&gt;N23,L29&lt;&gt;N22,L29&lt;&gt;N21,L29&lt;&gt;N20,L29&lt;&gt;N19,L29&lt;&gt;N18,L29&lt;&gt;N17,L29&lt;&gt;N16,L29&lt;&gt;N15,L29&lt;&gt;N14,L29&lt;&gt;N13,L29&lt;&gt;N12,L29&lt;&gt;N11,L29&lt;&gt;N10,L29&lt;&gt;N9,L29&lt;&gt;N8),L29,IF(AND(M30&lt;&gt;0,L30&lt;&gt;N28,L30&lt;&gt;N27,L30&lt;&gt;N26,L30&lt;&gt;N25,L30&lt;&gt;N24,L30&lt;&gt;N23,L30&lt;&gt;N22,L30&lt;&gt;N21,L30&lt;&gt;N20,L30&lt;&gt;N19,L30&lt;&gt;N18,L30&lt;&gt;N17,L30&lt;&gt;N16,L30&lt;&gt;N15,L30&lt;&gt;N14,L30&lt;&gt;N13,L30&lt;&gt;N12,L30&lt;&gt;N11,L30&lt;&gt;N10,L30&lt;&gt;N9,L30&lt;&gt;N8),L30,IF(AND(M31&lt;&gt;0,L31&lt;&gt;N28,L31&lt;&gt;N27,L31&lt;&gt;N26,L31&lt;&gt;N25,L31&lt;&gt;N24,L31&lt;&gt;N23,L31&lt;&gt;N22,L31&lt;&gt;N21,L31&lt;&gt;N20,L31&lt;&gt;N19,L31&lt;&gt;N18,L31&lt;&gt;N17,L31&lt;&gt;N16,L31&lt;&gt;N15,L31&lt;&gt;N14,L31&lt;&gt;N13,L31&lt;&gt;N12,L31&lt;&gt;N11,L31&lt;&gt;N10,L31&lt;&gt;N9,L31&lt;&gt;N8),L31,IF(AND(M32&lt;&gt;0,L32&lt;&gt;N28,L32&lt;&gt;N27,L32&lt;&gt;N26,L32&lt;&gt;N25,L32&lt;&gt;N24,L32&lt;&gt;N23,L32&lt;&gt;N22,L32&lt;&gt;N21,L32&lt;&gt;N20,L32&lt;&gt;N19,L32&lt;&gt;N18,L32&lt;&gt;N17,L32&lt;&gt;N16,L32&lt;&gt;N15,L32&lt;&gt;N14,L32&lt;&gt;N13,L32&lt;&gt;N12,L32&lt;&gt;N11,L32&lt;&gt;N10,L32&lt;&gt;N9,L32&lt;&gt;N8),L32,IF(AND(M33&lt;&gt;0,L33&lt;&gt;N28,L33&lt;&gt;N27,L33&lt;&gt;N26,L33&lt;&gt;N25,L33&lt;&gt;N24,L33&lt;&gt;N23,L33&lt;&gt;N22,L33&lt;&gt;N21,L33&lt;&gt;N20,L33&lt;&gt;N19,L33&lt;&gt;N18,L33&lt;&gt;N17,L33&lt;&gt;N16,L33&lt;&gt;N15,L33&lt;&gt;N14,L33&lt;&gt;N13,L33&lt;&gt;N12,L33&lt;&gt;N11,L33&lt;&gt;N10,L33&lt;&gt;N9,L33&lt;&gt;N8),L33,IF(AND(M34&lt;&gt;0,L34&lt;&gt;N28,L34&lt;&gt;N27,L34&lt;&gt;N26,L34&lt;&gt;N25,L34&lt;&gt;N24,L34&lt;&gt;N23,L34&lt;&gt;N22,L34&lt;&gt;N21,L34&lt;&gt;N20,L34&lt;&gt;N19,L34&lt;&gt;N18,L34&lt;&gt;N17,L34&lt;&gt;N16,L34&lt;&gt;N15,L34&lt;&gt;N14,L34&lt;&gt;N13,L34&lt;&gt;N12,L34&lt;&gt;N11,L34&lt;&gt;N10,L34&lt;&gt;N9,L34&lt;&gt;N8),L34,IF(AND(M35&lt;&gt;0,L35&lt;&gt;N28,L35&lt;&gt;N27,L35&lt;&gt;N26,L35&lt;&gt;N25,L35&lt;&gt;N24,L35&lt;&gt;N23,L35&lt;&gt;N22,L35&lt;&gt;N21,L35&lt;&gt;N20,L35&lt;&gt;N19,L35&lt;&gt;N18,L35&lt;&gt;N17,L35&lt;&gt;N16,L35&lt;&gt;N15,L35&lt;&gt;N14,L35&lt;&gt;N13,L35&lt;&gt;N12,L35&lt;&gt;N11,L35&lt;&gt;N10,L35&lt;&gt;N9,L35&lt;&gt;N8),L35,IF(AND(M36&lt;&gt;0,L36&lt;&gt;N28,L36&lt;&gt;N27,L36&lt;&gt;N26,L36&lt;&gt;N25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28,L37&lt;&gt;N27,L37&lt;&gt;N26,L37&lt;&gt;N25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28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)))))))))</f>
        <v/>
      </c>
      <c r="O29" s="1170" t="str">
        <f ca="1">IF(N29=L29,K29,IF(N29=L30,K30,IF(N29=L31,K31,IF(N29=L32,K32,IF(N29=L33,K33,IF(N29=L34,K34,IF(N29=L35,K35,IF(N29=L36,K36,IF(N29=L37,K37,IF(N29=L38,K38,""))))))))))</f>
        <v/>
      </c>
      <c r="P29" s="1178" t="str">
        <f ca="1">IF(N29=L29,M29,IF(N29=L30,M30,IF(N29=L31,M31,IF(N29=L32,M32,IF(N29=L33,M33,IF(N29=L34,M34,IF(N29=L35,M35,IF(N29=L36,M36,IF(N29=L37,M37,IF(N29=L38,M38,""))))))))))</f>
        <v/>
      </c>
      <c r="Q29" s="1171" t="str">
        <f t="shared" ca="1" si="2"/>
        <v/>
      </c>
      <c r="R29" s="1167" t="s">
        <v>906</v>
      </c>
      <c r="S29" s="1161" t="s">
        <v>907</v>
      </c>
    </row>
    <row r="30" spans="1:19" s="1172" customFormat="1" ht="21.75" customHeight="1">
      <c r="A30" s="1738">
        <v>1</v>
      </c>
      <c r="B30" s="1739" t="str">
        <f t="shared" ref="B30:B40" si="5">IF(C30="","",VLOOKUP(C30,$K$13:$L$15,2,0))</f>
        <v/>
      </c>
      <c r="C30" s="1740"/>
      <c r="D30" s="1740"/>
      <c r="E30" s="1849"/>
      <c r="F30" s="1741"/>
      <c r="G30" s="1742"/>
      <c r="H30" s="1743"/>
      <c r="I30" s="1744">
        <f>G30*H30</f>
        <v>0</v>
      </c>
      <c r="K30" s="1173" t="s">
        <v>908</v>
      </c>
      <c r="L30" s="1174" t="s">
        <v>909</v>
      </c>
      <c r="M30" s="1175">
        <f t="shared" ca="1" si="4"/>
        <v>0</v>
      </c>
      <c r="N30" s="1176" t="str">
        <f ca="1">IF(AND(M30&lt;&gt;0,L30&lt;&gt;N29,L30&lt;&gt;N28,L30&lt;&gt;N27,L30&lt;&gt;N26,L30&lt;&gt;N25,L30&lt;&gt;N24,L30&lt;&gt;N23,L30&lt;&gt;N22,L30&lt;&gt;N21,L30&lt;&gt;N20,L30&lt;&gt;N19,L30&lt;&gt;N18,L30&lt;&gt;N17,L30&lt;&gt;N16,L30&lt;&gt;N15,L30&lt;&gt;N14,L30&lt;&gt;N13,L30&lt;&gt;N12,L30&lt;&gt;N11,L30&lt;&gt;N10,L30&lt;&gt;N9,L30&lt;&gt;N8),L30,IF(AND(M31&lt;&gt;0,L31&lt;&gt;N29,L31&lt;&gt;N28,L31&lt;&gt;N27,L31&lt;&gt;N26,L31&lt;&gt;N25,L31&lt;&gt;N24,L31&lt;&gt;N23,L31&lt;&gt;N22,L31&lt;&gt;N21,L31&lt;&gt;N20,L31&lt;&gt;N19,L31&lt;&gt;N18,L31&lt;&gt;N17,L31&lt;&gt;N16,L31&lt;&gt;N15,L31&lt;&gt;N14,L31&lt;&gt;N13,L31&lt;&gt;N12,L31&lt;&gt;N11,L31&lt;&gt;N10,L31&lt;&gt;N9,L31&lt;&gt;N8),L31,IF(AND(M32&lt;&gt;0,L32&lt;&gt;N29,L32&lt;&gt;N28,L32&lt;&gt;N27,L32&lt;&gt;N26,L32&lt;&gt;N25,L32&lt;&gt;N24,L32&lt;&gt;N23,L32&lt;&gt;N22,L32&lt;&gt;N21,L32&lt;&gt;N20,L32&lt;&gt;N19,L32&lt;&gt;N18,L32&lt;&gt;N17,L32&lt;&gt;N16,L32&lt;&gt;N15,L32&lt;&gt;N14,L32&lt;&gt;N13,L32&lt;&gt;N12,L32&lt;&gt;N11,L32&lt;&gt;N10,L32&lt;&gt;N9,L32&lt;&gt;N8),L32,IF(AND(M33&lt;&gt;0,L33&lt;&gt;N29,L33&lt;&gt;N28,L33&lt;&gt;N27,L33&lt;&gt;N26,L33&lt;&gt;N25,L33&lt;&gt;N24,L33&lt;&gt;N23,L33&lt;&gt;N22,L33&lt;&gt;N21,L33&lt;&gt;N20,L33&lt;&gt;N19,L33&lt;&gt;N18,L33&lt;&gt;N17,L33&lt;&gt;N16,L33&lt;&gt;N15,L33&lt;&gt;N14,L33&lt;&gt;N13,L33&lt;&gt;N12,L33&lt;&gt;N11,L33&lt;&gt;N10,L33&lt;&gt;N9,L33&lt;&gt;N8),L33,IF(AND(M34&lt;&gt;0,L34&lt;&gt;N29,L34&lt;&gt;N28,L34&lt;&gt;N27,L34&lt;&gt;N26,L34&lt;&gt;N25,L34&lt;&gt;N24,L34&lt;&gt;N23,L34&lt;&gt;N22,L34&lt;&gt;N21,L34&lt;&gt;N20,L34&lt;&gt;N19,L34&lt;&gt;N18,L34&lt;&gt;N17,L34&lt;&gt;N16,L34&lt;&gt;N15,L34&lt;&gt;N14,L34&lt;&gt;N13,L34&lt;&gt;N12,L34&lt;&gt;N11,L34&lt;&gt;N10,L34&lt;&gt;N9,L34&lt;&gt;N8),L34,IF(AND(M35&lt;&gt;0,L35&lt;&gt;N29,L35&lt;&gt;N28,L35&lt;&gt;N27,L35&lt;&gt;N26,L35&lt;&gt;N25,L35&lt;&gt;N24,L35&lt;&gt;N23,L35&lt;&gt;N22,L35&lt;&gt;N21,L35&lt;&gt;N20,L35&lt;&gt;N19,L35&lt;&gt;N18,L35&lt;&gt;N17,L35&lt;&gt;N16,L35&lt;&gt;N15,L35&lt;&gt;N14,L35&lt;&gt;N13,L35&lt;&gt;N12,L35&lt;&gt;N11,L35&lt;&gt;N10,L35&lt;&gt;N9,L35&lt;&gt;N8),L35,IF(AND(M36&lt;&gt;0,L36&lt;&gt;N29,L36&lt;&gt;N28,L36&lt;&gt;N27,L36&lt;&gt;N26,L36&lt;&gt;N25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29,L37&lt;&gt;N28,L37&lt;&gt;N27,L37&lt;&gt;N26,L37&lt;&gt;N25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29,L38&lt;&gt;N28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))))))))</f>
        <v/>
      </c>
      <c r="O30" s="1177" t="str">
        <f ca="1">IF(N30=L30,K30,IF(N30=L31,K31,IF(N30=L32,K32,IF(N30=L33,K33,IF(N30=L34,K34,IF(N30=L35,K35,IF(N30=L36,K36,IF(N30=L37,K37,IF(N30=L38,K38,"")))))))))</f>
        <v/>
      </c>
      <c r="P30" s="1178" t="str">
        <f ca="1">IF(N30=L30,M30,IF(N30=L31,M31,IF(N30=L32,M32,IF(N30=L33,M33,IF(N30=L34,M34,IF(N30=L35,M35,IF(N30=L36,M36,IF(N30=L37,M37,IF(N30=L38,M38,"")))))))))</f>
        <v/>
      </c>
      <c r="Q30" s="1171" t="str">
        <f t="shared" ca="1" si="2"/>
        <v/>
      </c>
      <c r="R30" s="1174" t="s">
        <v>909</v>
      </c>
      <c r="S30" s="1172" t="s">
        <v>910</v>
      </c>
    </row>
    <row r="31" spans="1:19" s="1172" customFormat="1" ht="21.75" customHeight="1">
      <c r="A31" s="1738">
        <v>2</v>
      </c>
      <c r="B31" s="1739" t="str">
        <f t="shared" si="5"/>
        <v/>
      </c>
      <c r="C31" s="1740"/>
      <c r="D31" s="1740"/>
      <c r="E31" s="1849"/>
      <c r="F31" s="1741"/>
      <c r="G31" s="1742"/>
      <c r="H31" s="1743"/>
      <c r="I31" s="1744">
        <f t="shared" ref="I31:I40" si="6">G31*H31</f>
        <v>0</v>
      </c>
      <c r="K31" s="1173" t="s">
        <v>911</v>
      </c>
      <c r="L31" s="1174" t="s">
        <v>912</v>
      </c>
      <c r="M31" s="1175">
        <f t="shared" ca="1" si="4"/>
        <v>0</v>
      </c>
      <c r="N31" s="1176" t="str">
        <f ca="1">IF(AND(M31&lt;&gt;0,L31&lt;&gt;N30,L31&lt;&gt;N29,L31&lt;&gt;N28,L31&lt;&gt;N27,L31&lt;&gt;N26,L31&lt;&gt;N25,L31&lt;&gt;N24,L31&lt;&gt;N23,L31&lt;&gt;N22,L31&lt;&gt;N21,L31&lt;&gt;N20,L31&lt;&gt;N19,L31&lt;&gt;N18,L31&lt;&gt;N17,L31&lt;&gt;N16,L31&lt;&gt;N15,L31&lt;&gt;N14,L31&lt;&gt;N13,L31&lt;&gt;N12,L31&lt;&gt;N11,L31&lt;&gt;N10,L31&lt;&gt;P9,L31&lt;&gt;P8),L31,IF(AND(M32&lt;&gt;0,L32&lt;&gt;N30,L32&lt;&gt;N29,L32&lt;&gt;N28,L32&lt;&gt;N27,L32&lt;&gt;N26,L32&lt;&gt;N25,L32&lt;&gt;N24,L32&lt;&gt;N23,L32&lt;&gt;N22,L32&lt;&gt;N21,L32&lt;&gt;N20,L32&lt;&gt;N19,L32&lt;&gt;N18,L32&lt;&gt;N17,L32&lt;&gt;N16,L32&lt;&gt;N15,L32&lt;&gt;N14,L32&lt;&gt;N13,L32&lt;&gt;N12,L32&lt;&gt;N11,L32&lt;&gt;N10,L32&lt;&gt;P9,L32&lt;&gt;P8),L32,IF(AND(M33&lt;&gt;0,L33&lt;&gt;N30,L33&lt;&gt;N29,L33&lt;&gt;N28,L33&lt;&gt;N27,L33&lt;&gt;N26,L33&lt;&gt;N25,L33&lt;&gt;N24,L33&lt;&gt;N23,L33&lt;&gt;N22,L33&lt;&gt;N21,L33&lt;&gt;N20,L33&lt;&gt;N19,L33&lt;&gt;N18,L33&lt;&gt;N17,L33&lt;&gt;N16,L33&lt;&gt;N15,L33&lt;&gt;N14,L33&lt;&gt;N13,L33&lt;&gt;N12,L33&lt;&gt;N11,L33&lt;&gt;N10,L33&lt;&gt;P9,L33&lt;&gt;P8),L33,IF(AND(M34&lt;&gt;0,L34&lt;&gt;N30,L34&lt;&gt;N29,L34&lt;&gt;N28,L34&lt;&gt;N27,L34&lt;&gt;N26,L34&lt;&gt;N25,L34&lt;&gt;N24,L34&lt;&gt;N23,L34&lt;&gt;N22,L34&lt;&gt;N21,L34&lt;&gt;N20,L34&lt;&gt;N19,L34&lt;&gt;N18,L34&lt;&gt;N17,L34&lt;&gt;N16,L34&lt;&gt;N15,L34&lt;&gt;N14,L34&lt;&gt;N13,L34&lt;&gt;N12,L34&lt;&gt;N11,L34&lt;&gt;N10,L34&lt;&gt;P9,L34&lt;&gt;P8),L34,IF(AND(M35&lt;&gt;0,L35&lt;&gt;N30,L35&lt;&gt;N29,L35&lt;&gt;N28,L35&lt;&gt;N27,L35&lt;&gt;N26,L35&lt;&gt;N25,L35&lt;&gt;N24,L35&lt;&gt;N23,L35&lt;&gt;N22,L35&lt;&gt;N21,L35&lt;&gt;N20,L35&lt;&gt;N19,L35&lt;&gt;N18,L35&lt;&gt;N17,L35&lt;&gt;N16,L35&lt;&gt;N15,L35&lt;&gt;N14,L35&lt;&gt;N13,L35&lt;&gt;N12,L35&lt;&gt;N11,L35&lt;&gt;N10,L35&lt;&gt;P9,L35&lt;&gt;P8),L35,IF(AND(M36&lt;&gt;0,L36&lt;&gt;N30,L36&lt;&gt;N29,L36&lt;&gt;N28,L36&lt;&gt;N27,L36&lt;&gt;N26,L36&lt;&gt;N25,L36&lt;&gt;N24,L36&lt;&gt;N23,L36&lt;&gt;N22,L36&lt;&gt;N21,L36&lt;&gt;N20,L36&lt;&gt;N19,L36&lt;&gt;N18,L36&lt;&gt;N17,L36&lt;&gt;N16,L36&lt;&gt;N15,L36&lt;&gt;N14,L36&lt;&gt;N13,L36&lt;&gt;N12,L36&lt;&gt;N11,L36&lt;&gt;N10,L36&lt;&gt;P9,L36&lt;&gt;P8),L36,IF(AND(M37&lt;&gt;0,L37&lt;&gt;N30,L37&lt;&gt;N29,L37&lt;&gt;N28,L37&lt;&gt;N27,L37&lt;&gt;N26,L37&lt;&gt;N25,L37&lt;&gt;N24,L37&lt;&gt;N23,L37&lt;&gt;N22,L37&lt;&gt;N21,L37&lt;&gt;N20,L37&lt;&gt;N19,L37&lt;&gt;N18,L37&lt;&gt;N17,L37&lt;&gt;N16,L37&lt;&gt;N15,L37&lt;&gt;N14,L37&lt;&gt;N13,L37&lt;&gt;N12,L37&lt;&gt;N11,L37&lt;&gt;N10,L37&lt;&gt;P9,L37&lt;&gt;P8),L37,IF(AND(M38&lt;&gt;0,L38&lt;&gt;N30,L38&lt;&gt;N29,L38&lt;&gt;N28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P9,L38&gt;P8),L38,""))))))))</f>
        <v/>
      </c>
      <c r="O31" s="1177" t="str">
        <f ca="1">IF(N31=L31,K31,IF(N31=L32,K32,IF(N31=L33,K33,IF(N31=L34,K34,IF(N31=L35,K35,IF(N31=L36,K36,IF(N31=L37,K37,IF(N31=L38,K38,""))))))))</f>
        <v/>
      </c>
      <c r="P31" s="1178" t="str">
        <f ca="1">IF(N31=L31,M31,IF(N31=L32,M32,IF(N31=L33,M33,IF(N31=L34,M34,IF(N31=L35,M35,IF(N31=L36,M36,IF(N31=L37,M37,IF(N31=L38,M38,""))))))))</f>
        <v/>
      </c>
      <c r="Q31" s="1171" t="str">
        <f t="shared" ca="1" si="2"/>
        <v/>
      </c>
      <c r="R31" s="1174" t="s">
        <v>912</v>
      </c>
      <c r="S31" s="1172" t="s">
        <v>913</v>
      </c>
    </row>
    <row r="32" spans="1:19" s="1172" customFormat="1" ht="21.75" customHeight="1">
      <c r="A32" s="1738">
        <v>3</v>
      </c>
      <c r="B32" s="1739" t="str">
        <f t="shared" si="5"/>
        <v/>
      </c>
      <c r="C32" s="1740"/>
      <c r="D32" s="1740"/>
      <c r="E32" s="1849"/>
      <c r="F32" s="1741"/>
      <c r="G32" s="1742"/>
      <c r="H32" s="1743"/>
      <c r="I32" s="1744">
        <f t="shared" si="6"/>
        <v>0</v>
      </c>
      <c r="K32" s="1173" t="s">
        <v>914</v>
      </c>
      <c r="L32" s="1174" t="s">
        <v>915</v>
      </c>
      <c r="M32" s="1175">
        <f t="shared" ca="1" si="4"/>
        <v>0</v>
      </c>
      <c r="N32" s="1176" t="str">
        <f ca="1">IF(AND(M32&lt;&gt;0,L32&lt;&gt;N31,L32&lt;&gt;N30,L32&lt;&gt;N29,L32&lt;&gt;N28,L32&lt;&gt;N27,L32&lt;&gt;N26,L32&lt;&gt;N25,L32&lt;&gt;N24,L32&lt;&gt;N23,L32&lt;&gt;N22,L32&lt;&gt;N21,L32&lt;&gt;N20,L32&lt;&gt;N19,L32&lt;&gt;N18,L32&lt;&gt;N17,L32&lt;&gt;N16,L32&lt;&gt;N15,L32&lt;&gt;N14,L32&lt;&gt;N13,L32&lt;&gt;N12,L32&lt;&gt;N11,L32&lt;&gt;N10,L32&lt;&gt;N9,L32&lt;&gt;N8),L32,IF(AND(M33&lt;&gt;0,L33&lt;&gt;N31,L33&lt;&gt;N30,L33&lt;&gt;N29,L33&lt;&gt;N28,L33&lt;&gt;N27,L33&lt;&gt;N26,L33&lt;&gt;N25,L33&lt;&gt;N24,L33&lt;&gt;N23,L33&lt;&gt;N22,L33&lt;&gt;N21,L33&lt;&gt;N20,L33&lt;&gt;N19,L33&lt;&gt;N18,L33&lt;&gt;N17,L33&lt;&gt;N16,L33&lt;&gt;N15,L33&lt;&gt;N14,L33&lt;&gt;N13,L33&lt;&gt;N12,L33&lt;&gt;N11,L33&lt;&gt;N10,L33&lt;&gt;N9,L33&lt;&gt;N8),L33,IF(AND(M34&lt;&gt;0,L34&lt;&gt;N31,L34&lt;&gt;N30,L34&lt;&gt;N29,L34&lt;&gt;N28,L34&lt;&gt;N27,L34&lt;&gt;N26,L34&lt;&gt;N25,L34&lt;&gt;N24,L34&lt;&gt;N23,L34&lt;&gt;N22,L34&lt;&gt;N21,L34&lt;&gt;N20,L34&lt;&gt;N19,L34&lt;&gt;N18,L34&lt;&gt;N17,L34&lt;&gt;N16,L34&lt;&gt;N15,L34&lt;&gt;N14,L34&lt;&gt;N13,L34&lt;&gt;N12,L34&lt;&gt;N11,L34&lt;&gt;N10,L34&lt;&gt;N9,L34&lt;&gt;N8),L34,IF(AND(M35&lt;&gt;0,L35&lt;&gt;N31,L35&lt;&gt;N30,L35&lt;&gt;N29,L35&lt;&gt;N28,L35&lt;&gt;N27,L35&lt;&gt;N26,L35&lt;&gt;N25,L35&lt;&gt;N24,L35&lt;&gt;N23,L35&lt;&gt;N22,L35&lt;&gt;N21,L35&lt;&gt;N20,L35&lt;&gt;N19,L35&lt;&gt;N18,L35&lt;&gt;N17,L35&lt;&gt;N16,L35&lt;&gt;N15,L35&lt;&gt;N14,L35&lt;&gt;N13,L35&lt;&gt;N12,L35&lt;&gt;N11,L35&lt;&gt;N10,L35&lt;&gt;N9,L35&lt;&gt;N8),L35,IF(AND(M36&lt;&gt;0,L36&lt;&gt;N31,L36&lt;&gt;N30,L36&lt;&gt;N29,L36&lt;&gt;N28,L36&lt;&gt;N27,L36&lt;&gt;N26,L36&lt;&gt;N25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31,L37&lt;&gt;N30,L37&lt;&gt;N29,L37&lt;&gt;N28,L37&lt;&gt;N27,L37&lt;&gt;N26,L37&lt;&gt;N25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31,L38&lt;&gt;N30,L38&lt;&gt;N29,L38&lt;&gt;N28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))))))</f>
        <v/>
      </c>
      <c r="O32" s="1177" t="str">
        <f ca="1">IF(N32=L32,K32,IF(N32=L33,K33,IF(N32=L34,K34,IF(N32=L35,K35,IF(N32=L36,K36,IF(N32=L37,K37,IF(N32=L38,K38,"")))))))</f>
        <v/>
      </c>
      <c r="P32" s="1178" t="str">
        <f ca="1">IF(N32=L32,M32,IF(N32=L33,M33,IF(N32=L34,M34,IF(N32=L35,M35,IF(N32=L36,M36,IF(N32=L37,M37,IF(N32=L38,M38,"")))))))</f>
        <v/>
      </c>
      <c r="Q32" s="1171" t="str">
        <f t="shared" ca="1" si="2"/>
        <v/>
      </c>
      <c r="R32" s="1174" t="s">
        <v>915</v>
      </c>
      <c r="S32" s="1172" t="s">
        <v>916</v>
      </c>
    </row>
    <row r="33" spans="1:19" s="1172" customFormat="1" ht="21.75" customHeight="1">
      <c r="A33" s="1738">
        <v>4</v>
      </c>
      <c r="B33" s="1739" t="str">
        <f t="shared" si="5"/>
        <v/>
      </c>
      <c r="C33" s="1740"/>
      <c r="D33" s="1740"/>
      <c r="E33" s="1849"/>
      <c r="F33" s="1741"/>
      <c r="G33" s="1742"/>
      <c r="H33" s="1743"/>
      <c r="I33" s="1744">
        <f t="shared" si="6"/>
        <v>0</v>
      </c>
      <c r="K33" s="1173" t="s">
        <v>917</v>
      </c>
      <c r="L33" s="1174" t="s">
        <v>918</v>
      </c>
      <c r="M33" s="1175">
        <f t="shared" ca="1" si="4"/>
        <v>0</v>
      </c>
      <c r="N33" s="1176" t="str">
        <f ca="1">IF(AND(M33&lt;&gt;0,L33&lt;&gt;N32,L33&lt;&gt;N31,L33&lt;&gt;N30,L33&lt;&gt;N29,L33&lt;&gt;N28,L33&lt;&gt;N27,L33&lt;&gt;N26,L33&lt;&gt;N25,L33&lt;&gt;N24,L33&lt;&gt;N23,L33&lt;&gt;N22,L33&lt;&gt;N21,L33&lt;&gt;N20,L33&lt;&gt;N19,L33&lt;&gt;N18,L33&lt;&gt;N17,L33&lt;&gt;N16,L33&lt;&gt;N15,L33&lt;&gt;N14,L33&lt;&gt;N13,L33&lt;&gt;N12,L33&lt;&gt;N11,L33&lt;&gt;N10,L33&lt;&gt;N9,L33&lt;&gt;N8),L33,IF(AND(M34&lt;&gt;0,L34&lt;&gt;N32,L34&lt;&gt;N31,L34&lt;&gt;N30,L34&lt;&gt;N29,L34&lt;&gt;N28,L34&lt;&gt;N27,L34&lt;&gt;N26,L34&lt;&gt;N25,L34&lt;&gt;N24,L34&lt;&gt;N23,L34&lt;&gt;N22,L34&lt;&gt;N21,L34&lt;&gt;N20,L34&lt;&gt;N19,L34&lt;&gt;N18,L34&lt;&gt;N17,L34&lt;&gt;N16,L34&lt;&gt;N15,L34&lt;&gt;N14,L34&lt;&gt;N13,L34&lt;&gt;N12,L34&lt;&gt;N11,L34&lt;&gt;N10,L34&lt;&gt;N9,L34&lt;&gt;N8),L34,IF(AND(M35&lt;&gt;0,L35&lt;&gt;N32,L35&lt;&gt;N31,L35&lt;&gt;N30,L35&lt;&gt;N29,L35&lt;&gt;N28,L35&lt;&gt;N27,L35&lt;&gt;N26,L35&lt;&gt;N25,L35&lt;&gt;N24,L35&lt;&gt;N23,L35&lt;&gt;N22,L35&lt;&gt;N21,L35&lt;&gt;N20,L35&lt;&gt;N19,L35&lt;&gt;N18,L35&lt;&gt;N17,L35&lt;&gt;N16,L35&lt;&gt;N15,L35&lt;&gt;N14,L35&lt;&gt;N13,L35&lt;&gt;N12,L35&lt;&gt;N11,L35&lt;&gt;N10,L35&lt;&gt;N9,L35&lt;&gt;N8),L35,IF(AND(M36&lt;&gt;0,L36&lt;&gt;N32,L36&lt;&gt;N31,L36&lt;&gt;N30,L36&lt;&gt;N29,L36&lt;&gt;N28,L36&lt;&gt;N27,L36&lt;&gt;N26,L36&lt;&gt;N25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32,L37&lt;&gt;N31,L37&lt;&gt;N30,L37&lt;&gt;N29,L37&lt;&gt;N28,L37&lt;&gt;N27,L37&lt;&gt;N26,L37&lt;&gt;N25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32,L38&lt;&gt;N31,L38&lt;&gt;N30,L38&lt;&gt;N29,L38&lt;&gt;N28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)))))</f>
        <v/>
      </c>
      <c r="O33" s="1177" t="str">
        <f ca="1">IF(N33=L33,K33,IF(N33=L34,K34,IF(N33=L35,K35,IF(N33=L36,K36,IF(N33=L37,K37,IF(N33=L38,K38,""))))))</f>
        <v/>
      </c>
      <c r="P33" s="1178" t="str">
        <f ca="1">IF(N33=L33,M33,IF(N33=L34,M34,IF(N33=L35,M35,IF(N33=L36,M36,IF(N33=L37,M37,IF(N33=L38,M38,""))))))</f>
        <v/>
      </c>
      <c r="Q33" s="1171" t="str">
        <f t="shared" ca="1" si="2"/>
        <v/>
      </c>
      <c r="R33" s="1174" t="s">
        <v>918</v>
      </c>
      <c r="S33" s="1172" t="s">
        <v>919</v>
      </c>
    </row>
    <row r="34" spans="1:19" s="1172" customFormat="1" ht="21.75" customHeight="1" thickBot="1">
      <c r="A34" s="1738">
        <v>5</v>
      </c>
      <c r="B34" s="1739" t="str">
        <f t="shared" si="5"/>
        <v/>
      </c>
      <c r="C34" s="1740"/>
      <c r="D34" s="1740"/>
      <c r="E34" s="1849"/>
      <c r="F34" s="1741"/>
      <c r="G34" s="1742"/>
      <c r="H34" s="1743"/>
      <c r="I34" s="1744">
        <f t="shared" si="6"/>
        <v>0</v>
      </c>
      <c r="K34" s="1179" t="s">
        <v>920</v>
      </c>
      <c r="L34" s="1180" t="s">
        <v>921</v>
      </c>
      <c r="M34" s="1181">
        <f t="shared" ca="1" si="4"/>
        <v>0</v>
      </c>
      <c r="N34" s="1176" t="str">
        <f ca="1">IF(AND(M34&lt;&gt;0,L34&lt;&gt;N33,L34&lt;&gt;N32,L34&lt;&gt;N31,L34&lt;&gt;N30,L34&lt;&gt;N29,L34&lt;&gt;N28,L34&lt;&gt;N27,L34&lt;&gt;N26,L34&lt;&gt;N25,L34&lt;&gt;N24,L34&lt;&gt;N23,L34&lt;&gt;N22,L34&lt;&gt;N21,L34&lt;&gt;N20,L34&lt;&gt;N19,L34&lt;&gt;N18,L34&lt;&gt;N17,L34&lt;&gt;N16,L34&lt;&gt;N15,L34&lt;&gt;N14,L34&lt;&gt;N13,L34&lt;&gt;N12,L34&lt;&gt;N11,L34&lt;&gt;N10,L34&lt;&gt;N9,L34&lt;&gt;N8),L34,IF(AND(M35&lt;&gt;0,L35&lt;&gt;N33,L35&lt;&gt;N32,L35&lt;&gt;N31,L35&lt;&gt;N30,L35&lt;&gt;N29,L35&lt;&gt;N28,L35&lt;&gt;N27,L35&lt;&gt;N26,L35&lt;&gt;N25,L35&lt;&gt;N24,L35&lt;&gt;N23,L35&lt;&gt;N22,L35&lt;&gt;N21,L35&lt;&gt;N20,L35&lt;&gt;N19,L35&lt;&gt;N18,L35&lt;&gt;N17,L35&lt;&gt;N16,L35&lt;&gt;N15,L35&lt;&gt;N14,L35&lt;&gt;N13,L35&lt;&gt;N12,L35&lt;&gt;N11,L35&lt;&gt;N10,L35&lt;&gt;N9,L35&lt;&gt;N8),L35,IF(AND(M36&lt;&gt;0,L36&lt;&gt;N33,L36&lt;&gt;N32,L36&lt;&gt;N31,L36&lt;&gt;N30,L36&lt;&gt;N29,L36&lt;&gt;N28,L36&lt;&gt;N27,L36&lt;&gt;N26,L36&lt;&gt;N25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33,L37&lt;&gt;N32,L37&lt;&gt;N31,L37&lt;&gt;N30,L37&lt;&gt;N29,L37&lt;&gt;N28,L37&lt;&gt;N27,L37&lt;&gt;N26,L37&lt;&gt;N25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33,L38&lt;&gt;N32,L38&lt;&gt;N31,L38&lt;&gt;N30,L38&lt;&gt;N29,L38&lt;&gt;N28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))))</f>
        <v/>
      </c>
      <c r="O34" s="1177" t="str">
        <f ca="1">IF(N34=L34,K34,IF(N34=L35,K35,IF(N34=L36,K36,IF(N34=L37,K37,IF(N34=L38,K38,"")))))</f>
        <v/>
      </c>
      <c r="P34" s="1178" t="str">
        <f ca="1">IF(N34=L34,M34,IF(N34=L35,M35,IF(N34=L36,M36,IF(N34=L37,M37,IF(N34=L38,M38,"")))))</f>
        <v/>
      </c>
      <c r="Q34" s="1171" t="str">
        <f t="shared" ca="1" si="2"/>
        <v/>
      </c>
      <c r="R34" s="1180" t="s">
        <v>921</v>
      </c>
      <c r="S34" s="1172" t="s">
        <v>922</v>
      </c>
    </row>
    <row r="35" spans="1:19" s="1172" customFormat="1" ht="21.75" customHeight="1">
      <c r="A35" s="1738">
        <v>6</v>
      </c>
      <c r="B35" s="1739" t="str">
        <f t="shared" si="5"/>
        <v/>
      </c>
      <c r="C35" s="1740"/>
      <c r="D35" s="1740"/>
      <c r="E35" s="1849"/>
      <c r="F35" s="1741"/>
      <c r="G35" s="1742"/>
      <c r="H35" s="1743"/>
      <c r="I35" s="1744">
        <f t="shared" si="6"/>
        <v>0</v>
      </c>
      <c r="K35" s="1166" t="s">
        <v>923</v>
      </c>
      <c r="L35" s="1167" t="s">
        <v>924</v>
      </c>
      <c r="M35" s="1182">
        <f ca="1">SUMIF($B$114:$I$123,L35,$I$114:$I$123)</f>
        <v>0</v>
      </c>
      <c r="N35" s="1176" t="str">
        <f ca="1">IF(AND(M35&lt;&gt;0,L35&lt;&gt;N34,L35&lt;&gt;N33,L35&lt;&gt;N32,L35&lt;&gt;N31,L35&lt;&gt;N30,L35&lt;&gt;N29,L35&lt;&gt;N28,L35&lt;&gt;N27,L35&lt;&gt;N26,L35&lt;&gt;N25,L35&lt;&gt;N24,L35&lt;&gt;N23,L35&lt;&gt;N22,L35&lt;&gt;N21,L35&lt;&gt;N20,L35&lt;&gt;N19,L35&lt;&gt;N18,L35&lt;&gt;N17,L35&lt;&gt;N16,L35&lt;&gt;N15,L35&lt;&gt;N14,L35&lt;&gt;N13,L35&lt;&gt;N12,L35&lt;&gt;N11,L35&lt;&gt;N10,L35&lt;&gt;N9,L35&lt;&gt;N8),L35,IF(AND(M36&lt;&gt;0,L36&lt;&gt;N34,L36&lt;&gt;N33,L36&lt;&gt;N32,L36&lt;&gt;N31,L36&lt;&gt;N30,L36&lt;&gt;N29,L36&lt;&gt;N28,L36&lt;&gt;N27,L36&lt;&gt;N26,L36&lt;&gt;N25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34,L37&lt;&gt;N33,L37&lt;&gt;N32,L37&lt;&gt;N31,L37&lt;&gt;N30,L37&lt;&gt;N29,L37&lt;&gt;N28,L37&lt;&gt;N27,L37&lt;&gt;N26,L37&lt;&gt;N25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34,L38&lt;&gt;N33,L38&lt;&gt;N32,L38&lt;&gt;N31,L38&lt;&gt;N30,L38&lt;&gt;N29,L38&lt;&gt;N28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)))</f>
        <v/>
      </c>
      <c r="O35" s="1177" t="str">
        <f ca="1">IF(N35=L35,K35,IF(N35=L36,K36,IF(N35=L37,K37,IF(N35=L38,K38,""))))</f>
        <v/>
      </c>
      <c r="P35" s="1178" t="str">
        <f ca="1">IF(N35=L35,M35,IF(N35=L36,M36,IF(N35=L37,M37,IF(N35=L38,M38,""))))</f>
        <v/>
      </c>
      <c r="Q35" s="1171" t="str">
        <f t="shared" ca="1" si="2"/>
        <v/>
      </c>
      <c r="R35" s="1167" t="s">
        <v>924</v>
      </c>
      <c r="S35" s="1172" t="s">
        <v>925</v>
      </c>
    </row>
    <row r="36" spans="1:19" s="1172" customFormat="1" ht="21.75" customHeight="1">
      <c r="A36" s="1738">
        <v>7</v>
      </c>
      <c r="B36" s="1739" t="str">
        <f t="shared" si="5"/>
        <v/>
      </c>
      <c r="C36" s="1740"/>
      <c r="D36" s="1740"/>
      <c r="E36" s="1849"/>
      <c r="F36" s="1741"/>
      <c r="G36" s="1742"/>
      <c r="H36" s="1743"/>
      <c r="I36" s="1744">
        <f t="shared" si="6"/>
        <v>0</v>
      </c>
      <c r="K36" s="1183" t="s">
        <v>926</v>
      </c>
      <c r="L36" s="1184" t="s">
        <v>927</v>
      </c>
      <c r="M36" s="1175">
        <f t="shared" ref="M36:M38" ca="1" si="7">SUMIF($B$114:$I$123,L36,$I$114:$I$123)</f>
        <v>0</v>
      </c>
      <c r="N36" s="1176" t="str">
        <f ca="1">IF(AND(M36&lt;&gt;0,L36&lt;&gt;N35,L36&lt;&gt;N34,L36&lt;&gt;N33,L36&lt;&gt;N32,L36&lt;&gt;N31,L36&lt;&gt;N30,L36&lt;&gt;N29,L36&lt;&gt;N28,L36&lt;&gt;N27,L36&lt;&gt;N26,L36&lt;&gt;N25,L36&lt;&gt;N24,L36&lt;&gt;N23,L36&lt;&gt;N22,L36&lt;&gt;N21,L36&lt;&gt;N20,L36&lt;&gt;N19,L36&lt;&gt;N18,L36&lt;&gt;N17,L36&lt;&gt;N16,L36&lt;&gt;N15,L36&lt;&gt;N14,L36&lt;&gt;N13,L36&lt;&gt;N12,L36&lt;&gt;N11,L36&lt;&gt;N10,L36&lt;&gt;N9,L36&lt;&gt;N8),L36,IF(AND(M37&lt;&gt;0,L37&lt;&gt;N35,L37&lt;&gt;N34,L37&lt;&gt;N33,L37&lt;&gt;N32,L37&lt;&gt;N31,L37&lt;&gt;N30,L37&lt;&gt;N29,L37&lt;&gt;N28,L37&lt;&gt;N27,L37&lt;&gt;N26,L37&lt;&gt;N25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35,L38&lt;&gt;N34,L38&lt;&gt;N33,L38&lt;&gt;N32,L38&lt;&gt;N31,L38&lt;&gt;N30,L38&lt;&gt;N29,L38&lt;&gt;N28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))</f>
        <v/>
      </c>
      <c r="O36" s="1177" t="str">
        <f ca="1">IF(N36=L36,K36,IF(N36=L37,K37,IF(N36=L38,K38,"")))</f>
        <v/>
      </c>
      <c r="P36" s="1178" t="str">
        <f ca="1">IF(N36=L36,M36,IF(N36=L37,M37,IF(N36=L38,M38,"")))</f>
        <v/>
      </c>
      <c r="Q36" s="1171" t="str">
        <f t="shared" ca="1" si="2"/>
        <v/>
      </c>
      <c r="R36" s="1184" t="s">
        <v>927</v>
      </c>
      <c r="S36" s="1172" t="s">
        <v>928</v>
      </c>
    </row>
    <row r="37" spans="1:19" s="1172" customFormat="1" ht="21.75" customHeight="1">
      <c r="A37" s="1738">
        <v>8</v>
      </c>
      <c r="B37" s="1739" t="str">
        <f t="shared" si="5"/>
        <v/>
      </c>
      <c r="C37" s="1740"/>
      <c r="D37" s="1740"/>
      <c r="E37" s="1849"/>
      <c r="F37" s="1741"/>
      <c r="G37" s="1742"/>
      <c r="H37" s="1743"/>
      <c r="I37" s="1744">
        <f t="shared" si="6"/>
        <v>0</v>
      </c>
      <c r="K37" s="1173" t="s">
        <v>929</v>
      </c>
      <c r="L37" s="1174" t="s">
        <v>930</v>
      </c>
      <c r="M37" s="1175">
        <f t="shared" ca="1" si="7"/>
        <v>0</v>
      </c>
      <c r="N37" s="1176" t="str">
        <f ca="1">IF(AND(M37&lt;&gt;0,L37&lt;&gt;N36,L37&lt;&gt;N35,L37&lt;&gt;N34,L37&lt;&gt;N33,L37&lt;&gt;N32,L37&lt;&gt;N31,L37&lt;&gt;N30,L37&lt;&gt;N29,L37&lt;&gt;N28,L37&lt;&gt;N27,L37&lt;&gt;N26,L37&lt;&gt;N25,L37&lt;&gt;N24,L37&lt;&gt;N23,L37&lt;&gt;N22,L37&lt;&gt;N21,L37&lt;&gt;N20,L37&lt;&gt;N19,L37&lt;&gt;N18,L37&lt;&gt;N17,L37&lt;&gt;N16,L37&lt;&gt;N15,L37&lt;&gt;N14,L37&lt;&gt;N13,L37&lt;&gt;N12,L37&lt;&gt;N11,L37&lt;&gt;N10,L37&lt;&gt;N9,L37&lt;&gt;N8),L37,IF(AND(M38&lt;&gt;0,L38&lt;&gt;N36,L38&lt;&gt;N35,L38&lt;&gt;N34,L38&lt;&gt;N33,L38&lt;&gt;N32,L38&lt;&gt;N31,L38&lt;&gt;N30,L38&lt;&gt;N29,L38&lt;&gt;N28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)</f>
        <v/>
      </c>
      <c r="O37" s="1177" t="str">
        <f ca="1">IF(N37=L37,K37,IF(N37=L38,K38,""))</f>
        <v/>
      </c>
      <c r="P37" s="1178" t="str">
        <f ca="1">IF(N37=L37,M37,IF(N37=L38,M38,""))</f>
        <v/>
      </c>
      <c r="Q37" s="1171" t="str">
        <f t="shared" ca="1" si="2"/>
        <v/>
      </c>
      <c r="R37" s="1174" t="s">
        <v>930</v>
      </c>
      <c r="S37" s="1172" t="s">
        <v>931</v>
      </c>
    </row>
    <row r="38" spans="1:19" s="1172" customFormat="1" ht="21.75" customHeight="1" thickBot="1">
      <c r="A38" s="1738">
        <v>9</v>
      </c>
      <c r="B38" s="1739" t="str">
        <f t="shared" si="5"/>
        <v/>
      </c>
      <c r="C38" s="1740"/>
      <c r="D38" s="1740"/>
      <c r="E38" s="1849"/>
      <c r="F38" s="1741"/>
      <c r="G38" s="1742"/>
      <c r="H38" s="1743"/>
      <c r="I38" s="1744">
        <f t="shared" si="6"/>
        <v>0</v>
      </c>
      <c r="K38" s="1179" t="s">
        <v>932</v>
      </c>
      <c r="L38" s="1180" t="s">
        <v>933</v>
      </c>
      <c r="M38" s="1181">
        <f t="shared" ca="1" si="7"/>
        <v>0</v>
      </c>
      <c r="N38" s="1176" t="str">
        <f ca="1">IF(AND(M38&lt;&gt;0,L38&lt;&gt;N37,L38&lt;&gt;N36,L38&lt;&gt;N35,L38&lt;&gt;N34,L38&lt;&gt;N33,L38&lt;&gt;N32,L38&lt;&gt;N31,L38&lt;&gt;N30,L38&lt;&gt;N29,L38&lt;&gt;N28,L38&lt;&gt;N27,L38&lt;&gt;N26,L38&lt;&gt;N25,L38&lt;&gt;N24,L38&lt;&gt;N23,L38&lt;&gt;N22,L38&lt;&gt;N21,L38&lt;&gt;N20,L38&lt;&gt;N19,L38&lt;&gt;N18,L38&lt;&gt;N17,L38&lt;&gt;N16,L38&lt;&gt;N15,L38&lt;&gt;N14,L38&lt;&gt;N13,L38&lt;&gt;N12,L38&lt;&gt;N11,L38&lt;&gt;N10,L38&lt;&gt;N9,L38&lt;&gt;N8),L38,"")</f>
        <v/>
      </c>
      <c r="O38" s="1177" t="str">
        <f ca="1">IF(N38=L38,K38,"")</f>
        <v/>
      </c>
      <c r="P38" s="1178" t="str">
        <f ca="1">IF(N38=L38,M38,"")</f>
        <v/>
      </c>
      <c r="Q38" s="1171" t="str">
        <f t="shared" ca="1" si="2"/>
        <v/>
      </c>
      <c r="R38" s="1180" t="s">
        <v>933</v>
      </c>
      <c r="S38" s="1172" t="s">
        <v>934</v>
      </c>
    </row>
    <row r="39" spans="1:19" s="1172" customFormat="1" ht="21.75" customHeight="1" thickBot="1">
      <c r="A39" s="1738">
        <v>10</v>
      </c>
      <c r="B39" s="1739" t="str">
        <f t="shared" si="5"/>
        <v/>
      </c>
      <c r="C39" s="1740"/>
      <c r="D39" s="1740"/>
      <c r="E39" s="1849"/>
      <c r="F39" s="1741"/>
      <c r="G39" s="1742"/>
      <c r="H39" s="1743"/>
      <c r="I39" s="1744">
        <f t="shared" si="6"/>
        <v>0</v>
      </c>
      <c r="K39" s="2357" t="s">
        <v>935</v>
      </c>
      <c r="L39" s="2357"/>
      <c r="M39" s="2357"/>
      <c r="N39" s="1159"/>
      <c r="O39" s="1191"/>
      <c r="P39" s="1160"/>
      <c r="Q39" s="1160"/>
    </row>
    <row r="40" spans="1:19" s="1172" customFormat="1" ht="21.75" customHeight="1">
      <c r="A40" s="1738">
        <v>11</v>
      </c>
      <c r="B40" s="1739" t="str">
        <f t="shared" si="5"/>
        <v/>
      </c>
      <c r="C40" s="1740"/>
      <c r="D40" s="1740"/>
      <c r="E40" s="1849"/>
      <c r="F40" s="1741"/>
      <c r="G40" s="1742"/>
      <c r="H40" s="1743"/>
      <c r="I40" s="1744">
        <f t="shared" si="6"/>
        <v>0</v>
      </c>
      <c r="K40" s="1166" t="s">
        <v>936</v>
      </c>
      <c r="L40" s="1167" t="s">
        <v>937</v>
      </c>
      <c r="M40" s="1182">
        <f ca="1">SUMIF($B$135:$I$144,L40,I$135:I$144)</f>
        <v>0</v>
      </c>
      <c r="N40" s="1176" t="str">
        <f ca="1">IF(P40="","",VLOOKUP(O40,K$40:L$47,2))</f>
        <v/>
      </c>
      <c r="O40" s="1199" t="str">
        <f ca="1">IF(AccPayable&lt;&gt;0,K40,IF(CreditCard&lt;&gt;0,K45,IF(LiabilitiesAffiliated&lt;&gt;0,K46,IF(OtherLiab&lt;&gt;0,K47,""))))</f>
        <v/>
      </c>
      <c r="P40" s="1200" t="str">
        <f ca="1">IF(AccPayable&lt;&gt;0,AccPayable,IF(CreditCard&lt;&gt;0,CreditCard,IF(LiabilitiesAffiliated&lt;&gt;0,LiabilitiesAffiliated,IF(OtherLiab&lt;&gt;0,OtherLiab,""))))</f>
        <v/>
      </c>
      <c r="Q40" s="1200" t="str">
        <f ca="1">IF(O40="","",VLOOKUP(O40,R$40:S$47,2))</f>
        <v/>
      </c>
      <c r="R40" s="1166" t="s">
        <v>936</v>
      </c>
      <c r="S40" s="1172" t="s">
        <v>938</v>
      </c>
    </row>
    <row r="41" spans="1:19" s="1172" customFormat="1" ht="21.75" customHeight="1">
      <c r="A41" s="1738">
        <v>12</v>
      </c>
      <c r="B41" s="1739" t="str">
        <f t="shared" ref="B41:B44" si="8">IF(C41="","",VLOOKUP(C41,$K$13:$L$15,2,0))</f>
        <v/>
      </c>
      <c r="C41" s="1740"/>
      <c r="D41" s="1740"/>
      <c r="E41" s="1849"/>
      <c r="F41" s="1741"/>
      <c r="G41" s="1742"/>
      <c r="H41" s="1743"/>
      <c r="I41" s="1744">
        <f t="shared" ref="I41:I44" si="9">G41*H41</f>
        <v>0</v>
      </c>
      <c r="K41" s="1173" t="s">
        <v>929</v>
      </c>
      <c r="L41" s="1174" t="s">
        <v>930</v>
      </c>
      <c r="M41" s="1175">
        <f t="shared" ref="M41:M42" ca="1" si="10">SUMIF($B$114:$I$123,L41,$I$114:$I$123)</f>
        <v>0</v>
      </c>
      <c r="N41" s="1176" t="str">
        <f ca="1">IF(AND(M41&lt;&gt;0,L41&lt;&gt;N40,L41&lt;&gt;N39,L41&lt;&gt;N38,L41&lt;&gt;N37,L41&lt;&gt;N36,L41&lt;&gt;N35,L41&lt;&gt;N34,L41&lt;&gt;N33,L41&lt;&gt;N32,L41&lt;&gt;N31,L41&lt;&gt;N30,L41&lt;&gt;N29,L41&lt;&gt;N28,L41&lt;&gt;N27,L41&lt;&gt;N26,L41&lt;&gt;N25,L41&lt;&gt;N24,L41&lt;&gt;N23,L41&lt;&gt;N22,L41&lt;&gt;N21,L41&lt;&gt;N20,L41&lt;&gt;N19,L41&lt;&gt;N18,L41&lt;&gt;N17,L41&lt;&gt;N16,L41&lt;&gt;N15,L41&lt;&gt;N14,L41&lt;&gt;N13,L41&lt;&gt;N12),L41,IF(AND(M42&lt;&gt;0,L42&lt;&gt;N40,L42&lt;&gt;N39,L42&lt;&gt;N38,L42&lt;&gt;N37,L42&lt;&gt;N36,L42&lt;&gt;N35,L42&lt;&gt;N34,L42&lt;&gt;N33,L42&lt;&gt;N32,L42&lt;&gt;N31,L42&lt;&gt;N30,L42&lt;&gt;N29,L42&lt;&gt;N28,L42&lt;&gt;N27,L42&lt;&gt;N26,L42&lt;&gt;N25,L42&lt;&gt;N24,L42&lt;&gt;N23,L42&lt;&gt;N22,L42&lt;&gt;N21,L42&lt;&gt;N20,L42&lt;&gt;N19,L42&lt;&gt;N18,L42&lt;&gt;N17,L42&lt;&gt;N16,L42&lt;&gt;N15,L42&lt;&gt;N14,L42&lt;&gt;N13,L42&lt;&gt;N12),L42,""))</f>
        <v/>
      </c>
      <c r="O41" s="1177" t="str">
        <f ca="1">IF(N41=L41,K41,IF(N41=L42,K42,""))</f>
        <v/>
      </c>
      <c r="P41" s="1178" t="str">
        <f ca="1">IF(N41=L41,M41,IF(N41=L42,M42,""))</f>
        <v/>
      </c>
      <c r="Q41" s="1171" t="str">
        <f t="shared" ref="Q41:Q42" ca="1" si="11">IF(N41="","",VLOOKUP(N41,$R$8:$S$38,2))</f>
        <v/>
      </c>
      <c r="R41" s="1174" t="s">
        <v>930</v>
      </c>
      <c r="S41" s="1172" t="s">
        <v>931</v>
      </c>
    </row>
    <row r="42" spans="1:19" s="1172" customFormat="1" ht="21.75" customHeight="1" thickBot="1">
      <c r="A42" s="1738">
        <v>13</v>
      </c>
      <c r="B42" s="1739" t="str">
        <f t="shared" si="8"/>
        <v/>
      </c>
      <c r="C42" s="1740"/>
      <c r="D42" s="1740"/>
      <c r="E42" s="1849"/>
      <c r="F42" s="1741"/>
      <c r="G42" s="1742"/>
      <c r="H42" s="1743"/>
      <c r="I42" s="1744">
        <f t="shared" si="9"/>
        <v>0</v>
      </c>
      <c r="K42" s="1179" t="s">
        <v>932</v>
      </c>
      <c r="L42" s="1180" t="s">
        <v>933</v>
      </c>
      <c r="M42" s="1181">
        <f t="shared" ca="1" si="10"/>
        <v>0</v>
      </c>
      <c r="N42" s="1176" t="str">
        <f ca="1">IF(AND(M42&lt;&gt;0,L42&lt;&gt;N41,L42&lt;&gt;N40,L42&lt;&gt;N39,L42&lt;&gt;N38,L42&lt;&gt;N37,L42&lt;&gt;N36,L42&lt;&gt;N35,L42&lt;&gt;N34,L42&lt;&gt;N33,L42&lt;&gt;N32,L42&lt;&gt;N31,L42&lt;&gt;N30,L42&lt;&gt;N29,L42&lt;&gt;N28,L42&lt;&gt;N27,L42&lt;&gt;N26,L42&lt;&gt;N25,L42&lt;&gt;N24,L42&lt;&gt;N23,L42&lt;&gt;N22,L42&lt;&gt;N21,L42&lt;&gt;N20,L42&lt;&gt;N19,L42&lt;&gt;N18,L42&lt;&gt;N17,L42&lt;&gt;N16,L42&lt;&gt;N15,L42&lt;&gt;N14,L42&lt;&gt;N13,L42&lt;&gt;N12),L42,"")</f>
        <v/>
      </c>
      <c r="O42" s="1177" t="str">
        <f ca="1">IF(N42=L42,K42,"")</f>
        <v/>
      </c>
      <c r="P42" s="1178" t="str">
        <f ca="1">IF(N42=L42,M42,"")</f>
        <v/>
      </c>
      <c r="Q42" s="1171" t="str">
        <f t="shared" ca="1" si="11"/>
        <v/>
      </c>
      <c r="R42" s="1180" t="s">
        <v>933</v>
      </c>
      <c r="S42" s="1172" t="s">
        <v>934</v>
      </c>
    </row>
    <row r="43" spans="1:19" s="1172" customFormat="1" ht="21.75" customHeight="1" thickBot="1">
      <c r="A43" s="1738">
        <v>14</v>
      </c>
      <c r="B43" s="1739" t="str">
        <f t="shared" si="8"/>
        <v/>
      </c>
      <c r="C43" s="1740"/>
      <c r="D43" s="1740"/>
      <c r="E43" s="1849"/>
      <c r="F43" s="1741"/>
      <c r="G43" s="1742"/>
      <c r="H43" s="1743"/>
      <c r="I43" s="1744">
        <f t="shared" si="9"/>
        <v>0</v>
      </c>
      <c r="K43" s="2357" t="s">
        <v>935</v>
      </c>
      <c r="L43" s="2357"/>
      <c r="M43" s="2357"/>
      <c r="N43" s="1159"/>
      <c r="O43" s="1191"/>
      <c r="P43" s="1160"/>
      <c r="Q43" s="1160"/>
    </row>
    <row r="44" spans="1:19" s="1172" customFormat="1" ht="21.75" customHeight="1">
      <c r="A44" s="1738">
        <v>15</v>
      </c>
      <c r="B44" s="1739" t="str">
        <f t="shared" si="8"/>
        <v/>
      </c>
      <c r="C44" s="1740"/>
      <c r="D44" s="1740"/>
      <c r="E44" s="1849"/>
      <c r="F44" s="1741"/>
      <c r="G44" s="1742"/>
      <c r="H44" s="1743"/>
      <c r="I44" s="1744">
        <f t="shared" si="9"/>
        <v>0</v>
      </c>
      <c r="K44" s="1166" t="s">
        <v>936</v>
      </c>
      <c r="L44" s="1167" t="s">
        <v>937</v>
      </c>
      <c r="M44" s="1182">
        <f ca="1">SUMIF($B$135:$I$144,L44,I$135:I$144)</f>
        <v>0</v>
      </c>
      <c r="N44" s="1176" t="str">
        <f ca="1">IF(P44="","",VLOOKUP(O44,K$40:L$47,2))</f>
        <v/>
      </c>
      <c r="O44" s="1199" t="str">
        <f ca="1">IF(AccPayable&lt;&gt;0,K44,IF(CreditCard&lt;&gt;0,K49,IF(LiabilitiesAffiliated&lt;&gt;0,K50,IF(OtherLiab&lt;&gt;0,K51,""))))</f>
        <v/>
      </c>
      <c r="P44" s="1200" t="str">
        <f ca="1">IF(AccPayable&lt;&gt;0,AccPayable,IF(CreditCard&lt;&gt;0,CreditCard,IF(LiabilitiesAffiliated&lt;&gt;0,LiabilitiesAffiliated,IF(OtherLiab&lt;&gt;0,OtherLiab,""))))</f>
        <v/>
      </c>
      <c r="Q44" s="1200" t="str">
        <f ca="1">IF(O44="","",VLOOKUP(O44,R$40:S$47,2))</f>
        <v/>
      </c>
      <c r="R44" s="1166" t="s">
        <v>936</v>
      </c>
      <c r="S44" s="1172" t="s">
        <v>938</v>
      </c>
    </row>
    <row r="45" spans="1:19" s="1172" customFormat="1" ht="21" customHeight="1">
      <c r="C45" s="1201"/>
      <c r="E45" s="1850"/>
      <c r="G45" s="1191"/>
      <c r="H45" s="1204" t="s">
        <v>499</v>
      </c>
      <c r="I45" s="1751">
        <f>SUM(I30:I44)</f>
        <v>0</v>
      </c>
      <c r="K45" s="1183" t="s">
        <v>939</v>
      </c>
      <c r="L45" s="1184" t="s">
        <v>940</v>
      </c>
      <c r="M45" s="1175">
        <f ca="1">SUMIF($B$135:$I$144,L45,I$135:I$144)</f>
        <v>0</v>
      </c>
      <c r="N45" s="1176" t="str">
        <f ca="1">IF(P45="","",VLOOKUP(O45,K$40:L$47,2))</f>
        <v/>
      </c>
      <c r="O45" s="1200" t="str">
        <f ca="1">IF(AND(CreditCard&lt;&gt;0,CreditCard&lt;&gt;P40),K45,IF(AND(LiabilitiesAffiliated&lt;&gt;0,LiabilitiesAffiliated&lt;&gt;P40),K46,IF(AND(OtherLiab&lt;&gt;0,OtherLiab&lt;&gt;P40),K47,"")))</f>
        <v/>
      </c>
      <c r="P45" s="1200" t="str">
        <f ca="1">IF(AND(CreditCard&lt;&gt;0,CreditCard&lt;&gt;P40),CreditCard,IF(AND(LiabilitiesAffiliated&lt;&gt;0,LiabilitiesAffiliated&lt;&gt;P40),LiabilitiesAffiliated,IF(AND(OtherLiab&lt;&gt;0,OtherLiab&lt;&gt;P40),OtherLiab,"")))</f>
        <v/>
      </c>
      <c r="Q45" s="1200" t="str">
        <f t="shared" ref="Q45:Q47" ca="1" si="12">IF(O45="","",VLOOKUP(O45,R$40:S$47,2))</f>
        <v/>
      </c>
      <c r="R45" s="1183" t="s">
        <v>939</v>
      </c>
      <c r="S45" s="1172" t="s">
        <v>941</v>
      </c>
    </row>
    <row r="46" spans="1:19" s="1172" customFormat="1" ht="15" customHeight="1">
      <c r="C46" s="1201"/>
      <c r="E46" s="1850"/>
      <c r="G46" s="1191"/>
      <c r="H46" s="1194"/>
      <c r="I46" s="1202"/>
      <c r="K46" s="1173" t="s">
        <v>942</v>
      </c>
      <c r="L46" s="1174" t="s">
        <v>943</v>
      </c>
      <c r="M46" s="1175">
        <f ca="1">SUMIF($B$135:$I$144,L46,I$135:I$144)</f>
        <v>0</v>
      </c>
      <c r="N46" s="1176" t="str">
        <f ca="1">IF(P46="","",VLOOKUP(O46,K$40:L$47,2))</f>
        <v/>
      </c>
      <c r="O46" s="1200" t="str">
        <f ca="1">IF(AND(LiabilitiesAffiliated&lt;&gt;0,LiabilitiesAffiliated&lt;&gt;P45,LiabilitiesAffiliated&lt;&gt;P40),K46,IF(AND(OtherLiab&lt;&gt;0,OtherLiab&lt;&gt;P45,OtherLiab&lt;&gt;P40),K47,""))</f>
        <v/>
      </c>
      <c r="P46" s="1200" t="str">
        <f ca="1">IF(AND(LiabilitiesAffiliated&lt;&gt;0,LiabilitiesAffiliated&lt;&gt;P45,LiabilitiesAffiliated&lt;&gt;P40),LiabilitiesAffiliated,IF(AND(OtherLiab&lt;&gt;0,OtherLiab&lt;&gt;P45,OtherLiab&lt;&gt;P40),OtherLiab,""))</f>
        <v/>
      </c>
      <c r="Q46" s="1200" t="str">
        <f t="shared" ca="1" si="12"/>
        <v/>
      </c>
      <c r="R46" s="1173" t="s">
        <v>942</v>
      </c>
      <c r="S46" s="1172" t="s">
        <v>944</v>
      </c>
    </row>
    <row r="47" spans="1:19" s="1155" customFormat="1" ht="21" customHeight="1" thickBot="1">
      <c r="A47" s="1148" t="s">
        <v>995</v>
      </c>
      <c r="B47" s="1149"/>
      <c r="C47" s="541"/>
      <c r="D47" s="541"/>
      <c r="E47" s="1847"/>
      <c r="F47" s="1149"/>
      <c r="G47" s="1150"/>
      <c r="H47" s="1149"/>
      <c r="I47" s="1149"/>
      <c r="J47" s="1149"/>
      <c r="K47" s="1179" t="s">
        <v>945</v>
      </c>
      <c r="L47" s="1180" t="s">
        <v>946</v>
      </c>
      <c r="M47" s="1181">
        <f ca="1">SUMIF($B$135:$I$144,L47,I$135:I$144)</f>
        <v>0</v>
      </c>
      <c r="N47" s="1176" t="str">
        <f ca="1">IF(P47="","",VLOOKUP(O47,K$40:L$47,2))</f>
        <v/>
      </c>
      <c r="O47" s="1200" t="str">
        <f ca="1">IF(AND(OtherLiab&lt;&gt;0,OtherLiab&lt;&gt;P46,OtherLiab&lt;&gt;P45,OtherLiab&lt;&gt;P40),K47,"")</f>
        <v/>
      </c>
      <c r="P47" s="1200" t="str">
        <f ca="1">IF(AND(OtherLiab&lt;&gt;0,OtherLiab&lt;&gt;P46,OtherLiab&lt;&gt;P45,OtherLiab&lt;&gt;P40),OtherLiab,"")</f>
        <v/>
      </c>
      <c r="Q47" s="1200" t="str">
        <f t="shared" ca="1" si="12"/>
        <v/>
      </c>
      <c r="R47" s="1179" t="s">
        <v>945</v>
      </c>
      <c r="S47" s="1155" t="s">
        <v>947</v>
      </c>
    </row>
    <row r="48" spans="1:19" s="1155" customFormat="1" ht="21" customHeight="1" thickBot="1">
      <c r="A48" s="1197"/>
      <c r="C48" s="1157"/>
      <c r="D48" s="1157"/>
      <c r="E48" s="1848"/>
      <c r="G48" s="1158"/>
      <c r="N48" s="1159"/>
      <c r="O48" s="1158"/>
      <c r="P48" s="1160"/>
      <c r="Q48" s="1160"/>
    </row>
    <row r="49" spans="1:17" s="1161" customFormat="1" ht="21" customHeight="1">
      <c r="A49" s="2352" t="s">
        <v>361</v>
      </c>
      <c r="B49" s="2354" t="s">
        <v>833</v>
      </c>
      <c r="C49" s="2352" t="s">
        <v>834</v>
      </c>
      <c r="D49" s="2354" t="s">
        <v>948</v>
      </c>
      <c r="E49" s="2355" t="s">
        <v>949</v>
      </c>
      <c r="F49" s="2354" t="s">
        <v>950</v>
      </c>
      <c r="G49" s="2354" t="s">
        <v>951</v>
      </c>
      <c r="H49" s="2354"/>
      <c r="I49" s="2354"/>
      <c r="J49" s="1198"/>
      <c r="K49" s="1166"/>
      <c r="L49" s="1172"/>
      <c r="M49" s="1155"/>
      <c r="N49" s="1162"/>
      <c r="O49" s="1163"/>
      <c r="P49" s="1164"/>
      <c r="Q49" s="1164"/>
    </row>
    <row r="50" spans="1:17" s="1161" customFormat="1" ht="31.5">
      <c r="A50" s="2353"/>
      <c r="B50" s="2354"/>
      <c r="C50" s="2353"/>
      <c r="D50" s="2354"/>
      <c r="E50" s="2355"/>
      <c r="F50" s="2354"/>
      <c r="G50" s="1165" t="s">
        <v>839</v>
      </c>
      <c r="H50" s="1165" t="s">
        <v>840</v>
      </c>
      <c r="I50" s="1165" t="s">
        <v>841</v>
      </c>
      <c r="J50" s="1198"/>
      <c r="K50" s="1183"/>
      <c r="L50" s="1172"/>
      <c r="N50" s="1162"/>
      <c r="O50" s="1163"/>
      <c r="P50" s="1164"/>
      <c r="Q50" s="1164"/>
    </row>
    <row r="51" spans="1:17" s="1172" customFormat="1" ht="21.75" customHeight="1">
      <c r="A51" s="1738">
        <v>1</v>
      </c>
      <c r="B51" s="1739" t="str">
        <f t="shared" ref="B51:B60" si="13">IF(C51="","",VLOOKUP(C51,$K$16:$L$24,2,0))</f>
        <v/>
      </c>
      <c r="C51" s="1740"/>
      <c r="D51" s="1740"/>
      <c r="E51" s="1851"/>
      <c r="F51" s="1741"/>
      <c r="G51" s="1742"/>
      <c r="H51" s="1743"/>
      <c r="I51" s="1744">
        <f>G51*H51</f>
        <v>0</v>
      </c>
      <c r="K51" s="1173"/>
      <c r="M51" s="1161"/>
      <c r="N51" s="1159"/>
      <c r="O51" s="1191"/>
      <c r="P51" s="1160"/>
      <c r="Q51" s="1160"/>
    </row>
    <row r="52" spans="1:17" s="1172" customFormat="1" ht="21.75" customHeight="1" thickBot="1">
      <c r="A52" s="1738">
        <v>2</v>
      </c>
      <c r="B52" s="1739" t="str">
        <f t="shared" si="13"/>
        <v/>
      </c>
      <c r="C52" s="1740"/>
      <c r="D52" s="1740"/>
      <c r="E52" s="1851"/>
      <c r="F52" s="1741"/>
      <c r="G52" s="1742"/>
      <c r="H52" s="1743"/>
      <c r="I52" s="1744">
        <f t="shared" ref="I52:I60" si="14">G52*H52</f>
        <v>0</v>
      </c>
      <c r="K52" s="1179"/>
      <c r="L52" s="1155"/>
      <c r="N52" s="1159"/>
      <c r="O52" s="1191"/>
      <c r="P52" s="1160"/>
      <c r="Q52" s="1160"/>
    </row>
    <row r="53" spans="1:17" s="1172" customFormat="1" ht="21.75" customHeight="1">
      <c r="A53" s="1738">
        <v>3</v>
      </c>
      <c r="B53" s="1739" t="str">
        <f t="shared" si="13"/>
        <v/>
      </c>
      <c r="C53" s="1740"/>
      <c r="D53" s="1740"/>
      <c r="E53" s="1851"/>
      <c r="F53" s="1741"/>
      <c r="G53" s="1742"/>
      <c r="H53" s="1743"/>
      <c r="I53" s="1744">
        <f t="shared" si="14"/>
        <v>0</v>
      </c>
      <c r="N53" s="1159"/>
      <c r="O53" s="1191"/>
      <c r="P53" s="1160"/>
      <c r="Q53" s="1160"/>
    </row>
    <row r="54" spans="1:17" s="1172" customFormat="1" ht="21.75" customHeight="1">
      <c r="A54" s="1738">
        <v>4</v>
      </c>
      <c r="B54" s="1739" t="str">
        <f t="shared" si="13"/>
        <v/>
      </c>
      <c r="C54" s="1740"/>
      <c r="D54" s="1740"/>
      <c r="E54" s="1851"/>
      <c r="F54" s="1741"/>
      <c r="G54" s="1742"/>
      <c r="H54" s="1743"/>
      <c r="I54" s="1744">
        <f t="shared" si="14"/>
        <v>0</v>
      </c>
      <c r="N54" s="1159"/>
      <c r="O54" s="1191"/>
      <c r="P54" s="1160"/>
      <c r="Q54" s="1160"/>
    </row>
    <row r="55" spans="1:17" s="1172" customFormat="1" ht="21.75" customHeight="1">
      <c r="A55" s="1738">
        <v>5</v>
      </c>
      <c r="B55" s="1739" t="str">
        <f t="shared" si="13"/>
        <v/>
      </c>
      <c r="C55" s="1740"/>
      <c r="D55" s="1740"/>
      <c r="E55" s="1851"/>
      <c r="F55" s="1741"/>
      <c r="G55" s="1742"/>
      <c r="H55" s="1743"/>
      <c r="I55" s="1744">
        <f t="shared" si="14"/>
        <v>0</v>
      </c>
      <c r="N55" s="1159"/>
      <c r="O55" s="1191"/>
      <c r="P55" s="1160"/>
      <c r="Q55" s="1160"/>
    </row>
    <row r="56" spans="1:17" s="1172" customFormat="1" ht="21.75" customHeight="1">
      <c r="A56" s="1738">
        <v>6</v>
      </c>
      <c r="B56" s="1739" t="str">
        <f t="shared" si="13"/>
        <v/>
      </c>
      <c r="C56" s="1740"/>
      <c r="D56" s="1740"/>
      <c r="E56" s="1851"/>
      <c r="F56" s="1741"/>
      <c r="G56" s="1742"/>
      <c r="H56" s="1743"/>
      <c r="I56" s="1744">
        <f t="shared" si="14"/>
        <v>0</v>
      </c>
      <c r="N56" s="1159"/>
      <c r="O56" s="1191"/>
      <c r="P56" s="1160"/>
      <c r="Q56" s="1160"/>
    </row>
    <row r="57" spans="1:17" s="1172" customFormat="1" ht="21.75" customHeight="1">
      <c r="A57" s="1738">
        <v>7</v>
      </c>
      <c r="B57" s="1739" t="str">
        <f t="shared" si="13"/>
        <v/>
      </c>
      <c r="C57" s="1740"/>
      <c r="D57" s="1740"/>
      <c r="E57" s="1851"/>
      <c r="F57" s="1741"/>
      <c r="G57" s="1742"/>
      <c r="H57" s="1743"/>
      <c r="I57" s="1744">
        <f t="shared" si="14"/>
        <v>0</v>
      </c>
      <c r="N57" s="1159"/>
      <c r="O57" s="1191"/>
      <c r="P57" s="1160"/>
      <c r="Q57" s="1160"/>
    </row>
    <row r="58" spans="1:17" s="1172" customFormat="1" ht="21.75" customHeight="1">
      <c r="A58" s="1738">
        <v>8</v>
      </c>
      <c r="B58" s="1739" t="str">
        <f t="shared" si="13"/>
        <v/>
      </c>
      <c r="C58" s="1740"/>
      <c r="D58" s="1740"/>
      <c r="E58" s="1851"/>
      <c r="F58" s="1741"/>
      <c r="G58" s="1742"/>
      <c r="H58" s="1743"/>
      <c r="I58" s="1744">
        <f t="shared" si="14"/>
        <v>0</v>
      </c>
      <c r="N58" s="1159"/>
      <c r="O58" s="1191"/>
      <c r="P58" s="1160"/>
      <c r="Q58" s="1160"/>
    </row>
    <row r="59" spans="1:17" s="1172" customFormat="1" ht="21.75" customHeight="1">
      <c r="A59" s="1738">
        <v>9</v>
      </c>
      <c r="B59" s="1739" t="str">
        <f t="shared" si="13"/>
        <v/>
      </c>
      <c r="C59" s="1740"/>
      <c r="D59" s="1740"/>
      <c r="E59" s="1851"/>
      <c r="F59" s="1741"/>
      <c r="G59" s="1742"/>
      <c r="H59" s="1743"/>
      <c r="I59" s="1744">
        <f t="shared" si="14"/>
        <v>0</v>
      </c>
      <c r="N59" s="1159"/>
      <c r="O59" s="1191"/>
      <c r="P59" s="1160"/>
      <c r="Q59" s="1160"/>
    </row>
    <row r="60" spans="1:17" s="1172" customFormat="1" ht="21.75" customHeight="1">
      <c r="A60" s="1738">
        <v>10</v>
      </c>
      <c r="B60" s="1739" t="str">
        <f t="shared" si="13"/>
        <v/>
      </c>
      <c r="C60" s="1740"/>
      <c r="D60" s="1740"/>
      <c r="E60" s="1851"/>
      <c r="F60" s="1741"/>
      <c r="G60" s="1742"/>
      <c r="H60" s="1743"/>
      <c r="I60" s="1744">
        <f t="shared" si="14"/>
        <v>0</v>
      </c>
      <c r="N60" s="1159"/>
      <c r="O60" s="1191"/>
      <c r="P60" s="1160"/>
      <c r="Q60" s="1160"/>
    </row>
    <row r="61" spans="1:17" s="1172" customFormat="1" ht="21.75" customHeight="1">
      <c r="A61" s="1738">
        <v>11</v>
      </c>
      <c r="B61" s="1739" t="str">
        <f t="shared" ref="B61:B65" si="15">IF(C61="","",VLOOKUP(C61,$K$16:$L$24,2,0))</f>
        <v/>
      </c>
      <c r="C61" s="1740"/>
      <c r="D61" s="1740"/>
      <c r="E61" s="1851"/>
      <c r="F61" s="1741"/>
      <c r="G61" s="1742"/>
      <c r="H61" s="1743"/>
      <c r="I61" s="1744">
        <f t="shared" ref="I61:I65" si="16">G61*H61</f>
        <v>0</v>
      </c>
      <c r="N61" s="1159"/>
      <c r="O61" s="1191"/>
      <c r="P61" s="1160"/>
      <c r="Q61" s="1160"/>
    </row>
    <row r="62" spans="1:17" s="1172" customFormat="1" ht="21.75" customHeight="1">
      <c r="A62" s="1738">
        <v>12</v>
      </c>
      <c r="B62" s="1739" t="str">
        <f t="shared" si="15"/>
        <v/>
      </c>
      <c r="C62" s="1740"/>
      <c r="D62" s="1740"/>
      <c r="E62" s="1851"/>
      <c r="F62" s="1741"/>
      <c r="G62" s="1742"/>
      <c r="H62" s="1743"/>
      <c r="I62" s="1744">
        <f t="shared" si="16"/>
        <v>0</v>
      </c>
      <c r="N62" s="1159"/>
      <c r="O62" s="1191"/>
      <c r="P62" s="1160"/>
      <c r="Q62" s="1160"/>
    </row>
    <row r="63" spans="1:17" s="1172" customFormat="1" ht="21.75" customHeight="1">
      <c r="A63" s="1738">
        <v>13</v>
      </c>
      <c r="B63" s="1739" t="str">
        <f t="shared" si="15"/>
        <v/>
      </c>
      <c r="C63" s="1740"/>
      <c r="D63" s="1740"/>
      <c r="E63" s="1851"/>
      <c r="F63" s="1741"/>
      <c r="G63" s="1742"/>
      <c r="H63" s="1743"/>
      <c r="I63" s="1744">
        <f t="shared" si="16"/>
        <v>0</v>
      </c>
      <c r="N63" s="1159"/>
      <c r="O63" s="1191"/>
      <c r="P63" s="1160"/>
      <c r="Q63" s="1160"/>
    </row>
    <row r="64" spans="1:17" s="1172" customFormat="1" ht="21.75" customHeight="1">
      <c r="A64" s="1738">
        <v>14</v>
      </c>
      <c r="B64" s="1739" t="str">
        <f t="shared" si="15"/>
        <v/>
      </c>
      <c r="C64" s="1740"/>
      <c r="D64" s="1740"/>
      <c r="E64" s="1851"/>
      <c r="F64" s="1741"/>
      <c r="G64" s="1742"/>
      <c r="H64" s="1743"/>
      <c r="I64" s="1744">
        <f t="shared" si="16"/>
        <v>0</v>
      </c>
      <c r="N64" s="1159"/>
      <c r="O64" s="1191"/>
      <c r="P64" s="1160"/>
      <c r="Q64" s="1160"/>
    </row>
    <row r="65" spans="1:17" s="1172" customFormat="1" ht="21.75" customHeight="1">
      <c r="A65" s="1738">
        <v>15</v>
      </c>
      <c r="B65" s="1739" t="str">
        <f t="shared" si="15"/>
        <v/>
      </c>
      <c r="C65" s="1740"/>
      <c r="D65" s="1740"/>
      <c r="E65" s="1851"/>
      <c r="F65" s="1741"/>
      <c r="G65" s="1742"/>
      <c r="H65" s="1743"/>
      <c r="I65" s="1744">
        <f t="shared" si="16"/>
        <v>0</v>
      </c>
      <c r="N65" s="1159"/>
      <c r="O65" s="1191"/>
      <c r="P65" s="1160"/>
      <c r="Q65" s="1160"/>
    </row>
    <row r="66" spans="1:17" s="1172" customFormat="1" ht="21" customHeight="1">
      <c r="E66" s="1850"/>
      <c r="G66" s="1191"/>
      <c r="H66" s="1192" t="s">
        <v>499</v>
      </c>
      <c r="I66" s="1751">
        <f>SUM(I51:I65)</f>
        <v>0</v>
      </c>
      <c r="N66" s="1159"/>
      <c r="O66" s="1191"/>
      <c r="P66" s="1160"/>
      <c r="Q66" s="1160"/>
    </row>
    <row r="67" spans="1:17" s="1172" customFormat="1" ht="21" customHeight="1">
      <c r="E67" s="1850"/>
      <c r="G67" s="1191"/>
      <c r="H67" s="1194"/>
      <c r="I67" s="1202"/>
      <c r="N67" s="1159"/>
      <c r="O67" s="1191"/>
      <c r="P67" s="1160"/>
      <c r="Q67" s="1160"/>
    </row>
    <row r="68" spans="1:17" s="1155" customFormat="1" ht="21" customHeight="1">
      <c r="A68" s="1148" t="s">
        <v>996</v>
      </c>
      <c r="B68" s="1149"/>
      <c r="C68" s="541"/>
      <c r="D68" s="541"/>
      <c r="E68" s="1847"/>
      <c r="F68" s="1149"/>
      <c r="G68" s="1150"/>
      <c r="H68" s="1149"/>
      <c r="I68" s="1149"/>
      <c r="J68" s="1149"/>
      <c r="K68" s="1172"/>
      <c r="L68" s="1172"/>
      <c r="M68" s="1172"/>
      <c r="N68" s="1159"/>
      <c r="O68" s="1158"/>
      <c r="P68" s="1160"/>
      <c r="Q68" s="1160"/>
    </row>
    <row r="69" spans="1:17" s="1155" customFormat="1" ht="21" customHeight="1">
      <c r="A69" s="1197"/>
      <c r="C69" s="1157"/>
      <c r="D69" s="1157"/>
      <c r="E69" s="1848"/>
      <c r="G69" s="1158"/>
      <c r="N69" s="1159"/>
      <c r="O69" s="1158"/>
      <c r="P69" s="1160"/>
      <c r="Q69" s="1160"/>
    </row>
    <row r="70" spans="1:17" s="1161" customFormat="1" ht="21" customHeight="1">
      <c r="A70" s="2352" t="s">
        <v>361</v>
      </c>
      <c r="B70" s="2354" t="s">
        <v>833</v>
      </c>
      <c r="C70" s="2352" t="s">
        <v>834</v>
      </c>
      <c r="D70" s="2354" t="s">
        <v>948</v>
      </c>
      <c r="E70" s="2355" t="s">
        <v>949</v>
      </c>
      <c r="F70" s="2354" t="s">
        <v>950</v>
      </c>
      <c r="G70" s="2354" t="s">
        <v>951</v>
      </c>
      <c r="H70" s="2354"/>
      <c r="I70" s="2354"/>
      <c r="J70" s="1198"/>
      <c r="K70" s="1155"/>
      <c r="L70" s="1155"/>
      <c r="M70" s="1155"/>
      <c r="N70" s="1162"/>
      <c r="O70" s="1163"/>
      <c r="P70" s="1164"/>
      <c r="Q70" s="1164"/>
    </row>
    <row r="71" spans="1:17" s="1161" customFormat="1" ht="31.5">
      <c r="A71" s="2353"/>
      <c r="B71" s="2354"/>
      <c r="C71" s="2353"/>
      <c r="D71" s="2354"/>
      <c r="E71" s="2355"/>
      <c r="F71" s="2354"/>
      <c r="G71" s="1165" t="s">
        <v>839</v>
      </c>
      <c r="H71" s="1165" t="s">
        <v>840</v>
      </c>
      <c r="I71" s="1165" t="s">
        <v>841</v>
      </c>
      <c r="J71" s="1198"/>
      <c r="M71" s="1203"/>
      <c r="N71" s="1162"/>
      <c r="O71" s="1163"/>
      <c r="P71" s="1164"/>
      <c r="Q71" s="1164"/>
    </row>
    <row r="72" spans="1:17" s="1172" customFormat="1" ht="21.75" customHeight="1">
      <c r="A72" s="1738">
        <v>1</v>
      </c>
      <c r="B72" s="1739" t="str">
        <f t="shared" ref="B72:B81" si="17">IF(C72="","",VLOOKUP(C72,$K$25:$L$28,2,0))</f>
        <v/>
      </c>
      <c r="C72" s="1740"/>
      <c r="D72" s="1740"/>
      <c r="E72" s="1851"/>
      <c r="F72" s="1741"/>
      <c r="G72" s="1742"/>
      <c r="H72" s="1743"/>
      <c r="I72" s="1744">
        <f>G72*H72</f>
        <v>0</v>
      </c>
      <c r="K72" s="1161"/>
      <c r="L72" s="1161"/>
      <c r="M72" s="1161"/>
      <c r="N72" s="1159"/>
      <c r="O72" s="1191"/>
      <c r="P72" s="1160"/>
      <c r="Q72" s="1160"/>
    </row>
    <row r="73" spans="1:17" s="1172" customFormat="1" ht="21.75" customHeight="1">
      <c r="A73" s="1738">
        <v>2</v>
      </c>
      <c r="B73" s="1739" t="str">
        <f t="shared" si="17"/>
        <v/>
      </c>
      <c r="C73" s="1740"/>
      <c r="D73" s="1740"/>
      <c r="E73" s="1851"/>
      <c r="F73" s="1741"/>
      <c r="G73" s="1742"/>
      <c r="H73" s="1743"/>
      <c r="I73" s="1744">
        <f t="shared" ref="I73:I80" si="18">G73*H73</f>
        <v>0</v>
      </c>
      <c r="N73" s="1159"/>
      <c r="O73" s="1191"/>
      <c r="P73" s="1160"/>
      <c r="Q73" s="1160"/>
    </row>
    <row r="74" spans="1:17" s="1172" customFormat="1" ht="21.75" customHeight="1">
      <c r="A74" s="1738">
        <v>3</v>
      </c>
      <c r="B74" s="1739" t="str">
        <f t="shared" si="17"/>
        <v/>
      </c>
      <c r="C74" s="1740"/>
      <c r="D74" s="1740"/>
      <c r="E74" s="1851"/>
      <c r="F74" s="1741"/>
      <c r="G74" s="1742"/>
      <c r="H74" s="1743"/>
      <c r="I74" s="1744">
        <f t="shared" si="18"/>
        <v>0</v>
      </c>
      <c r="N74" s="1159"/>
      <c r="O74" s="1191"/>
      <c r="P74" s="1160"/>
      <c r="Q74" s="1160"/>
    </row>
    <row r="75" spans="1:17" s="1172" customFormat="1" ht="21.75" customHeight="1">
      <c r="A75" s="1738">
        <v>4</v>
      </c>
      <c r="B75" s="1739" t="str">
        <f t="shared" si="17"/>
        <v/>
      </c>
      <c r="C75" s="1740"/>
      <c r="D75" s="1740"/>
      <c r="E75" s="1851"/>
      <c r="F75" s="1741"/>
      <c r="G75" s="1742"/>
      <c r="H75" s="1743"/>
      <c r="I75" s="1744">
        <f t="shared" si="18"/>
        <v>0</v>
      </c>
      <c r="N75" s="1159"/>
      <c r="O75" s="1191"/>
      <c r="P75" s="1160"/>
      <c r="Q75" s="1160"/>
    </row>
    <row r="76" spans="1:17" s="1172" customFormat="1" ht="21.75" customHeight="1">
      <c r="A76" s="1738">
        <v>5</v>
      </c>
      <c r="B76" s="1739" t="str">
        <f t="shared" si="17"/>
        <v/>
      </c>
      <c r="C76" s="1740"/>
      <c r="D76" s="1740"/>
      <c r="E76" s="1851"/>
      <c r="F76" s="1741"/>
      <c r="G76" s="1742"/>
      <c r="H76" s="1743"/>
      <c r="I76" s="1744">
        <f t="shared" si="18"/>
        <v>0</v>
      </c>
      <c r="N76" s="1159"/>
      <c r="O76" s="1191"/>
      <c r="P76" s="1160"/>
      <c r="Q76" s="1160"/>
    </row>
    <row r="77" spans="1:17" s="1172" customFormat="1" ht="21.75" customHeight="1">
      <c r="A77" s="1738">
        <v>6</v>
      </c>
      <c r="B77" s="1739" t="str">
        <f t="shared" si="17"/>
        <v/>
      </c>
      <c r="C77" s="1740"/>
      <c r="D77" s="1740"/>
      <c r="E77" s="1851"/>
      <c r="F77" s="1741"/>
      <c r="G77" s="1742"/>
      <c r="H77" s="1743"/>
      <c r="I77" s="1744">
        <f t="shared" si="18"/>
        <v>0</v>
      </c>
      <c r="N77" s="1159"/>
      <c r="O77" s="1191"/>
      <c r="P77" s="1160"/>
      <c r="Q77" s="1160"/>
    </row>
    <row r="78" spans="1:17" s="1172" customFormat="1" ht="21.75" customHeight="1">
      <c r="A78" s="1738">
        <v>7</v>
      </c>
      <c r="B78" s="1739" t="str">
        <f t="shared" si="17"/>
        <v/>
      </c>
      <c r="C78" s="1740"/>
      <c r="D78" s="1740"/>
      <c r="E78" s="1851"/>
      <c r="F78" s="1741"/>
      <c r="G78" s="1742"/>
      <c r="H78" s="1743"/>
      <c r="I78" s="1744">
        <f t="shared" si="18"/>
        <v>0</v>
      </c>
      <c r="N78" s="1159"/>
      <c r="O78" s="1191"/>
      <c r="P78" s="1160"/>
      <c r="Q78" s="1160"/>
    </row>
    <row r="79" spans="1:17" s="1172" customFormat="1" ht="21.75" customHeight="1">
      <c r="A79" s="1738">
        <v>8</v>
      </c>
      <c r="B79" s="1739" t="str">
        <f t="shared" si="17"/>
        <v/>
      </c>
      <c r="C79" s="1740"/>
      <c r="D79" s="1740"/>
      <c r="E79" s="1851"/>
      <c r="F79" s="1741"/>
      <c r="G79" s="1742"/>
      <c r="H79" s="1743"/>
      <c r="I79" s="1744">
        <f t="shared" si="18"/>
        <v>0</v>
      </c>
      <c r="N79" s="1159"/>
      <c r="O79" s="1191"/>
      <c r="P79" s="1160"/>
      <c r="Q79" s="1160"/>
    </row>
    <row r="80" spans="1:17" s="1172" customFormat="1" ht="21.75" customHeight="1">
      <c r="A80" s="1738">
        <v>9</v>
      </c>
      <c r="B80" s="1739" t="str">
        <f t="shared" si="17"/>
        <v/>
      </c>
      <c r="C80" s="1740"/>
      <c r="D80" s="1740"/>
      <c r="E80" s="1851"/>
      <c r="F80" s="1741"/>
      <c r="G80" s="1742"/>
      <c r="H80" s="1743"/>
      <c r="I80" s="1744">
        <f t="shared" si="18"/>
        <v>0</v>
      </c>
      <c r="N80" s="1159"/>
      <c r="O80" s="1191"/>
      <c r="P80" s="1160"/>
      <c r="Q80" s="1160"/>
    </row>
    <row r="81" spans="1:17" s="1172" customFormat="1" ht="21.75" customHeight="1">
      <c r="A81" s="1738">
        <v>10</v>
      </c>
      <c r="B81" s="1739" t="str">
        <f t="shared" si="17"/>
        <v/>
      </c>
      <c r="C81" s="1740"/>
      <c r="D81" s="1740"/>
      <c r="E81" s="1851"/>
      <c r="F81" s="1741"/>
      <c r="G81" s="1742"/>
      <c r="H81" s="1743"/>
      <c r="I81" s="1744">
        <f>G81*H81</f>
        <v>0</v>
      </c>
      <c r="N81" s="1159"/>
      <c r="O81" s="1191"/>
      <c r="P81" s="1160"/>
      <c r="Q81" s="1160"/>
    </row>
    <row r="82" spans="1:17" s="1172" customFormat="1" ht="21.75" customHeight="1">
      <c r="A82" s="1738">
        <v>11</v>
      </c>
      <c r="B82" s="1739" t="str">
        <f t="shared" ref="B82:B86" si="19">IF(C82="","",VLOOKUP(C82,$K$25:$L$28,2,0))</f>
        <v/>
      </c>
      <c r="C82" s="1740"/>
      <c r="D82" s="1740"/>
      <c r="E82" s="1851"/>
      <c r="F82" s="1741"/>
      <c r="G82" s="1742"/>
      <c r="H82" s="1743"/>
      <c r="I82" s="1744">
        <f t="shared" ref="I82:I85" si="20">G82*H82</f>
        <v>0</v>
      </c>
      <c r="N82" s="1159"/>
      <c r="O82" s="1191"/>
      <c r="P82" s="1160"/>
      <c r="Q82" s="1160"/>
    </row>
    <row r="83" spans="1:17" s="1172" customFormat="1" ht="21.75" customHeight="1">
      <c r="A83" s="1738">
        <v>12</v>
      </c>
      <c r="B83" s="1739" t="str">
        <f t="shared" si="19"/>
        <v/>
      </c>
      <c r="C83" s="1740"/>
      <c r="D83" s="1740"/>
      <c r="E83" s="1851"/>
      <c r="F83" s="1741"/>
      <c r="G83" s="1742"/>
      <c r="H83" s="1743"/>
      <c r="I83" s="1744">
        <f t="shared" si="20"/>
        <v>0</v>
      </c>
      <c r="N83" s="1159"/>
      <c r="O83" s="1191"/>
      <c r="P83" s="1160"/>
      <c r="Q83" s="1160"/>
    </row>
    <row r="84" spans="1:17" s="1172" customFormat="1" ht="21.75" customHeight="1">
      <c r="A84" s="1738">
        <v>13</v>
      </c>
      <c r="B84" s="1739" t="str">
        <f t="shared" si="19"/>
        <v/>
      </c>
      <c r="C84" s="1740"/>
      <c r="D84" s="1740"/>
      <c r="E84" s="1851"/>
      <c r="F84" s="1741"/>
      <c r="G84" s="1742"/>
      <c r="H84" s="1743"/>
      <c r="I84" s="1744">
        <f t="shared" si="20"/>
        <v>0</v>
      </c>
      <c r="N84" s="1159"/>
      <c r="O84" s="1191"/>
      <c r="P84" s="1160"/>
      <c r="Q84" s="1160"/>
    </row>
    <row r="85" spans="1:17" s="1172" customFormat="1" ht="21.75" customHeight="1">
      <c r="A85" s="1738">
        <v>14</v>
      </c>
      <c r="B85" s="1739" t="str">
        <f t="shared" si="19"/>
        <v/>
      </c>
      <c r="C85" s="1740"/>
      <c r="D85" s="1740"/>
      <c r="E85" s="1851"/>
      <c r="F85" s="1741"/>
      <c r="G85" s="1742"/>
      <c r="H85" s="1743"/>
      <c r="I85" s="1744">
        <f t="shared" si="20"/>
        <v>0</v>
      </c>
      <c r="N85" s="1159"/>
      <c r="O85" s="1191"/>
      <c r="P85" s="1160"/>
      <c r="Q85" s="1160"/>
    </row>
    <row r="86" spans="1:17" s="1172" customFormat="1" ht="21.75" customHeight="1">
      <c r="A86" s="1738">
        <v>15</v>
      </c>
      <c r="B86" s="1739" t="str">
        <f t="shared" si="19"/>
        <v/>
      </c>
      <c r="C86" s="1740"/>
      <c r="D86" s="1740"/>
      <c r="E86" s="1851"/>
      <c r="F86" s="1741"/>
      <c r="G86" s="1742"/>
      <c r="H86" s="1743"/>
      <c r="I86" s="1744">
        <f>G86*H86</f>
        <v>0</v>
      </c>
      <c r="N86" s="1159"/>
      <c r="O86" s="1191"/>
      <c r="P86" s="1160"/>
      <c r="Q86" s="1160"/>
    </row>
    <row r="87" spans="1:17" s="1172" customFormat="1" ht="21" customHeight="1">
      <c r="E87" s="1850"/>
      <c r="G87" s="1191"/>
      <c r="H87" s="1204" t="s">
        <v>499</v>
      </c>
      <c r="I87" s="1752">
        <f>SUM(I72:I86)</f>
        <v>0</v>
      </c>
      <c r="N87" s="1159"/>
      <c r="O87" s="1191"/>
      <c r="P87" s="1160"/>
      <c r="Q87" s="1160"/>
    </row>
    <row r="88" spans="1:17" s="1172" customFormat="1" ht="21" customHeight="1">
      <c r="E88" s="1850"/>
      <c r="G88" s="1191"/>
      <c r="H88" s="1194"/>
      <c r="I88" s="1205"/>
      <c r="N88" s="1159"/>
      <c r="O88" s="1191"/>
      <c r="P88" s="1160"/>
      <c r="Q88" s="1160"/>
    </row>
    <row r="89" spans="1:17" s="1155" customFormat="1" ht="21" customHeight="1">
      <c r="A89" s="1148" t="s">
        <v>952</v>
      </c>
      <c r="B89" s="1149"/>
      <c r="C89" s="541"/>
      <c r="D89" s="541"/>
      <c r="E89" s="1847"/>
      <c r="F89" s="1149"/>
      <c r="G89" s="1150"/>
      <c r="H89" s="1149"/>
      <c r="I89" s="1149"/>
      <c r="J89" s="1149"/>
      <c r="K89" s="1172"/>
      <c r="L89" s="1172"/>
      <c r="M89" s="1172"/>
      <c r="N89" s="1159"/>
      <c r="O89" s="1158"/>
      <c r="P89" s="1160"/>
      <c r="Q89" s="1160"/>
    </row>
    <row r="90" spans="1:17" s="1172" customFormat="1" ht="21" customHeight="1">
      <c r="A90" s="1206"/>
      <c r="C90" s="1206"/>
      <c r="D90" s="1206"/>
      <c r="E90" s="1850"/>
      <c r="G90" s="1191"/>
      <c r="K90" s="1155"/>
      <c r="L90" s="1155"/>
      <c r="M90" s="1155"/>
      <c r="N90" s="1159"/>
      <c r="O90" s="1191"/>
      <c r="P90" s="1160"/>
      <c r="Q90" s="1160"/>
    </row>
    <row r="91" spans="1:17" s="1161" customFormat="1" ht="21" customHeight="1">
      <c r="A91" s="2352" t="s">
        <v>361</v>
      </c>
      <c r="B91" s="2354" t="s">
        <v>833</v>
      </c>
      <c r="C91" s="2352" t="s">
        <v>834</v>
      </c>
      <c r="D91" s="2354" t="s">
        <v>948</v>
      </c>
      <c r="E91" s="2355" t="s">
        <v>949</v>
      </c>
      <c r="F91" s="2354" t="s">
        <v>950</v>
      </c>
      <c r="G91" s="2354" t="s">
        <v>951</v>
      </c>
      <c r="H91" s="2354"/>
      <c r="I91" s="2354"/>
      <c r="J91" s="1198"/>
      <c r="K91" s="1172"/>
      <c r="L91" s="1172"/>
      <c r="M91" s="1172"/>
      <c r="N91" s="1162"/>
      <c r="O91" s="1163"/>
      <c r="P91" s="1164"/>
      <c r="Q91" s="1164"/>
    </row>
    <row r="92" spans="1:17" s="1161" customFormat="1" ht="31.5">
      <c r="A92" s="2353"/>
      <c r="B92" s="2354"/>
      <c r="C92" s="2353"/>
      <c r="D92" s="2354"/>
      <c r="E92" s="2355"/>
      <c r="F92" s="2354"/>
      <c r="G92" s="1165" t="s">
        <v>839</v>
      </c>
      <c r="H92" s="1165" t="s">
        <v>840</v>
      </c>
      <c r="I92" s="1165" t="s">
        <v>841</v>
      </c>
      <c r="J92" s="1198"/>
      <c r="M92" s="1203"/>
      <c r="N92" s="1162"/>
      <c r="O92" s="1163"/>
      <c r="P92" s="1164"/>
      <c r="Q92" s="1164"/>
    </row>
    <row r="93" spans="1:17" s="1172" customFormat="1" ht="21.75" customHeight="1">
      <c r="A93" s="1738">
        <v>1</v>
      </c>
      <c r="B93" s="1739" t="str">
        <f t="shared" ref="B93:B102" si="21">IF(C93="","",VLOOKUP(C93,$K$29:$L$35,2,0))</f>
        <v/>
      </c>
      <c r="C93" s="1740"/>
      <c r="D93" s="1740"/>
      <c r="E93" s="1851"/>
      <c r="F93" s="1741"/>
      <c r="G93" s="1742"/>
      <c r="H93" s="1743"/>
      <c r="I93" s="1744">
        <f>G93*H93</f>
        <v>0</v>
      </c>
      <c r="K93" s="1161"/>
      <c r="L93" s="1161"/>
      <c r="M93" s="1161"/>
      <c r="N93" s="1159"/>
      <c r="O93" s="1191"/>
      <c r="P93" s="1160"/>
      <c r="Q93" s="1160"/>
    </row>
    <row r="94" spans="1:17" s="1172" customFormat="1" ht="21.75" customHeight="1">
      <c r="A94" s="1738">
        <v>2</v>
      </c>
      <c r="B94" s="1739" t="str">
        <f t="shared" si="21"/>
        <v/>
      </c>
      <c r="C94" s="1740"/>
      <c r="D94" s="1740"/>
      <c r="E94" s="1851"/>
      <c r="F94" s="1741"/>
      <c r="G94" s="1742"/>
      <c r="H94" s="1743"/>
      <c r="I94" s="1744">
        <f t="shared" ref="I94:I102" si="22">G94*H94</f>
        <v>0</v>
      </c>
      <c r="N94" s="1159"/>
      <c r="O94" s="1191"/>
      <c r="P94" s="1160"/>
      <c r="Q94" s="1160"/>
    </row>
    <row r="95" spans="1:17" s="1172" customFormat="1" ht="21.75" customHeight="1">
      <c r="A95" s="1738">
        <v>3</v>
      </c>
      <c r="B95" s="1739" t="str">
        <f t="shared" si="21"/>
        <v/>
      </c>
      <c r="C95" s="1740"/>
      <c r="D95" s="1740"/>
      <c r="E95" s="1851"/>
      <c r="F95" s="1741"/>
      <c r="G95" s="1742"/>
      <c r="H95" s="1743"/>
      <c r="I95" s="1744">
        <f t="shared" si="22"/>
        <v>0</v>
      </c>
      <c r="N95" s="1159"/>
      <c r="O95" s="1191"/>
      <c r="P95" s="1160"/>
      <c r="Q95" s="1160"/>
    </row>
    <row r="96" spans="1:17" s="1172" customFormat="1" ht="21.75" customHeight="1">
      <c r="A96" s="1738">
        <v>4</v>
      </c>
      <c r="B96" s="1739" t="str">
        <f t="shared" si="21"/>
        <v/>
      </c>
      <c r="C96" s="1740"/>
      <c r="D96" s="1740"/>
      <c r="E96" s="1851"/>
      <c r="F96" s="1741"/>
      <c r="G96" s="1742"/>
      <c r="H96" s="1743"/>
      <c r="I96" s="1744">
        <f t="shared" si="22"/>
        <v>0</v>
      </c>
      <c r="N96" s="1159"/>
      <c r="O96" s="1191"/>
      <c r="P96" s="1160"/>
      <c r="Q96" s="1160"/>
    </row>
    <row r="97" spans="1:17" s="1172" customFormat="1" ht="21.75" customHeight="1">
      <c r="A97" s="1738">
        <v>5</v>
      </c>
      <c r="B97" s="1739" t="str">
        <f t="shared" si="21"/>
        <v/>
      </c>
      <c r="C97" s="1740"/>
      <c r="D97" s="1740"/>
      <c r="E97" s="1851"/>
      <c r="F97" s="1741"/>
      <c r="G97" s="1742"/>
      <c r="H97" s="1743"/>
      <c r="I97" s="1744">
        <f t="shared" si="22"/>
        <v>0</v>
      </c>
      <c r="N97" s="1159"/>
      <c r="O97" s="1191"/>
      <c r="P97" s="1160"/>
      <c r="Q97" s="1160"/>
    </row>
    <row r="98" spans="1:17" s="1172" customFormat="1" ht="21.75" customHeight="1">
      <c r="A98" s="1738">
        <v>6</v>
      </c>
      <c r="B98" s="1739" t="str">
        <f t="shared" si="21"/>
        <v/>
      </c>
      <c r="C98" s="1740"/>
      <c r="D98" s="1740"/>
      <c r="E98" s="1851"/>
      <c r="F98" s="1741"/>
      <c r="G98" s="1742"/>
      <c r="H98" s="1743"/>
      <c r="I98" s="1744">
        <f t="shared" si="22"/>
        <v>0</v>
      </c>
      <c r="N98" s="1159"/>
      <c r="O98" s="1191"/>
      <c r="P98" s="1160"/>
      <c r="Q98" s="1160"/>
    </row>
    <row r="99" spans="1:17" s="1172" customFormat="1" ht="21.75" customHeight="1">
      <c r="A99" s="1738">
        <v>7</v>
      </c>
      <c r="B99" s="1739" t="str">
        <f t="shared" si="21"/>
        <v/>
      </c>
      <c r="C99" s="1740"/>
      <c r="D99" s="1740"/>
      <c r="E99" s="1851"/>
      <c r="F99" s="1741"/>
      <c r="G99" s="1742"/>
      <c r="H99" s="1743"/>
      <c r="I99" s="1744">
        <f t="shared" si="22"/>
        <v>0</v>
      </c>
      <c r="N99" s="1159"/>
      <c r="O99" s="1191"/>
      <c r="P99" s="1160"/>
      <c r="Q99" s="1160"/>
    </row>
    <row r="100" spans="1:17" s="1172" customFormat="1" ht="21.75" customHeight="1">
      <c r="A100" s="1738">
        <v>8</v>
      </c>
      <c r="B100" s="1739" t="str">
        <f t="shared" si="21"/>
        <v/>
      </c>
      <c r="C100" s="1740"/>
      <c r="D100" s="1740"/>
      <c r="E100" s="1851"/>
      <c r="F100" s="1741"/>
      <c r="G100" s="1742"/>
      <c r="H100" s="1743"/>
      <c r="I100" s="1744">
        <f t="shared" si="22"/>
        <v>0</v>
      </c>
      <c r="N100" s="1159"/>
      <c r="O100" s="1191"/>
      <c r="P100" s="1160"/>
      <c r="Q100" s="1160"/>
    </row>
    <row r="101" spans="1:17" s="1172" customFormat="1" ht="21.75" customHeight="1">
      <c r="A101" s="1738">
        <v>9</v>
      </c>
      <c r="B101" s="1739" t="str">
        <f t="shared" si="21"/>
        <v/>
      </c>
      <c r="C101" s="1740"/>
      <c r="D101" s="1740"/>
      <c r="E101" s="1851"/>
      <c r="F101" s="1741"/>
      <c r="G101" s="1742"/>
      <c r="H101" s="1743"/>
      <c r="I101" s="1744">
        <f t="shared" si="22"/>
        <v>0</v>
      </c>
      <c r="N101" s="1159"/>
      <c r="O101" s="1191"/>
      <c r="P101" s="1160"/>
      <c r="Q101" s="1160"/>
    </row>
    <row r="102" spans="1:17" s="1172" customFormat="1" ht="21.75" customHeight="1">
      <c r="A102" s="1738">
        <v>10</v>
      </c>
      <c r="B102" s="1739" t="str">
        <f t="shared" si="21"/>
        <v/>
      </c>
      <c r="C102" s="1740"/>
      <c r="D102" s="1740"/>
      <c r="E102" s="1851"/>
      <c r="F102" s="1741"/>
      <c r="G102" s="1742"/>
      <c r="H102" s="1743"/>
      <c r="I102" s="1744">
        <f t="shared" si="22"/>
        <v>0</v>
      </c>
      <c r="N102" s="1159"/>
      <c r="O102" s="1191"/>
      <c r="P102" s="1160"/>
      <c r="Q102" s="1160"/>
    </row>
    <row r="103" spans="1:17" s="1172" customFormat="1" ht="21.75" customHeight="1">
      <c r="A103" s="1738">
        <v>11</v>
      </c>
      <c r="B103" s="1739" t="str">
        <f t="shared" ref="B103:B107" si="23">IF(C103="","",VLOOKUP(C103,$K$29:$L$35,2,0))</f>
        <v/>
      </c>
      <c r="C103" s="1740"/>
      <c r="D103" s="1740"/>
      <c r="E103" s="1851"/>
      <c r="F103" s="1741"/>
      <c r="G103" s="1742"/>
      <c r="H103" s="1743"/>
      <c r="I103" s="1744">
        <f t="shared" ref="I103:I107" si="24">G103*H103</f>
        <v>0</v>
      </c>
      <c r="N103" s="1159"/>
      <c r="O103" s="1191"/>
      <c r="P103" s="1160"/>
      <c r="Q103" s="1160"/>
    </row>
    <row r="104" spans="1:17" s="1172" customFormat="1" ht="21.75" customHeight="1">
      <c r="A104" s="1738">
        <v>12</v>
      </c>
      <c r="B104" s="1739" t="str">
        <f t="shared" si="23"/>
        <v/>
      </c>
      <c r="C104" s="1740"/>
      <c r="D104" s="1740"/>
      <c r="E104" s="1851"/>
      <c r="F104" s="1741"/>
      <c r="G104" s="1742"/>
      <c r="H104" s="1743"/>
      <c r="I104" s="1744">
        <f t="shared" si="24"/>
        <v>0</v>
      </c>
      <c r="N104" s="1159"/>
      <c r="O104" s="1191"/>
      <c r="P104" s="1160"/>
      <c r="Q104" s="1160"/>
    </row>
    <row r="105" spans="1:17" s="1172" customFormat="1" ht="21.75" customHeight="1">
      <c r="A105" s="1738">
        <v>13</v>
      </c>
      <c r="B105" s="1739" t="str">
        <f t="shared" si="23"/>
        <v/>
      </c>
      <c r="C105" s="1740"/>
      <c r="D105" s="1740"/>
      <c r="E105" s="1851"/>
      <c r="F105" s="1741"/>
      <c r="G105" s="1742"/>
      <c r="H105" s="1743"/>
      <c r="I105" s="1744">
        <f t="shared" si="24"/>
        <v>0</v>
      </c>
      <c r="N105" s="1159"/>
      <c r="O105" s="1191"/>
      <c r="P105" s="1160"/>
      <c r="Q105" s="1160"/>
    </row>
    <row r="106" spans="1:17" s="1172" customFormat="1" ht="21.75" customHeight="1">
      <c r="A106" s="1738">
        <v>14</v>
      </c>
      <c r="B106" s="1739" t="str">
        <f t="shared" si="23"/>
        <v/>
      </c>
      <c r="C106" s="1740"/>
      <c r="D106" s="1740"/>
      <c r="E106" s="1851"/>
      <c r="F106" s="1741"/>
      <c r="G106" s="1742"/>
      <c r="H106" s="1743"/>
      <c r="I106" s="1744">
        <f t="shared" si="24"/>
        <v>0</v>
      </c>
      <c r="N106" s="1159"/>
      <c r="O106" s="1191"/>
      <c r="P106" s="1160"/>
      <c r="Q106" s="1160"/>
    </row>
    <row r="107" spans="1:17" s="1172" customFormat="1" ht="21.75" customHeight="1">
      <c r="A107" s="1738">
        <v>15</v>
      </c>
      <c r="B107" s="1739" t="str">
        <f t="shared" si="23"/>
        <v/>
      </c>
      <c r="C107" s="1740"/>
      <c r="D107" s="1740"/>
      <c r="E107" s="1851"/>
      <c r="F107" s="1741"/>
      <c r="G107" s="1742"/>
      <c r="H107" s="1743"/>
      <c r="I107" s="1744">
        <f t="shared" si="24"/>
        <v>0</v>
      </c>
      <c r="N107" s="1159"/>
      <c r="O107" s="1191"/>
      <c r="P107" s="1160"/>
      <c r="Q107" s="1160"/>
    </row>
    <row r="108" spans="1:17" s="1172" customFormat="1" ht="21" customHeight="1">
      <c r="E108" s="1850"/>
      <c r="G108" s="1191"/>
      <c r="H108" s="1192" t="s">
        <v>499</v>
      </c>
      <c r="I108" s="1751">
        <f>SUM(I93:I107)</f>
        <v>0</v>
      </c>
      <c r="N108" s="1159"/>
      <c r="O108" s="1191"/>
      <c r="P108" s="1160"/>
      <c r="Q108" s="1160"/>
    </row>
    <row r="109" spans="1:17" s="1172" customFormat="1" ht="21" customHeight="1">
      <c r="E109" s="1850"/>
      <c r="G109" s="1191"/>
      <c r="H109" s="1194"/>
      <c r="I109" s="1207"/>
      <c r="N109" s="1159"/>
      <c r="O109" s="1191"/>
      <c r="P109" s="1160"/>
      <c r="Q109" s="1160"/>
    </row>
    <row r="110" spans="1:17" s="1155" customFormat="1" ht="21" customHeight="1">
      <c r="A110" s="1148" t="s">
        <v>953</v>
      </c>
      <c r="B110" s="1149"/>
      <c r="C110" s="541"/>
      <c r="D110" s="541"/>
      <c r="E110" s="1847"/>
      <c r="F110" s="1149"/>
      <c r="G110" s="1150"/>
      <c r="H110" s="1149"/>
      <c r="I110" s="1149"/>
      <c r="J110" s="1149"/>
      <c r="K110" s="1172"/>
      <c r="L110" s="1172"/>
      <c r="M110" s="1172"/>
      <c r="N110" s="1159"/>
      <c r="O110" s="1158"/>
      <c r="P110" s="1160"/>
      <c r="Q110" s="1160"/>
    </row>
    <row r="111" spans="1:17" s="1172" customFormat="1" ht="21" customHeight="1">
      <c r="A111" s="1206"/>
      <c r="C111" s="1206"/>
      <c r="D111" s="1206"/>
      <c r="E111" s="1850"/>
      <c r="G111" s="1191"/>
      <c r="K111" s="1155"/>
      <c r="L111" s="1155"/>
      <c r="M111" s="1155"/>
      <c r="N111" s="1159"/>
      <c r="O111" s="1191"/>
      <c r="P111" s="1160"/>
      <c r="Q111" s="1160"/>
    </row>
    <row r="112" spans="1:17" s="1161" customFormat="1" ht="21" customHeight="1">
      <c r="A112" s="2352" t="s">
        <v>361</v>
      </c>
      <c r="B112" s="2354" t="s">
        <v>833</v>
      </c>
      <c r="C112" s="2352" t="s">
        <v>834</v>
      </c>
      <c r="D112" s="2354" t="s">
        <v>948</v>
      </c>
      <c r="E112" s="2355" t="s">
        <v>949</v>
      </c>
      <c r="F112" s="2354" t="s">
        <v>542</v>
      </c>
      <c r="G112" s="2354" t="s">
        <v>951</v>
      </c>
      <c r="H112" s="2354"/>
      <c r="I112" s="2354"/>
      <c r="J112" s="1198"/>
      <c r="K112" s="1172"/>
      <c r="L112" s="1172"/>
      <c r="M112" s="1172"/>
      <c r="N112" s="1162"/>
      <c r="O112" s="1163"/>
      <c r="P112" s="1164"/>
      <c r="Q112" s="1164"/>
    </row>
    <row r="113" spans="1:17" s="1161" customFormat="1" ht="31.5">
      <c r="A113" s="2353"/>
      <c r="B113" s="2354"/>
      <c r="C113" s="2353"/>
      <c r="D113" s="2354"/>
      <c r="E113" s="2355"/>
      <c r="F113" s="2354"/>
      <c r="G113" s="1165" t="s">
        <v>839</v>
      </c>
      <c r="H113" s="1165" t="s">
        <v>840</v>
      </c>
      <c r="I113" s="1165" t="s">
        <v>841</v>
      </c>
      <c r="J113" s="1198"/>
      <c r="N113" s="1162"/>
      <c r="O113" s="1163"/>
      <c r="P113" s="1164"/>
      <c r="Q113" s="1164"/>
    </row>
    <row r="114" spans="1:17" s="1172" customFormat="1" ht="21.75" customHeight="1">
      <c r="A114" s="1738">
        <v>1</v>
      </c>
      <c r="B114" s="1739" t="str">
        <f t="shared" ref="B114:B123" si="25">IF(C114="","",VLOOKUP(C114,$K$35:$L$38,2,0))</f>
        <v/>
      </c>
      <c r="C114" s="1740"/>
      <c r="D114" s="1740"/>
      <c r="E114" s="1851"/>
      <c r="F114" s="1741"/>
      <c r="G114" s="1742"/>
      <c r="H114" s="1743"/>
      <c r="I114" s="1744">
        <f>G114*H114</f>
        <v>0</v>
      </c>
      <c r="K114" s="1161"/>
      <c r="L114" s="1161"/>
      <c r="M114" s="1161"/>
      <c r="N114" s="1159"/>
      <c r="O114" s="1191"/>
      <c r="P114" s="1160"/>
      <c r="Q114" s="1160"/>
    </row>
    <row r="115" spans="1:17" s="1172" customFormat="1" ht="21.75" customHeight="1">
      <c r="A115" s="1738">
        <v>2</v>
      </c>
      <c r="B115" s="1739" t="str">
        <f t="shared" si="25"/>
        <v/>
      </c>
      <c r="C115" s="1740"/>
      <c r="D115" s="1740"/>
      <c r="E115" s="1851"/>
      <c r="F115" s="1741"/>
      <c r="G115" s="1742"/>
      <c r="H115" s="1743"/>
      <c r="I115" s="1744">
        <f t="shared" ref="I115:I123" si="26">G115*H115</f>
        <v>0</v>
      </c>
      <c r="N115" s="1159"/>
      <c r="O115" s="1191"/>
      <c r="P115" s="1160"/>
      <c r="Q115" s="1160"/>
    </row>
    <row r="116" spans="1:17" s="1172" customFormat="1" ht="21.75" customHeight="1">
      <c r="A116" s="1738">
        <v>3</v>
      </c>
      <c r="B116" s="1739" t="str">
        <f t="shared" si="25"/>
        <v/>
      </c>
      <c r="C116" s="1740"/>
      <c r="D116" s="1740"/>
      <c r="E116" s="1851"/>
      <c r="F116" s="1741"/>
      <c r="G116" s="1742"/>
      <c r="H116" s="1743"/>
      <c r="I116" s="1744">
        <f t="shared" si="26"/>
        <v>0</v>
      </c>
      <c r="N116" s="1159"/>
      <c r="O116" s="1191"/>
      <c r="P116" s="1160"/>
      <c r="Q116" s="1160"/>
    </row>
    <row r="117" spans="1:17" s="1172" customFormat="1" ht="21.75" customHeight="1">
      <c r="A117" s="1738">
        <v>4</v>
      </c>
      <c r="B117" s="1739" t="str">
        <f t="shared" si="25"/>
        <v/>
      </c>
      <c r="C117" s="1740"/>
      <c r="D117" s="1740"/>
      <c r="E117" s="1851"/>
      <c r="F117" s="1741"/>
      <c r="G117" s="1742"/>
      <c r="H117" s="1743"/>
      <c r="I117" s="1744">
        <f t="shared" si="26"/>
        <v>0</v>
      </c>
      <c r="N117" s="1159"/>
      <c r="O117" s="1191"/>
      <c r="P117" s="1160"/>
      <c r="Q117" s="1160"/>
    </row>
    <row r="118" spans="1:17" s="1172" customFormat="1" ht="21.75" customHeight="1">
      <c r="A118" s="1738">
        <v>5</v>
      </c>
      <c r="B118" s="1739" t="str">
        <f t="shared" si="25"/>
        <v/>
      </c>
      <c r="C118" s="1740"/>
      <c r="D118" s="1740"/>
      <c r="E118" s="1851"/>
      <c r="F118" s="1741"/>
      <c r="G118" s="1742"/>
      <c r="H118" s="1743"/>
      <c r="I118" s="1744">
        <f t="shared" si="26"/>
        <v>0</v>
      </c>
      <c r="N118" s="1159"/>
      <c r="O118" s="1191"/>
      <c r="P118" s="1160"/>
      <c r="Q118" s="1160"/>
    </row>
    <row r="119" spans="1:17" s="1172" customFormat="1" ht="21.75" customHeight="1">
      <c r="A119" s="1738">
        <v>6</v>
      </c>
      <c r="B119" s="1739" t="str">
        <f t="shared" si="25"/>
        <v/>
      </c>
      <c r="C119" s="1740"/>
      <c r="D119" s="1740"/>
      <c r="E119" s="1851"/>
      <c r="F119" s="1741"/>
      <c r="G119" s="1742"/>
      <c r="H119" s="1743"/>
      <c r="I119" s="1744">
        <f t="shared" si="26"/>
        <v>0</v>
      </c>
      <c r="N119" s="1159"/>
      <c r="O119" s="1191"/>
      <c r="P119" s="1160"/>
      <c r="Q119" s="1160"/>
    </row>
    <row r="120" spans="1:17" s="1172" customFormat="1" ht="21.75" customHeight="1">
      <c r="A120" s="1738">
        <v>7</v>
      </c>
      <c r="B120" s="1739" t="str">
        <f t="shared" si="25"/>
        <v/>
      </c>
      <c r="C120" s="1740"/>
      <c r="D120" s="1740"/>
      <c r="E120" s="1851"/>
      <c r="F120" s="1741"/>
      <c r="G120" s="1742"/>
      <c r="H120" s="1743"/>
      <c r="I120" s="1744">
        <f t="shared" si="26"/>
        <v>0</v>
      </c>
      <c r="N120" s="1159"/>
      <c r="O120" s="1191"/>
      <c r="P120" s="1160"/>
      <c r="Q120" s="1160"/>
    </row>
    <row r="121" spans="1:17" s="1172" customFormat="1" ht="21.75" customHeight="1">
      <c r="A121" s="1738">
        <v>8</v>
      </c>
      <c r="B121" s="1739" t="str">
        <f t="shared" si="25"/>
        <v/>
      </c>
      <c r="C121" s="1740"/>
      <c r="D121" s="1740"/>
      <c r="E121" s="1851"/>
      <c r="F121" s="1741"/>
      <c r="G121" s="1742"/>
      <c r="H121" s="1743"/>
      <c r="I121" s="1744">
        <f t="shared" si="26"/>
        <v>0</v>
      </c>
      <c r="N121" s="1159"/>
      <c r="O121" s="1191"/>
      <c r="P121" s="1160"/>
      <c r="Q121" s="1160"/>
    </row>
    <row r="122" spans="1:17" s="1172" customFormat="1" ht="21.75" customHeight="1">
      <c r="A122" s="1738">
        <v>9</v>
      </c>
      <c r="B122" s="1739" t="str">
        <f t="shared" si="25"/>
        <v/>
      </c>
      <c r="C122" s="1740"/>
      <c r="D122" s="1740"/>
      <c r="E122" s="1851"/>
      <c r="F122" s="1741"/>
      <c r="G122" s="1742"/>
      <c r="H122" s="1743"/>
      <c r="I122" s="1744">
        <f t="shared" si="26"/>
        <v>0</v>
      </c>
      <c r="N122" s="1159"/>
      <c r="O122" s="1191"/>
      <c r="P122" s="1160"/>
      <c r="Q122" s="1160"/>
    </row>
    <row r="123" spans="1:17" s="1172" customFormat="1" ht="21.75" customHeight="1">
      <c r="A123" s="1738">
        <v>10</v>
      </c>
      <c r="B123" s="1739" t="str">
        <f t="shared" si="25"/>
        <v/>
      </c>
      <c r="C123" s="1740"/>
      <c r="D123" s="1740"/>
      <c r="E123" s="1851"/>
      <c r="F123" s="1741"/>
      <c r="G123" s="1742"/>
      <c r="H123" s="1743"/>
      <c r="I123" s="1744">
        <f t="shared" si="26"/>
        <v>0</v>
      </c>
      <c r="N123" s="1159"/>
      <c r="O123" s="1191"/>
      <c r="P123" s="1160"/>
      <c r="Q123" s="1160"/>
    </row>
    <row r="124" spans="1:17" s="1172" customFormat="1" ht="21.75" customHeight="1">
      <c r="A124" s="1738">
        <v>11</v>
      </c>
      <c r="B124" s="1739" t="str">
        <f t="shared" ref="B124:B128" si="27">IF(C124="","",VLOOKUP(C124,$K$35:$L$38,2,0))</f>
        <v/>
      </c>
      <c r="C124" s="1740"/>
      <c r="D124" s="1740"/>
      <c r="E124" s="1851"/>
      <c r="F124" s="1741"/>
      <c r="G124" s="1742"/>
      <c r="H124" s="1743"/>
      <c r="I124" s="1744">
        <f t="shared" ref="I124:I128" si="28">G124*H124</f>
        <v>0</v>
      </c>
      <c r="N124" s="1159"/>
      <c r="O124" s="1191"/>
      <c r="P124" s="1160"/>
      <c r="Q124" s="1160"/>
    </row>
    <row r="125" spans="1:17" s="1172" customFormat="1" ht="21.75" customHeight="1">
      <c r="A125" s="1738">
        <v>12</v>
      </c>
      <c r="B125" s="1739" t="str">
        <f t="shared" si="27"/>
        <v/>
      </c>
      <c r="C125" s="1740"/>
      <c r="D125" s="1740"/>
      <c r="E125" s="1851"/>
      <c r="F125" s="1741"/>
      <c r="G125" s="1742"/>
      <c r="H125" s="1743"/>
      <c r="I125" s="1744">
        <f t="shared" si="28"/>
        <v>0</v>
      </c>
      <c r="N125" s="1159"/>
      <c r="O125" s="1191"/>
      <c r="P125" s="1160"/>
      <c r="Q125" s="1160"/>
    </row>
    <row r="126" spans="1:17" s="1172" customFormat="1" ht="21.75" customHeight="1">
      <c r="A126" s="1738">
        <v>13</v>
      </c>
      <c r="B126" s="1739" t="str">
        <f t="shared" si="27"/>
        <v/>
      </c>
      <c r="C126" s="1740"/>
      <c r="D126" s="1740"/>
      <c r="E126" s="1851"/>
      <c r="F126" s="1741"/>
      <c r="G126" s="1742"/>
      <c r="H126" s="1743"/>
      <c r="I126" s="1744">
        <f t="shared" si="28"/>
        <v>0</v>
      </c>
      <c r="N126" s="1159"/>
      <c r="O126" s="1191"/>
      <c r="P126" s="1160"/>
      <c r="Q126" s="1160"/>
    </row>
    <row r="127" spans="1:17" s="1172" customFormat="1" ht="21.75" customHeight="1">
      <c r="A127" s="1738">
        <v>14</v>
      </c>
      <c r="B127" s="1739" t="str">
        <f t="shared" si="27"/>
        <v/>
      </c>
      <c r="C127" s="1740"/>
      <c r="D127" s="1740"/>
      <c r="E127" s="1851"/>
      <c r="F127" s="1741"/>
      <c r="G127" s="1742"/>
      <c r="H127" s="1743"/>
      <c r="I127" s="1744">
        <f t="shared" si="28"/>
        <v>0</v>
      </c>
      <c r="N127" s="1159"/>
      <c r="O127" s="1191"/>
      <c r="P127" s="1160"/>
      <c r="Q127" s="1160"/>
    </row>
    <row r="128" spans="1:17" s="1172" customFormat="1" ht="21.75" customHeight="1">
      <c r="A128" s="1738">
        <v>15</v>
      </c>
      <c r="B128" s="1739" t="str">
        <f t="shared" si="27"/>
        <v/>
      </c>
      <c r="C128" s="1740"/>
      <c r="D128" s="1740"/>
      <c r="E128" s="1851"/>
      <c r="F128" s="1741"/>
      <c r="G128" s="1742"/>
      <c r="H128" s="1743"/>
      <c r="I128" s="1744">
        <f t="shared" si="28"/>
        <v>0</v>
      </c>
      <c r="N128" s="1159"/>
      <c r="O128" s="1191"/>
      <c r="P128" s="1160"/>
      <c r="Q128" s="1160"/>
    </row>
    <row r="129" spans="1:17" s="1172" customFormat="1" ht="21" customHeight="1">
      <c r="E129" s="1850"/>
      <c r="G129" s="1191"/>
      <c r="H129" s="1192" t="s">
        <v>499</v>
      </c>
      <c r="I129" s="1752">
        <f>SUM(I114:I128)</f>
        <v>0</v>
      </c>
      <c r="N129" s="1159"/>
      <c r="O129" s="1191"/>
      <c r="P129" s="1160"/>
      <c r="Q129" s="1160"/>
    </row>
    <row r="130" spans="1:17" s="1172" customFormat="1" ht="21" customHeight="1">
      <c r="E130" s="1850"/>
      <c r="G130" s="1191"/>
      <c r="H130" s="1194"/>
      <c r="I130" s="1207"/>
      <c r="N130" s="1159"/>
      <c r="O130" s="1191"/>
      <c r="P130" s="1160"/>
      <c r="Q130" s="1160"/>
    </row>
    <row r="131" spans="1:17" s="1155" customFormat="1" ht="21" customHeight="1">
      <c r="A131" s="1148" t="s">
        <v>954</v>
      </c>
      <c r="B131" s="1149"/>
      <c r="C131" s="541"/>
      <c r="D131" s="541"/>
      <c r="E131" s="1847"/>
      <c r="F131" s="1149"/>
      <c r="G131" s="1150"/>
      <c r="H131" s="1149"/>
      <c r="I131" s="1149"/>
      <c r="J131" s="1149"/>
      <c r="K131" s="1172"/>
      <c r="L131" s="1172"/>
      <c r="M131" s="1172"/>
      <c r="N131" s="1159"/>
      <c r="O131" s="1158"/>
      <c r="P131" s="1160"/>
      <c r="Q131" s="1160"/>
    </row>
    <row r="132" spans="1:17" s="1155" customFormat="1" ht="21" customHeight="1">
      <c r="A132" s="1197"/>
      <c r="C132" s="1157"/>
      <c r="D132" s="1157"/>
      <c r="E132" s="1848"/>
      <c r="G132" s="1158"/>
      <c r="N132" s="1159"/>
      <c r="O132" s="1158"/>
      <c r="P132" s="1160"/>
      <c r="Q132" s="1160"/>
    </row>
    <row r="133" spans="1:17" s="1161" customFormat="1" ht="21" customHeight="1">
      <c r="A133" s="2352" t="s">
        <v>361</v>
      </c>
      <c r="B133" s="2354" t="s">
        <v>833</v>
      </c>
      <c r="C133" s="2352" t="s">
        <v>834</v>
      </c>
      <c r="D133" s="2354" t="s">
        <v>955</v>
      </c>
      <c r="E133" s="2355" t="s">
        <v>956</v>
      </c>
      <c r="F133" s="2354" t="s">
        <v>957</v>
      </c>
      <c r="G133" s="2354" t="s">
        <v>958</v>
      </c>
      <c r="H133" s="2354"/>
      <c r="I133" s="2354"/>
      <c r="J133" s="1155"/>
      <c r="K133" s="1155"/>
      <c r="L133" s="1155"/>
      <c r="M133" s="1159"/>
      <c r="N133" s="1163"/>
      <c r="O133" s="1164"/>
      <c r="P133" s="1164"/>
    </row>
    <row r="134" spans="1:17" s="1161" customFormat="1" ht="31.5">
      <c r="A134" s="2353"/>
      <c r="B134" s="2354"/>
      <c r="C134" s="2353"/>
      <c r="D134" s="2354"/>
      <c r="E134" s="2355"/>
      <c r="F134" s="2354"/>
      <c r="G134" s="1165" t="s">
        <v>839</v>
      </c>
      <c r="H134" s="1165" t="s">
        <v>840</v>
      </c>
      <c r="I134" s="1165" t="s">
        <v>841</v>
      </c>
      <c r="M134" s="1162"/>
      <c r="N134" s="1163"/>
      <c r="O134" s="1164"/>
      <c r="P134" s="1164"/>
    </row>
    <row r="135" spans="1:17" s="1172" customFormat="1" ht="21.75" customHeight="1">
      <c r="A135" s="1738">
        <v>1</v>
      </c>
      <c r="B135" s="1739" t="str">
        <f>IF(C135="","",VLOOKUP($C$135,$K$40:L47,2,0))</f>
        <v/>
      </c>
      <c r="C135" s="1740"/>
      <c r="D135" s="1740"/>
      <c r="E135" s="1851"/>
      <c r="F135" s="1741"/>
      <c r="G135" s="1742"/>
      <c r="H135" s="1743"/>
      <c r="I135" s="1744">
        <f>G135*H135</f>
        <v>0</v>
      </c>
      <c r="J135" s="1161"/>
      <c r="K135" s="1161"/>
      <c r="L135" s="1161"/>
      <c r="M135" s="1162"/>
      <c r="N135" s="1191"/>
      <c r="O135" s="1160"/>
      <c r="P135" s="1160"/>
    </row>
    <row r="136" spans="1:17" s="1172" customFormat="1" ht="21.75" customHeight="1">
      <c r="A136" s="1738">
        <v>2</v>
      </c>
      <c r="B136" s="1739" t="str">
        <f>IF(C136="","",VLOOKUP($C136,$K$40:$L$47,2,0))</f>
        <v/>
      </c>
      <c r="C136" s="1740"/>
      <c r="D136" s="1740"/>
      <c r="E136" s="1851"/>
      <c r="F136" s="1741"/>
      <c r="G136" s="1742"/>
      <c r="H136" s="1743"/>
      <c r="I136" s="1744">
        <f t="shared" ref="I136:I144" si="29">G136*H136</f>
        <v>0</v>
      </c>
      <c r="M136" s="1159"/>
      <c r="N136" s="1191"/>
      <c r="O136" s="1160"/>
      <c r="P136" s="1160"/>
    </row>
    <row r="137" spans="1:17" s="1172" customFormat="1" ht="21.75" customHeight="1">
      <c r="A137" s="1738">
        <v>3</v>
      </c>
      <c r="B137" s="1739" t="str">
        <f>IF(C137="","",VLOOKUP($C137,$K$40:$L$47,2,0))</f>
        <v/>
      </c>
      <c r="C137" s="1740"/>
      <c r="D137" s="1740"/>
      <c r="E137" s="1851"/>
      <c r="F137" s="1741"/>
      <c r="G137" s="1742"/>
      <c r="H137" s="1743"/>
      <c r="I137" s="1744">
        <f t="shared" si="29"/>
        <v>0</v>
      </c>
      <c r="M137" s="1159"/>
      <c r="N137" s="1191"/>
      <c r="O137" s="1160"/>
      <c r="P137" s="1160"/>
    </row>
    <row r="138" spans="1:17" s="1172" customFormat="1" ht="21.75" customHeight="1">
      <c r="A138" s="1738">
        <v>4</v>
      </c>
      <c r="B138" s="1739" t="str">
        <f>IF(C138="","",VLOOKUP($C138,$K$40:$L$47,2,0))</f>
        <v/>
      </c>
      <c r="C138" s="1740"/>
      <c r="D138" s="1740"/>
      <c r="E138" s="1851"/>
      <c r="F138" s="1741"/>
      <c r="G138" s="1742"/>
      <c r="H138" s="1743"/>
      <c r="I138" s="1744">
        <f t="shared" si="29"/>
        <v>0</v>
      </c>
      <c r="M138" s="1159"/>
      <c r="N138" s="1191"/>
      <c r="O138" s="1160"/>
      <c r="P138" s="1160"/>
    </row>
    <row r="139" spans="1:17" s="1172" customFormat="1" ht="21.75" customHeight="1">
      <c r="A139" s="1738">
        <v>5</v>
      </c>
      <c r="B139" s="1739" t="str">
        <f>IF(C139="","",VLOOKUP($C139,$K$40:$L$47,2,0))</f>
        <v/>
      </c>
      <c r="C139" s="1740"/>
      <c r="D139" s="1740"/>
      <c r="E139" s="1851"/>
      <c r="F139" s="1741"/>
      <c r="G139" s="1742"/>
      <c r="H139" s="1743"/>
      <c r="I139" s="1744">
        <f t="shared" si="29"/>
        <v>0</v>
      </c>
      <c r="M139" s="1159"/>
      <c r="N139" s="1191"/>
      <c r="O139" s="1160"/>
      <c r="P139" s="1160"/>
    </row>
    <row r="140" spans="1:17" s="1172" customFormat="1" ht="21.75" customHeight="1">
      <c r="A140" s="1738">
        <v>6</v>
      </c>
      <c r="B140" s="1739" t="str">
        <f>IF(C140="","",VLOOKUP($C140,$K$40:$L$47,2,0))</f>
        <v/>
      </c>
      <c r="C140" s="1740"/>
      <c r="D140" s="1740"/>
      <c r="E140" s="1851"/>
      <c r="F140" s="1741"/>
      <c r="G140" s="1742"/>
      <c r="H140" s="1743"/>
      <c r="I140" s="1744">
        <f t="shared" si="29"/>
        <v>0</v>
      </c>
      <c r="M140" s="1159"/>
      <c r="N140" s="1191"/>
      <c r="O140" s="1160"/>
      <c r="P140" s="1160"/>
    </row>
    <row r="141" spans="1:17" s="1172" customFormat="1" ht="21.75" customHeight="1">
      <c r="A141" s="1738">
        <v>7</v>
      </c>
      <c r="B141" s="1739" t="str">
        <f t="shared" ref="B141:B142" si="30">IF(C141="","",VLOOKUP($C141,$K$40:$L$47,2,0))</f>
        <v/>
      </c>
      <c r="C141" s="1740"/>
      <c r="D141" s="1740"/>
      <c r="E141" s="1851"/>
      <c r="F141" s="1741"/>
      <c r="G141" s="1742"/>
      <c r="H141" s="1743"/>
      <c r="I141" s="1744">
        <f t="shared" si="29"/>
        <v>0</v>
      </c>
      <c r="M141" s="1159"/>
      <c r="N141" s="1191"/>
      <c r="O141" s="1160"/>
      <c r="P141" s="1160"/>
    </row>
    <row r="142" spans="1:17" s="1172" customFormat="1" ht="21.75" customHeight="1">
      <c r="A142" s="1738">
        <v>8</v>
      </c>
      <c r="B142" s="1739" t="str">
        <f t="shared" si="30"/>
        <v/>
      </c>
      <c r="C142" s="1740"/>
      <c r="D142" s="1740"/>
      <c r="E142" s="1851"/>
      <c r="F142" s="1741"/>
      <c r="G142" s="1742"/>
      <c r="H142" s="1743"/>
      <c r="I142" s="1744">
        <f t="shared" si="29"/>
        <v>0</v>
      </c>
      <c r="M142" s="1159"/>
      <c r="N142" s="1191"/>
      <c r="O142" s="1160"/>
      <c r="P142" s="1160"/>
    </row>
    <row r="143" spans="1:17" s="1172" customFormat="1" ht="21.75" customHeight="1">
      <c r="A143" s="1738">
        <v>9</v>
      </c>
      <c r="B143" s="1739" t="str">
        <f>IF(C143="","",VLOOKUP($C143,$K$40:$L$47,2,0))</f>
        <v/>
      </c>
      <c r="C143" s="1740"/>
      <c r="D143" s="1740"/>
      <c r="E143" s="1851"/>
      <c r="F143" s="1741"/>
      <c r="G143" s="1742"/>
      <c r="H143" s="1743"/>
      <c r="I143" s="1744">
        <f t="shared" si="29"/>
        <v>0</v>
      </c>
      <c r="M143" s="1159"/>
      <c r="N143" s="1191"/>
      <c r="O143" s="1160"/>
      <c r="P143" s="1160"/>
    </row>
    <row r="144" spans="1:17" s="1172" customFormat="1" ht="21.75" customHeight="1">
      <c r="A144" s="1738">
        <v>10</v>
      </c>
      <c r="B144" s="1739" t="str">
        <f>IF(C144="","",VLOOKUP($C144,$K$40:$L$47,2,0))</f>
        <v/>
      </c>
      <c r="C144" s="1740"/>
      <c r="D144" s="1740"/>
      <c r="E144" s="1851"/>
      <c r="F144" s="1741"/>
      <c r="G144" s="1742"/>
      <c r="H144" s="1743"/>
      <c r="I144" s="1744">
        <f t="shared" si="29"/>
        <v>0</v>
      </c>
      <c r="M144" s="1159"/>
      <c r="N144" s="1191"/>
      <c r="O144" s="1160"/>
      <c r="P144" s="1160"/>
    </row>
    <row r="145" spans="1:17" s="1172" customFormat="1" ht="21.75" customHeight="1">
      <c r="A145" s="1738">
        <v>11</v>
      </c>
      <c r="B145" s="1739" t="str">
        <f>IF(C145="","",VLOOKUP($C145,$K$40:$L$47,2,0))</f>
        <v/>
      </c>
      <c r="C145" s="1740"/>
      <c r="D145" s="1740"/>
      <c r="E145" s="1851"/>
      <c r="F145" s="1741"/>
      <c r="G145" s="1742"/>
      <c r="H145" s="1743"/>
      <c r="I145" s="1744">
        <f t="shared" ref="I145:I149" si="31">G145*H145</f>
        <v>0</v>
      </c>
      <c r="M145" s="1159"/>
      <c r="N145" s="1191"/>
      <c r="O145" s="1160"/>
      <c r="P145" s="1160"/>
    </row>
    <row r="146" spans="1:17" s="1172" customFormat="1" ht="21.75" customHeight="1">
      <c r="A146" s="1738">
        <v>12</v>
      </c>
      <c r="B146" s="1739" t="str">
        <f t="shared" ref="B146:B147" si="32">IF(C146="","",VLOOKUP($C146,$K$40:$L$47,2,0))</f>
        <v/>
      </c>
      <c r="C146" s="1740"/>
      <c r="D146" s="1740"/>
      <c r="E146" s="1851"/>
      <c r="F146" s="1741"/>
      <c r="G146" s="1742"/>
      <c r="H146" s="1743"/>
      <c r="I146" s="1744">
        <f t="shared" si="31"/>
        <v>0</v>
      </c>
      <c r="M146" s="1159"/>
      <c r="N146" s="1191"/>
      <c r="O146" s="1160"/>
      <c r="P146" s="1160"/>
    </row>
    <row r="147" spans="1:17" s="1172" customFormat="1" ht="21.75" customHeight="1">
      <c r="A147" s="1738">
        <v>13</v>
      </c>
      <c r="B147" s="1739" t="str">
        <f t="shared" si="32"/>
        <v/>
      </c>
      <c r="C147" s="1740"/>
      <c r="D147" s="1740"/>
      <c r="E147" s="1851"/>
      <c r="F147" s="1741"/>
      <c r="G147" s="1742"/>
      <c r="H147" s="1743"/>
      <c r="I147" s="1744">
        <f t="shared" si="31"/>
        <v>0</v>
      </c>
      <c r="M147" s="1159"/>
      <c r="N147" s="1191"/>
      <c r="O147" s="1160"/>
      <c r="P147" s="1160"/>
    </row>
    <row r="148" spans="1:17" s="1172" customFormat="1" ht="21.75" customHeight="1">
      <c r="A148" s="1738">
        <v>14</v>
      </c>
      <c r="B148" s="1739" t="str">
        <f>IF(C148="","",VLOOKUP($C148,$K$40:$L$47,2,0))</f>
        <v/>
      </c>
      <c r="C148" s="1740"/>
      <c r="D148" s="1740"/>
      <c r="E148" s="1851"/>
      <c r="F148" s="1741"/>
      <c r="G148" s="1742"/>
      <c r="H148" s="1743"/>
      <c r="I148" s="1744">
        <f t="shared" si="31"/>
        <v>0</v>
      </c>
      <c r="M148" s="1159"/>
      <c r="N148" s="1191"/>
      <c r="O148" s="1160"/>
      <c r="P148" s="1160"/>
    </row>
    <row r="149" spans="1:17" s="1172" customFormat="1" ht="21.75" customHeight="1">
      <c r="A149" s="1738">
        <v>15</v>
      </c>
      <c r="B149" s="1739" t="str">
        <f>IF(C149="","",VLOOKUP($C149,$K$40:$L$47,2,0))</f>
        <v/>
      </c>
      <c r="C149" s="1740"/>
      <c r="D149" s="1740"/>
      <c r="E149" s="1851"/>
      <c r="F149" s="1741"/>
      <c r="G149" s="1742"/>
      <c r="H149" s="1743"/>
      <c r="I149" s="1744">
        <f t="shared" si="31"/>
        <v>0</v>
      </c>
      <c r="M149" s="1159"/>
      <c r="N149" s="1191"/>
      <c r="O149" s="1160"/>
      <c r="P149" s="1160"/>
    </row>
    <row r="150" spans="1:17" s="1172" customFormat="1" ht="21" customHeight="1">
      <c r="E150" s="1850"/>
      <c r="F150" s="1191"/>
      <c r="H150" s="1204" t="s">
        <v>499</v>
      </c>
      <c r="I150" s="1752">
        <f>SUM(I135:I149)</f>
        <v>0</v>
      </c>
      <c r="M150" s="1159"/>
      <c r="N150" s="1191"/>
      <c r="O150" s="1160"/>
      <c r="P150" s="1160"/>
    </row>
    <row r="151" spans="1:17" s="1172" customFormat="1" ht="21" customHeight="1">
      <c r="E151" s="1850"/>
      <c r="G151" s="1191"/>
      <c r="N151" s="1159"/>
      <c r="O151" s="1191"/>
      <c r="P151" s="1160"/>
      <c r="Q151" s="1160"/>
    </row>
    <row r="152" spans="1:17" s="1172" customFormat="1" ht="21" customHeight="1">
      <c r="E152" s="1850"/>
      <c r="G152" s="1191"/>
      <c r="K152" s="1191"/>
      <c r="L152" s="1208"/>
      <c r="M152" s="1208"/>
      <c r="N152" s="1159"/>
      <c r="O152" s="1191"/>
      <c r="P152" s="1160"/>
      <c r="Q152" s="1160"/>
    </row>
    <row r="153" spans="1:17" s="1172" customFormat="1" ht="21" customHeight="1">
      <c r="E153" s="1850"/>
      <c r="G153" s="1191"/>
      <c r="K153" s="1191"/>
      <c r="L153" s="1191"/>
      <c r="M153" s="1191"/>
      <c r="N153" s="1159"/>
      <c r="O153" s="1191"/>
      <c r="P153" s="1160"/>
      <c r="Q153" s="1160"/>
    </row>
    <row r="154" spans="1:17" s="1172" customFormat="1" ht="21" customHeight="1">
      <c r="E154" s="1850"/>
      <c r="G154" s="1191"/>
      <c r="K154" s="1191"/>
      <c r="L154" s="1191"/>
      <c r="M154" s="1191"/>
      <c r="N154" s="1159"/>
      <c r="O154" s="1191"/>
      <c r="P154" s="1160"/>
      <c r="Q154" s="1160"/>
    </row>
    <row r="155" spans="1:17" s="1172" customFormat="1" ht="21" customHeight="1">
      <c r="E155" s="1850"/>
      <c r="G155" s="1191"/>
      <c r="K155" s="1191"/>
      <c r="L155" s="1191"/>
      <c r="M155" s="1191"/>
      <c r="N155" s="1159"/>
      <c r="O155" s="1191"/>
      <c r="P155" s="1160"/>
      <c r="Q155" s="1160"/>
    </row>
    <row r="156" spans="1:17" s="1172" customFormat="1" ht="21" customHeight="1">
      <c r="E156" s="1850"/>
      <c r="G156" s="1191"/>
      <c r="N156" s="1159"/>
      <c r="O156" s="1191"/>
      <c r="P156" s="1160"/>
      <c r="Q156" s="1160"/>
    </row>
    <row r="157" spans="1:17" s="1172" customFormat="1" ht="21" customHeight="1">
      <c r="E157" s="1850"/>
      <c r="G157" s="1191"/>
      <c r="N157" s="1159"/>
      <c r="O157" s="1191"/>
      <c r="P157" s="1160"/>
      <c r="Q157" s="1160"/>
    </row>
    <row r="158" spans="1:17" s="1172" customFormat="1" ht="21" customHeight="1">
      <c r="E158" s="1850"/>
      <c r="G158" s="1191"/>
      <c r="N158" s="1159"/>
      <c r="O158" s="1191"/>
      <c r="P158" s="1160"/>
      <c r="Q158" s="1160"/>
    </row>
    <row r="159" spans="1:17" s="1172" customFormat="1" ht="36" customHeight="1">
      <c r="E159" s="1850"/>
      <c r="G159" s="1191"/>
      <c r="L159" s="1209"/>
      <c r="M159" s="1210"/>
      <c r="N159" s="1211"/>
      <c r="O159" s="1212"/>
      <c r="P159" s="1213"/>
      <c r="Q159" s="1213"/>
    </row>
    <row r="160" spans="1:17" s="1172" customFormat="1" ht="36" customHeight="1">
      <c r="E160" s="1850"/>
      <c r="G160" s="1191"/>
      <c r="K160" s="1185"/>
      <c r="L160" s="1212"/>
      <c r="M160" s="1214"/>
      <c r="N160" s="1211"/>
      <c r="O160" s="1212"/>
      <c r="P160" s="1213"/>
      <c r="Q160" s="1213"/>
    </row>
    <row r="161" spans="5:17" s="1172" customFormat="1" ht="36" customHeight="1">
      <c r="E161" s="1850"/>
      <c r="G161" s="1191"/>
      <c r="K161" s="1185"/>
      <c r="L161" s="1212"/>
      <c r="M161" s="1214"/>
      <c r="N161" s="1211"/>
      <c r="O161" s="1212"/>
      <c r="P161" s="1213"/>
      <c r="Q161" s="1213"/>
    </row>
    <row r="162" spans="5:17" s="1172" customFormat="1" ht="36" customHeight="1">
      <c r="E162" s="1850"/>
      <c r="G162" s="1191"/>
      <c r="K162" s="1185"/>
      <c r="L162" s="1212"/>
      <c r="M162" s="1214"/>
      <c r="N162" s="1211"/>
      <c r="O162" s="1212"/>
      <c r="P162" s="1213"/>
      <c r="Q162" s="1213"/>
    </row>
    <row r="163" spans="5:17" s="1172" customFormat="1" ht="36" customHeight="1">
      <c r="E163" s="1850"/>
      <c r="G163" s="1191"/>
      <c r="K163" s="1185"/>
      <c r="L163" s="1212"/>
      <c r="M163" s="1214"/>
      <c r="N163" s="1211"/>
      <c r="O163" s="1212"/>
      <c r="P163" s="1213"/>
      <c r="Q163" s="1213"/>
    </row>
    <row r="164" spans="5:17" s="1172" customFormat="1" ht="36" customHeight="1">
      <c r="E164" s="1850"/>
      <c r="G164" s="1191"/>
      <c r="K164" s="1185"/>
      <c r="L164" s="1212"/>
      <c r="M164" s="1214"/>
      <c r="N164" s="1211"/>
      <c r="O164" s="1191"/>
      <c r="P164" s="1213"/>
      <c r="Q164" s="1213"/>
    </row>
    <row r="165" spans="5:17" s="1172" customFormat="1" ht="36" customHeight="1">
      <c r="E165" s="1850"/>
      <c r="G165" s="1191"/>
      <c r="K165" s="1185"/>
      <c r="L165" s="1212"/>
      <c r="M165" s="1214"/>
      <c r="N165" s="1211"/>
      <c r="O165" s="1212"/>
      <c r="P165" s="1213"/>
      <c r="Q165" s="1213"/>
    </row>
    <row r="166" spans="5:17" s="1172" customFormat="1" ht="36" customHeight="1">
      <c r="E166" s="1850"/>
      <c r="G166" s="1191"/>
      <c r="K166" s="1185"/>
      <c r="L166" s="1212"/>
      <c r="M166" s="1214"/>
      <c r="N166" s="1211"/>
      <c r="O166" s="1212"/>
      <c r="P166" s="1213"/>
      <c r="Q166" s="1213"/>
    </row>
    <row r="167" spans="5:17" s="1172" customFormat="1" ht="36" customHeight="1">
      <c r="E167" s="1850"/>
      <c r="G167" s="1191"/>
      <c r="K167" s="1185"/>
      <c r="L167" s="1212"/>
      <c r="M167" s="1214"/>
      <c r="N167" s="1159"/>
      <c r="O167" s="1212"/>
      <c r="P167" s="1213"/>
      <c r="Q167" s="1213"/>
    </row>
    <row r="168" spans="5:17" s="1172" customFormat="1" ht="36" customHeight="1">
      <c r="E168" s="1850"/>
      <c r="G168" s="1191"/>
      <c r="L168" s="1212"/>
      <c r="M168" s="1214"/>
      <c r="N168" s="1159"/>
      <c r="O168" s="1212"/>
      <c r="P168" s="1213"/>
      <c r="Q168" s="1213"/>
    </row>
    <row r="169" spans="5:17" s="1172" customFormat="1" ht="36" customHeight="1">
      <c r="E169" s="1850"/>
      <c r="G169" s="1191"/>
      <c r="L169" s="1212"/>
      <c r="M169" s="1214"/>
      <c r="N169" s="1159"/>
      <c r="O169" s="1212"/>
      <c r="P169" s="1213"/>
      <c r="Q169" s="1213"/>
    </row>
    <row r="170" spans="5:17" s="1172" customFormat="1" ht="36" customHeight="1">
      <c r="E170" s="1850"/>
      <c r="G170" s="1191"/>
      <c r="L170" s="1212"/>
      <c r="M170" s="1214"/>
      <c r="N170" s="1159"/>
      <c r="O170" s="1212"/>
      <c r="P170" s="1213"/>
      <c r="Q170" s="1213"/>
    </row>
    <row r="171" spans="5:17" s="1172" customFormat="1" ht="36" customHeight="1">
      <c r="E171" s="1850"/>
      <c r="G171" s="1191"/>
      <c r="L171" s="1212"/>
      <c r="M171" s="1214"/>
      <c r="N171" s="1159"/>
      <c r="O171" s="1212"/>
      <c r="P171" s="1213"/>
      <c r="Q171" s="1213"/>
    </row>
    <row r="172" spans="5:17" s="1172" customFormat="1" ht="36" customHeight="1">
      <c r="E172" s="1850"/>
      <c r="G172" s="1191"/>
      <c r="L172" s="1212"/>
      <c r="M172" s="1214"/>
      <c r="N172" s="1159"/>
      <c r="O172" s="1212"/>
      <c r="P172" s="1213"/>
      <c r="Q172" s="1213"/>
    </row>
    <row r="173" spans="5:17" s="1172" customFormat="1" ht="36" customHeight="1">
      <c r="E173" s="1850"/>
      <c r="G173" s="1191"/>
      <c r="L173" s="1212"/>
      <c r="M173" s="1214"/>
      <c r="N173" s="1159"/>
      <c r="O173" s="1212"/>
      <c r="P173" s="1213"/>
      <c r="Q173" s="1213"/>
    </row>
    <row r="174" spans="5:17" s="1172" customFormat="1" ht="36" customHeight="1">
      <c r="E174" s="1850"/>
      <c r="G174" s="1191"/>
      <c r="L174" s="1212"/>
      <c r="M174" s="1214"/>
      <c r="N174" s="1159"/>
      <c r="O174" s="1212"/>
      <c r="P174" s="1213"/>
      <c r="Q174" s="1213"/>
    </row>
    <row r="175" spans="5:17" s="1172" customFormat="1" ht="36" customHeight="1">
      <c r="E175" s="1850"/>
      <c r="G175" s="1191"/>
      <c r="L175" s="1212"/>
      <c r="M175" s="1214"/>
      <c r="N175" s="1159"/>
      <c r="O175" s="1212"/>
      <c r="P175" s="1213"/>
      <c r="Q175" s="1213"/>
    </row>
    <row r="176" spans="5:17" s="1172" customFormat="1" ht="36" customHeight="1">
      <c r="E176" s="1850"/>
      <c r="G176" s="1191"/>
      <c r="L176" s="1212"/>
      <c r="M176" s="1214"/>
      <c r="N176" s="1159"/>
      <c r="O176" s="1212"/>
      <c r="P176" s="1213"/>
      <c r="Q176" s="1213"/>
    </row>
    <row r="177" spans="5:19" s="1172" customFormat="1" ht="36" customHeight="1">
      <c r="E177" s="1850"/>
      <c r="G177" s="1191"/>
      <c r="L177" s="1212"/>
      <c r="M177" s="1214"/>
      <c r="N177" s="1159"/>
      <c r="O177" s="1212"/>
      <c r="P177" s="1213"/>
      <c r="Q177" s="1213"/>
    </row>
    <row r="178" spans="5:19" s="1172" customFormat="1" ht="36" customHeight="1">
      <c r="E178" s="1850"/>
      <c r="G178" s="1191"/>
      <c r="L178" s="1212"/>
      <c r="M178" s="1214"/>
      <c r="N178" s="1159"/>
      <c r="O178" s="1212"/>
      <c r="P178" s="1213"/>
      <c r="Q178" s="1213"/>
    </row>
    <row r="179" spans="5:19" s="1172" customFormat="1" ht="36" customHeight="1">
      <c r="E179" s="1850"/>
      <c r="G179" s="1191"/>
      <c r="L179" s="1212"/>
      <c r="M179" s="1214"/>
      <c r="N179" s="1159"/>
      <c r="O179" s="1212"/>
      <c r="P179" s="1213"/>
      <c r="Q179" s="1213"/>
    </row>
    <row r="180" spans="5:19" s="1172" customFormat="1" ht="36" customHeight="1">
      <c r="E180" s="1850"/>
      <c r="G180" s="1191"/>
      <c r="L180" s="1212"/>
      <c r="M180" s="1214"/>
      <c r="N180" s="1159"/>
      <c r="O180" s="1212"/>
      <c r="P180" s="1213"/>
      <c r="Q180" s="1213"/>
    </row>
    <row r="181" spans="5:19" s="1172" customFormat="1" ht="36" customHeight="1">
      <c r="E181" s="1850"/>
      <c r="G181" s="1191"/>
      <c r="L181" s="1212"/>
      <c r="M181" s="1214"/>
      <c r="N181" s="1159"/>
      <c r="O181" s="1212"/>
      <c r="P181" s="1213"/>
      <c r="Q181" s="1213"/>
    </row>
    <row r="182" spans="5:19" s="1172" customFormat="1" ht="36" customHeight="1">
      <c r="E182" s="1850"/>
      <c r="G182" s="1191"/>
      <c r="L182" s="1212"/>
      <c r="M182" s="1214"/>
      <c r="N182" s="1159"/>
      <c r="O182" s="1212"/>
      <c r="P182" s="1213"/>
      <c r="Q182" s="1213"/>
    </row>
    <row r="183" spans="5:19" s="1172" customFormat="1" ht="36" customHeight="1">
      <c r="E183" s="1850"/>
      <c r="G183" s="1191"/>
      <c r="L183" s="1212"/>
      <c r="M183" s="1214"/>
      <c r="N183" s="1159"/>
      <c r="O183" s="1212"/>
      <c r="P183" s="1213"/>
      <c r="Q183" s="1213"/>
    </row>
    <row r="184" spans="5:19" ht="36" customHeight="1">
      <c r="K184" s="1172"/>
      <c r="L184" s="1212"/>
      <c r="M184" s="1214"/>
      <c r="O184" s="1215"/>
      <c r="P184" s="1216"/>
      <c r="Q184" s="1216"/>
    </row>
    <row r="185" spans="5:19" ht="36" customHeight="1">
      <c r="L185" s="1215"/>
      <c r="M185" s="1217"/>
      <c r="O185" s="1215"/>
      <c r="P185" s="1216"/>
      <c r="Q185" s="1216"/>
    </row>
    <row r="186" spans="5:19" ht="36" customHeight="1">
      <c r="L186" s="1215"/>
      <c r="M186" s="1217"/>
      <c r="O186" s="1215"/>
      <c r="P186" s="1216"/>
      <c r="Q186" s="1216"/>
    </row>
    <row r="187" spans="5:19" ht="36" customHeight="1">
      <c r="L187" s="1215"/>
      <c r="M187" s="1217"/>
      <c r="O187" s="1215"/>
      <c r="P187" s="1216"/>
      <c r="Q187" s="1216"/>
    </row>
    <row r="188" spans="5:19" ht="36" customHeight="1">
      <c r="L188" s="1215"/>
      <c r="M188" s="1217"/>
      <c r="O188" s="1215"/>
      <c r="P188" s="1216"/>
      <c r="Q188" s="1216"/>
    </row>
    <row r="189" spans="5:19" ht="36" customHeight="1">
      <c r="L189" s="1215"/>
      <c r="M189" s="1217"/>
      <c r="O189" s="1215"/>
      <c r="P189" s="1216"/>
      <c r="Q189" s="1216"/>
    </row>
    <row r="190" spans="5:19" ht="21" customHeight="1">
      <c r="G190" s="539"/>
      <c r="L190" s="1215"/>
      <c r="M190" s="1217"/>
      <c r="S190" s="1218"/>
    </row>
    <row r="191" spans="5:19" ht="21" customHeight="1">
      <c r="G191" s="539"/>
      <c r="M191" s="1219"/>
      <c r="S191" s="1218"/>
    </row>
    <row r="192" spans="5:19" ht="21" customHeight="1">
      <c r="G192" s="539"/>
      <c r="M192" s="1219"/>
      <c r="S192" s="1218"/>
    </row>
    <row r="193" spans="7:19" ht="21" customHeight="1">
      <c r="G193" s="539"/>
      <c r="K193" s="1220"/>
      <c r="L193" s="1215"/>
      <c r="M193" s="1221"/>
      <c r="S193" s="1218"/>
    </row>
    <row r="194" spans="7:19" ht="21" customHeight="1">
      <c r="G194" s="539"/>
      <c r="K194" s="1220"/>
      <c r="L194" s="1215"/>
      <c r="M194" s="1221"/>
    </row>
    <row r="195" spans="7:19" ht="21" customHeight="1">
      <c r="G195" s="539"/>
      <c r="K195" s="1220"/>
      <c r="L195" s="1215"/>
      <c r="M195" s="1221"/>
    </row>
    <row r="196" spans="7:19" ht="21" customHeight="1">
      <c r="G196" s="539"/>
      <c r="K196" s="1220"/>
      <c r="L196" s="1215"/>
      <c r="M196" s="1221"/>
    </row>
    <row r="219" spans="7:17" ht="21" customHeight="1">
      <c r="G219" s="539"/>
      <c r="N219" s="1222"/>
      <c r="O219" s="1215"/>
      <c r="P219" s="1223"/>
      <c r="Q219" s="1223"/>
    </row>
    <row r="220" spans="7:17" ht="21" customHeight="1">
      <c r="G220" s="539"/>
      <c r="N220" s="1222"/>
      <c r="O220" s="1215"/>
      <c r="P220" s="1223"/>
      <c r="Q220" s="1223"/>
    </row>
    <row r="221" spans="7:17" ht="21" customHeight="1">
      <c r="G221" s="539"/>
      <c r="N221" s="1222"/>
      <c r="O221" s="1215"/>
      <c r="P221" s="1223"/>
      <c r="Q221" s="1223"/>
    </row>
    <row r="222" spans="7:17" ht="21" customHeight="1">
      <c r="G222" s="539"/>
      <c r="N222" s="1222"/>
      <c r="O222" s="1215"/>
      <c r="P222" s="1223"/>
      <c r="Q222" s="1223"/>
    </row>
  </sheetData>
  <protectedRanges>
    <protectedRange sqref="C135:H149" name="Range7_2"/>
    <protectedRange sqref="C9:G23" name="Range1_2"/>
    <protectedRange sqref="C30:H44" name="Range2_1_2"/>
    <protectedRange sqref="C51:H65" name="Range3_2"/>
    <protectedRange sqref="C72:H86" name="Range4_2"/>
    <protectedRange sqref="C114:H128" name="Range6_2"/>
    <protectedRange sqref="H9:H23" name="Range1"/>
  </protectedRanges>
  <mergeCells count="53">
    <mergeCell ref="G112:I112"/>
    <mergeCell ref="A133:A134"/>
    <mergeCell ref="B133:B134"/>
    <mergeCell ref="C133:C134"/>
    <mergeCell ref="D133:D134"/>
    <mergeCell ref="E133:E134"/>
    <mergeCell ref="F133:F134"/>
    <mergeCell ref="G133:I133"/>
    <mergeCell ref="A112:A113"/>
    <mergeCell ref="B112:B113"/>
    <mergeCell ref="C112:C113"/>
    <mergeCell ref="D112:D113"/>
    <mergeCell ref="E112:E113"/>
    <mergeCell ref="F112:F113"/>
    <mergeCell ref="G70:I70"/>
    <mergeCell ref="A91:A92"/>
    <mergeCell ref="B91:B92"/>
    <mergeCell ref="C91:C92"/>
    <mergeCell ref="D91:D92"/>
    <mergeCell ref="E91:E92"/>
    <mergeCell ref="F91:F92"/>
    <mergeCell ref="G91:I91"/>
    <mergeCell ref="A70:A71"/>
    <mergeCell ref="B70:B71"/>
    <mergeCell ref="C70:C71"/>
    <mergeCell ref="D70:D71"/>
    <mergeCell ref="E70:E71"/>
    <mergeCell ref="F70:F71"/>
    <mergeCell ref="K39:M39"/>
    <mergeCell ref="A49:A50"/>
    <mergeCell ref="B49:B50"/>
    <mergeCell ref="C49:C50"/>
    <mergeCell ref="D49:D50"/>
    <mergeCell ref="E49:E50"/>
    <mergeCell ref="F49:F50"/>
    <mergeCell ref="G49:I49"/>
    <mergeCell ref="K43:M43"/>
    <mergeCell ref="K7:M7"/>
    <mergeCell ref="A28:A29"/>
    <mergeCell ref="B28:B29"/>
    <mergeCell ref="C28:C29"/>
    <mergeCell ref="D28:D29"/>
    <mergeCell ref="E28:E29"/>
    <mergeCell ref="F28:F29"/>
    <mergeCell ref="G28:I28"/>
    <mergeCell ref="A2:I2"/>
    <mergeCell ref="A7:A8"/>
    <mergeCell ref="B7:B8"/>
    <mergeCell ref="C7:C8"/>
    <mergeCell ref="D7:D8"/>
    <mergeCell ref="E7:E8"/>
    <mergeCell ref="F7:F8"/>
    <mergeCell ref="G7:I7"/>
  </mergeCells>
  <dataValidations xWindow="135" yWindow="431" count="2">
    <dataValidation allowBlank="1" showInputMessage="1" showErrorMessage="1" prompt="Please Click to Insert Value_x000a__x000a_" sqref="P159:Q189 P219:Q222 M193:M196 M159:M190"/>
    <dataValidation allowBlank="1" showInputMessage="1" showErrorMessage="1" prompt="Please Collapse The Plus Sign On the Left Side to Reveal All The Rows" sqref="A114:A128 A93:A107 A51:A65 A72:A86 A9:A23 A30:A44 A135:A149"/>
  </dataValidations>
  <pageMargins left="0.7" right="0.7" top="0.75" bottom="0.75" header="0.3" footer="0.3"/>
  <pageSetup paperSize="9" scale="39" orientation="portrait" r:id="rId1"/>
  <rowBreaks count="1" manualBreakCount="1">
    <brk id="87" max="8" man="1"/>
  </rowBreaks>
  <colBreaks count="1" manualBreakCount="1">
    <brk id="9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7"/>
  <sheetViews>
    <sheetView showGridLines="0" workbookViewId="0"/>
  </sheetViews>
  <sheetFormatPr defaultRowHeight="12.75"/>
  <cols>
    <col min="1" max="1" width="6" style="527" customWidth="1"/>
    <col min="2" max="2" width="6.7109375" style="527" customWidth="1"/>
    <col min="3" max="3" width="3.85546875" style="527" customWidth="1"/>
    <col min="4" max="4" width="37.42578125" style="527" customWidth="1"/>
    <col min="5" max="5" width="19.28515625" style="527" customWidth="1"/>
    <col min="6" max="6" width="22.7109375" style="527" customWidth="1"/>
    <col min="7" max="7" width="40.7109375" style="527" customWidth="1"/>
  </cols>
  <sheetData>
    <row r="1" spans="1:7" s="1862" customFormat="1" ht="20.25">
      <c r="A1" s="1859" t="s">
        <v>1435</v>
      </c>
      <c r="B1" s="1860"/>
      <c r="C1" s="1860"/>
      <c r="D1" s="1860"/>
      <c r="E1" s="1860"/>
      <c r="F1" s="1860"/>
      <c r="G1" s="1860"/>
    </row>
    <row r="2" spans="1:7" s="1862" customFormat="1">
      <c r="A2" s="1860"/>
      <c r="B2" s="1860"/>
      <c r="C2" s="1860"/>
      <c r="D2" s="1860"/>
      <c r="E2" s="1860"/>
      <c r="F2" s="1860"/>
      <c r="G2" s="1860"/>
    </row>
    <row r="3" spans="1:7" s="1862" customFormat="1" ht="14.25">
      <c r="A3" s="1861" t="s">
        <v>292</v>
      </c>
      <c r="B3" s="1860"/>
      <c r="C3" s="1860"/>
      <c r="D3" s="1860"/>
      <c r="E3" s="1860"/>
      <c r="F3" s="1860"/>
      <c r="G3" s="1860"/>
    </row>
    <row r="4" spans="1:7" s="1862" customFormat="1">
      <c r="A4" s="1860"/>
      <c r="B4" s="1860"/>
      <c r="C4" s="1860"/>
      <c r="D4" s="1860"/>
      <c r="E4" s="1860"/>
      <c r="F4" s="1860"/>
      <c r="G4" s="1860"/>
    </row>
    <row r="5" spans="1:7" s="1854" customFormat="1" ht="28.15" customHeight="1">
      <c r="A5" s="1853" t="s">
        <v>360</v>
      </c>
      <c r="B5" s="2362" t="s">
        <v>1436</v>
      </c>
      <c r="C5" s="2363"/>
      <c r="D5" s="1857" t="s">
        <v>1437</v>
      </c>
      <c r="E5" s="1857" t="s">
        <v>1438</v>
      </c>
      <c r="F5" s="1857" t="s">
        <v>1439</v>
      </c>
      <c r="G5" s="1853" t="s">
        <v>1362</v>
      </c>
    </row>
    <row r="6" spans="1:7" s="1856" customFormat="1" ht="15.6" customHeight="1" thickBot="1">
      <c r="A6" s="1855" t="s">
        <v>128</v>
      </c>
      <c r="B6" s="2364" t="s">
        <v>129</v>
      </c>
      <c r="C6" s="2365"/>
      <c r="D6" s="1858" t="s">
        <v>130</v>
      </c>
      <c r="E6" s="1858" t="s">
        <v>131</v>
      </c>
      <c r="F6" s="1858" t="s">
        <v>132</v>
      </c>
      <c r="G6" s="1855" t="s">
        <v>153</v>
      </c>
    </row>
    <row r="7" spans="1:7" s="1852" customFormat="1">
      <c r="A7" s="1863"/>
      <c r="B7" s="2366"/>
      <c r="C7" s="2367"/>
      <c r="D7" s="1869"/>
      <c r="E7" s="1864"/>
      <c r="F7" s="1875"/>
      <c r="G7" s="1872"/>
    </row>
    <row r="8" spans="1:7" s="1852" customFormat="1">
      <c r="A8" s="1865"/>
      <c r="B8" s="2358"/>
      <c r="C8" s="2359"/>
      <c r="D8" s="1870"/>
      <c r="E8" s="1866"/>
      <c r="F8" s="1876"/>
      <c r="G8" s="1873"/>
    </row>
    <row r="9" spans="1:7" s="1852" customFormat="1">
      <c r="A9" s="1865"/>
      <c r="B9" s="2358"/>
      <c r="C9" s="2359"/>
      <c r="D9" s="1870"/>
      <c r="E9" s="1866"/>
      <c r="F9" s="1876"/>
      <c r="G9" s="1873"/>
    </row>
    <row r="10" spans="1:7">
      <c r="A10" s="1865"/>
      <c r="B10" s="2358"/>
      <c r="C10" s="2359"/>
      <c r="D10" s="1870"/>
      <c r="E10" s="1866"/>
      <c r="F10" s="1876"/>
      <c r="G10" s="1873"/>
    </row>
    <row r="11" spans="1:7">
      <c r="A11" s="1865"/>
      <c r="B11" s="2358"/>
      <c r="C11" s="2359"/>
      <c r="D11" s="1870"/>
      <c r="E11" s="1866"/>
      <c r="F11" s="1876"/>
      <c r="G11" s="1873"/>
    </row>
    <row r="12" spans="1:7">
      <c r="A12" s="1865"/>
      <c r="B12" s="2358"/>
      <c r="C12" s="2359"/>
      <c r="D12" s="1870"/>
      <c r="E12" s="1866"/>
      <c r="F12" s="1876"/>
      <c r="G12" s="1873"/>
    </row>
    <row r="13" spans="1:7">
      <c r="A13" s="1865"/>
      <c r="B13" s="2358"/>
      <c r="C13" s="2359"/>
      <c r="D13" s="1870"/>
      <c r="E13" s="1866"/>
      <c r="F13" s="1876"/>
      <c r="G13" s="1873"/>
    </row>
    <row r="14" spans="1:7">
      <c r="A14" s="1865"/>
      <c r="B14" s="2358"/>
      <c r="C14" s="2359"/>
      <c r="D14" s="1870"/>
      <c r="E14" s="1866"/>
      <c r="F14" s="1876"/>
      <c r="G14" s="1873"/>
    </row>
    <row r="15" spans="1:7">
      <c r="A15" s="1865"/>
      <c r="B15" s="2358"/>
      <c r="C15" s="2359"/>
      <c r="D15" s="1870"/>
      <c r="E15" s="1866"/>
      <c r="F15" s="1876"/>
      <c r="G15" s="1873"/>
    </row>
    <row r="16" spans="1:7">
      <c r="A16" s="1865"/>
      <c r="B16" s="2358"/>
      <c r="C16" s="2359"/>
      <c r="D16" s="1870"/>
      <c r="E16" s="1866"/>
      <c r="F16" s="1876"/>
      <c r="G16" s="1873"/>
    </row>
    <row r="17" spans="1:7">
      <c r="A17" s="1865"/>
      <c r="B17" s="2358"/>
      <c r="C17" s="2359"/>
      <c r="D17" s="1870"/>
      <c r="E17" s="1866"/>
      <c r="F17" s="1876"/>
      <c r="G17" s="1873"/>
    </row>
    <row r="18" spans="1:7">
      <c r="A18" s="1865"/>
      <c r="B18" s="2358"/>
      <c r="C18" s="2359"/>
      <c r="D18" s="1870"/>
      <c r="E18" s="1866"/>
      <c r="F18" s="1876"/>
      <c r="G18" s="1873"/>
    </row>
    <row r="19" spans="1:7">
      <c r="A19" s="1865"/>
      <c r="B19" s="2358"/>
      <c r="C19" s="2359"/>
      <c r="D19" s="1870"/>
      <c r="E19" s="1866"/>
      <c r="F19" s="1876"/>
      <c r="G19" s="1873"/>
    </row>
    <row r="20" spans="1:7">
      <c r="A20" s="1865"/>
      <c r="B20" s="2358"/>
      <c r="C20" s="2359"/>
      <c r="D20" s="1870"/>
      <c r="E20" s="1866"/>
      <c r="F20" s="1876"/>
      <c r="G20" s="1873"/>
    </row>
    <row r="21" spans="1:7">
      <c r="A21" s="1865"/>
      <c r="B21" s="2358"/>
      <c r="C21" s="2359"/>
      <c r="D21" s="1870"/>
      <c r="E21" s="1866"/>
      <c r="F21" s="1876"/>
      <c r="G21" s="1873"/>
    </row>
    <row r="22" spans="1:7">
      <c r="A22" s="1865"/>
      <c r="B22" s="2358"/>
      <c r="C22" s="2359"/>
      <c r="D22" s="1870"/>
      <c r="E22" s="1866"/>
      <c r="F22" s="1876"/>
      <c r="G22" s="1873"/>
    </row>
    <row r="23" spans="1:7">
      <c r="A23" s="1865"/>
      <c r="B23" s="2358"/>
      <c r="C23" s="2359"/>
      <c r="D23" s="1870"/>
      <c r="E23" s="1866"/>
      <c r="F23" s="1876"/>
      <c r="G23" s="1873"/>
    </row>
    <row r="24" spans="1:7">
      <c r="A24" s="1865"/>
      <c r="B24" s="2358"/>
      <c r="C24" s="2359"/>
      <c r="D24" s="1870"/>
      <c r="E24" s="1866"/>
      <c r="F24" s="1876"/>
      <c r="G24" s="1873"/>
    </row>
    <row r="25" spans="1:7">
      <c r="A25" s="1865"/>
      <c r="B25" s="2358"/>
      <c r="C25" s="2359"/>
      <c r="D25" s="1870"/>
      <c r="E25" s="1866"/>
      <c r="F25" s="1876"/>
      <c r="G25" s="1873"/>
    </row>
    <row r="26" spans="1:7">
      <c r="A26" s="1865"/>
      <c r="B26" s="2358"/>
      <c r="C26" s="2359"/>
      <c r="D26" s="1870"/>
      <c r="E26" s="1866"/>
      <c r="F26" s="1876"/>
      <c r="G26" s="1873"/>
    </row>
    <row r="27" spans="1:7">
      <c r="A27" s="1865"/>
      <c r="B27" s="2358"/>
      <c r="C27" s="2359"/>
      <c r="D27" s="1870"/>
      <c r="E27" s="1866"/>
      <c r="F27" s="1876"/>
      <c r="G27" s="1873"/>
    </row>
    <row r="28" spans="1:7">
      <c r="A28" s="1865"/>
      <c r="B28" s="2358"/>
      <c r="C28" s="2359"/>
      <c r="D28" s="1870"/>
      <c r="E28" s="1866"/>
      <c r="F28" s="1876"/>
      <c r="G28" s="1873"/>
    </row>
    <row r="29" spans="1:7">
      <c r="A29" s="1865"/>
      <c r="B29" s="2358"/>
      <c r="C29" s="2359"/>
      <c r="D29" s="1870"/>
      <c r="E29" s="1866"/>
      <c r="F29" s="1876"/>
      <c r="G29" s="1873"/>
    </row>
    <row r="30" spans="1:7">
      <c r="A30" s="1865"/>
      <c r="B30" s="2358"/>
      <c r="C30" s="2359"/>
      <c r="D30" s="1870"/>
      <c r="E30" s="1866"/>
      <c r="F30" s="1876"/>
      <c r="G30" s="1873"/>
    </row>
    <row r="31" spans="1:7">
      <c r="A31" s="1865"/>
      <c r="B31" s="2358"/>
      <c r="C31" s="2359"/>
      <c r="D31" s="1870"/>
      <c r="E31" s="1866"/>
      <c r="F31" s="1876"/>
      <c r="G31" s="1873"/>
    </row>
    <row r="32" spans="1:7">
      <c r="A32" s="1865"/>
      <c r="B32" s="2358"/>
      <c r="C32" s="2359"/>
      <c r="D32" s="1870"/>
      <c r="E32" s="1866"/>
      <c r="F32" s="1876"/>
      <c r="G32" s="1873"/>
    </row>
    <row r="33" spans="1:7">
      <c r="A33" s="1865"/>
      <c r="B33" s="2358"/>
      <c r="C33" s="2359"/>
      <c r="D33" s="1870"/>
      <c r="E33" s="1866"/>
      <c r="F33" s="1876"/>
      <c r="G33" s="1873"/>
    </row>
    <row r="34" spans="1:7">
      <c r="A34" s="1865"/>
      <c r="B34" s="2358"/>
      <c r="C34" s="2359"/>
      <c r="D34" s="1870"/>
      <c r="E34" s="1866"/>
      <c r="F34" s="1876"/>
      <c r="G34" s="1873"/>
    </row>
    <row r="35" spans="1:7">
      <c r="A35" s="1865"/>
      <c r="B35" s="2358"/>
      <c r="C35" s="2359"/>
      <c r="D35" s="1870"/>
      <c r="E35" s="1866"/>
      <c r="F35" s="1876"/>
      <c r="G35" s="1873"/>
    </row>
    <row r="36" spans="1:7">
      <c r="A36" s="1865"/>
      <c r="B36" s="2358"/>
      <c r="C36" s="2359"/>
      <c r="D36" s="1870"/>
      <c r="E36" s="1866"/>
      <c r="F36" s="1876"/>
      <c r="G36" s="1873"/>
    </row>
    <row r="37" spans="1:7">
      <c r="A37" s="1865"/>
      <c r="B37" s="2358"/>
      <c r="C37" s="2359"/>
      <c r="D37" s="1870"/>
      <c r="E37" s="1866"/>
      <c r="F37" s="1876"/>
      <c r="G37" s="1873"/>
    </row>
    <row r="38" spans="1:7">
      <c r="A38" s="1865"/>
      <c r="B38" s="2358"/>
      <c r="C38" s="2359"/>
      <c r="D38" s="1870"/>
      <c r="E38" s="1866"/>
      <c r="F38" s="1876"/>
      <c r="G38" s="1873"/>
    </row>
    <row r="39" spans="1:7">
      <c r="A39" s="1865"/>
      <c r="B39" s="2358"/>
      <c r="C39" s="2359"/>
      <c r="D39" s="1870"/>
      <c r="E39" s="1866"/>
      <c r="F39" s="1876"/>
      <c r="G39" s="1873"/>
    </row>
    <row r="40" spans="1:7">
      <c r="A40" s="1865"/>
      <c r="B40" s="2358"/>
      <c r="C40" s="2359"/>
      <c r="D40" s="1870"/>
      <c r="E40" s="1866"/>
      <c r="F40" s="1876"/>
      <c r="G40" s="1873"/>
    </row>
    <row r="41" spans="1:7">
      <c r="A41" s="1865"/>
      <c r="B41" s="2358"/>
      <c r="C41" s="2359"/>
      <c r="D41" s="1870"/>
      <c r="E41" s="1866"/>
      <c r="F41" s="1876"/>
      <c r="G41" s="1873"/>
    </row>
    <row r="42" spans="1:7">
      <c r="A42" s="1865"/>
      <c r="B42" s="2358"/>
      <c r="C42" s="2359"/>
      <c r="D42" s="1870"/>
      <c r="E42" s="1866"/>
      <c r="F42" s="1876"/>
      <c r="G42" s="1873"/>
    </row>
    <row r="43" spans="1:7">
      <c r="A43" s="1865"/>
      <c r="B43" s="2358"/>
      <c r="C43" s="2359"/>
      <c r="D43" s="1870"/>
      <c r="E43" s="1866"/>
      <c r="F43" s="1876"/>
      <c r="G43" s="1873"/>
    </row>
    <row r="44" spans="1:7">
      <c r="A44" s="1865"/>
      <c r="B44" s="2358"/>
      <c r="C44" s="2359"/>
      <c r="D44" s="1870"/>
      <c r="E44" s="1866"/>
      <c r="F44" s="1876"/>
      <c r="G44" s="1873"/>
    </row>
    <row r="45" spans="1:7">
      <c r="A45" s="1865"/>
      <c r="B45" s="2358"/>
      <c r="C45" s="2359"/>
      <c r="D45" s="1870"/>
      <c r="E45" s="1866"/>
      <c r="F45" s="1876"/>
      <c r="G45" s="1873"/>
    </row>
    <row r="46" spans="1:7">
      <c r="A46" s="1865"/>
      <c r="B46" s="2358"/>
      <c r="C46" s="2359"/>
      <c r="D46" s="1870"/>
      <c r="E46" s="1866"/>
      <c r="F46" s="1876"/>
      <c r="G46" s="1873"/>
    </row>
    <row r="47" spans="1:7">
      <c r="A47" s="1865"/>
      <c r="B47" s="2358"/>
      <c r="C47" s="2359"/>
      <c r="D47" s="1870"/>
      <c r="E47" s="1866"/>
      <c r="F47" s="1876"/>
      <c r="G47" s="1873"/>
    </row>
    <row r="48" spans="1:7">
      <c r="A48" s="1865"/>
      <c r="B48" s="2358"/>
      <c r="C48" s="2359"/>
      <c r="D48" s="1870"/>
      <c r="E48" s="1866"/>
      <c r="F48" s="1876"/>
      <c r="G48" s="1873"/>
    </row>
    <row r="49" spans="1:7">
      <c r="A49" s="1865"/>
      <c r="B49" s="2358"/>
      <c r="C49" s="2359"/>
      <c r="D49" s="1870"/>
      <c r="E49" s="1866"/>
      <c r="F49" s="1876"/>
      <c r="G49" s="1873"/>
    </row>
    <row r="50" spans="1:7">
      <c r="A50" s="1865"/>
      <c r="B50" s="2358"/>
      <c r="C50" s="2359"/>
      <c r="D50" s="1870"/>
      <c r="E50" s="1866"/>
      <c r="F50" s="1876"/>
      <c r="G50" s="1873"/>
    </row>
    <row r="51" spans="1:7">
      <c r="A51" s="1865"/>
      <c r="B51" s="2358"/>
      <c r="C51" s="2359"/>
      <c r="D51" s="1870"/>
      <c r="E51" s="1866"/>
      <c r="F51" s="1876"/>
      <c r="G51" s="1873"/>
    </row>
    <row r="52" spans="1:7">
      <c r="A52" s="1865"/>
      <c r="B52" s="2358"/>
      <c r="C52" s="2359"/>
      <c r="D52" s="1870"/>
      <c r="E52" s="1866"/>
      <c r="F52" s="1876"/>
      <c r="G52" s="1873"/>
    </row>
    <row r="53" spans="1:7">
      <c r="A53" s="1865"/>
      <c r="B53" s="2358"/>
      <c r="C53" s="2359"/>
      <c r="D53" s="1870"/>
      <c r="E53" s="1866"/>
      <c r="F53" s="1876"/>
      <c r="G53" s="1873"/>
    </row>
    <row r="54" spans="1:7">
      <c r="A54" s="1865"/>
      <c r="B54" s="2358"/>
      <c r="C54" s="2359"/>
      <c r="D54" s="1870"/>
      <c r="E54" s="1866"/>
      <c r="F54" s="1876"/>
      <c r="G54" s="1873"/>
    </row>
    <row r="55" spans="1:7">
      <c r="A55" s="1865"/>
      <c r="B55" s="2358"/>
      <c r="C55" s="2359"/>
      <c r="D55" s="1870"/>
      <c r="E55" s="1866"/>
      <c r="F55" s="1876"/>
      <c r="G55" s="1873"/>
    </row>
    <row r="56" spans="1:7">
      <c r="A56" s="1865"/>
      <c r="B56" s="2358"/>
      <c r="C56" s="2359"/>
      <c r="D56" s="1870"/>
      <c r="E56" s="1866"/>
      <c r="F56" s="1876"/>
      <c r="G56" s="1873"/>
    </row>
    <row r="57" spans="1:7">
      <c r="A57" s="1865"/>
      <c r="B57" s="2358"/>
      <c r="C57" s="2359"/>
      <c r="D57" s="1870"/>
      <c r="E57" s="1866"/>
      <c r="F57" s="1876"/>
      <c r="G57" s="1873"/>
    </row>
    <row r="58" spans="1:7">
      <c r="A58" s="1865"/>
      <c r="B58" s="2358"/>
      <c r="C58" s="2359"/>
      <c r="D58" s="1870"/>
      <c r="E58" s="1866"/>
      <c r="F58" s="1876"/>
      <c r="G58" s="1873"/>
    </row>
    <row r="59" spans="1:7">
      <c r="A59" s="1865"/>
      <c r="B59" s="2358"/>
      <c r="C59" s="2359"/>
      <c r="D59" s="1870"/>
      <c r="E59" s="1866"/>
      <c r="F59" s="1876"/>
      <c r="G59" s="1873"/>
    </row>
    <row r="60" spans="1:7">
      <c r="A60" s="1865"/>
      <c r="B60" s="2358"/>
      <c r="C60" s="2359"/>
      <c r="D60" s="1870"/>
      <c r="E60" s="1866"/>
      <c r="F60" s="1876"/>
      <c r="G60" s="1873"/>
    </row>
    <row r="61" spans="1:7">
      <c r="A61" s="1865"/>
      <c r="B61" s="2358"/>
      <c r="C61" s="2359"/>
      <c r="D61" s="1870"/>
      <c r="E61" s="1866"/>
      <c r="F61" s="1876"/>
      <c r="G61" s="1873"/>
    </row>
    <row r="62" spans="1:7">
      <c r="A62" s="1865"/>
      <c r="B62" s="2358"/>
      <c r="C62" s="2359"/>
      <c r="D62" s="1870"/>
      <c r="E62" s="1866"/>
      <c r="F62" s="1876"/>
      <c r="G62" s="1873"/>
    </row>
    <row r="63" spans="1:7">
      <c r="A63" s="1865"/>
      <c r="B63" s="2358"/>
      <c r="C63" s="2359"/>
      <c r="D63" s="1870"/>
      <c r="E63" s="1866"/>
      <c r="F63" s="1876"/>
      <c r="G63" s="1873"/>
    </row>
    <row r="64" spans="1:7">
      <c r="A64" s="1865"/>
      <c r="B64" s="2358"/>
      <c r="C64" s="2359"/>
      <c r="D64" s="1870"/>
      <c r="E64" s="1866"/>
      <c r="F64" s="1876"/>
      <c r="G64" s="1873"/>
    </row>
    <row r="65" spans="1:7">
      <c r="A65" s="1865"/>
      <c r="B65" s="2358"/>
      <c r="C65" s="2359"/>
      <c r="D65" s="1870"/>
      <c r="E65" s="1866"/>
      <c r="F65" s="1876"/>
      <c r="G65" s="1873"/>
    </row>
    <row r="66" spans="1:7">
      <c r="A66" s="1865"/>
      <c r="B66" s="2358"/>
      <c r="C66" s="2359"/>
      <c r="D66" s="1870"/>
      <c r="E66" s="1866"/>
      <c r="F66" s="1876"/>
      <c r="G66" s="1873"/>
    </row>
    <row r="67" spans="1:7">
      <c r="A67" s="1865"/>
      <c r="B67" s="2358"/>
      <c r="C67" s="2359"/>
      <c r="D67" s="1870"/>
      <c r="E67" s="1866"/>
      <c r="F67" s="1876"/>
      <c r="G67" s="1873"/>
    </row>
    <row r="68" spans="1:7">
      <c r="A68" s="1865"/>
      <c r="B68" s="2358"/>
      <c r="C68" s="2359"/>
      <c r="D68" s="1870"/>
      <c r="E68" s="1866"/>
      <c r="F68" s="1876"/>
      <c r="G68" s="1873"/>
    </row>
    <row r="69" spans="1:7">
      <c r="A69" s="1865"/>
      <c r="B69" s="2358"/>
      <c r="C69" s="2359"/>
      <c r="D69" s="1870"/>
      <c r="E69" s="1866"/>
      <c r="F69" s="1876"/>
      <c r="G69" s="1873"/>
    </row>
    <row r="70" spans="1:7">
      <c r="A70" s="1865"/>
      <c r="B70" s="2358"/>
      <c r="C70" s="2359"/>
      <c r="D70" s="1870"/>
      <c r="E70" s="1866"/>
      <c r="F70" s="1876"/>
      <c r="G70" s="1873"/>
    </row>
    <row r="71" spans="1:7">
      <c r="A71" s="1865"/>
      <c r="B71" s="2358"/>
      <c r="C71" s="2359"/>
      <c r="D71" s="1870"/>
      <c r="E71" s="1866"/>
      <c r="F71" s="1876"/>
      <c r="G71" s="1873"/>
    </row>
    <row r="72" spans="1:7">
      <c r="A72" s="1865"/>
      <c r="B72" s="2358"/>
      <c r="C72" s="2359"/>
      <c r="D72" s="1870"/>
      <c r="E72" s="1866"/>
      <c r="F72" s="1876"/>
      <c r="G72" s="1873"/>
    </row>
    <row r="73" spans="1:7">
      <c r="A73" s="1865"/>
      <c r="B73" s="2358"/>
      <c r="C73" s="2359"/>
      <c r="D73" s="1870"/>
      <c r="E73" s="1866"/>
      <c r="F73" s="1876"/>
      <c r="G73" s="1873"/>
    </row>
    <row r="74" spans="1:7">
      <c r="A74" s="1865"/>
      <c r="B74" s="2358"/>
      <c r="C74" s="2359"/>
      <c r="D74" s="1870"/>
      <c r="E74" s="1866"/>
      <c r="F74" s="1876"/>
      <c r="G74" s="1873"/>
    </row>
    <row r="75" spans="1:7">
      <c r="A75" s="1865"/>
      <c r="B75" s="2358"/>
      <c r="C75" s="2359"/>
      <c r="D75" s="1870"/>
      <c r="E75" s="1866"/>
      <c r="F75" s="1876"/>
      <c r="G75" s="1873"/>
    </row>
    <row r="76" spans="1:7">
      <c r="A76" s="1865"/>
      <c r="B76" s="2358"/>
      <c r="C76" s="2359"/>
      <c r="D76" s="1870"/>
      <c r="E76" s="1866"/>
      <c r="F76" s="1876"/>
      <c r="G76" s="1873"/>
    </row>
    <row r="77" spans="1:7">
      <c r="A77" s="1865"/>
      <c r="B77" s="2358"/>
      <c r="C77" s="2359"/>
      <c r="D77" s="1870"/>
      <c r="E77" s="1866"/>
      <c r="F77" s="1876"/>
      <c r="G77" s="1873"/>
    </row>
    <row r="78" spans="1:7">
      <c r="A78" s="1865"/>
      <c r="B78" s="2358"/>
      <c r="C78" s="2359"/>
      <c r="D78" s="1870"/>
      <c r="E78" s="1866"/>
      <c r="F78" s="1876"/>
      <c r="G78" s="1873"/>
    </row>
    <row r="79" spans="1:7">
      <c r="A79" s="1865"/>
      <c r="B79" s="2358"/>
      <c r="C79" s="2359"/>
      <c r="D79" s="1870"/>
      <c r="E79" s="1866"/>
      <c r="F79" s="1876"/>
      <c r="G79" s="1873"/>
    </row>
    <row r="80" spans="1:7">
      <c r="A80" s="1865"/>
      <c r="B80" s="2358"/>
      <c r="C80" s="2359"/>
      <c r="D80" s="1870"/>
      <c r="E80" s="1866"/>
      <c r="F80" s="1876"/>
      <c r="G80" s="1873"/>
    </row>
    <row r="81" spans="1:7">
      <c r="A81" s="1865"/>
      <c r="B81" s="2358"/>
      <c r="C81" s="2359"/>
      <c r="D81" s="1870"/>
      <c r="E81" s="1866"/>
      <c r="F81" s="1876"/>
      <c r="G81" s="1873"/>
    </row>
    <row r="82" spans="1:7">
      <c r="A82" s="1865"/>
      <c r="B82" s="2358"/>
      <c r="C82" s="2359"/>
      <c r="D82" s="1870"/>
      <c r="E82" s="1866"/>
      <c r="F82" s="1876"/>
      <c r="G82" s="1873"/>
    </row>
    <row r="83" spans="1:7">
      <c r="A83" s="1865"/>
      <c r="B83" s="2358"/>
      <c r="C83" s="2359"/>
      <c r="D83" s="1870"/>
      <c r="E83" s="1866"/>
      <c r="F83" s="1876"/>
      <c r="G83" s="1873"/>
    </row>
    <row r="84" spans="1:7">
      <c r="A84" s="1865"/>
      <c r="B84" s="2358"/>
      <c r="C84" s="2359"/>
      <c r="D84" s="1870"/>
      <c r="E84" s="1866"/>
      <c r="F84" s="1876"/>
      <c r="G84" s="1873"/>
    </row>
    <row r="85" spans="1:7">
      <c r="A85" s="1865"/>
      <c r="B85" s="2358"/>
      <c r="C85" s="2359"/>
      <c r="D85" s="1870"/>
      <c r="E85" s="1866"/>
      <c r="F85" s="1876"/>
      <c r="G85" s="1873"/>
    </row>
    <row r="86" spans="1:7">
      <c r="A86" s="1865"/>
      <c r="B86" s="2358"/>
      <c r="C86" s="2359"/>
      <c r="D86" s="1870"/>
      <c r="E86" s="1866"/>
      <c r="F86" s="1876"/>
      <c r="G86" s="1873"/>
    </row>
    <row r="87" spans="1:7">
      <c r="A87" s="1865"/>
      <c r="B87" s="2358"/>
      <c r="C87" s="2359"/>
      <c r="D87" s="1870"/>
      <c r="E87" s="1866"/>
      <c r="F87" s="1876"/>
      <c r="G87" s="1873"/>
    </row>
    <row r="88" spans="1:7">
      <c r="A88" s="1865"/>
      <c r="B88" s="2358"/>
      <c r="C88" s="2359"/>
      <c r="D88" s="1870"/>
      <c r="E88" s="1866"/>
      <c r="F88" s="1876"/>
      <c r="G88" s="1873"/>
    </row>
    <row r="89" spans="1:7">
      <c r="A89" s="1865"/>
      <c r="B89" s="2358"/>
      <c r="C89" s="2359"/>
      <c r="D89" s="1870"/>
      <c r="E89" s="1866"/>
      <c r="F89" s="1876"/>
      <c r="G89" s="1873"/>
    </row>
    <row r="90" spans="1:7">
      <c r="A90" s="1865"/>
      <c r="B90" s="2358"/>
      <c r="C90" s="2359"/>
      <c r="D90" s="1870"/>
      <c r="E90" s="1866"/>
      <c r="F90" s="1876"/>
      <c r="G90" s="1873"/>
    </row>
    <row r="91" spans="1:7">
      <c r="A91" s="1865"/>
      <c r="B91" s="2358"/>
      <c r="C91" s="2359"/>
      <c r="D91" s="1870"/>
      <c r="E91" s="1866"/>
      <c r="F91" s="1876"/>
      <c r="G91" s="1873"/>
    </row>
    <row r="92" spans="1:7">
      <c r="A92" s="1865"/>
      <c r="B92" s="2358"/>
      <c r="C92" s="2359"/>
      <c r="D92" s="1870"/>
      <c r="E92" s="1866"/>
      <c r="F92" s="1876"/>
      <c r="G92" s="1873"/>
    </row>
    <row r="93" spans="1:7">
      <c r="A93" s="1865"/>
      <c r="B93" s="2358"/>
      <c r="C93" s="2359"/>
      <c r="D93" s="1870"/>
      <c r="E93" s="1866"/>
      <c r="F93" s="1876"/>
      <c r="G93" s="1873"/>
    </row>
    <row r="94" spans="1:7">
      <c r="A94" s="1865"/>
      <c r="B94" s="2358"/>
      <c r="C94" s="2359"/>
      <c r="D94" s="1870"/>
      <c r="E94" s="1866"/>
      <c r="F94" s="1876"/>
      <c r="G94" s="1873"/>
    </row>
    <row r="95" spans="1:7">
      <c r="A95" s="1865"/>
      <c r="B95" s="2358"/>
      <c r="C95" s="2359"/>
      <c r="D95" s="1870"/>
      <c r="E95" s="1866"/>
      <c r="F95" s="1876"/>
      <c r="G95" s="1873"/>
    </row>
    <row r="96" spans="1:7">
      <c r="A96" s="1865"/>
      <c r="B96" s="2358"/>
      <c r="C96" s="2359"/>
      <c r="D96" s="1870"/>
      <c r="E96" s="1866"/>
      <c r="F96" s="1876"/>
      <c r="G96" s="1873"/>
    </row>
    <row r="97" spans="1:7">
      <c r="A97" s="1865"/>
      <c r="B97" s="2358"/>
      <c r="C97" s="2359"/>
      <c r="D97" s="1870"/>
      <c r="E97" s="1866"/>
      <c r="F97" s="1876"/>
      <c r="G97" s="1873"/>
    </row>
    <row r="98" spans="1:7">
      <c r="A98" s="1865"/>
      <c r="B98" s="2358"/>
      <c r="C98" s="2359"/>
      <c r="D98" s="1870"/>
      <c r="E98" s="1866"/>
      <c r="F98" s="1876"/>
      <c r="G98" s="1873"/>
    </row>
    <row r="99" spans="1:7">
      <c r="A99" s="1865"/>
      <c r="B99" s="2358"/>
      <c r="C99" s="2359"/>
      <c r="D99" s="1870"/>
      <c r="E99" s="1866"/>
      <c r="F99" s="1876"/>
      <c r="G99" s="1873"/>
    </row>
    <row r="100" spans="1:7">
      <c r="A100" s="1865"/>
      <c r="B100" s="2358"/>
      <c r="C100" s="2359"/>
      <c r="D100" s="1870"/>
      <c r="E100" s="1866"/>
      <c r="F100" s="1876"/>
      <c r="G100" s="1873"/>
    </row>
    <row r="101" spans="1:7">
      <c r="A101" s="1865"/>
      <c r="B101" s="2358"/>
      <c r="C101" s="2359"/>
      <c r="D101" s="1870"/>
      <c r="E101" s="1866"/>
      <c r="F101" s="1876"/>
      <c r="G101" s="1873"/>
    </row>
    <row r="102" spans="1:7">
      <c r="A102" s="1865"/>
      <c r="B102" s="2358"/>
      <c r="C102" s="2359"/>
      <c r="D102" s="1870"/>
      <c r="E102" s="1866"/>
      <c r="F102" s="1876"/>
      <c r="G102" s="1873"/>
    </row>
    <row r="103" spans="1:7">
      <c r="A103" s="1865"/>
      <c r="B103" s="2358"/>
      <c r="C103" s="2359"/>
      <c r="D103" s="1870"/>
      <c r="E103" s="1866"/>
      <c r="F103" s="1876"/>
      <c r="G103" s="1873"/>
    </row>
    <row r="104" spans="1:7">
      <c r="A104" s="1865"/>
      <c r="B104" s="2358"/>
      <c r="C104" s="2359"/>
      <c r="D104" s="1870"/>
      <c r="E104" s="1866"/>
      <c r="F104" s="1876"/>
      <c r="G104" s="1873"/>
    </row>
    <row r="105" spans="1:7">
      <c r="A105" s="1865"/>
      <c r="B105" s="2358"/>
      <c r="C105" s="2359"/>
      <c r="D105" s="1870"/>
      <c r="E105" s="1866"/>
      <c r="F105" s="1876"/>
      <c r="G105" s="1873"/>
    </row>
    <row r="106" spans="1:7">
      <c r="A106" s="1865"/>
      <c r="B106" s="2358"/>
      <c r="C106" s="2359"/>
      <c r="D106" s="1870"/>
      <c r="E106" s="1866"/>
      <c r="F106" s="1876"/>
      <c r="G106" s="1873"/>
    </row>
    <row r="107" spans="1:7">
      <c r="A107" s="1865"/>
      <c r="B107" s="2358"/>
      <c r="C107" s="2359"/>
      <c r="D107" s="1870"/>
      <c r="E107" s="1866"/>
      <c r="F107" s="1876"/>
      <c r="G107" s="1873"/>
    </row>
    <row r="108" spans="1:7">
      <c r="A108" s="1865"/>
      <c r="B108" s="2358"/>
      <c r="C108" s="2359"/>
      <c r="D108" s="1870"/>
      <c r="E108" s="1866"/>
      <c r="F108" s="1876"/>
      <c r="G108" s="1873"/>
    </row>
    <row r="109" spans="1:7">
      <c r="A109" s="1865"/>
      <c r="B109" s="2358"/>
      <c r="C109" s="2359"/>
      <c r="D109" s="1870"/>
      <c r="E109" s="1866"/>
      <c r="F109" s="1876"/>
      <c r="G109" s="1873"/>
    </row>
    <row r="110" spans="1:7">
      <c r="A110" s="1865"/>
      <c r="B110" s="2358"/>
      <c r="C110" s="2359"/>
      <c r="D110" s="1870"/>
      <c r="E110" s="1866"/>
      <c r="F110" s="1876"/>
      <c r="G110" s="1873"/>
    </row>
    <row r="111" spans="1:7">
      <c r="A111" s="1865"/>
      <c r="B111" s="2358"/>
      <c r="C111" s="2359"/>
      <c r="D111" s="1870"/>
      <c r="E111" s="1866"/>
      <c r="F111" s="1876"/>
      <c r="G111" s="1873"/>
    </row>
    <row r="112" spans="1:7">
      <c r="A112" s="1865"/>
      <c r="B112" s="2358"/>
      <c r="C112" s="2359"/>
      <c r="D112" s="1870"/>
      <c r="E112" s="1866"/>
      <c r="F112" s="1876"/>
      <c r="G112" s="1873"/>
    </row>
    <row r="113" spans="1:7">
      <c r="A113" s="1865"/>
      <c r="B113" s="2358"/>
      <c r="C113" s="2359"/>
      <c r="D113" s="1870"/>
      <c r="E113" s="1866"/>
      <c r="F113" s="1876"/>
      <c r="G113" s="1873"/>
    </row>
    <row r="114" spans="1:7">
      <c r="A114" s="1865"/>
      <c r="B114" s="2358"/>
      <c r="C114" s="2359"/>
      <c r="D114" s="1870"/>
      <c r="E114" s="1866"/>
      <c r="F114" s="1876"/>
      <c r="G114" s="1873"/>
    </row>
    <row r="115" spans="1:7">
      <c r="A115" s="1865"/>
      <c r="B115" s="2358"/>
      <c r="C115" s="2359"/>
      <c r="D115" s="1870"/>
      <c r="E115" s="1866"/>
      <c r="F115" s="1876"/>
      <c r="G115" s="1873"/>
    </row>
    <row r="116" spans="1:7">
      <c r="A116" s="1865"/>
      <c r="B116" s="2358"/>
      <c r="C116" s="2359"/>
      <c r="D116" s="1870"/>
      <c r="E116" s="1866"/>
      <c r="F116" s="1876"/>
      <c r="G116" s="1873"/>
    </row>
    <row r="117" spans="1:7">
      <c r="A117" s="1865"/>
      <c r="B117" s="2358"/>
      <c r="C117" s="2359"/>
      <c r="D117" s="1870"/>
      <c r="E117" s="1866"/>
      <c r="F117" s="1876"/>
      <c r="G117" s="1873"/>
    </row>
    <row r="118" spans="1:7">
      <c r="A118" s="1865"/>
      <c r="B118" s="2358"/>
      <c r="C118" s="2359"/>
      <c r="D118" s="1870"/>
      <c r="E118" s="1866"/>
      <c r="F118" s="1876"/>
      <c r="G118" s="1873"/>
    </row>
    <row r="119" spans="1:7">
      <c r="A119" s="1865"/>
      <c r="B119" s="2358"/>
      <c r="C119" s="2359"/>
      <c r="D119" s="1870"/>
      <c r="E119" s="1866"/>
      <c r="F119" s="1876"/>
      <c r="G119" s="1873"/>
    </row>
    <row r="120" spans="1:7">
      <c r="A120" s="1865"/>
      <c r="B120" s="2358"/>
      <c r="C120" s="2359"/>
      <c r="D120" s="1870"/>
      <c r="E120" s="1866"/>
      <c r="F120" s="1876"/>
      <c r="G120" s="1873"/>
    </row>
    <row r="121" spans="1:7">
      <c r="A121" s="1865"/>
      <c r="B121" s="2358"/>
      <c r="C121" s="2359"/>
      <c r="D121" s="1870"/>
      <c r="E121" s="1866"/>
      <c r="F121" s="1876"/>
      <c r="G121" s="1873"/>
    </row>
    <row r="122" spans="1:7">
      <c r="A122" s="1865"/>
      <c r="B122" s="2358"/>
      <c r="C122" s="2359"/>
      <c r="D122" s="1870"/>
      <c r="E122" s="1866"/>
      <c r="F122" s="1876"/>
      <c r="G122" s="1873"/>
    </row>
    <row r="123" spans="1:7">
      <c r="A123" s="1865"/>
      <c r="B123" s="2358"/>
      <c r="C123" s="2359"/>
      <c r="D123" s="1870"/>
      <c r="E123" s="1866"/>
      <c r="F123" s="1876"/>
      <c r="G123" s="1873"/>
    </row>
    <row r="124" spans="1:7">
      <c r="A124" s="1865"/>
      <c r="B124" s="2358"/>
      <c r="C124" s="2359"/>
      <c r="D124" s="1870"/>
      <c r="E124" s="1866"/>
      <c r="F124" s="1876"/>
      <c r="G124" s="1873"/>
    </row>
    <row r="125" spans="1:7">
      <c r="A125" s="1865"/>
      <c r="B125" s="2358"/>
      <c r="C125" s="2359"/>
      <c r="D125" s="1870"/>
      <c r="E125" s="1866"/>
      <c r="F125" s="1876"/>
      <c r="G125" s="1873"/>
    </row>
    <row r="126" spans="1:7">
      <c r="A126" s="1865"/>
      <c r="B126" s="2358"/>
      <c r="C126" s="2359"/>
      <c r="D126" s="1870"/>
      <c r="E126" s="1866"/>
      <c r="F126" s="1876"/>
      <c r="G126" s="1873"/>
    </row>
    <row r="127" spans="1:7">
      <c r="A127" s="1865"/>
      <c r="B127" s="2358"/>
      <c r="C127" s="2359"/>
      <c r="D127" s="1870"/>
      <c r="E127" s="1866"/>
      <c r="F127" s="1876"/>
      <c r="G127" s="1873"/>
    </row>
    <row r="128" spans="1:7">
      <c r="A128" s="1865"/>
      <c r="B128" s="2358"/>
      <c r="C128" s="2359"/>
      <c r="D128" s="1870"/>
      <c r="E128" s="1866"/>
      <c r="F128" s="1876"/>
      <c r="G128" s="1873"/>
    </row>
    <row r="129" spans="1:7">
      <c r="A129" s="1865"/>
      <c r="B129" s="2358"/>
      <c r="C129" s="2359"/>
      <c r="D129" s="1870"/>
      <c r="E129" s="1866"/>
      <c r="F129" s="1876"/>
      <c r="G129" s="1873"/>
    </row>
    <row r="130" spans="1:7">
      <c r="A130" s="1865"/>
      <c r="B130" s="2358"/>
      <c r="C130" s="2359"/>
      <c r="D130" s="1870"/>
      <c r="E130" s="1866"/>
      <c r="F130" s="1876"/>
      <c r="G130" s="1873"/>
    </row>
    <row r="131" spans="1:7">
      <c r="A131" s="1865"/>
      <c r="B131" s="2358"/>
      <c r="C131" s="2359"/>
      <c r="D131" s="1870"/>
      <c r="E131" s="1866"/>
      <c r="F131" s="1876"/>
      <c r="G131" s="1873"/>
    </row>
    <row r="132" spans="1:7">
      <c r="A132" s="1865"/>
      <c r="B132" s="2358"/>
      <c r="C132" s="2359"/>
      <c r="D132" s="1870"/>
      <c r="E132" s="1866"/>
      <c r="F132" s="1876"/>
      <c r="G132" s="1873"/>
    </row>
    <row r="133" spans="1:7">
      <c r="A133" s="1865"/>
      <c r="B133" s="2358"/>
      <c r="C133" s="2359"/>
      <c r="D133" s="1870"/>
      <c r="E133" s="1866"/>
      <c r="F133" s="1876"/>
      <c r="G133" s="1873"/>
    </row>
    <row r="134" spans="1:7">
      <c r="A134" s="1865"/>
      <c r="B134" s="2358"/>
      <c r="C134" s="2359"/>
      <c r="D134" s="1870"/>
      <c r="E134" s="1866"/>
      <c r="F134" s="1876"/>
      <c r="G134" s="1873"/>
    </row>
    <row r="135" spans="1:7">
      <c r="A135" s="1865"/>
      <c r="B135" s="2358"/>
      <c r="C135" s="2359"/>
      <c r="D135" s="1870"/>
      <c r="E135" s="1866"/>
      <c r="F135" s="1876"/>
      <c r="G135" s="1873"/>
    </row>
    <row r="136" spans="1:7">
      <c r="A136" s="1865"/>
      <c r="B136" s="2358"/>
      <c r="C136" s="2359"/>
      <c r="D136" s="1870"/>
      <c r="E136" s="1866"/>
      <c r="F136" s="1876"/>
      <c r="G136" s="1873"/>
    </row>
    <row r="137" spans="1:7">
      <c r="A137" s="1865"/>
      <c r="B137" s="2358"/>
      <c r="C137" s="2359"/>
      <c r="D137" s="1870"/>
      <c r="E137" s="1866"/>
      <c r="F137" s="1876"/>
      <c r="G137" s="1873"/>
    </row>
    <row r="138" spans="1:7">
      <c r="A138" s="1865"/>
      <c r="B138" s="2358"/>
      <c r="C138" s="2359"/>
      <c r="D138" s="1870"/>
      <c r="E138" s="1866"/>
      <c r="F138" s="1876"/>
      <c r="G138" s="1873"/>
    </row>
    <row r="139" spans="1:7">
      <c r="A139" s="1865"/>
      <c r="B139" s="2358"/>
      <c r="C139" s="2359"/>
      <c r="D139" s="1870"/>
      <c r="E139" s="1866"/>
      <c r="F139" s="1876"/>
      <c r="G139" s="1873"/>
    </row>
    <row r="140" spans="1:7">
      <c r="A140" s="1865"/>
      <c r="B140" s="2358"/>
      <c r="C140" s="2359"/>
      <c r="D140" s="1870"/>
      <c r="E140" s="1866"/>
      <c r="F140" s="1876"/>
      <c r="G140" s="1873"/>
    </row>
    <row r="141" spans="1:7">
      <c r="A141" s="1865"/>
      <c r="B141" s="2358"/>
      <c r="C141" s="2359"/>
      <c r="D141" s="1870"/>
      <c r="E141" s="1866"/>
      <c r="F141" s="1876"/>
      <c r="G141" s="1873"/>
    </row>
    <row r="142" spans="1:7">
      <c r="A142" s="1865"/>
      <c r="B142" s="2358"/>
      <c r="C142" s="2359"/>
      <c r="D142" s="1870"/>
      <c r="E142" s="1866"/>
      <c r="F142" s="1876"/>
      <c r="G142" s="1873"/>
    </row>
    <row r="143" spans="1:7">
      <c r="A143" s="1865"/>
      <c r="B143" s="2358"/>
      <c r="C143" s="2359"/>
      <c r="D143" s="1870"/>
      <c r="E143" s="1866"/>
      <c r="F143" s="1876"/>
      <c r="G143" s="1873"/>
    </row>
    <row r="144" spans="1:7">
      <c r="A144" s="1865"/>
      <c r="B144" s="2358"/>
      <c r="C144" s="2359"/>
      <c r="D144" s="1870"/>
      <c r="E144" s="1866"/>
      <c r="F144" s="1876"/>
      <c r="G144" s="1873"/>
    </row>
    <row r="145" spans="1:7">
      <c r="A145" s="1865"/>
      <c r="B145" s="2358"/>
      <c r="C145" s="2359"/>
      <c r="D145" s="1870"/>
      <c r="E145" s="1866"/>
      <c r="F145" s="1876"/>
      <c r="G145" s="1873"/>
    </row>
    <row r="146" spans="1:7">
      <c r="A146" s="1865"/>
      <c r="B146" s="2358"/>
      <c r="C146" s="2359"/>
      <c r="D146" s="1870"/>
      <c r="E146" s="1866"/>
      <c r="F146" s="1876"/>
      <c r="G146" s="1873"/>
    </row>
    <row r="147" spans="1:7">
      <c r="A147" s="1865"/>
      <c r="B147" s="2358"/>
      <c r="C147" s="2359"/>
      <c r="D147" s="1870"/>
      <c r="E147" s="1866"/>
      <c r="F147" s="1876"/>
      <c r="G147" s="1873"/>
    </row>
    <row r="148" spans="1:7">
      <c r="A148" s="1865"/>
      <c r="B148" s="2358"/>
      <c r="C148" s="2359"/>
      <c r="D148" s="1870"/>
      <c r="E148" s="1866"/>
      <c r="F148" s="1876"/>
      <c r="G148" s="1873"/>
    </row>
    <row r="149" spans="1:7">
      <c r="A149" s="1865"/>
      <c r="B149" s="2358"/>
      <c r="C149" s="2359"/>
      <c r="D149" s="1870"/>
      <c r="E149" s="1866"/>
      <c r="F149" s="1876"/>
      <c r="G149" s="1873"/>
    </row>
    <row r="150" spans="1:7">
      <c r="A150" s="1865"/>
      <c r="B150" s="2358"/>
      <c r="C150" s="2359"/>
      <c r="D150" s="1870"/>
      <c r="E150" s="1866"/>
      <c r="F150" s="1876"/>
      <c r="G150" s="1873"/>
    </row>
    <row r="151" spans="1:7">
      <c r="A151" s="1865"/>
      <c r="B151" s="2358"/>
      <c r="C151" s="2359"/>
      <c r="D151" s="1870"/>
      <c r="E151" s="1866"/>
      <c r="F151" s="1876"/>
      <c r="G151" s="1873"/>
    </row>
    <row r="152" spans="1:7">
      <c r="A152" s="1865"/>
      <c r="B152" s="2358"/>
      <c r="C152" s="2359"/>
      <c r="D152" s="1870"/>
      <c r="E152" s="1866"/>
      <c r="F152" s="1876"/>
      <c r="G152" s="1873"/>
    </row>
    <row r="153" spans="1:7">
      <c r="A153" s="1865"/>
      <c r="B153" s="2358"/>
      <c r="C153" s="2359"/>
      <c r="D153" s="1870"/>
      <c r="E153" s="1866"/>
      <c r="F153" s="1876"/>
      <c r="G153" s="1873"/>
    </row>
    <row r="154" spans="1:7">
      <c r="A154" s="1865"/>
      <c r="B154" s="2358"/>
      <c r="C154" s="2359"/>
      <c r="D154" s="1870"/>
      <c r="E154" s="1866"/>
      <c r="F154" s="1876"/>
      <c r="G154" s="1873"/>
    </row>
    <row r="155" spans="1:7">
      <c r="A155" s="1865"/>
      <c r="B155" s="2358"/>
      <c r="C155" s="2359"/>
      <c r="D155" s="1870"/>
      <c r="E155" s="1866"/>
      <c r="F155" s="1876"/>
      <c r="G155" s="1873"/>
    </row>
    <row r="156" spans="1:7">
      <c r="A156" s="1865"/>
      <c r="B156" s="2358"/>
      <c r="C156" s="2359"/>
      <c r="D156" s="1870"/>
      <c r="E156" s="1866"/>
      <c r="F156" s="1876"/>
      <c r="G156" s="1873"/>
    </row>
    <row r="157" spans="1:7">
      <c r="A157" s="1865"/>
      <c r="B157" s="2358"/>
      <c r="C157" s="2359"/>
      <c r="D157" s="1870"/>
      <c r="E157" s="1866"/>
      <c r="F157" s="1876"/>
      <c r="G157" s="1873"/>
    </row>
    <row r="158" spans="1:7">
      <c r="A158" s="1865"/>
      <c r="B158" s="2358"/>
      <c r="C158" s="2359"/>
      <c r="D158" s="1870"/>
      <c r="E158" s="1866"/>
      <c r="F158" s="1876"/>
      <c r="G158" s="1873"/>
    </row>
    <row r="159" spans="1:7">
      <c r="A159" s="1865"/>
      <c r="B159" s="2358"/>
      <c r="C159" s="2359"/>
      <c r="D159" s="1870"/>
      <c r="E159" s="1866"/>
      <c r="F159" s="1876"/>
      <c r="G159" s="1873"/>
    </row>
    <row r="160" spans="1:7">
      <c r="A160" s="1865"/>
      <c r="B160" s="2358"/>
      <c r="C160" s="2359"/>
      <c r="D160" s="1870"/>
      <c r="E160" s="1866"/>
      <c r="F160" s="1876"/>
      <c r="G160" s="1873"/>
    </row>
    <row r="161" spans="1:7">
      <c r="A161" s="1865"/>
      <c r="B161" s="2358"/>
      <c r="C161" s="2359"/>
      <c r="D161" s="1870"/>
      <c r="E161" s="1866"/>
      <c r="F161" s="1876"/>
      <c r="G161" s="1873"/>
    </row>
    <row r="162" spans="1:7">
      <c r="A162" s="1865"/>
      <c r="B162" s="2358"/>
      <c r="C162" s="2359"/>
      <c r="D162" s="1870"/>
      <c r="E162" s="1866"/>
      <c r="F162" s="1876"/>
      <c r="G162" s="1873"/>
    </row>
    <row r="163" spans="1:7">
      <c r="A163" s="1865"/>
      <c r="B163" s="2358"/>
      <c r="C163" s="2359"/>
      <c r="D163" s="1870"/>
      <c r="E163" s="1866"/>
      <c r="F163" s="1876"/>
      <c r="G163" s="1873"/>
    </row>
    <row r="164" spans="1:7">
      <c r="A164" s="1865"/>
      <c r="B164" s="2358"/>
      <c r="C164" s="2359"/>
      <c r="D164" s="1870"/>
      <c r="E164" s="1866"/>
      <c r="F164" s="1876"/>
      <c r="G164" s="1873"/>
    </row>
    <row r="165" spans="1:7">
      <c r="A165" s="1865"/>
      <c r="B165" s="2358"/>
      <c r="C165" s="2359"/>
      <c r="D165" s="1870"/>
      <c r="E165" s="1866"/>
      <c r="F165" s="1876"/>
      <c r="G165" s="1873"/>
    </row>
    <row r="166" spans="1:7">
      <c r="A166" s="1865"/>
      <c r="B166" s="2358"/>
      <c r="C166" s="2359"/>
      <c r="D166" s="1870"/>
      <c r="E166" s="1866"/>
      <c r="F166" s="1876"/>
      <c r="G166" s="1873"/>
    </row>
    <row r="167" spans="1:7">
      <c r="A167" s="1865"/>
      <c r="B167" s="2358"/>
      <c r="C167" s="2359"/>
      <c r="D167" s="1870"/>
      <c r="E167" s="1866"/>
      <c r="F167" s="1876"/>
      <c r="G167" s="1873"/>
    </row>
    <row r="168" spans="1:7">
      <c r="A168" s="1865"/>
      <c r="B168" s="2358"/>
      <c r="C168" s="2359"/>
      <c r="D168" s="1870"/>
      <c r="E168" s="1866"/>
      <c r="F168" s="1876"/>
      <c r="G168" s="1873"/>
    </row>
    <row r="169" spans="1:7">
      <c r="A169" s="1865"/>
      <c r="B169" s="2358"/>
      <c r="C169" s="2359"/>
      <c r="D169" s="1870"/>
      <c r="E169" s="1866"/>
      <c r="F169" s="1876"/>
      <c r="G169" s="1873"/>
    </row>
    <row r="170" spans="1:7">
      <c r="A170" s="1865"/>
      <c r="B170" s="2358"/>
      <c r="C170" s="2359"/>
      <c r="D170" s="1870"/>
      <c r="E170" s="1866"/>
      <c r="F170" s="1876"/>
      <c r="G170" s="1873"/>
    </row>
    <row r="171" spans="1:7">
      <c r="A171" s="1865"/>
      <c r="B171" s="2358"/>
      <c r="C171" s="2359"/>
      <c r="D171" s="1870"/>
      <c r="E171" s="1866"/>
      <c r="F171" s="1876"/>
      <c r="G171" s="1873"/>
    </row>
    <row r="172" spans="1:7">
      <c r="A172" s="1865"/>
      <c r="B172" s="2358"/>
      <c r="C172" s="2359"/>
      <c r="D172" s="1870"/>
      <c r="E172" s="1866"/>
      <c r="F172" s="1876"/>
      <c r="G172" s="1873"/>
    </row>
    <row r="173" spans="1:7">
      <c r="A173" s="1865"/>
      <c r="B173" s="2358"/>
      <c r="C173" s="2359"/>
      <c r="D173" s="1870"/>
      <c r="E173" s="1866"/>
      <c r="F173" s="1876"/>
      <c r="G173" s="1873"/>
    </row>
    <row r="174" spans="1:7">
      <c r="A174" s="1865"/>
      <c r="B174" s="2358"/>
      <c r="C174" s="2359"/>
      <c r="D174" s="1870"/>
      <c r="E174" s="1866"/>
      <c r="F174" s="1876"/>
      <c r="G174" s="1873"/>
    </row>
    <row r="175" spans="1:7">
      <c r="A175" s="1865"/>
      <c r="B175" s="2358"/>
      <c r="C175" s="2359"/>
      <c r="D175" s="1870"/>
      <c r="E175" s="1866"/>
      <c r="F175" s="1876"/>
      <c r="G175" s="1873"/>
    </row>
    <row r="176" spans="1:7">
      <c r="A176" s="1865"/>
      <c r="B176" s="2358"/>
      <c r="C176" s="2359"/>
      <c r="D176" s="1870"/>
      <c r="E176" s="1866"/>
      <c r="F176" s="1876"/>
      <c r="G176" s="1873"/>
    </row>
    <row r="177" spans="1:7">
      <c r="A177" s="1865"/>
      <c r="B177" s="2358"/>
      <c r="C177" s="2359"/>
      <c r="D177" s="1870"/>
      <c r="E177" s="1866"/>
      <c r="F177" s="1876"/>
      <c r="G177" s="1873"/>
    </row>
    <row r="178" spans="1:7">
      <c r="A178" s="1865"/>
      <c r="B178" s="2358"/>
      <c r="C178" s="2359"/>
      <c r="D178" s="1870"/>
      <c r="E178" s="1866"/>
      <c r="F178" s="1876"/>
      <c r="G178" s="1873"/>
    </row>
    <row r="179" spans="1:7">
      <c r="A179" s="1865"/>
      <c r="B179" s="2358"/>
      <c r="C179" s="2359"/>
      <c r="D179" s="1870"/>
      <c r="E179" s="1866"/>
      <c r="F179" s="1876"/>
      <c r="G179" s="1873"/>
    </row>
    <row r="180" spans="1:7">
      <c r="A180" s="1865"/>
      <c r="B180" s="2358"/>
      <c r="C180" s="2359"/>
      <c r="D180" s="1870"/>
      <c r="E180" s="1866"/>
      <c r="F180" s="1876"/>
      <c r="G180" s="1873"/>
    </row>
    <row r="181" spans="1:7">
      <c r="A181" s="1865"/>
      <c r="B181" s="2358"/>
      <c r="C181" s="2359"/>
      <c r="D181" s="1870"/>
      <c r="E181" s="1866"/>
      <c r="F181" s="1876"/>
      <c r="G181" s="1873"/>
    </row>
    <row r="182" spans="1:7">
      <c r="A182" s="1865"/>
      <c r="B182" s="2358"/>
      <c r="C182" s="2359"/>
      <c r="D182" s="1870"/>
      <c r="E182" s="1866"/>
      <c r="F182" s="1876"/>
      <c r="G182" s="1873"/>
    </row>
    <row r="183" spans="1:7">
      <c r="A183" s="1865"/>
      <c r="B183" s="2358"/>
      <c r="C183" s="2359"/>
      <c r="D183" s="1870"/>
      <c r="E183" s="1866"/>
      <c r="F183" s="1876"/>
      <c r="G183" s="1873"/>
    </row>
    <row r="184" spans="1:7">
      <c r="A184" s="1865"/>
      <c r="B184" s="2358"/>
      <c r="C184" s="2359"/>
      <c r="D184" s="1870"/>
      <c r="E184" s="1866"/>
      <c r="F184" s="1876"/>
      <c r="G184" s="1873"/>
    </row>
    <row r="185" spans="1:7">
      <c r="A185" s="1865"/>
      <c r="B185" s="2358"/>
      <c r="C185" s="2359"/>
      <c r="D185" s="1870"/>
      <c r="E185" s="1866"/>
      <c r="F185" s="1876"/>
      <c r="G185" s="1873"/>
    </row>
    <row r="186" spans="1:7">
      <c r="A186" s="1865"/>
      <c r="B186" s="2358"/>
      <c r="C186" s="2359"/>
      <c r="D186" s="1870"/>
      <c r="E186" s="1866"/>
      <c r="F186" s="1876"/>
      <c r="G186" s="1873"/>
    </row>
    <row r="187" spans="1:7">
      <c r="A187" s="1865"/>
      <c r="B187" s="2358"/>
      <c r="C187" s="2359"/>
      <c r="D187" s="1870"/>
      <c r="E187" s="1866"/>
      <c r="F187" s="1876"/>
      <c r="G187" s="1873"/>
    </row>
    <row r="188" spans="1:7">
      <c r="A188" s="1865"/>
      <c r="B188" s="2358"/>
      <c r="C188" s="2359"/>
      <c r="D188" s="1870"/>
      <c r="E188" s="1866"/>
      <c r="F188" s="1876"/>
      <c r="G188" s="1873"/>
    </row>
    <row r="189" spans="1:7">
      <c r="A189" s="1865"/>
      <c r="B189" s="2358"/>
      <c r="C189" s="2359"/>
      <c r="D189" s="1870"/>
      <c r="E189" s="1866"/>
      <c r="F189" s="1876"/>
      <c r="G189" s="1873"/>
    </row>
    <row r="190" spans="1:7">
      <c r="A190" s="1865"/>
      <c r="B190" s="2358"/>
      <c r="C190" s="2359"/>
      <c r="D190" s="1870"/>
      <c r="E190" s="1866"/>
      <c r="F190" s="1876"/>
      <c r="G190" s="1873"/>
    </row>
    <row r="191" spans="1:7">
      <c r="A191" s="1865"/>
      <c r="B191" s="2358"/>
      <c r="C191" s="2359"/>
      <c r="D191" s="1870"/>
      <c r="E191" s="1866"/>
      <c r="F191" s="1876"/>
      <c r="G191" s="1873"/>
    </row>
    <row r="192" spans="1:7">
      <c r="A192" s="1865"/>
      <c r="B192" s="2358"/>
      <c r="C192" s="2359"/>
      <c r="D192" s="1870"/>
      <c r="E192" s="1866"/>
      <c r="F192" s="1876"/>
      <c r="G192" s="1873"/>
    </row>
    <row r="193" spans="1:7">
      <c r="A193" s="1865"/>
      <c r="B193" s="2358"/>
      <c r="C193" s="2359"/>
      <c r="D193" s="1870"/>
      <c r="E193" s="1866"/>
      <c r="F193" s="1876"/>
      <c r="G193" s="1873"/>
    </row>
    <row r="194" spans="1:7">
      <c r="A194" s="1865"/>
      <c r="B194" s="2358"/>
      <c r="C194" s="2359"/>
      <c r="D194" s="1870"/>
      <c r="E194" s="1866"/>
      <c r="F194" s="1876"/>
      <c r="G194" s="1873"/>
    </row>
    <row r="195" spans="1:7">
      <c r="A195" s="1865"/>
      <c r="B195" s="2358"/>
      <c r="C195" s="2359"/>
      <c r="D195" s="1870"/>
      <c r="E195" s="1866"/>
      <c r="F195" s="1876"/>
      <c r="G195" s="1873"/>
    </row>
    <row r="196" spans="1:7">
      <c r="A196" s="1865"/>
      <c r="B196" s="2358"/>
      <c r="C196" s="2359"/>
      <c r="D196" s="1870"/>
      <c r="E196" s="1866"/>
      <c r="F196" s="1876"/>
      <c r="G196" s="1873"/>
    </row>
    <row r="197" spans="1:7">
      <c r="A197" s="1865"/>
      <c r="B197" s="2358"/>
      <c r="C197" s="2359"/>
      <c r="D197" s="1870"/>
      <c r="E197" s="1866"/>
      <c r="F197" s="1876"/>
      <c r="G197" s="1873"/>
    </row>
    <row r="198" spans="1:7">
      <c r="A198" s="1865"/>
      <c r="B198" s="2358"/>
      <c r="C198" s="2359"/>
      <c r="D198" s="1870"/>
      <c r="E198" s="1866"/>
      <c r="F198" s="1876"/>
      <c r="G198" s="1873"/>
    </row>
    <row r="199" spans="1:7">
      <c r="A199" s="1865"/>
      <c r="B199" s="2358"/>
      <c r="C199" s="2359"/>
      <c r="D199" s="1870"/>
      <c r="E199" s="1866"/>
      <c r="F199" s="1876"/>
      <c r="G199" s="1873"/>
    </row>
    <row r="200" spans="1:7">
      <c r="A200" s="1865"/>
      <c r="B200" s="2358"/>
      <c r="C200" s="2359"/>
      <c r="D200" s="1870"/>
      <c r="E200" s="1866"/>
      <c r="F200" s="1876"/>
      <c r="G200" s="1873"/>
    </row>
    <row r="201" spans="1:7">
      <c r="A201" s="1865"/>
      <c r="B201" s="2358"/>
      <c r="C201" s="2359"/>
      <c r="D201" s="1870"/>
      <c r="E201" s="1866"/>
      <c r="F201" s="1876"/>
      <c r="G201" s="1873"/>
    </row>
    <row r="202" spans="1:7">
      <c r="A202" s="1865"/>
      <c r="B202" s="2358"/>
      <c r="C202" s="2359"/>
      <c r="D202" s="1870"/>
      <c r="E202" s="1866"/>
      <c r="F202" s="1876"/>
      <c r="G202" s="1873"/>
    </row>
    <row r="203" spans="1:7">
      <c r="A203" s="1865"/>
      <c r="B203" s="2358"/>
      <c r="C203" s="2359"/>
      <c r="D203" s="1870"/>
      <c r="E203" s="1866"/>
      <c r="F203" s="1876"/>
      <c r="G203" s="1873"/>
    </row>
    <row r="204" spans="1:7">
      <c r="A204" s="1865"/>
      <c r="B204" s="2358"/>
      <c r="C204" s="2359"/>
      <c r="D204" s="1870"/>
      <c r="E204" s="1866"/>
      <c r="F204" s="1876"/>
      <c r="G204" s="1873"/>
    </row>
    <row r="205" spans="1:7">
      <c r="A205" s="1865"/>
      <c r="B205" s="2358"/>
      <c r="C205" s="2359"/>
      <c r="D205" s="1870"/>
      <c r="E205" s="1866"/>
      <c r="F205" s="1876"/>
      <c r="G205" s="1873"/>
    </row>
    <row r="206" spans="1:7">
      <c r="A206" s="1865"/>
      <c r="B206" s="2358"/>
      <c r="C206" s="2359"/>
      <c r="D206" s="1870"/>
      <c r="E206" s="1866"/>
      <c r="F206" s="1876"/>
      <c r="G206" s="1873"/>
    </row>
    <row r="207" spans="1:7">
      <c r="A207" s="1865"/>
      <c r="B207" s="2358"/>
      <c r="C207" s="2359"/>
      <c r="D207" s="1870"/>
      <c r="E207" s="1866"/>
      <c r="F207" s="1876"/>
      <c r="G207" s="1873"/>
    </row>
    <row r="208" spans="1:7">
      <c r="A208" s="1865"/>
      <c r="B208" s="2358"/>
      <c r="C208" s="2359"/>
      <c r="D208" s="1870"/>
      <c r="E208" s="1866"/>
      <c r="F208" s="1876"/>
      <c r="G208" s="1873"/>
    </row>
    <row r="209" spans="1:7">
      <c r="A209" s="1865"/>
      <c r="B209" s="2358"/>
      <c r="C209" s="2359"/>
      <c r="D209" s="1870"/>
      <c r="E209" s="1866"/>
      <c r="F209" s="1876"/>
      <c r="G209" s="1873"/>
    </row>
    <row r="210" spans="1:7">
      <c r="A210" s="1865"/>
      <c r="B210" s="2358"/>
      <c r="C210" s="2359"/>
      <c r="D210" s="1870"/>
      <c r="E210" s="1866"/>
      <c r="F210" s="1876"/>
      <c r="G210" s="1873"/>
    </row>
    <row r="211" spans="1:7">
      <c r="A211" s="1865"/>
      <c r="B211" s="2358"/>
      <c r="C211" s="2359"/>
      <c r="D211" s="1870"/>
      <c r="E211" s="1866"/>
      <c r="F211" s="1876"/>
      <c r="G211" s="1873"/>
    </row>
    <row r="212" spans="1:7">
      <c r="A212" s="1865"/>
      <c r="B212" s="2358"/>
      <c r="C212" s="2359"/>
      <c r="D212" s="1870"/>
      <c r="E212" s="1866"/>
      <c r="F212" s="1876"/>
      <c r="G212" s="1873"/>
    </row>
    <row r="213" spans="1:7">
      <c r="A213" s="1865"/>
      <c r="B213" s="2358"/>
      <c r="C213" s="2359"/>
      <c r="D213" s="1870"/>
      <c r="E213" s="1866"/>
      <c r="F213" s="1876"/>
      <c r="G213" s="1873"/>
    </row>
    <row r="214" spans="1:7">
      <c r="A214" s="1865"/>
      <c r="B214" s="2358"/>
      <c r="C214" s="2359"/>
      <c r="D214" s="1870"/>
      <c r="E214" s="1866"/>
      <c r="F214" s="1876"/>
      <c r="G214" s="1873"/>
    </row>
    <row r="215" spans="1:7">
      <c r="A215" s="1865"/>
      <c r="B215" s="2358"/>
      <c r="C215" s="2359"/>
      <c r="D215" s="1870"/>
      <c r="E215" s="1866"/>
      <c r="F215" s="1876"/>
      <c r="G215" s="1873"/>
    </row>
    <row r="216" spans="1:7">
      <c r="A216" s="1865"/>
      <c r="B216" s="2358"/>
      <c r="C216" s="2359"/>
      <c r="D216" s="1870"/>
      <c r="E216" s="1866"/>
      <c r="F216" s="1876"/>
      <c r="G216" s="1873"/>
    </row>
    <row r="217" spans="1:7">
      <c r="A217" s="1865"/>
      <c r="B217" s="2358"/>
      <c r="C217" s="2359"/>
      <c r="D217" s="1870"/>
      <c r="E217" s="1866"/>
      <c r="F217" s="1876"/>
      <c r="G217" s="1873"/>
    </row>
    <row r="218" spans="1:7">
      <c r="A218" s="1865"/>
      <c r="B218" s="2358"/>
      <c r="C218" s="2359"/>
      <c r="D218" s="1870"/>
      <c r="E218" s="1866"/>
      <c r="F218" s="1876"/>
      <c r="G218" s="1873"/>
    </row>
    <row r="219" spans="1:7">
      <c r="A219" s="1865"/>
      <c r="B219" s="2358"/>
      <c r="C219" s="2359"/>
      <c r="D219" s="1870"/>
      <c r="E219" s="1866"/>
      <c r="F219" s="1876"/>
      <c r="G219" s="1873"/>
    </row>
    <row r="220" spans="1:7">
      <c r="A220" s="1865"/>
      <c r="B220" s="2358"/>
      <c r="C220" s="2359"/>
      <c r="D220" s="1870"/>
      <c r="E220" s="1866"/>
      <c r="F220" s="1876"/>
      <c r="G220" s="1873"/>
    </row>
    <row r="221" spans="1:7">
      <c r="A221" s="1865"/>
      <c r="B221" s="2358"/>
      <c r="C221" s="2359"/>
      <c r="D221" s="1870"/>
      <c r="E221" s="1866"/>
      <c r="F221" s="1876"/>
      <c r="G221" s="1873"/>
    </row>
    <row r="222" spans="1:7">
      <c r="A222" s="1865"/>
      <c r="B222" s="2358"/>
      <c r="C222" s="2359"/>
      <c r="D222" s="1870"/>
      <c r="E222" s="1866"/>
      <c r="F222" s="1876"/>
      <c r="G222" s="1873"/>
    </row>
    <row r="223" spans="1:7">
      <c r="A223" s="1865"/>
      <c r="B223" s="2358"/>
      <c r="C223" s="2359"/>
      <c r="D223" s="1870"/>
      <c r="E223" s="1866"/>
      <c r="F223" s="1876"/>
      <c r="G223" s="1873"/>
    </row>
    <row r="224" spans="1:7">
      <c r="A224" s="1865"/>
      <c r="B224" s="2358"/>
      <c r="C224" s="2359"/>
      <c r="D224" s="1870"/>
      <c r="E224" s="1866"/>
      <c r="F224" s="1876"/>
      <c r="G224" s="1873"/>
    </row>
    <row r="225" spans="1:7">
      <c r="A225" s="1865"/>
      <c r="B225" s="2358"/>
      <c r="C225" s="2359"/>
      <c r="D225" s="1870"/>
      <c r="E225" s="1866"/>
      <c r="F225" s="1876"/>
      <c r="G225" s="1873"/>
    </row>
    <row r="226" spans="1:7">
      <c r="A226" s="1865"/>
      <c r="B226" s="2358"/>
      <c r="C226" s="2359"/>
      <c r="D226" s="1870"/>
      <c r="E226" s="1866"/>
      <c r="F226" s="1876"/>
      <c r="G226" s="1873"/>
    </row>
    <row r="227" spans="1:7">
      <c r="A227" s="1865"/>
      <c r="B227" s="2358"/>
      <c r="C227" s="2359"/>
      <c r="D227" s="1870"/>
      <c r="E227" s="1866"/>
      <c r="F227" s="1876"/>
      <c r="G227" s="1873"/>
    </row>
    <row r="228" spans="1:7">
      <c r="A228" s="1865"/>
      <c r="B228" s="2358"/>
      <c r="C228" s="2359"/>
      <c r="D228" s="1870"/>
      <c r="E228" s="1866"/>
      <c r="F228" s="1876"/>
      <c r="G228" s="1873"/>
    </row>
    <row r="229" spans="1:7">
      <c r="A229" s="1865"/>
      <c r="B229" s="2358"/>
      <c r="C229" s="2359"/>
      <c r="D229" s="1870"/>
      <c r="E229" s="1866"/>
      <c r="F229" s="1876"/>
      <c r="G229" s="1873"/>
    </row>
    <row r="230" spans="1:7">
      <c r="A230" s="1865"/>
      <c r="B230" s="2358"/>
      <c r="C230" s="2359"/>
      <c r="D230" s="1870"/>
      <c r="E230" s="1866"/>
      <c r="F230" s="1876"/>
      <c r="G230" s="1873"/>
    </row>
    <row r="231" spans="1:7">
      <c r="A231" s="1865"/>
      <c r="B231" s="2358"/>
      <c r="C231" s="2359"/>
      <c r="D231" s="1870"/>
      <c r="E231" s="1866"/>
      <c r="F231" s="1876"/>
      <c r="G231" s="1873"/>
    </row>
    <row r="232" spans="1:7">
      <c r="A232" s="1865"/>
      <c r="B232" s="2358"/>
      <c r="C232" s="2359"/>
      <c r="D232" s="1870"/>
      <c r="E232" s="1866"/>
      <c r="F232" s="1876"/>
      <c r="G232" s="1873"/>
    </row>
    <row r="233" spans="1:7">
      <c r="A233" s="1865"/>
      <c r="B233" s="2358"/>
      <c r="C233" s="2359"/>
      <c r="D233" s="1870"/>
      <c r="E233" s="1866"/>
      <c r="F233" s="1876"/>
      <c r="G233" s="1873"/>
    </row>
    <row r="234" spans="1:7">
      <c r="A234" s="1865"/>
      <c r="B234" s="2358"/>
      <c r="C234" s="2359"/>
      <c r="D234" s="1870"/>
      <c r="E234" s="1866"/>
      <c r="F234" s="1876"/>
      <c r="G234" s="1873"/>
    </row>
    <row r="235" spans="1:7">
      <c r="A235" s="1865"/>
      <c r="B235" s="2358"/>
      <c r="C235" s="2359"/>
      <c r="D235" s="1870"/>
      <c r="E235" s="1866"/>
      <c r="F235" s="1876"/>
      <c r="G235" s="1873"/>
    </row>
    <row r="236" spans="1:7">
      <c r="A236" s="1865"/>
      <c r="B236" s="2358"/>
      <c r="C236" s="2359"/>
      <c r="D236" s="1870"/>
      <c r="E236" s="1866"/>
      <c r="F236" s="1876"/>
      <c r="G236" s="1873"/>
    </row>
    <row r="237" spans="1:7">
      <c r="A237" s="1865"/>
      <c r="B237" s="2358"/>
      <c r="C237" s="2359"/>
      <c r="D237" s="1870"/>
      <c r="E237" s="1866"/>
      <c r="F237" s="1876"/>
      <c r="G237" s="1873"/>
    </row>
    <row r="238" spans="1:7">
      <c r="A238" s="1865"/>
      <c r="B238" s="2358"/>
      <c r="C238" s="2359"/>
      <c r="D238" s="1870"/>
      <c r="E238" s="1866"/>
      <c r="F238" s="1876"/>
      <c r="G238" s="1873"/>
    </row>
    <row r="239" spans="1:7">
      <c r="A239" s="1865"/>
      <c r="B239" s="2358"/>
      <c r="C239" s="2359"/>
      <c r="D239" s="1870"/>
      <c r="E239" s="1866"/>
      <c r="F239" s="1876"/>
      <c r="G239" s="1873"/>
    </row>
    <row r="240" spans="1:7">
      <c r="A240" s="1865"/>
      <c r="B240" s="2358"/>
      <c r="C240" s="2359"/>
      <c r="D240" s="1870"/>
      <c r="E240" s="1866"/>
      <c r="F240" s="1876"/>
      <c r="G240" s="1873"/>
    </row>
    <row r="241" spans="1:7">
      <c r="A241" s="1865"/>
      <c r="B241" s="2358"/>
      <c r="C241" s="2359"/>
      <c r="D241" s="1870"/>
      <c r="E241" s="1866"/>
      <c r="F241" s="1876"/>
      <c r="G241" s="1873"/>
    </row>
    <row r="242" spans="1:7">
      <c r="A242" s="1865"/>
      <c r="B242" s="2358"/>
      <c r="C242" s="2359"/>
      <c r="D242" s="1870"/>
      <c r="E242" s="1866"/>
      <c r="F242" s="1876"/>
      <c r="G242" s="1873"/>
    </row>
    <row r="243" spans="1:7">
      <c r="A243" s="1865"/>
      <c r="B243" s="2358"/>
      <c r="C243" s="2359"/>
      <c r="D243" s="1870"/>
      <c r="E243" s="1866"/>
      <c r="F243" s="1876"/>
      <c r="G243" s="1873"/>
    </row>
    <row r="244" spans="1:7">
      <c r="A244" s="1865"/>
      <c r="B244" s="2358"/>
      <c r="C244" s="2359"/>
      <c r="D244" s="1870"/>
      <c r="E244" s="1866"/>
      <c r="F244" s="1876"/>
      <c r="G244" s="1873"/>
    </row>
    <row r="245" spans="1:7">
      <c r="A245" s="1865"/>
      <c r="B245" s="2358"/>
      <c r="C245" s="2359"/>
      <c r="D245" s="1870"/>
      <c r="E245" s="1866"/>
      <c r="F245" s="1876"/>
      <c r="G245" s="1873"/>
    </row>
    <row r="246" spans="1:7">
      <c r="A246" s="1865"/>
      <c r="B246" s="2358"/>
      <c r="C246" s="2359"/>
      <c r="D246" s="1870"/>
      <c r="E246" s="1866"/>
      <c r="F246" s="1876"/>
      <c r="G246" s="1873"/>
    </row>
    <row r="247" spans="1:7">
      <c r="A247" s="1865"/>
      <c r="B247" s="2358"/>
      <c r="C247" s="2359"/>
      <c r="D247" s="1870"/>
      <c r="E247" s="1866"/>
      <c r="F247" s="1876"/>
      <c r="G247" s="1873"/>
    </row>
    <row r="248" spans="1:7">
      <c r="A248" s="1865"/>
      <c r="B248" s="2358"/>
      <c r="C248" s="2359"/>
      <c r="D248" s="1870"/>
      <c r="E248" s="1866"/>
      <c r="F248" s="1876"/>
      <c r="G248" s="1873"/>
    </row>
    <row r="249" spans="1:7">
      <c r="A249" s="1865"/>
      <c r="B249" s="2358"/>
      <c r="C249" s="2359"/>
      <c r="D249" s="1870"/>
      <c r="E249" s="1866"/>
      <c r="F249" s="1876"/>
      <c r="G249" s="1873"/>
    </row>
    <row r="250" spans="1:7">
      <c r="A250" s="1865"/>
      <c r="B250" s="2358"/>
      <c r="C250" s="2359"/>
      <c r="D250" s="1870"/>
      <c r="E250" s="1866"/>
      <c r="F250" s="1876"/>
      <c r="G250" s="1873"/>
    </row>
    <row r="251" spans="1:7">
      <c r="A251" s="1865"/>
      <c r="B251" s="2358"/>
      <c r="C251" s="2359"/>
      <c r="D251" s="1870"/>
      <c r="E251" s="1866"/>
      <c r="F251" s="1876"/>
      <c r="G251" s="1873"/>
    </row>
    <row r="252" spans="1:7">
      <c r="A252" s="1865"/>
      <c r="B252" s="2358"/>
      <c r="C252" s="2359"/>
      <c r="D252" s="1870"/>
      <c r="E252" s="1866"/>
      <c r="F252" s="1876"/>
      <c r="G252" s="1873"/>
    </row>
    <row r="253" spans="1:7">
      <c r="A253" s="1865"/>
      <c r="B253" s="2358"/>
      <c r="C253" s="2359"/>
      <c r="D253" s="1870"/>
      <c r="E253" s="1866"/>
      <c r="F253" s="1876"/>
      <c r="G253" s="1873"/>
    </row>
    <row r="254" spans="1:7">
      <c r="A254" s="1865"/>
      <c r="B254" s="2358"/>
      <c r="C254" s="2359"/>
      <c r="D254" s="1870"/>
      <c r="E254" s="1866"/>
      <c r="F254" s="1876"/>
      <c r="G254" s="1873"/>
    </row>
    <row r="255" spans="1:7">
      <c r="A255" s="1865"/>
      <c r="B255" s="2358"/>
      <c r="C255" s="2359"/>
      <c r="D255" s="1870"/>
      <c r="E255" s="1866"/>
      <c r="F255" s="1876"/>
      <c r="G255" s="1873"/>
    </row>
    <row r="256" spans="1:7">
      <c r="A256" s="1865"/>
      <c r="B256" s="2358"/>
      <c r="C256" s="2359"/>
      <c r="D256" s="1870"/>
      <c r="E256" s="1866"/>
      <c r="F256" s="1876"/>
      <c r="G256" s="1873"/>
    </row>
    <row r="257" spans="1:7">
      <c r="A257" s="1865"/>
      <c r="B257" s="2358"/>
      <c r="C257" s="2359"/>
      <c r="D257" s="1870"/>
      <c r="E257" s="1866"/>
      <c r="F257" s="1876"/>
      <c r="G257" s="1873"/>
    </row>
    <row r="258" spans="1:7">
      <c r="A258" s="1865"/>
      <c r="B258" s="2358"/>
      <c r="C258" s="2359"/>
      <c r="D258" s="1870"/>
      <c r="E258" s="1866"/>
      <c r="F258" s="1876"/>
      <c r="G258" s="1873"/>
    </row>
    <row r="259" spans="1:7">
      <c r="A259" s="1865"/>
      <c r="B259" s="2358"/>
      <c r="C259" s="2359"/>
      <c r="D259" s="1870"/>
      <c r="E259" s="1866"/>
      <c r="F259" s="1876"/>
      <c r="G259" s="1873"/>
    </row>
    <row r="260" spans="1:7">
      <c r="A260" s="1865"/>
      <c r="B260" s="2358"/>
      <c r="C260" s="2359"/>
      <c r="D260" s="1870"/>
      <c r="E260" s="1866"/>
      <c r="F260" s="1876"/>
      <c r="G260" s="1873"/>
    </row>
    <row r="261" spans="1:7">
      <c r="A261" s="1865"/>
      <c r="B261" s="2358"/>
      <c r="C261" s="2359"/>
      <c r="D261" s="1870"/>
      <c r="E261" s="1866"/>
      <c r="F261" s="1876"/>
      <c r="G261" s="1873"/>
    </row>
    <row r="262" spans="1:7">
      <c r="A262" s="1865"/>
      <c r="B262" s="2358"/>
      <c r="C262" s="2359"/>
      <c r="D262" s="1870"/>
      <c r="E262" s="1866"/>
      <c r="F262" s="1876"/>
      <c r="G262" s="1873"/>
    </row>
    <row r="263" spans="1:7">
      <c r="A263" s="1865"/>
      <c r="B263" s="2358"/>
      <c r="C263" s="2359"/>
      <c r="D263" s="1870"/>
      <c r="E263" s="1866"/>
      <c r="F263" s="1876"/>
      <c r="G263" s="1873"/>
    </row>
    <row r="264" spans="1:7">
      <c r="A264" s="1865"/>
      <c r="B264" s="2358"/>
      <c r="C264" s="2359"/>
      <c r="D264" s="1870"/>
      <c r="E264" s="1866"/>
      <c r="F264" s="1876"/>
      <c r="G264" s="1873"/>
    </row>
    <row r="265" spans="1:7">
      <c r="A265" s="1865"/>
      <c r="B265" s="2358"/>
      <c r="C265" s="2359"/>
      <c r="D265" s="1870"/>
      <c r="E265" s="1866"/>
      <c r="F265" s="1876"/>
      <c r="G265" s="1873"/>
    </row>
    <row r="266" spans="1:7">
      <c r="A266" s="1865"/>
      <c r="B266" s="2358"/>
      <c r="C266" s="2359"/>
      <c r="D266" s="1870"/>
      <c r="E266" s="1866"/>
      <c r="F266" s="1876"/>
      <c r="G266" s="1873"/>
    </row>
    <row r="267" spans="1:7">
      <c r="A267" s="1867"/>
      <c r="B267" s="2360"/>
      <c r="C267" s="2361"/>
      <c r="D267" s="1871"/>
      <c r="E267" s="1868"/>
      <c r="F267" s="1877"/>
      <c r="G267" s="1874"/>
    </row>
  </sheetData>
  <mergeCells count="263">
    <mergeCell ref="B11:C11"/>
    <mergeCell ref="B12:C12"/>
    <mergeCell ref="B13:C13"/>
    <mergeCell ref="B14:C14"/>
    <mergeCell ref="B15:C15"/>
    <mergeCell ref="B16:C16"/>
    <mergeCell ref="B5:C5"/>
    <mergeCell ref="B6:C6"/>
    <mergeCell ref="B7:C7"/>
    <mergeCell ref="B8:C8"/>
    <mergeCell ref="B9:C9"/>
    <mergeCell ref="B10:C10"/>
    <mergeCell ref="B23:C23"/>
    <mergeCell ref="B24:C24"/>
    <mergeCell ref="B25:C25"/>
    <mergeCell ref="B26:C26"/>
    <mergeCell ref="B27:C27"/>
    <mergeCell ref="B28:C28"/>
    <mergeCell ref="B17:C17"/>
    <mergeCell ref="B18:C18"/>
    <mergeCell ref="B19:C19"/>
    <mergeCell ref="B20:C20"/>
    <mergeCell ref="B21:C21"/>
    <mergeCell ref="B22:C22"/>
    <mergeCell ref="B35:C35"/>
    <mergeCell ref="B36:C36"/>
    <mergeCell ref="B37:C37"/>
    <mergeCell ref="B38:C38"/>
    <mergeCell ref="B39:C39"/>
    <mergeCell ref="B40:C40"/>
    <mergeCell ref="B29:C29"/>
    <mergeCell ref="B30:C30"/>
    <mergeCell ref="B31:C31"/>
    <mergeCell ref="B32:C32"/>
    <mergeCell ref="B33:C33"/>
    <mergeCell ref="B34:C34"/>
    <mergeCell ref="B47:C47"/>
    <mergeCell ref="B48:C48"/>
    <mergeCell ref="B49:C49"/>
    <mergeCell ref="B50:C50"/>
    <mergeCell ref="B51:C51"/>
    <mergeCell ref="B52:C52"/>
    <mergeCell ref="B41:C41"/>
    <mergeCell ref="B42:C42"/>
    <mergeCell ref="B43:C43"/>
    <mergeCell ref="B44:C44"/>
    <mergeCell ref="B45:C45"/>
    <mergeCell ref="B46:C46"/>
    <mergeCell ref="B59:C59"/>
    <mergeCell ref="B60:C60"/>
    <mergeCell ref="B61:C61"/>
    <mergeCell ref="B62:C62"/>
    <mergeCell ref="B63:C63"/>
    <mergeCell ref="B64:C64"/>
    <mergeCell ref="B53:C53"/>
    <mergeCell ref="B54:C54"/>
    <mergeCell ref="B55:C55"/>
    <mergeCell ref="B56:C56"/>
    <mergeCell ref="B57:C57"/>
    <mergeCell ref="B58:C58"/>
    <mergeCell ref="B71:C71"/>
    <mergeCell ref="B72:C72"/>
    <mergeCell ref="B73:C73"/>
    <mergeCell ref="B74:C74"/>
    <mergeCell ref="B75:C75"/>
    <mergeCell ref="B76:C76"/>
    <mergeCell ref="B65:C65"/>
    <mergeCell ref="B66:C66"/>
    <mergeCell ref="B67:C67"/>
    <mergeCell ref="B68:C68"/>
    <mergeCell ref="B69:C69"/>
    <mergeCell ref="B70:C70"/>
    <mergeCell ref="B83:C83"/>
    <mergeCell ref="B84:C84"/>
    <mergeCell ref="B85:C85"/>
    <mergeCell ref="B86:C86"/>
    <mergeCell ref="B87:C87"/>
    <mergeCell ref="B88:C88"/>
    <mergeCell ref="B77:C77"/>
    <mergeCell ref="B78:C78"/>
    <mergeCell ref="B79:C79"/>
    <mergeCell ref="B80:C80"/>
    <mergeCell ref="B81:C81"/>
    <mergeCell ref="B82:C82"/>
    <mergeCell ref="B95:C95"/>
    <mergeCell ref="B96:C96"/>
    <mergeCell ref="B97:C97"/>
    <mergeCell ref="B98:C98"/>
    <mergeCell ref="B99:C99"/>
    <mergeCell ref="B100:C100"/>
    <mergeCell ref="B89:C89"/>
    <mergeCell ref="B90:C90"/>
    <mergeCell ref="B91:C91"/>
    <mergeCell ref="B92:C92"/>
    <mergeCell ref="B93:C93"/>
    <mergeCell ref="B94:C94"/>
    <mergeCell ref="B107:C107"/>
    <mergeCell ref="B108:C108"/>
    <mergeCell ref="B109:C109"/>
    <mergeCell ref="B110:C110"/>
    <mergeCell ref="B111:C111"/>
    <mergeCell ref="B112:C112"/>
    <mergeCell ref="B101:C101"/>
    <mergeCell ref="B102:C102"/>
    <mergeCell ref="B103:C103"/>
    <mergeCell ref="B104:C104"/>
    <mergeCell ref="B105:C105"/>
    <mergeCell ref="B106:C106"/>
    <mergeCell ref="B119:C119"/>
    <mergeCell ref="B120:C120"/>
    <mergeCell ref="B121:C121"/>
    <mergeCell ref="B122:C122"/>
    <mergeCell ref="B123:C123"/>
    <mergeCell ref="B124:C124"/>
    <mergeCell ref="B113:C113"/>
    <mergeCell ref="B114:C114"/>
    <mergeCell ref="B115:C115"/>
    <mergeCell ref="B116:C116"/>
    <mergeCell ref="B117:C117"/>
    <mergeCell ref="B118:C118"/>
    <mergeCell ref="B131:C131"/>
    <mergeCell ref="B132:C132"/>
    <mergeCell ref="B133:C133"/>
    <mergeCell ref="B134:C134"/>
    <mergeCell ref="B135:C135"/>
    <mergeCell ref="B136:C136"/>
    <mergeCell ref="B125:C125"/>
    <mergeCell ref="B126:C126"/>
    <mergeCell ref="B127:C127"/>
    <mergeCell ref="B128:C128"/>
    <mergeCell ref="B129:C129"/>
    <mergeCell ref="B130:C130"/>
    <mergeCell ref="B143:C143"/>
    <mergeCell ref="B144:C144"/>
    <mergeCell ref="B145:C145"/>
    <mergeCell ref="B146:C146"/>
    <mergeCell ref="B147:C147"/>
    <mergeCell ref="B148:C148"/>
    <mergeCell ref="B137:C137"/>
    <mergeCell ref="B138:C138"/>
    <mergeCell ref="B139:C139"/>
    <mergeCell ref="B140:C140"/>
    <mergeCell ref="B141:C141"/>
    <mergeCell ref="B142:C142"/>
    <mergeCell ref="B155:C155"/>
    <mergeCell ref="B156:C156"/>
    <mergeCell ref="B157:C157"/>
    <mergeCell ref="B158:C158"/>
    <mergeCell ref="B159:C159"/>
    <mergeCell ref="B160:C160"/>
    <mergeCell ref="B149:C149"/>
    <mergeCell ref="B150:C150"/>
    <mergeCell ref="B151:C151"/>
    <mergeCell ref="B152:C152"/>
    <mergeCell ref="B153:C153"/>
    <mergeCell ref="B154:C154"/>
    <mergeCell ref="B167:C167"/>
    <mergeCell ref="B168:C168"/>
    <mergeCell ref="B169:C169"/>
    <mergeCell ref="B170:C170"/>
    <mergeCell ref="B171:C171"/>
    <mergeCell ref="B172:C172"/>
    <mergeCell ref="B161:C161"/>
    <mergeCell ref="B162:C162"/>
    <mergeCell ref="B163:C163"/>
    <mergeCell ref="B164:C164"/>
    <mergeCell ref="B165:C165"/>
    <mergeCell ref="B166:C166"/>
    <mergeCell ref="B179:C179"/>
    <mergeCell ref="B180:C180"/>
    <mergeCell ref="B181:C181"/>
    <mergeCell ref="B182:C182"/>
    <mergeCell ref="B183:C183"/>
    <mergeCell ref="B184:C184"/>
    <mergeCell ref="B173:C173"/>
    <mergeCell ref="B174:C174"/>
    <mergeCell ref="B175:C175"/>
    <mergeCell ref="B176:C176"/>
    <mergeCell ref="B177:C177"/>
    <mergeCell ref="B178:C178"/>
    <mergeCell ref="B191:C191"/>
    <mergeCell ref="B192:C192"/>
    <mergeCell ref="B193:C193"/>
    <mergeCell ref="B194:C194"/>
    <mergeCell ref="B195:C195"/>
    <mergeCell ref="B196:C196"/>
    <mergeCell ref="B185:C185"/>
    <mergeCell ref="B186:C186"/>
    <mergeCell ref="B187:C187"/>
    <mergeCell ref="B188:C188"/>
    <mergeCell ref="B189:C189"/>
    <mergeCell ref="B190:C190"/>
    <mergeCell ref="B203:C203"/>
    <mergeCell ref="B204:C204"/>
    <mergeCell ref="B205:C205"/>
    <mergeCell ref="B206:C206"/>
    <mergeCell ref="B207:C207"/>
    <mergeCell ref="B208:C208"/>
    <mergeCell ref="B197:C197"/>
    <mergeCell ref="B198:C198"/>
    <mergeCell ref="B199:C199"/>
    <mergeCell ref="B200:C200"/>
    <mergeCell ref="B201:C201"/>
    <mergeCell ref="B202:C202"/>
    <mergeCell ref="B215:C215"/>
    <mergeCell ref="B216:C216"/>
    <mergeCell ref="B217:C217"/>
    <mergeCell ref="B218:C218"/>
    <mergeCell ref="B219:C219"/>
    <mergeCell ref="B220:C220"/>
    <mergeCell ref="B209:C209"/>
    <mergeCell ref="B210:C210"/>
    <mergeCell ref="B211:C211"/>
    <mergeCell ref="B212:C212"/>
    <mergeCell ref="B213:C213"/>
    <mergeCell ref="B214:C214"/>
    <mergeCell ref="B227:C227"/>
    <mergeCell ref="B228:C228"/>
    <mergeCell ref="B229:C229"/>
    <mergeCell ref="B230:C230"/>
    <mergeCell ref="B231:C231"/>
    <mergeCell ref="B232:C232"/>
    <mergeCell ref="B221:C221"/>
    <mergeCell ref="B222:C222"/>
    <mergeCell ref="B223:C223"/>
    <mergeCell ref="B224:C224"/>
    <mergeCell ref="B225:C225"/>
    <mergeCell ref="B226:C226"/>
    <mergeCell ref="B239:C239"/>
    <mergeCell ref="B240:C240"/>
    <mergeCell ref="B241:C241"/>
    <mergeCell ref="B242:C242"/>
    <mergeCell ref="B243:C243"/>
    <mergeCell ref="B244:C244"/>
    <mergeCell ref="B233:C233"/>
    <mergeCell ref="B234:C234"/>
    <mergeCell ref="B235:C235"/>
    <mergeCell ref="B236:C236"/>
    <mergeCell ref="B237:C237"/>
    <mergeCell ref="B238:C238"/>
    <mergeCell ref="B251:C251"/>
    <mergeCell ref="B252:C252"/>
    <mergeCell ref="B253:C253"/>
    <mergeCell ref="B254:C254"/>
    <mergeCell ref="B255:C255"/>
    <mergeCell ref="B256:C256"/>
    <mergeCell ref="B245:C245"/>
    <mergeCell ref="B246:C246"/>
    <mergeCell ref="B247:C247"/>
    <mergeCell ref="B248:C248"/>
    <mergeCell ref="B249:C249"/>
    <mergeCell ref="B250:C250"/>
    <mergeCell ref="B263:C263"/>
    <mergeCell ref="B264:C264"/>
    <mergeCell ref="B265:C265"/>
    <mergeCell ref="B266:C266"/>
    <mergeCell ref="B267:C267"/>
    <mergeCell ref="B257:C257"/>
    <mergeCell ref="B258:C258"/>
    <mergeCell ref="B259:C259"/>
    <mergeCell ref="B260:C260"/>
    <mergeCell ref="B261:C261"/>
    <mergeCell ref="B262:C262"/>
  </mergeCells>
  <pageMargins left="0.7" right="0.7" top="0.75" bottom="0.75" header="0.3" footer="0.3"/>
  <pageSetup paperSize="9" scale="6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9" tint="0.39997558519241921"/>
  </sheetPr>
  <dimension ref="A1:AS498"/>
  <sheetViews>
    <sheetView showGridLines="0" view="pageBreakPreview" topLeftCell="A49" zoomScaleSheetLayoutView="100" workbookViewId="0">
      <selection activeCell="AG63" sqref="AG63:AO63"/>
    </sheetView>
  </sheetViews>
  <sheetFormatPr defaultRowHeight="12.75"/>
  <cols>
    <col min="1" max="2" width="3" customWidth="1"/>
    <col min="3" max="3" width="3.28515625" customWidth="1"/>
    <col min="4" max="4" width="0.85546875" customWidth="1"/>
    <col min="5" max="5" width="3.28515625" customWidth="1"/>
    <col min="6" max="6" width="0.5703125" customWidth="1"/>
    <col min="7" max="7" width="3.5703125" customWidth="1"/>
    <col min="8" max="8" width="0.85546875" customWidth="1"/>
    <col min="9" max="39" width="3.7109375" customWidth="1"/>
    <col min="40" max="40" width="3.85546875" customWidth="1"/>
    <col min="41" max="41" width="4.85546875" customWidth="1"/>
    <col min="42" max="42" width="3" customWidth="1"/>
    <col min="43" max="43" width="2.85546875" style="1" customWidth="1"/>
    <col min="44" max="97" width="2.85546875" customWidth="1"/>
    <col min="98" max="191" width="3.85546875" customWidth="1"/>
  </cols>
  <sheetData>
    <row r="1" spans="1:43" ht="12.75" customHeight="1">
      <c r="A1" s="2"/>
      <c r="B1" s="3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166"/>
      <c r="AA1" s="166"/>
      <c r="AB1" s="166"/>
      <c r="AC1" s="166"/>
      <c r="AD1" s="166"/>
      <c r="AE1" s="166"/>
      <c r="AF1" s="166"/>
      <c r="AG1" s="166"/>
      <c r="AH1" s="172"/>
      <c r="AI1" s="201"/>
      <c r="AJ1" s="201"/>
      <c r="AK1" s="201"/>
      <c r="AL1" s="201"/>
      <c r="AP1" s="2"/>
    </row>
    <row r="2" spans="1:43" ht="3" customHeight="1">
      <c r="A2" s="3"/>
      <c r="B2" s="3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1"/>
      <c r="AP2" s="3"/>
    </row>
    <row r="3" spans="1:43" ht="15" customHeight="1">
      <c r="B3" s="2445" t="s">
        <v>758</v>
      </c>
      <c r="C3" s="2445"/>
      <c r="D3" s="407"/>
      <c r="E3" s="2509" t="s">
        <v>1</v>
      </c>
      <c r="F3" s="2509"/>
      <c r="G3" s="2509"/>
      <c r="H3" s="2509"/>
      <c r="I3" s="2509"/>
      <c r="J3" s="2509"/>
      <c r="K3" s="2510"/>
      <c r="L3" s="2511" t="s">
        <v>1023</v>
      </c>
      <c r="M3" s="2512"/>
      <c r="N3" s="2512"/>
      <c r="O3" s="2512"/>
      <c r="P3" s="2512"/>
      <c r="Q3" s="2512"/>
      <c r="R3" s="2512"/>
      <c r="S3" s="2512"/>
      <c r="T3" s="2512"/>
      <c r="U3" s="2512"/>
      <c r="V3" s="2512"/>
      <c r="W3" s="2512"/>
      <c r="X3" s="2512"/>
      <c r="Y3" s="2512"/>
      <c r="Z3" s="2512"/>
      <c r="AA3" s="2512"/>
      <c r="AB3" s="2512"/>
      <c r="AC3" s="2512"/>
      <c r="AD3" s="2513"/>
      <c r="AE3" s="2517" t="s">
        <v>762</v>
      </c>
      <c r="AF3" s="2507">
        <f>'GENERAL INFO'!F37</f>
        <v>0</v>
      </c>
      <c r="AG3" s="2507"/>
      <c r="AH3" s="2507">
        <f>'GENERAL INFO'!G37</f>
        <v>0</v>
      </c>
      <c r="AI3" s="2507"/>
      <c r="AJ3" s="2507">
        <f>'GENERAL INFO'!H37</f>
        <v>0</v>
      </c>
      <c r="AK3" s="2507"/>
      <c r="AL3" s="2507">
        <f>'GENERAL INFO'!I37</f>
        <v>0</v>
      </c>
      <c r="AM3" s="2507"/>
      <c r="AN3" s="3"/>
      <c r="AO3" s="3"/>
      <c r="AP3" s="408"/>
    </row>
    <row r="4" spans="1:43" ht="17.25" customHeight="1" thickBot="1">
      <c r="B4" s="2445"/>
      <c r="C4" s="2445"/>
      <c r="D4" s="409"/>
      <c r="E4" s="2509"/>
      <c r="F4" s="2509"/>
      <c r="G4" s="2509"/>
      <c r="H4" s="2509"/>
      <c r="I4" s="2509"/>
      <c r="J4" s="2509"/>
      <c r="K4" s="2510"/>
      <c r="L4" s="2514"/>
      <c r="M4" s="2515"/>
      <c r="N4" s="2515"/>
      <c r="O4" s="2515"/>
      <c r="P4" s="2515"/>
      <c r="Q4" s="2515"/>
      <c r="R4" s="2515"/>
      <c r="S4" s="2515"/>
      <c r="T4" s="2515"/>
      <c r="U4" s="2515"/>
      <c r="V4" s="2515"/>
      <c r="W4" s="2515"/>
      <c r="X4" s="2515"/>
      <c r="Y4" s="2515"/>
      <c r="Z4" s="2515"/>
      <c r="AA4" s="2515"/>
      <c r="AB4" s="2515"/>
      <c r="AC4" s="2515"/>
      <c r="AD4" s="2516"/>
      <c r="AE4" s="2517"/>
      <c r="AF4" s="2507"/>
      <c r="AG4" s="2507"/>
      <c r="AH4" s="2507"/>
      <c r="AI4" s="2507"/>
      <c r="AJ4" s="2507"/>
      <c r="AK4" s="2507"/>
      <c r="AL4" s="2507"/>
      <c r="AM4" s="2507"/>
      <c r="AN4" s="3"/>
      <c r="AO4" s="3"/>
      <c r="AP4" s="408"/>
    </row>
    <row r="5" spans="1:43" ht="13.5" customHeight="1">
      <c r="A5" s="1"/>
      <c r="B5" s="2445"/>
      <c r="C5" s="2445"/>
      <c r="D5" s="410"/>
      <c r="E5" s="2509"/>
      <c r="F5" s="2509"/>
      <c r="G5" s="2509"/>
      <c r="H5" s="2509"/>
      <c r="I5" s="2509"/>
      <c r="J5" s="2509"/>
      <c r="K5" s="2510"/>
      <c r="L5" s="1232" t="s">
        <v>1024</v>
      </c>
      <c r="M5" s="784"/>
      <c r="N5" s="784"/>
      <c r="O5" s="784"/>
      <c r="P5" s="784"/>
      <c r="Q5" s="784"/>
      <c r="R5" s="784"/>
      <c r="S5" s="784"/>
      <c r="T5" s="784"/>
      <c r="U5" s="784"/>
      <c r="V5" s="784"/>
      <c r="W5" s="784"/>
      <c r="X5" s="784"/>
      <c r="Y5" s="784"/>
      <c r="Z5" s="784"/>
      <c r="AA5" s="784"/>
      <c r="AB5" s="784"/>
      <c r="AC5" s="784"/>
      <c r="AD5" s="784"/>
      <c r="AE5" s="2517"/>
      <c r="AF5" s="2500"/>
      <c r="AG5" s="2500"/>
      <c r="AH5" s="2508"/>
      <c r="AI5" s="2508"/>
      <c r="AJ5" s="411"/>
      <c r="AK5" s="2508"/>
      <c r="AL5" s="2508"/>
      <c r="AM5" s="2508"/>
      <c r="AN5" s="2508"/>
      <c r="AO5" s="3"/>
      <c r="AP5" s="3"/>
    </row>
    <row r="6" spans="1:43" ht="4.5" customHeight="1">
      <c r="B6" s="2445"/>
      <c r="C6" s="2445"/>
      <c r="D6" s="3"/>
      <c r="E6" s="410"/>
      <c r="F6" s="410"/>
      <c r="G6" s="410"/>
      <c r="H6" s="410"/>
      <c r="I6" s="410"/>
      <c r="J6" s="410"/>
      <c r="K6" s="412"/>
      <c r="L6" s="785"/>
      <c r="M6" s="2518"/>
      <c r="N6" s="2519"/>
      <c r="O6" s="2519"/>
      <c r="P6" s="2519"/>
      <c r="Q6" s="2519"/>
      <c r="R6" s="2519"/>
      <c r="S6" s="2519"/>
      <c r="T6" s="2519"/>
      <c r="U6" s="2519"/>
      <c r="V6" s="2519"/>
      <c r="W6" s="2519"/>
      <c r="X6" s="2519"/>
      <c r="Y6" s="2519"/>
      <c r="Z6" s="2519"/>
      <c r="AA6" s="2519"/>
      <c r="AB6" s="2519"/>
      <c r="AC6" s="2519"/>
      <c r="AD6" s="2520"/>
      <c r="AE6" s="2517"/>
      <c r="AF6" s="2498" t="str">
        <f>LEFT(TEXT('GENERAL INFO'!G129,"mm"),1)</f>
        <v>0</v>
      </c>
      <c r="AG6" s="2499" t="str">
        <f>RIGHT(TEXT('GENERAL INFO'!G129,"mm"),1)</f>
        <v>1</v>
      </c>
      <c r="AH6" s="2499" t="str">
        <f>LEFT(TEXT('GENERAL INFO'!G129,"yy"),1)</f>
        <v>0</v>
      </c>
      <c r="AI6" s="2499" t="str">
        <f>RIGHT(TEXT('GENERAL INFO'!G129,"yy"),1)</f>
        <v>0</v>
      </c>
      <c r="AJ6" s="2527" t="s">
        <v>999</v>
      </c>
      <c r="AK6" s="2498" t="str">
        <f>LEFT(TEXT('GENERAL INFO'!J129,"mm"),1)</f>
        <v>0</v>
      </c>
      <c r="AL6" s="2499" t="str">
        <f>RIGHT(TEXT('GENERAL INFO'!J129,"mm"),1)</f>
        <v>1</v>
      </c>
      <c r="AM6" s="2499" t="str">
        <f>LEFT(TEXT('GENERAL INFO'!J129,"yy"),1)</f>
        <v>0</v>
      </c>
      <c r="AN6" s="2499" t="str">
        <f>RIGHT(TEXT('GENERAL INFO'!J129,"yy"),1)</f>
        <v>0</v>
      </c>
      <c r="AO6" s="3"/>
      <c r="AP6" s="3"/>
    </row>
    <row r="7" spans="1:43" ht="18.75" customHeight="1">
      <c r="B7" s="2445"/>
      <c r="C7" s="2445"/>
      <c r="D7" s="3"/>
      <c r="E7" s="410"/>
      <c r="F7" s="410"/>
      <c r="G7" s="410"/>
      <c r="H7" s="410"/>
      <c r="I7" s="410"/>
      <c r="J7" s="410"/>
      <c r="K7" s="412"/>
      <c r="L7" s="15" t="s">
        <v>6</v>
      </c>
      <c r="M7" s="2521" t="s">
        <v>1026</v>
      </c>
      <c r="N7" s="2522"/>
      <c r="O7" s="2522"/>
      <c r="P7" s="2522"/>
      <c r="Q7" s="2522"/>
      <c r="R7" s="2522"/>
      <c r="S7" s="2522"/>
      <c r="T7" s="2522"/>
      <c r="U7" s="2522"/>
      <c r="V7" s="2522"/>
      <c r="W7" s="2522"/>
      <c r="X7" s="2522"/>
      <c r="Y7" s="2522"/>
      <c r="Z7" s="2522"/>
      <c r="AA7" s="2522"/>
      <c r="AB7" s="2522"/>
      <c r="AC7" s="2522"/>
      <c r="AD7" s="2523"/>
      <c r="AE7" s="2517"/>
      <c r="AF7" s="2498"/>
      <c r="AG7" s="2499"/>
      <c r="AH7" s="2499"/>
      <c r="AI7" s="2499"/>
      <c r="AJ7" s="2527"/>
      <c r="AK7" s="2498"/>
      <c r="AL7" s="2499"/>
      <c r="AM7" s="2499"/>
      <c r="AN7" s="2499"/>
      <c r="AO7" s="3"/>
      <c r="AP7" s="3"/>
    </row>
    <row r="8" spans="1:43" ht="12.75" customHeight="1">
      <c r="B8" s="2524" t="s">
        <v>759</v>
      </c>
      <c r="C8" s="2524"/>
      <c r="D8" s="2524"/>
      <c r="E8" s="2524"/>
      <c r="F8" s="2524"/>
      <c r="G8" s="2524"/>
      <c r="H8" s="2524"/>
      <c r="I8" s="2524"/>
      <c r="J8" s="2524"/>
      <c r="K8" s="2525"/>
      <c r="L8" s="15" t="s">
        <v>6</v>
      </c>
      <c r="M8" s="413" t="s">
        <v>1027</v>
      </c>
      <c r="N8" s="1564"/>
      <c r="O8" s="1564"/>
      <c r="P8" s="1564"/>
      <c r="Q8" s="1564"/>
      <c r="R8" s="1564"/>
      <c r="S8" s="1564"/>
      <c r="T8" s="786"/>
      <c r="U8" s="786"/>
      <c r="V8" s="786"/>
      <c r="W8" s="786"/>
      <c r="X8" s="787"/>
      <c r="Y8" s="787"/>
      <c r="Z8" s="786"/>
      <c r="AA8" s="786"/>
      <c r="AB8" s="786"/>
      <c r="AC8" s="786"/>
      <c r="AD8" s="788"/>
      <c r="AE8" s="2517"/>
      <c r="AF8" s="2526" t="s">
        <v>764</v>
      </c>
      <c r="AG8" s="2526"/>
      <c r="AH8" s="2527" t="s">
        <v>763</v>
      </c>
      <c r="AI8" s="2527"/>
      <c r="AJ8" s="415"/>
      <c r="AK8" s="2527" t="s">
        <v>764</v>
      </c>
      <c r="AL8" s="2527"/>
      <c r="AM8" s="2527" t="s">
        <v>763</v>
      </c>
      <c r="AN8" s="2527"/>
      <c r="AO8" s="3"/>
      <c r="AP8" s="3"/>
    </row>
    <row r="9" spans="1:43" ht="12.75" customHeight="1">
      <c r="B9" s="2500" t="s">
        <v>760</v>
      </c>
      <c r="C9" s="2500"/>
      <c r="D9" s="2500"/>
      <c r="E9" s="2500"/>
      <c r="F9" s="2500"/>
      <c r="G9" s="2500"/>
      <c r="H9" s="2500"/>
      <c r="I9" s="2500"/>
      <c r="J9" s="2500"/>
      <c r="K9" s="2501"/>
      <c r="L9" s="15" t="s">
        <v>6</v>
      </c>
      <c r="M9" s="413" t="s">
        <v>822</v>
      </c>
      <c r="N9" s="786"/>
      <c r="O9" s="786"/>
      <c r="P9" s="786"/>
      <c r="Q9" s="786"/>
      <c r="R9" s="786"/>
      <c r="S9" s="786"/>
      <c r="T9" s="786"/>
      <c r="U9" s="786"/>
      <c r="V9" s="786"/>
      <c r="W9" s="786"/>
      <c r="X9" s="787"/>
      <c r="Y9" s="787"/>
      <c r="Z9" s="786"/>
      <c r="AA9" s="786"/>
      <c r="AB9" s="786"/>
      <c r="AC9" s="786"/>
      <c r="AD9" s="788"/>
      <c r="AE9" s="2517"/>
      <c r="AF9" s="792" t="str">
        <f>IF('GENERAL INFO'!B212="x","x","")</f>
        <v/>
      </c>
      <c r="AG9" s="1233" t="s">
        <v>1025</v>
      </c>
      <c r="AH9" s="3"/>
      <c r="AI9" s="3"/>
      <c r="AJ9" s="3"/>
      <c r="AK9" s="792" t="str">
        <f>IF('GENERAL INFO'!B243="x","x","")</f>
        <v/>
      </c>
      <c r="AL9" s="414" t="s">
        <v>1029</v>
      </c>
      <c r="AM9" s="3"/>
      <c r="AN9" s="3"/>
      <c r="AO9" s="1565"/>
      <c r="AP9" s="1565"/>
    </row>
    <row r="10" spans="1:43" ht="12" customHeight="1">
      <c r="B10" s="2506" t="s">
        <v>761</v>
      </c>
      <c r="C10" s="2506"/>
      <c r="D10" s="2506"/>
      <c r="E10" s="2506"/>
      <c r="F10" s="2506"/>
      <c r="G10" s="2506"/>
      <c r="H10" s="2506"/>
      <c r="I10" s="2506"/>
      <c r="J10" s="2506"/>
      <c r="K10" s="2501"/>
      <c r="L10" s="15" t="s">
        <v>6</v>
      </c>
      <c r="M10" s="385" t="s">
        <v>1028</v>
      </c>
      <c r="N10" s="786"/>
      <c r="O10" s="786"/>
      <c r="P10" s="786"/>
      <c r="Q10" s="786"/>
      <c r="R10" s="786"/>
      <c r="S10" s="786"/>
      <c r="T10" s="786"/>
      <c r="U10" s="786"/>
      <c r="V10" s="789"/>
      <c r="W10" s="789"/>
      <c r="X10" s="790"/>
      <c r="Y10" s="790"/>
      <c r="Z10" s="789"/>
      <c r="AA10" s="789"/>
      <c r="AB10" s="789"/>
      <c r="AC10" s="789"/>
      <c r="AD10" s="791"/>
      <c r="AE10" s="2517"/>
      <c r="AF10" s="418"/>
      <c r="AG10" s="106"/>
      <c r="AH10" s="419"/>
      <c r="AI10" s="3"/>
      <c r="AJ10" s="3"/>
      <c r="AK10" s="3"/>
      <c r="AL10" s="3"/>
      <c r="AM10" s="420"/>
      <c r="AN10" s="3"/>
      <c r="AO10" s="3"/>
      <c r="AP10" s="3"/>
    </row>
    <row r="11" spans="1:43" ht="12" customHeight="1">
      <c r="B11" s="3"/>
      <c r="C11" s="3"/>
      <c r="D11" s="3"/>
      <c r="E11" s="408"/>
      <c r="F11" s="408"/>
      <c r="G11" s="408"/>
      <c r="H11" s="408"/>
      <c r="I11" s="1608"/>
      <c r="J11" s="1608"/>
      <c r="K11" s="416"/>
      <c r="L11" s="1608"/>
      <c r="M11" s="385"/>
      <c r="N11" s="1564"/>
      <c r="O11" s="1564"/>
      <c r="P11" s="1564"/>
      <c r="Q11" s="1564"/>
      <c r="R11" s="1564"/>
      <c r="S11" s="1564"/>
      <c r="T11" s="1564"/>
      <c r="U11" s="1564"/>
      <c r="V11" s="45"/>
      <c r="W11" s="45"/>
      <c r="X11" s="417"/>
      <c r="Y11" s="417"/>
      <c r="Z11" s="45"/>
      <c r="AA11" s="45"/>
      <c r="AB11" s="45"/>
      <c r="AC11" s="45"/>
      <c r="AD11" s="421"/>
      <c r="AE11" s="422"/>
      <c r="AF11" s="1617" t="str">
        <f>IF('GENERAL INFO'!T39&gt;0,"x","")</f>
        <v/>
      </c>
      <c r="AG11" s="1618" t="str">
        <f>IF(AF11="x","AMENDED TAX RETURN NO.1","AMENDED TAX RETURN NO.")</f>
        <v>AMENDED TAX RETURN NO.</v>
      </c>
      <c r="AH11" s="419"/>
      <c r="AI11" s="3"/>
      <c r="AJ11" s="3"/>
      <c r="AK11" s="3"/>
      <c r="AL11" s="3"/>
      <c r="AM11" s="420"/>
      <c r="AN11" s="3"/>
      <c r="AO11" s="3"/>
      <c r="AP11" s="3"/>
    </row>
    <row r="12" spans="1:43" ht="3" customHeight="1" thickBot="1">
      <c r="B12" s="3"/>
      <c r="C12" s="3"/>
      <c r="D12" s="3"/>
      <c r="E12" s="408"/>
      <c r="F12" s="408"/>
      <c r="G12" s="408"/>
      <c r="H12" s="408"/>
      <c r="I12" s="1608"/>
      <c r="J12" s="1608"/>
      <c r="K12" s="423"/>
      <c r="L12" s="1608"/>
      <c r="M12" s="385"/>
      <c r="N12" s="1564"/>
      <c r="O12" s="1564"/>
      <c r="P12" s="1564"/>
      <c r="Q12" s="1564"/>
      <c r="R12" s="1564"/>
      <c r="S12" s="1564"/>
      <c r="T12" s="1564"/>
      <c r="U12" s="1564"/>
      <c r="V12" s="45"/>
      <c r="W12" s="45"/>
      <c r="X12" s="417"/>
      <c r="Y12" s="417"/>
      <c r="Z12" s="45"/>
      <c r="AA12" s="45"/>
      <c r="AB12" s="45"/>
      <c r="AC12" s="45"/>
      <c r="AD12" s="424"/>
      <c r="AE12" s="425"/>
      <c r="AF12" s="426"/>
      <c r="AG12" s="427"/>
      <c r="AH12" s="419"/>
      <c r="AI12" s="3"/>
      <c r="AJ12" s="3"/>
      <c r="AK12" s="3"/>
      <c r="AL12" s="3"/>
      <c r="AM12" s="420"/>
      <c r="AN12" s="3"/>
      <c r="AO12" s="3"/>
      <c r="AP12" s="3"/>
    </row>
    <row r="13" spans="1:43" ht="3" customHeight="1">
      <c r="B13" s="428"/>
      <c r="C13" s="429"/>
      <c r="D13" s="429"/>
      <c r="E13" s="430"/>
      <c r="F13" s="430"/>
      <c r="G13" s="430"/>
      <c r="H13" s="430"/>
      <c r="I13" s="23"/>
      <c r="J13" s="23"/>
      <c r="K13" s="431"/>
      <c r="L13" s="23"/>
      <c r="M13" s="24"/>
      <c r="N13" s="432"/>
      <c r="O13" s="432"/>
      <c r="P13" s="432"/>
      <c r="Q13" s="432"/>
      <c r="R13" s="432"/>
      <c r="S13" s="432"/>
      <c r="T13" s="432"/>
      <c r="U13" s="432"/>
      <c r="V13" s="432"/>
      <c r="W13" s="432"/>
      <c r="X13" s="429"/>
      <c r="Y13" s="429"/>
      <c r="Z13" s="432"/>
      <c r="AA13" s="432"/>
      <c r="AB13" s="432"/>
      <c r="AC13" s="432"/>
      <c r="AD13" s="433"/>
      <c r="AE13" s="433"/>
      <c r="AF13" s="434"/>
      <c r="AG13" s="429"/>
      <c r="AH13" s="428"/>
      <c r="AI13" s="429"/>
      <c r="AJ13" s="429"/>
      <c r="AK13" s="429"/>
      <c r="AL13" s="429"/>
      <c r="AM13" s="435"/>
      <c r="AN13" s="429"/>
      <c r="AO13" s="429"/>
      <c r="AP13" s="40"/>
    </row>
    <row r="14" spans="1:43" s="30" customFormat="1" ht="14.25" customHeight="1">
      <c r="A14" s="29"/>
      <c r="B14" s="2502" t="s">
        <v>823</v>
      </c>
      <c r="C14" s="2502"/>
      <c r="D14" s="2502"/>
      <c r="E14" s="2502"/>
      <c r="F14" s="436"/>
      <c r="G14" s="31" t="s">
        <v>6</v>
      </c>
      <c r="H14" s="31"/>
      <c r="I14" s="2503" t="s">
        <v>824</v>
      </c>
      <c r="J14" s="2503"/>
      <c r="K14" s="2503"/>
      <c r="L14" s="2503"/>
      <c r="M14" s="2503"/>
      <c r="N14" s="2503"/>
      <c r="O14" s="2503"/>
      <c r="P14" s="2503"/>
      <c r="Q14" s="2503"/>
      <c r="R14" s="1608" t="s">
        <v>6</v>
      </c>
      <c r="S14" s="91" t="s">
        <v>825</v>
      </c>
      <c r="U14" s="436"/>
      <c r="V14" s="436"/>
      <c r="W14" s="437"/>
      <c r="X14" s="437"/>
      <c r="Y14" s="437"/>
      <c r="Z14" s="437"/>
      <c r="AA14" s="437"/>
      <c r="AB14" s="437"/>
      <c r="AC14" s="1608" t="s">
        <v>6</v>
      </c>
      <c r="AD14" s="2381" t="s">
        <v>1118</v>
      </c>
      <c r="AE14" s="2381"/>
      <c r="AF14" s="2381"/>
      <c r="AG14" s="2504"/>
      <c r="AH14" s="744"/>
      <c r="AI14" s="2505" t="s">
        <v>826</v>
      </c>
      <c r="AJ14" s="2503"/>
      <c r="AK14" s="2503"/>
      <c r="AL14" s="2503"/>
      <c r="AM14" s="2503"/>
      <c r="AN14" s="2503"/>
      <c r="AO14" s="437"/>
      <c r="AP14" s="437"/>
      <c r="AQ14" s="29"/>
    </row>
    <row r="15" spans="1:43" ht="3.75" customHeight="1" thickBot="1">
      <c r="B15" s="1"/>
      <c r="E15" s="1572"/>
      <c r="F15" s="1572"/>
      <c r="G15" s="1572"/>
      <c r="H15" s="1572"/>
      <c r="I15" s="1572"/>
      <c r="J15" s="1572"/>
      <c r="K15" s="1572"/>
      <c r="L15" s="1572"/>
      <c r="M15" s="1572"/>
      <c r="N15" s="35"/>
      <c r="O15" s="1"/>
      <c r="P15" s="1"/>
      <c r="Q15" s="1"/>
      <c r="R15" s="1"/>
      <c r="S15" s="1"/>
      <c r="T15" s="1589"/>
      <c r="U15" s="1589"/>
      <c r="V15" s="1589"/>
      <c r="W15" s="1589"/>
      <c r="X15" s="1589"/>
      <c r="Y15" s="1589"/>
      <c r="Z15" s="1589"/>
      <c r="AA15" s="1589"/>
      <c r="AB15" s="1589"/>
      <c r="AC15" s="1589"/>
      <c r="AD15" s="16"/>
      <c r="AE15" s="16"/>
      <c r="AF15" s="36"/>
      <c r="AG15" s="1"/>
      <c r="AH15" s="17"/>
      <c r="AI15" s="37"/>
      <c r="AJ15" s="10"/>
      <c r="AK15" s="10"/>
      <c r="AL15" s="10"/>
      <c r="AM15" s="10"/>
      <c r="AN15" s="33"/>
      <c r="AO15" s="33"/>
      <c r="AP15" s="33"/>
    </row>
    <row r="16" spans="1:43" ht="3" customHeight="1">
      <c r="B16" s="2481" t="s">
        <v>770</v>
      </c>
      <c r="C16" s="2482"/>
      <c r="D16" s="259"/>
      <c r="E16" s="236"/>
      <c r="F16" s="236"/>
      <c r="G16" s="236"/>
      <c r="H16" s="237"/>
      <c r="I16" s="237"/>
      <c r="J16" s="237"/>
      <c r="K16" s="237"/>
      <c r="L16" s="237"/>
      <c r="M16" s="237"/>
      <c r="N16" s="19"/>
      <c r="O16" s="19"/>
      <c r="P16" s="19"/>
      <c r="Q16" s="19"/>
      <c r="R16" s="19"/>
      <c r="S16" s="19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6"/>
      <c r="AE16" s="26"/>
      <c r="AF16" s="27"/>
      <c r="AG16" s="19"/>
      <c r="AH16" s="18"/>
      <c r="AI16" s="238"/>
      <c r="AJ16" s="28"/>
      <c r="AK16" s="28"/>
      <c r="AL16" s="28"/>
      <c r="AM16" s="28"/>
      <c r="AN16" s="28"/>
      <c r="AO16" s="239"/>
      <c r="AP16" s="10"/>
    </row>
    <row r="17" spans="2:42" ht="5.25" customHeight="1">
      <c r="B17" s="2483"/>
      <c r="C17" s="2484"/>
      <c r="D17" s="38"/>
      <c r="E17" s="39"/>
      <c r="F17" s="39"/>
      <c r="G17" s="39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40"/>
      <c r="V17" s="40"/>
      <c r="W17" s="1"/>
      <c r="X17" s="40"/>
      <c r="Y17" s="40"/>
      <c r="Z17" s="40"/>
      <c r="AA17" s="1"/>
      <c r="AB17" s="40"/>
      <c r="AC17" s="40"/>
      <c r="AD17" s="40"/>
      <c r="AE17" s="40"/>
      <c r="AF17" s="40"/>
      <c r="AG17" s="1"/>
      <c r="AH17" s="40"/>
      <c r="AI17" s="40"/>
      <c r="AJ17" s="40"/>
      <c r="AK17" s="1"/>
      <c r="AL17" s="40"/>
      <c r="AM17" s="40"/>
      <c r="AN17" s="40"/>
      <c r="AO17" s="7"/>
    </row>
    <row r="18" spans="2:42" ht="20.100000000000001" customHeight="1">
      <c r="B18" s="2483"/>
      <c r="C18" s="2484"/>
      <c r="D18" s="38"/>
      <c r="E18" s="206" t="s">
        <v>392</v>
      </c>
      <c r="F18" s="48"/>
      <c r="G18" s="48"/>
      <c r="H18" s="48"/>
      <c r="I18" s="54"/>
      <c r="J18" s="54"/>
      <c r="K18" s="54"/>
      <c r="L18" s="54"/>
      <c r="M18" s="63"/>
      <c r="N18" s="48"/>
      <c r="O18" s="48"/>
      <c r="P18" s="42" t="s">
        <v>13</v>
      </c>
      <c r="Q18" s="1423" t="str">
        <f>LEFT('GENERAL INFO'!G19,1)</f>
        <v/>
      </c>
      <c r="R18" s="1423" t="str">
        <f>MID('GENERAL INFO'!G19,2,1)</f>
        <v/>
      </c>
      <c r="S18" s="1568"/>
      <c r="T18" s="1423" t="str">
        <f>MID('GENERAL INFO'!G19,3,1)</f>
        <v/>
      </c>
      <c r="U18" s="1423" t="str">
        <f>MID('GENERAL INFO'!G19,4,1)</f>
        <v/>
      </c>
      <c r="V18" s="1423" t="str">
        <f>MID('GENERAL INFO'!G19,5,1)</f>
        <v/>
      </c>
      <c r="W18" s="1568"/>
      <c r="X18" s="1423" t="str">
        <f>MID('GENERAL INFO'!G19,6,1)</f>
        <v/>
      </c>
      <c r="Y18" s="1423" t="str">
        <f>MID('GENERAL INFO'!G19,7,1)</f>
        <v/>
      </c>
      <c r="Z18" s="1423" t="str">
        <f>MID('GENERAL INFO'!G19,8,1)</f>
        <v/>
      </c>
      <c r="AA18" s="1568"/>
      <c r="AB18" s="1423" t="str">
        <f>MID('GENERAL INFO'!G19,9,1)</f>
        <v/>
      </c>
      <c r="AC18" s="1568"/>
      <c r="AD18" s="1423" t="str">
        <f>MID('GENERAL INFO'!G19,10,1)</f>
        <v/>
      </c>
      <c r="AE18" s="1423" t="str">
        <f>MID('GENERAL INFO'!G19,11,1)</f>
        <v/>
      </c>
      <c r="AF18" s="1423" t="str">
        <f>MID('GENERAL INFO'!G19,12,1)</f>
        <v/>
      </c>
      <c r="AG18" s="371"/>
      <c r="AH18" s="1423" t="str">
        <f>MID('GENERAL INFO'!G19,13,1)</f>
        <v/>
      </c>
      <c r="AI18" s="1423" t="str">
        <f>MID('GENERAL INFO'!G19,14,1)</f>
        <v/>
      </c>
      <c r="AJ18" s="1423" t="str">
        <f>MID('GENERAL INFO'!G19,15,1)</f>
        <v/>
      </c>
      <c r="AK18" s="371"/>
      <c r="AL18" s="371"/>
      <c r="AM18" s="393"/>
      <c r="AN18" s="1"/>
      <c r="AO18" s="7"/>
    </row>
    <row r="19" spans="2:42" ht="2.25" customHeight="1">
      <c r="B19" s="2483"/>
      <c r="C19" s="2484"/>
      <c r="D19" s="38"/>
      <c r="E19" s="127"/>
      <c r="F19" s="127"/>
      <c r="G19" s="127"/>
      <c r="H19" s="54"/>
      <c r="I19" s="54"/>
      <c r="J19" s="54"/>
      <c r="K19" s="54"/>
      <c r="L19" s="54"/>
      <c r="M19" s="63"/>
      <c r="N19" s="48"/>
      <c r="O19" s="63"/>
      <c r="P19" s="45"/>
      <c r="Q19" s="1568"/>
      <c r="R19" s="1568"/>
      <c r="S19" s="1568"/>
      <c r="T19" s="1568"/>
      <c r="U19" s="1568"/>
      <c r="V19" s="1568"/>
      <c r="W19" s="1568"/>
      <c r="X19" s="1568"/>
      <c r="Y19" s="1568"/>
      <c r="Z19" s="1568"/>
      <c r="AA19" s="1568"/>
      <c r="AB19" s="1568"/>
      <c r="AC19" s="1568"/>
      <c r="AD19" s="1568"/>
      <c r="AE19" s="1568"/>
      <c r="AF19" s="1568"/>
      <c r="AG19" s="1568"/>
      <c r="AH19" s="1568"/>
      <c r="AI19" s="1568"/>
      <c r="AJ19" s="1568"/>
      <c r="AK19" s="393"/>
      <c r="AL19" s="393"/>
      <c r="AM19" s="393"/>
      <c r="AN19" s="40"/>
      <c r="AO19" s="7"/>
    </row>
    <row r="20" spans="2:42" ht="20.100000000000001" customHeight="1">
      <c r="B20" s="2483"/>
      <c r="C20" s="2484"/>
      <c r="D20" s="38"/>
      <c r="E20" s="206" t="s">
        <v>765</v>
      </c>
      <c r="F20" s="48"/>
      <c r="G20" s="48"/>
      <c r="H20" s="48"/>
      <c r="I20" s="54"/>
      <c r="J20" s="54"/>
      <c r="K20" s="54"/>
      <c r="L20" s="54"/>
      <c r="M20" s="63"/>
      <c r="N20" s="48"/>
      <c r="O20" s="48"/>
      <c r="P20" s="45" t="s">
        <v>13</v>
      </c>
      <c r="Q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",name01,1)),1)),1)))&gt;23,UPPER(LEFT(LEFT(name01,FIND("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",name01,1)),1)),1)),1)+1),1)),UPPER(LEFT(LEFT(name01,FIND("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",name01,1)),1)),1)),1))),UPPER(LEFT(LEFT(name01,FIND("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",name01,1)),1)),1))),UPPER(LEFT(name01,1)))</f>
        <v/>
      </c>
      <c r="R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",name01,1)),1)),1)),1)+1),2,1)),UPPER(MID(LEFT(name01,FIND("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",name01,1)),1)),1)),2,1))),UPPER(MID(LEFT(name01,FIND("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",name01,1)),1)),2,1))),UPPER(MID(name01,2,1)))</f>
        <v/>
      </c>
      <c r="S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",name01,1)),1)),1)),1)+1),3,1)),UPPER(MID(LEFT(name01,FIND("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",name01,1)),1)),1)),3,1))),UPPER(MID(LEFT(name01,FIND("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",name01,1)),1)),3,1))),UPPER(MID(name01,3,1)))</f>
        <v/>
      </c>
      <c r="T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",name01,1)),1)),1)),1)+1),4,1)),UPPER(MID(LEFT(name01,FIND("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",name01,1)),1)),1)),4,1))),UPPER(MID(LEFT(name01,FIND("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",name01,1)),1)),4,1))),UPPER(MID(name01,4,1)))</f>
        <v/>
      </c>
      <c r="U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",name01,1)),1)),1)),1)+1),5,1)),UPPER(MID(LEFT(name01,FIND("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",name01,1)),1)),1)),5,1))),UPPER(MID(LEFT(name01,FIND("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",name01,1)),1)),5,1))),UPPER(MID(name01,5,1)))</f>
        <v/>
      </c>
      <c r="V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",name01,1)),1)),1)),1)+1),6,1)),UPPER(MID(LEFT(name01,FIND("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",name01,1)),1)),1)),6,1))),UPPER(MID(LEFT(name01,FIND("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",name01,1)),1)),6,1))),UPPER(MID(name01,6,1)))</f>
        <v/>
      </c>
      <c r="W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",name01,1)),1)),1)),1)+1),7,1)),UPPER(MID(LEFT(name01,FIND("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",name01,1)),1)),1)),7,1))),UPPER(MID(LEFT(name01,FIND("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",name01,1)),1)),7,1))),UPPER(MID(name01,7,1)))</f>
        <v/>
      </c>
      <c r="X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",name01,1)),1)),1)),1)+1),8,1)),UPPER(MID(LEFT(name01,FIND("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",name01,1)),1)),1)),8,1))),UPPER(MID(LEFT(name01,FIND("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",name01,1)),1)),8,1))),UPPER(MID(name01,8,1)))</f>
        <v/>
      </c>
      <c r="Y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",name01,1)),1)),1)),1)+1),9,1)),UPPER(MID(LEFT(name01,FIND("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",name01,1)),1)),1)),9,1))),UPPER(MID(LEFT(name01,FIND("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",name01,1)),1)),9,1))),UPPER(MID(name01,9,1)))</f>
        <v/>
      </c>
      <c r="Z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",name01,1)),1)),1)),1)+1),10,1)),UPPER(MID(LEFT(name01,FIND("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",name01,1)),1)),1)),10,1))),UPPER(MID(LEFT(name01,FIND("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",name01,1)),1)),10,1))),UPPER(MID(name01,10,1)))</f>
        <v/>
      </c>
      <c r="AA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",name01,1)),1)),1)),1)+1),11,1)),UPPER(MID(LEFT(name01,FIND("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",name01,1)),1)),1)),11,1))),UPPER(MID(LEFT(name01,FIND("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",name01,1)),1)),11,1))),UPPER(MID(name01,11,1)))</f>
        <v/>
      </c>
      <c r="AB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",name01,1)),1)),1)),1)+1),12,1)),UPPER(MID(LEFT(name01,FIND("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",name01,1)),1)),1)),12,1))),UPPER(MID(LEFT(name01,FIND("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",name01,1)),1)),12,1))),UPPER(MID(name01,12,1)))</f>
        <v/>
      </c>
      <c r="AC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",name01,1)),1)),1)),1)+1),13,1)),UPPER(MID(LEFT(name01,FIND("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",name01,1)),1)),1)),13,1))),UPPER(MID(LEFT(name01,FIND("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",name01,1)),1)),13,1))),UPPER(MID(name01,13,1)))</f>
        <v/>
      </c>
      <c r="AD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",name01,1)),1)),1)),1)+1),14,1)),UPPER(MID(LEFT(name01,FIND("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",name01,1)),1)),1)),14,1))),UPPER(MID(LEFT(name01,FIND("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",name01,1)),1)),14,1))),UPPER(MID(name01,14,1)))</f>
        <v/>
      </c>
      <c r="AE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",name01,1)),1)),1)),1)+1),15,1)),UPPER(MID(LEFT(name01,FIND("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",name01,1)),1)),1)),15,1))),UPPER(MID(LEFT(name01,FIND("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",name01,1)),1)),15,1))),UPPER(MID(name01,15,1)))</f>
        <v/>
      </c>
      <c r="AF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",name01,1)),1)),1)),1)+1),16,1)),UPPER(MID(LEFT(name01,FIND("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",name01,1)),1)),1)),16,1))),UPPER(MID(LEFT(name01,FIND("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",name01,1)),1)),16,1))),UPPER(MID(name01,16,1)))</f>
        <v/>
      </c>
      <c r="AG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",name01,1)),1)),1)),1)+1),17,1)),UPPER(MID(LEFT(name01,FIND("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",name01,1)),1)),1)),17,1))),UPPER(MID(LEFT(name01,FIND("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",name01,1)),1)),17,1))),UPPER(MID(name01,17,1)))</f>
        <v/>
      </c>
      <c r="AH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",name01,1)),1)),1)),1)+1),18,1)),UPPER(MID(LEFT(name01,FIND("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",name01,1)),1)),1)),18,1))),UPPER(MID(LEFT(name01,FIND("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",name01,1)),1)),18,1))),UPPER(MID(name01,18,1)))</f>
        <v/>
      </c>
      <c r="AI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",name01,1)),1)),1)),1)+1),19,1)),UPPER(MID(LEFT(name01,FIND("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",name01,1)),1)),1)),19,1))),UPPER(MID(LEFT(name01,FIND("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",name01,1)),1)),19,1))),UPPER(MID(name01,19,1)))</f>
        <v/>
      </c>
      <c r="AJ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",name01,1)),1)),1)),1)+1),20,1)),UPPER(MID(LEFT(name01,FIND("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",name01,1)),1)),1)),20,1))),UPPER(MID(LEFT(name01,FIND("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",name01,1)),1)),20,1))),UPPER(MID(name01,20,1)))</f>
        <v/>
      </c>
      <c r="AK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",name01,1)),1)),1)),1)+1),21,1)),UPPER(MID(LEFT(name01,FIND("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",name01,1)),1)),1)),21,1))),UPPER(MID(LEFT(name01,FIND("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",name01,1)),1)),21,1))),UPPER(MID(name01,21,1)))</f>
        <v/>
      </c>
      <c r="AL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",name01,1)),1)),1)),1)+1),22,1)),UPPER(MID(LEFT(name01,FIND("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",name01,1)),1)),1)),22,1))),UPPER(MID(LEFT(name01,FIND("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",name01,1)),1)),22,1))),UPPER(MID(name01,22,1)))</f>
        <v/>
      </c>
      <c r="AM20" s="1423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",name01,1)),1)),1)),1)+1),23,1)),UPPER(MID(LEFT(name01,FIND("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",name01,1)),1)),1)),23,1))),UPPER(MID(LEFT(name01,FIND("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",name01,1)),1)),23,1))),UPPER(MID(name01,23,1)))</f>
        <v/>
      </c>
      <c r="AN20" s="43"/>
      <c r="AO20" s="240"/>
    </row>
    <row r="21" spans="2:42" ht="2.25" customHeight="1">
      <c r="B21" s="2483"/>
      <c r="C21" s="2484"/>
      <c r="D21" s="38"/>
      <c r="E21" s="127"/>
      <c r="F21" s="127"/>
      <c r="G21" s="127"/>
      <c r="H21" s="54"/>
      <c r="I21" s="54"/>
      <c r="J21" s="54"/>
      <c r="K21" s="54"/>
      <c r="L21" s="54"/>
      <c r="M21" s="63"/>
      <c r="N21" s="48"/>
      <c r="O21" s="63"/>
      <c r="P21" s="1597"/>
      <c r="Q21" s="119"/>
      <c r="R21" s="119"/>
      <c r="S21" s="119"/>
      <c r="T21" s="46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43"/>
      <c r="AO21" s="240"/>
    </row>
    <row r="22" spans="2:42" ht="21" customHeight="1">
      <c r="B22" s="2483"/>
      <c r="C22" s="2484"/>
      <c r="D22" s="38"/>
      <c r="E22" s="2461" t="s">
        <v>1030</v>
      </c>
      <c r="F22" s="2461"/>
      <c r="G22" s="2461"/>
      <c r="H22" s="2461"/>
      <c r="I22" s="2461"/>
      <c r="J22" s="2461"/>
      <c r="K22" s="2461"/>
      <c r="L22" s="2461"/>
      <c r="M22" s="2461"/>
      <c r="N22" s="2461"/>
      <c r="O22" s="2461"/>
      <c r="P22" s="42" t="s">
        <v>13</v>
      </c>
      <c r="Q22" s="1699" t="str">
        <f>UPPER('GENERAL INFO'!G23)</f>
        <v/>
      </c>
      <c r="R22" s="1700"/>
      <c r="S22" s="1700"/>
      <c r="T22" s="1700"/>
      <c r="U22" s="1700"/>
      <c r="V22" s="1700"/>
      <c r="W22" s="1700"/>
      <c r="X22" s="1700"/>
      <c r="Y22" s="1700"/>
      <c r="Z22" s="1700"/>
      <c r="AA22" s="1700"/>
      <c r="AB22" s="1700"/>
      <c r="AC22" s="1700"/>
      <c r="AD22" s="1700"/>
      <c r="AE22" s="1700"/>
      <c r="AF22" s="2487" t="s">
        <v>778</v>
      </c>
      <c r="AG22" s="2487"/>
      <c r="AH22" s="1701"/>
      <c r="AI22" s="1701"/>
      <c r="AJ22" s="1701"/>
      <c r="AK22" s="1701"/>
      <c r="AL22" s="1701"/>
      <c r="AM22" s="1701"/>
      <c r="AN22" s="43"/>
      <c r="AO22" s="240"/>
    </row>
    <row r="23" spans="2:42" ht="2.25" customHeight="1">
      <c r="B23" s="2483"/>
      <c r="C23" s="2484"/>
      <c r="D23" s="38"/>
      <c r="E23" s="127"/>
      <c r="F23" s="127"/>
      <c r="G23" s="127"/>
      <c r="H23" s="54"/>
      <c r="I23" s="54"/>
      <c r="J23" s="54"/>
      <c r="K23" s="54"/>
      <c r="L23" s="54"/>
      <c r="M23" s="63"/>
      <c r="N23" s="48"/>
      <c r="O23" s="63"/>
      <c r="P23" s="42"/>
      <c r="Q23" s="1568"/>
      <c r="R23" s="1568"/>
      <c r="S23" s="1568"/>
      <c r="T23" s="1568"/>
      <c r="U23" s="1568"/>
      <c r="V23" s="1568"/>
      <c r="W23" s="1568"/>
      <c r="X23" s="1568"/>
      <c r="Y23" s="1568"/>
      <c r="Z23" s="1568"/>
      <c r="AA23" s="1568"/>
      <c r="AB23" s="1568"/>
      <c r="AC23" s="1568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43"/>
      <c r="AO23" s="240"/>
    </row>
    <row r="24" spans="2:42" ht="20.100000000000001" customHeight="1">
      <c r="B24" s="2483"/>
      <c r="C24" s="2484"/>
      <c r="D24" s="38"/>
      <c r="E24" s="48" t="s">
        <v>1031</v>
      </c>
      <c r="F24" s="48"/>
      <c r="G24" s="48"/>
      <c r="H24" s="54"/>
      <c r="I24" s="48"/>
      <c r="J24" s="48"/>
      <c r="K24" s="54"/>
      <c r="L24" s="54"/>
      <c r="M24" s="63"/>
      <c r="N24" s="48"/>
      <c r="O24" s="48"/>
      <c r="P24" s="42" t="s">
        <v>13</v>
      </c>
      <c r="Q24" s="1423" t="str">
        <f>LEFT('GENERAL INFO'!G25,1)</f>
        <v/>
      </c>
      <c r="R24" s="1423" t="str">
        <f>MID('GENERAL INFO'!G25,2,1)</f>
        <v/>
      </c>
      <c r="S24" s="1423" t="str">
        <f>MID('GENERAL INFO'!G25,3,1)</f>
        <v/>
      </c>
      <c r="T24" s="1423" t="str">
        <f>MID('GENERAL INFO'!G25,4,1)</f>
        <v/>
      </c>
      <c r="U24" s="1423" t="str">
        <f>IF(AND('GENERAL INFO'!G25="",'GENERAL INFO'!L25=""),"","-")</f>
        <v/>
      </c>
      <c r="V24" s="1423" t="str">
        <f>LEFT('GENERAL INFO'!L25,1)</f>
        <v/>
      </c>
      <c r="W24" s="1423" t="str">
        <f>MID('GENERAL INFO'!L25,2,1)</f>
        <v/>
      </c>
      <c r="X24" s="1423" t="str">
        <f>MID('GENERAL INFO'!L25,3,1)</f>
        <v/>
      </c>
      <c r="Y24" s="1423" t="str">
        <f>MID('GENERAL INFO'!L25,4,1)</f>
        <v/>
      </c>
      <c r="Z24" s="1423" t="str">
        <f>MID('GENERAL INFO'!L25,5,1)</f>
        <v/>
      </c>
      <c r="AA24" s="1423" t="str">
        <f>MID('GENERAL INFO'!L25,6,1)</f>
        <v/>
      </c>
      <c r="AB24" s="1423" t="str">
        <f>MID('GENERAL INFO'!L25,7,1)</f>
        <v/>
      </c>
      <c r="AC24" s="1423" t="str">
        <f>MID('GENERAL INFO'!L25,8,1)</f>
        <v/>
      </c>
      <c r="AD24" s="401" t="s">
        <v>16</v>
      </c>
      <c r="AE24" s="1702" t="str">
        <f>LEFT('GENERAL INFO'!G27,1)</f>
        <v/>
      </c>
      <c r="AF24" s="1702" t="str">
        <f>MID('GENERAL INFO'!G27,2,1)</f>
        <v/>
      </c>
      <c r="AG24" s="1423" t="str">
        <f>MID('GENERAL INFO'!G27,3,1)</f>
        <v/>
      </c>
      <c r="AH24" s="1423" t="str">
        <f>MID('GENERAL INFO'!G27,4,1)</f>
        <v/>
      </c>
      <c r="AI24" s="1423" t="str">
        <f>MID('GENERAL INFO'!G27,5,1)</f>
        <v/>
      </c>
      <c r="AJ24" s="1423" t="str">
        <f>MID('GENERAL INFO'!G27,6,1)</f>
        <v/>
      </c>
      <c r="AK24" s="1423" t="str">
        <f>MID('GENERAL INFO'!G27,7,1)</f>
        <v/>
      </c>
      <c r="AL24" s="1423" t="str">
        <f>MID('GENERAL INFO'!G27,8,1)</f>
        <v/>
      </c>
      <c r="AM24" s="1423" t="str">
        <f>MID('GENERAL INFO'!G27,9,1)</f>
        <v/>
      </c>
      <c r="AN24" s="43"/>
      <c r="AO24" s="240"/>
    </row>
    <row r="25" spans="2:42" ht="5.25" customHeight="1">
      <c r="B25" s="2483"/>
      <c r="C25" s="2484"/>
      <c r="D25" s="38"/>
      <c r="E25" s="210"/>
      <c r="F25" s="48"/>
      <c r="G25" s="48"/>
      <c r="H25" s="54"/>
      <c r="I25" s="48"/>
      <c r="J25" s="48"/>
      <c r="K25" s="54"/>
      <c r="L25" s="54"/>
      <c r="M25" s="63"/>
      <c r="N25" s="48"/>
      <c r="O25" s="48"/>
      <c r="P25" s="42"/>
      <c r="Q25" s="1689"/>
      <c r="R25" s="1689"/>
      <c r="S25" s="1689"/>
      <c r="T25" s="1689"/>
      <c r="U25" s="1689"/>
      <c r="V25" s="1689"/>
      <c r="W25" s="1689"/>
      <c r="X25" s="1689"/>
      <c r="Y25" s="1689"/>
      <c r="Z25" s="1689"/>
      <c r="AA25" s="1689"/>
      <c r="AB25" s="1689"/>
      <c r="AC25" s="1568"/>
      <c r="AD25" s="401"/>
      <c r="AE25" s="403"/>
      <c r="AF25" s="404"/>
      <c r="AG25" s="119"/>
      <c r="AH25" s="119"/>
      <c r="AI25" s="119"/>
      <c r="AJ25" s="119"/>
      <c r="AK25" s="119"/>
      <c r="AL25" s="119"/>
      <c r="AM25" s="119"/>
      <c r="AN25" s="43"/>
      <c r="AO25" s="240"/>
    </row>
    <row r="26" spans="2:42" ht="19.5" customHeight="1">
      <c r="B26" s="2483"/>
      <c r="C26" s="2484"/>
      <c r="D26" s="438"/>
      <c r="E26" s="2488" t="s">
        <v>766</v>
      </c>
      <c r="F26" s="2461"/>
      <c r="G26" s="2461"/>
      <c r="H26" s="2461"/>
      <c r="I26" s="2461"/>
      <c r="J26" s="2461"/>
      <c r="K26" s="2461"/>
      <c r="L26" s="2461"/>
      <c r="M26" s="2461"/>
      <c r="N26" s="2461"/>
      <c r="O26" s="2461"/>
      <c r="P26" s="45" t="s">
        <v>13</v>
      </c>
      <c r="Q26" s="1625">
        <f>'GENERAL INFO'!G29</f>
        <v>0</v>
      </c>
      <c r="R26" s="439" t="s">
        <v>818</v>
      </c>
      <c r="S26" s="439"/>
      <c r="T26" s="1625">
        <f>'GENERAL INFO'!G31</f>
        <v>0</v>
      </c>
      <c r="U26" s="439" t="s">
        <v>819</v>
      </c>
      <c r="V26" s="439"/>
      <c r="W26" s="1625">
        <f>'GENERAL INFO'!N29</f>
        <v>0</v>
      </c>
      <c r="X26" s="439" t="s">
        <v>820</v>
      </c>
      <c r="Y26" s="439"/>
      <c r="Z26" s="1625">
        <f>'GENERAL INFO'!N31</f>
        <v>0</v>
      </c>
      <c r="AA26" s="440" t="s">
        <v>821</v>
      </c>
      <c r="AB26" s="440"/>
      <c r="AC26" s="440"/>
      <c r="AD26" s="106"/>
      <c r="AE26" s="106"/>
      <c r="AF26" s="441"/>
      <c r="AG26" s="106"/>
      <c r="AH26" s="106"/>
      <c r="AI26" s="106"/>
      <c r="AJ26" s="106"/>
      <c r="AK26" s="106"/>
      <c r="AL26" s="106"/>
      <c r="AM26" s="106"/>
      <c r="AN26" s="106"/>
      <c r="AO26" s="412"/>
      <c r="AP26" s="1"/>
    </row>
    <row r="27" spans="2:42" ht="5.25" customHeight="1">
      <c r="B27" s="2483"/>
      <c r="C27" s="2484"/>
      <c r="D27" s="438"/>
      <c r="E27" s="2461"/>
      <c r="F27" s="2461"/>
      <c r="G27" s="2461"/>
      <c r="H27" s="2461"/>
      <c r="I27" s="2461"/>
      <c r="J27" s="2461"/>
      <c r="K27" s="2461"/>
      <c r="L27" s="2461"/>
      <c r="M27" s="2461"/>
      <c r="N27" s="2461"/>
      <c r="O27" s="2461"/>
      <c r="P27" s="45"/>
      <c r="Q27" s="439"/>
      <c r="R27" s="439"/>
      <c r="S27" s="439"/>
      <c r="T27" s="439"/>
      <c r="U27" s="439"/>
      <c r="V27" s="442"/>
      <c r="W27" s="439"/>
      <c r="X27" s="439"/>
      <c r="Y27" s="439"/>
      <c r="Z27" s="439"/>
      <c r="AA27" s="439"/>
      <c r="AB27" s="439"/>
      <c r="AC27" s="439"/>
      <c r="AD27" s="106"/>
      <c r="AE27" s="106"/>
      <c r="AF27" s="441"/>
      <c r="AG27" s="106"/>
      <c r="AH27" s="106"/>
      <c r="AI27" s="106"/>
      <c r="AJ27" s="106"/>
      <c r="AK27" s="106"/>
      <c r="AL27" s="106"/>
      <c r="AM27" s="106"/>
      <c r="AN27" s="106"/>
      <c r="AO27" s="412"/>
      <c r="AP27" s="1"/>
    </row>
    <row r="28" spans="2:42" ht="0.75" customHeight="1">
      <c r="B28" s="2483"/>
      <c r="C28" s="2484"/>
      <c r="D28" s="438"/>
      <c r="E28" s="443"/>
      <c r="F28" s="443"/>
      <c r="G28" s="439"/>
      <c r="H28" s="439"/>
      <c r="I28" s="439"/>
      <c r="J28" s="439"/>
      <c r="K28" s="170"/>
      <c r="L28" s="170"/>
      <c r="M28" s="444"/>
      <c r="N28" s="439"/>
      <c r="O28" s="444"/>
      <c r="P28" s="445"/>
      <c r="Q28" s="106"/>
      <c r="R28" s="106"/>
      <c r="S28" s="106"/>
      <c r="T28" s="446"/>
      <c r="U28" s="106"/>
      <c r="V28" s="106"/>
      <c r="W28" s="106"/>
      <c r="X28" s="106"/>
      <c r="Y28" s="106"/>
      <c r="Z28" s="106"/>
      <c r="AA28" s="106"/>
      <c r="AB28" s="106"/>
      <c r="AC28" s="106"/>
      <c r="AD28" s="439"/>
      <c r="AE28" s="439"/>
      <c r="AF28" s="106"/>
      <c r="AG28" s="106"/>
      <c r="AH28" s="106"/>
      <c r="AI28" s="106"/>
      <c r="AJ28" s="106"/>
      <c r="AK28" s="106"/>
      <c r="AL28" s="106"/>
      <c r="AM28" s="106"/>
      <c r="AN28" s="106"/>
      <c r="AO28" s="412"/>
    </row>
    <row r="29" spans="2:42" ht="20.100000000000001" customHeight="1">
      <c r="B29" s="2483"/>
      <c r="C29" s="2484"/>
      <c r="D29" s="438"/>
      <c r="E29" s="458" t="s">
        <v>767</v>
      </c>
      <c r="F29" s="439"/>
      <c r="G29" s="439"/>
      <c r="H29" s="439"/>
      <c r="I29" s="170"/>
      <c r="J29" s="170"/>
      <c r="K29" s="170"/>
      <c r="L29" s="170"/>
      <c r="M29" s="444"/>
      <c r="N29" s="439"/>
      <c r="O29" s="439"/>
      <c r="P29" s="45" t="s">
        <v>13</v>
      </c>
      <c r="Q29" s="1698" t="str">
        <f>IF(OR(T26="x",W26="x",Z26="x"),LEFT('GENERAL INFO'!G33,1),"")</f>
        <v/>
      </c>
      <c r="R29" s="1698" t="str">
        <f>IF(OR(T26="x",W26="x",Z26="x"),MID('GENERAL INFO'!G33,2,1),"")</f>
        <v/>
      </c>
      <c r="S29" s="393"/>
      <c r="T29" s="1698" t="str">
        <f>IF(OR(T26="x",W26="x",Z26="x"),MID('GENERAL INFO'!G33,3,1),"")</f>
        <v/>
      </c>
      <c r="U29" s="1698" t="str">
        <f>IF(OR(T26="x",W26="x",Z26="x"),MID('GENERAL INFO'!G33,4,1),"")</f>
        <v/>
      </c>
      <c r="V29" s="1698" t="str">
        <f>IF(OR(T26="x",W26="x",Z26="x"),MID('GENERAL INFO'!G33,5,1),"")</f>
        <v/>
      </c>
      <c r="W29" s="393"/>
      <c r="X29" s="1698" t="str">
        <f>IF(OR(T26="x",W26="x",Z26="x"),MID('GENERAL INFO'!G33,6,1),"")</f>
        <v/>
      </c>
      <c r="Y29" s="1698" t="str">
        <f>IF(OR(T26="x",W26="x",Z26="x"),MID('GENERAL INFO'!G33,7,1),"")</f>
        <v/>
      </c>
      <c r="Z29" s="1698" t="str">
        <f>IF(OR(T26="x",W26="x",Z26="x"),MID('GENERAL INFO'!G33,8,1),"")</f>
        <v/>
      </c>
      <c r="AA29" s="393"/>
      <c r="AB29" s="1698" t="str">
        <f>IF(OR(T26="x",W26="x",Z26="x"),MID('GENERAL INFO'!G33,9,1),"")</f>
        <v/>
      </c>
      <c r="AC29" s="393"/>
      <c r="AD29" s="1698" t="str">
        <f>IF(OR(T26="x",W26="x",Z26="x"),MID('GENERAL INFO'!G33,10,1),"")</f>
        <v/>
      </c>
      <c r="AE29" s="1698" t="str">
        <f>IF(OR(T26="x",W26="x",Z26="x"),MID('GENERAL INFO'!G33,11,1),"")</f>
        <v/>
      </c>
      <c r="AF29" s="1698" t="str">
        <f>IF(OR(T26="x",W26="x",Z26="x"),MID('GENERAL INFO'!G33,12,1),"")</f>
        <v/>
      </c>
      <c r="AG29" s="393"/>
      <c r="AH29" s="1698" t="str">
        <f>IF(OR(T26="x",W26="x",Z26="x"),MID('GENERAL INFO'!G33,13,1),"")</f>
        <v/>
      </c>
      <c r="AI29" s="1698" t="str">
        <f>IF(OR(T26="x",W26="x",Z26="x"),MID('GENERAL INFO'!G33,14,1),"")</f>
        <v/>
      </c>
      <c r="AJ29" s="1698" t="str">
        <f>IF(OR(T26="x",W26="x",Z26="x"),MID('GENERAL INFO'!G33,15,1),"")</f>
        <v/>
      </c>
      <c r="AK29" s="393"/>
      <c r="AL29" s="393"/>
      <c r="AM29" s="393"/>
      <c r="AN29" s="106"/>
      <c r="AO29" s="412"/>
      <c r="AP29" s="613"/>
    </row>
    <row r="30" spans="2:42" ht="4.5" customHeight="1" thickBot="1">
      <c r="B30" s="2483"/>
      <c r="C30" s="2484"/>
      <c r="D30" s="447"/>
      <c r="E30" s="448"/>
      <c r="F30" s="448"/>
      <c r="G30" s="448"/>
      <c r="H30" s="449"/>
      <c r="I30" s="449"/>
      <c r="J30" s="449"/>
      <c r="K30" s="449"/>
      <c r="L30" s="449"/>
      <c r="M30" s="450"/>
      <c r="N30" s="451"/>
      <c r="O30" s="450"/>
      <c r="P30" s="452"/>
      <c r="Q30" s="453"/>
      <c r="R30" s="453"/>
      <c r="S30" s="453"/>
      <c r="T30" s="453"/>
      <c r="U30" s="453"/>
      <c r="V30" s="453"/>
      <c r="W30" s="453"/>
      <c r="X30" s="453"/>
      <c r="Y30" s="453"/>
      <c r="Z30" s="453"/>
      <c r="AA30" s="453"/>
      <c r="AB30" s="453"/>
      <c r="AC30" s="453"/>
      <c r="AD30" s="453"/>
      <c r="AE30" s="453"/>
      <c r="AF30" s="453"/>
      <c r="AG30" s="453"/>
      <c r="AH30" s="453"/>
      <c r="AI30" s="453"/>
      <c r="AJ30" s="453"/>
      <c r="AK30" s="453"/>
      <c r="AL30" s="453"/>
      <c r="AM30" s="453"/>
      <c r="AN30" s="427"/>
      <c r="AO30" s="454"/>
    </row>
    <row r="31" spans="2:42" ht="24.75" customHeight="1">
      <c r="B31" s="2483"/>
      <c r="C31" s="2484"/>
      <c r="D31" s="2489" t="s">
        <v>768</v>
      </c>
      <c r="E31" s="2490"/>
      <c r="F31" s="2490"/>
      <c r="G31" s="2490"/>
      <c r="H31" s="2490"/>
      <c r="I31" s="2490"/>
      <c r="J31" s="2490"/>
      <c r="K31" s="2490"/>
      <c r="L31" s="2490"/>
      <c r="M31" s="2490"/>
      <c r="N31" s="2490"/>
      <c r="O31" s="2490"/>
      <c r="P31" s="2490"/>
      <c r="Q31" s="2490"/>
      <c r="R31" s="2490"/>
      <c r="S31" s="2490"/>
      <c r="T31" s="2490"/>
      <c r="U31" s="2490"/>
      <c r="V31" s="2490"/>
      <c r="W31" s="2490"/>
      <c r="X31" s="2490"/>
      <c r="Y31" s="2490"/>
      <c r="Z31" s="2490"/>
      <c r="AA31" s="2490"/>
      <c r="AB31" s="2490"/>
      <c r="AC31" s="2490"/>
      <c r="AD31" s="2490"/>
      <c r="AE31" s="2490"/>
      <c r="AF31" s="2490"/>
      <c r="AG31" s="2490"/>
      <c r="AH31" s="2490"/>
      <c r="AI31" s="2490"/>
      <c r="AJ31" s="2490"/>
      <c r="AK31" s="2490"/>
      <c r="AL31" s="2490"/>
      <c r="AM31" s="2490"/>
      <c r="AN31" s="2490"/>
      <c r="AO31" s="2491"/>
      <c r="AP31" s="1"/>
    </row>
    <row r="32" spans="2:42" ht="2.25" customHeight="1">
      <c r="B32" s="2483"/>
      <c r="C32" s="2484"/>
      <c r="D32" s="2492"/>
      <c r="E32" s="2493"/>
      <c r="F32" s="2493"/>
      <c r="G32" s="2493"/>
      <c r="H32" s="2493"/>
      <c r="I32" s="2493"/>
      <c r="J32" s="2493"/>
      <c r="K32" s="2493"/>
      <c r="L32" s="2493"/>
      <c r="M32" s="2493"/>
      <c r="N32" s="2493"/>
      <c r="O32" s="2493"/>
      <c r="P32" s="2493"/>
      <c r="Q32" s="2493"/>
      <c r="R32" s="2493"/>
      <c r="S32" s="2493"/>
      <c r="T32" s="2493"/>
      <c r="U32" s="2493"/>
      <c r="V32" s="2493"/>
      <c r="W32" s="2493"/>
      <c r="X32" s="2493"/>
      <c r="Y32" s="2493"/>
      <c r="Z32" s="2493"/>
      <c r="AA32" s="2493"/>
      <c r="AB32" s="2493"/>
      <c r="AC32" s="2493"/>
      <c r="AD32" s="2493"/>
      <c r="AE32" s="2493"/>
      <c r="AF32" s="2493"/>
      <c r="AG32" s="2493"/>
      <c r="AH32" s="2493"/>
      <c r="AI32" s="2493"/>
      <c r="AJ32" s="2493"/>
      <c r="AK32" s="2493"/>
      <c r="AL32" s="2493"/>
      <c r="AM32" s="2493"/>
      <c r="AN32" s="2493"/>
      <c r="AO32" s="2494"/>
      <c r="AP32" s="1"/>
    </row>
    <row r="33" spans="1:42" ht="5.25" customHeight="1" thickBot="1">
      <c r="B33" s="2485"/>
      <c r="C33" s="2486"/>
      <c r="D33" s="2495"/>
      <c r="E33" s="2496"/>
      <c r="F33" s="2496"/>
      <c r="G33" s="2496"/>
      <c r="H33" s="2496"/>
      <c r="I33" s="2496"/>
      <c r="J33" s="2496"/>
      <c r="K33" s="2496"/>
      <c r="L33" s="2496"/>
      <c r="M33" s="2496"/>
      <c r="N33" s="2496"/>
      <c r="O33" s="2496"/>
      <c r="P33" s="2496"/>
      <c r="Q33" s="2496"/>
      <c r="R33" s="2496"/>
      <c r="S33" s="2496"/>
      <c r="T33" s="2496"/>
      <c r="U33" s="2496"/>
      <c r="V33" s="2496"/>
      <c r="W33" s="2496"/>
      <c r="X33" s="2496"/>
      <c r="Y33" s="2496"/>
      <c r="Z33" s="2496"/>
      <c r="AA33" s="2496"/>
      <c r="AB33" s="2496"/>
      <c r="AC33" s="2496"/>
      <c r="AD33" s="2496"/>
      <c r="AE33" s="2496"/>
      <c r="AF33" s="2496"/>
      <c r="AG33" s="2496"/>
      <c r="AH33" s="2496"/>
      <c r="AI33" s="2496"/>
      <c r="AJ33" s="2496"/>
      <c r="AK33" s="2496"/>
      <c r="AL33" s="2496"/>
      <c r="AM33" s="2496"/>
      <c r="AN33" s="2496"/>
      <c r="AO33" s="2497"/>
      <c r="AP33" s="1"/>
    </row>
    <row r="34" spans="1:42" ht="3" customHeight="1">
      <c r="B34" s="38"/>
      <c r="C34" s="38"/>
      <c r="D34" s="38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</row>
    <row r="35" spans="1:42" ht="5.25" customHeight="1">
      <c r="B35" s="2462" t="s">
        <v>769</v>
      </c>
      <c r="C35" s="2463"/>
      <c r="D35" s="2463"/>
      <c r="E35" s="2463"/>
      <c r="F35" s="2463"/>
      <c r="G35" s="2463"/>
      <c r="H35" s="2463"/>
      <c r="I35" s="2463"/>
      <c r="J35" s="2463"/>
      <c r="K35" s="2463"/>
      <c r="L35" s="2463"/>
      <c r="M35" s="2463"/>
      <c r="N35" s="2463"/>
      <c r="O35" s="2463"/>
      <c r="P35" s="2463"/>
      <c r="Q35" s="2463"/>
      <c r="R35" s="2463"/>
      <c r="S35" s="2463"/>
      <c r="T35" s="2463"/>
      <c r="U35" s="2463"/>
      <c r="V35" s="2463"/>
      <c r="W35" s="2463"/>
      <c r="X35" s="2463"/>
      <c r="Y35" s="2463"/>
      <c r="Z35" s="2463"/>
      <c r="AA35" s="2463"/>
      <c r="AB35" s="2463"/>
      <c r="AC35" s="2463"/>
      <c r="AD35" s="2463"/>
      <c r="AE35" s="2464"/>
      <c r="AF35" s="241"/>
      <c r="AG35" s="241"/>
      <c r="AH35" s="241"/>
      <c r="AI35" s="241"/>
      <c r="AJ35" s="241"/>
      <c r="AK35" s="241"/>
      <c r="AL35" s="241"/>
      <c r="AM35" s="241"/>
      <c r="AN35" s="241"/>
      <c r="AO35" s="242"/>
      <c r="AP35" s="1"/>
    </row>
    <row r="36" spans="1:42" ht="10.5" customHeight="1">
      <c r="A36" s="49"/>
      <c r="B36" s="2465"/>
      <c r="C36" s="2466"/>
      <c r="D36" s="2466"/>
      <c r="E36" s="2466"/>
      <c r="F36" s="2466"/>
      <c r="G36" s="2466"/>
      <c r="H36" s="2466"/>
      <c r="I36" s="2466"/>
      <c r="J36" s="2466"/>
      <c r="K36" s="2466"/>
      <c r="L36" s="2466"/>
      <c r="M36" s="2466"/>
      <c r="N36" s="2466"/>
      <c r="O36" s="2466"/>
      <c r="P36" s="2466"/>
      <c r="Q36" s="2466"/>
      <c r="R36" s="2466"/>
      <c r="S36" s="2466"/>
      <c r="T36" s="2466"/>
      <c r="U36" s="2466"/>
      <c r="V36" s="2466"/>
      <c r="W36" s="2466"/>
      <c r="X36" s="2466"/>
      <c r="Y36" s="2466"/>
      <c r="Z36" s="2466"/>
      <c r="AA36" s="2466"/>
      <c r="AB36" s="2466"/>
      <c r="AC36" s="2466"/>
      <c r="AD36" s="2466"/>
      <c r="AE36" s="2467"/>
      <c r="AF36" s="2468" t="s">
        <v>241</v>
      </c>
      <c r="AG36" s="2469"/>
      <c r="AH36" s="2469"/>
      <c r="AI36" s="2469"/>
      <c r="AJ36" s="2469"/>
      <c r="AK36" s="2469"/>
      <c r="AL36" s="2469"/>
      <c r="AM36" s="2469"/>
      <c r="AN36" s="2469"/>
      <c r="AO36" s="2470"/>
      <c r="AP36" s="50"/>
    </row>
    <row r="37" spans="1:42" ht="2.1" customHeight="1">
      <c r="A37" s="49"/>
      <c r="B37" s="1590"/>
      <c r="C37" s="1591"/>
      <c r="D37" s="1591"/>
      <c r="E37" s="1591"/>
      <c r="F37" s="1591"/>
      <c r="G37" s="1591"/>
      <c r="H37" s="1591"/>
      <c r="I37" s="1591"/>
      <c r="J37" s="1591"/>
      <c r="K37" s="1591"/>
      <c r="L37" s="1591"/>
      <c r="M37" s="1591"/>
      <c r="N37" s="1591"/>
      <c r="O37" s="1591"/>
      <c r="P37" s="1591"/>
      <c r="Q37" s="1591"/>
      <c r="R37" s="1591"/>
      <c r="S37" s="1591"/>
      <c r="T37" s="1591"/>
      <c r="U37" s="1591"/>
      <c r="V37" s="1591"/>
      <c r="W37" s="1591"/>
      <c r="X37" s="1591"/>
      <c r="Y37" s="1591"/>
      <c r="Z37" s="1591"/>
      <c r="AA37" s="1591"/>
      <c r="AB37" s="1591"/>
      <c r="AC37" s="1591"/>
      <c r="AD37" s="1591"/>
      <c r="AE37" s="1591"/>
      <c r="AF37" s="379"/>
      <c r="AG37" s="377"/>
      <c r="AH37" s="377"/>
      <c r="AI37" s="377"/>
      <c r="AJ37" s="377"/>
      <c r="AK37" s="377"/>
      <c r="AL37" s="377"/>
      <c r="AM37" s="377"/>
      <c r="AN37" s="377"/>
      <c r="AO37" s="378"/>
      <c r="AP37" s="50"/>
    </row>
    <row r="38" spans="1:42" ht="24" customHeight="1">
      <c r="B38" s="2471" t="s">
        <v>776</v>
      </c>
      <c r="C38" s="2472"/>
      <c r="D38" s="2472"/>
      <c r="E38" s="2473"/>
      <c r="F38" s="1"/>
      <c r="G38" s="1581" t="s">
        <v>18</v>
      </c>
      <c r="H38" s="1"/>
      <c r="I38" s="2474" t="s">
        <v>1032</v>
      </c>
      <c r="J38" s="2474"/>
      <c r="K38" s="2474"/>
      <c r="L38" s="2474"/>
      <c r="M38" s="2474"/>
      <c r="N38" s="2474"/>
      <c r="O38" s="2474"/>
      <c r="P38" s="2474"/>
      <c r="Q38" s="2474"/>
      <c r="R38" s="2474"/>
      <c r="S38" s="2474"/>
      <c r="T38" s="2474"/>
      <c r="U38" s="2474"/>
      <c r="V38" s="2474"/>
      <c r="W38" s="2474"/>
      <c r="X38" s="2474"/>
      <c r="Y38" s="2474"/>
      <c r="Z38" s="2474"/>
      <c r="AA38" s="2474"/>
      <c r="AB38" s="2474"/>
      <c r="AC38" s="2474"/>
      <c r="AD38" s="2474"/>
      <c r="AE38" s="51"/>
      <c r="AF38" s="211">
        <v>1</v>
      </c>
      <c r="AG38" s="2449">
        <f>IF('GENERAL INFO'!K15="x","",IF(AF9="x",'FE-1770-I-hal 1'!AD95,IF(AK9="x",'FE-1770-I-hal 2'!Z31,0)))</f>
        <v>0</v>
      </c>
      <c r="AH38" s="2450"/>
      <c r="AI38" s="2450"/>
      <c r="AJ38" s="2450"/>
      <c r="AK38" s="2450"/>
      <c r="AL38" s="2450"/>
      <c r="AM38" s="2450"/>
      <c r="AN38" s="2450"/>
      <c r="AO38" s="2451"/>
      <c r="AP38" s="1"/>
    </row>
    <row r="39" spans="1:42" ht="3" customHeight="1">
      <c r="A39" s="402"/>
      <c r="B39" s="2471"/>
      <c r="C39" s="2472"/>
      <c r="D39" s="2472"/>
      <c r="E39" s="2473"/>
      <c r="F39" s="1"/>
      <c r="G39" s="405"/>
      <c r="H39" s="1"/>
      <c r="I39" s="48"/>
      <c r="J39" s="48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3"/>
      <c r="AE39" s="53"/>
      <c r="AF39" s="210"/>
      <c r="AG39" s="1754"/>
      <c r="AH39" s="1754"/>
      <c r="AI39" s="1754"/>
      <c r="AJ39" s="1754"/>
      <c r="AK39" s="1754"/>
      <c r="AL39" s="1754"/>
      <c r="AM39" s="1754"/>
      <c r="AN39" s="1754"/>
      <c r="AO39" s="1755"/>
      <c r="AP39" s="1"/>
    </row>
    <row r="40" spans="1:42" ht="24" customHeight="1">
      <c r="B40" s="2471"/>
      <c r="C40" s="2472"/>
      <c r="D40" s="2472"/>
      <c r="E40" s="2473"/>
      <c r="F40" s="1"/>
      <c r="G40" s="1581" t="s">
        <v>19</v>
      </c>
      <c r="H40" s="1"/>
      <c r="I40" s="2475" t="s">
        <v>771</v>
      </c>
      <c r="J40" s="2475"/>
      <c r="K40" s="2475"/>
      <c r="L40" s="2475"/>
      <c r="M40" s="2475"/>
      <c r="N40" s="2475"/>
      <c r="O40" s="2475"/>
      <c r="P40" s="2475"/>
      <c r="Q40" s="2475"/>
      <c r="R40" s="2475"/>
      <c r="S40" s="2475"/>
      <c r="T40" s="2475"/>
      <c r="U40" s="2475"/>
      <c r="V40" s="2475"/>
      <c r="W40" s="2475"/>
      <c r="X40" s="2475"/>
      <c r="Y40" s="2475"/>
      <c r="Z40" s="2475"/>
      <c r="AA40" s="2475"/>
      <c r="AB40" s="2475"/>
      <c r="AC40" s="2475"/>
      <c r="AD40" s="2475"/>
      <c r="AE40" s="2476"/>
      <c r="AF40" s="211">
        <v>2</v>
      </c>
      <c r="AG40" s="2423">
        <f>IF('GENERAL INFO'!K15="x","",'FE-1770-I-hal 2'!AE51)</f>
        <v>0</v>
      </c>
      <c r="AH40" s="2424"/>
      <c r="AI40" s="2424"/>
      <c r="AJ40" s="2424"/>
      <c r="AK40" s="2424"/>
      <c r="AL40" s="2424"/>
      <c r="AM40" s="2424"/>
      <c r="AN40" s="2424"/>
      <c r="AO40" s="2425"/>
      <c r="AP40" s="1"/>
    </row>
    <row r="41" spans="1:42" ht="3" customHeight="1">
      <c r="A41" s="402"/>
      <c r="B41" s="2471"/>
      <c r="C41" s="2472"/>
      <c r="D41" s="2472"/>
      <c r="E41" s="2473"/>
      <c r="F41" s="1"/>
      <c r="G41" s="1581"/>
      <c r="H41" s="1"/>
      <c r="I41" s="48"/>
      <c r="J41" s="48"/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3"/>
      <c r="AE41" s="53"/>
      <c r="AF41" s="210"/>
      <c r="AG41" s="1767"/>
      <c r="AH41" s="1767"/>
      <c r="AI41" s="1767"/>
      <c r="AJ41" s="1767"/>
      <c r="AK41" s="1767"/>
      <c r="AL41" s="1767"/>
      <c r="AM41" s="1767"/>
      <c r="AN41" s="1767"/>
      <c r="AO41" s="1768"/>
      <c r="AP41" s="1"/>
    </row>
    <row r="42" spans="1:42" ht="24" customHeight="1">
      <c r="B42" s="2471"/>
      <c r="C42" s="2472"/>
      <c r="D42" s="2472"/>
      <c r="E42" s="2473"/>
      <c r="F42" s="1"/>
      <c r="G42" s="1581" t="s">
        <v>20</v>
      </c>
      <c r="H42" s="1"/>
      <c r="I42" s="2477" t="s">
        <v>772</v>
      </c>
      <c r="J42" s="2477"/>
      <c r="K42" s="2477"/>
      <c r="L42" s="2477"/>
      <c r="M42" s="2477"/>
      <c r="N42" s="2477"/>
      <c r="O42" s="2477"/>
      <c r="P42" s="2477"/>
      <c r="Q42" s="2477"/>
      <c r="R42" s="2477"/>
      <c r="S42" s="2477"/>
      <c r="T42" s="2477"/>
      <c r="U42" s="2477"/>
      <c r="V42" s="2477"/>
      <c r="W42" s="2477"/>
      <c r="X42" s="2477"/>
      <c r="Y42" s="2477"/>
      <c r="Z42" s="2477"/>
      <c r="AA42" s="2477"/>
      <c r="AB42" s="2477"/>
      <c r="AC42" s="2477"/>
      <c r="AD42" s="2477"/>
      <c r="AE42" s="51"/>
      <c r="AF42" s="211">
        <v>3</v>
      </c>
      <c r="AG42" s="2423">
        <f>IF('GENERAL INFO'!K15="x","",'GENERAL INFO'!V171)</f>
        <v>0</v>
      </c>
      <c r="AH42" s="2424"/>
      <c r="AI42" s="2424"/>
      <c r="AJ42" s="2424"/>
      <c r="AK42" s="2424"/>
      <c r="AL42" s="2424"/>
      <c r="AM42" s="2424"/>
      <c r="AN42" s="2424"/>
      <c r="AO42" s="2425"/>
      <c r="AP42" s="1"/>
    </row>
    <row r="43" spans="1:42" ht="3" customHeight="1">
      <c r="A43" s="55">
        <v>4</v>
      </c>
      <c r="B43" s="2471"/>
      <c r="C43" s="2472"/>
      <c r="D43" s="2472"/>
      <c r="E43" s="2473"/>
      <c r="F43" s="1"/>
      <c r="G43" s="405"/>
      <c r="H43" s="1"/>
      <c r="I43" s="48"/>
      <c r="J43" s="48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4"/>
      <c r="AB43" s="54"/>
      <c r="AC43" s="54"/>
      <c r="AD43" s="53"/>
      <c r="AE43" s="53"/>
      <c r="AF43" s="210"/>
      <c r="AG43" s="1769"/>
      <c r="AH43" s="1769"/>
      <c r="AI43" s="1769"/>
      <c r="AJ43" s="1769"/>
      <c r="AK43" s="1769"/>
      <c r="AL43" s="1769"/>
      <c r="AM43" s="1769"/>
      <c r="AN43" s="1769"/>
      <c r="AO43" s="1769"/>
      <c r="AP43" s="1"/>
    </row>
    <row r="44" spans="1:42" ht="24.75" customHeight="1">
      <c r="A44" s="55"/>
      <c r="B44" s="2471"/>
      <c r="C44" s="2472"/>
      <c r="D44" s="2472"/>
      <c r="E44" s="2473"/>
      <c r="F44" s="1"/>
      <c r="G44" s="405" t="s">
        <v>21</v>
      </c>
      <c r="H44" s="1"/>
      <c r="I44" s="2475" t="s">
        <v>1391</v>
      </c>
      <c r="J44" s="2475"/>
      <c r="K44" s="2475"/>
      <c r="L44" s="2475"/>
      <c r="M44" s="2475"/>
      <c r="N44" s="2475"/>
      <c r="O44" s="2475"/>
      <c r="P44" s="2475"/>
      <c r="Q44" s="2475"/>
      <c r="R44" s="2475"/>
      <c r="S44" s="2475"/>
      <c r="T44" s="2475"/>
      <c r="U44" s="2475"/>
      <c r="V44" s="2475"/>
      <c r="W44" s="2475"/>
      <c r="X44" s="2475"/>
      <c r="Y44" s="2475"/>
      <c r="Z44" s="2475"/>
      <c r="AA44" s="2475"/>
      <c r="AB44" s="2475"/>
      <c r="AC44" s="2475"/>
      <c r="AD44" s="2475"/>
      <c r="AE44" s="56"/>
      <c r="AF44" s="211">
        <v>4</v>
      </c>
      <c r="AG44" s="2423">
        <f>IF('GENERAL INFO'!K15="x","",IF(totaloverseasincome&gt;0,totaloverseasincome,0))</f>
        <v>0</v>
      </c>
      <c r="AH44" s="2424"/>
      <c r="AI44" s="2424"/>
      <c r="AJ44" s="2424"/>
      <c r="AK44" s="2424"/>
      <c r="AL44" s="2424"/>
      <c r="AM44" s="2424"/>
      <c r="AN44" s="2424"/>
      <c r="AO44" s="2425"/>
      <c r="AP44" s="1"/>
    </row>
    <row r="45" spans="1:42" ht="2.25" customHeight="1">
      <c r="A45" s="402"/>
      <c r="B45" s="2471"/>
      <c r="C45" s="2472"/>
      <c r="D45" s="2472"/>
      <c r="E45" s="2473"/>
      <c r="F45" s="1"/>
      <c r="G45" s="405"/>
      <c r="H45" s="1"/>
      <c r="I45" s="48"/>
      <c r="J45" s="48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4"/>
      <c r="Y45" s="54"/>
      <c r="Z45" s="54"/>
      <c r="AA45" s="54"/>
      <c r="AB45" s="54"/>
      <c r="AC45" s="54"/>
      <c r="AD45" s="48"/>
      <c r="AE45" s="48"/>
      <c r="AF45" s="42"/>
      <c r="AG45" s="1767"/>
      <c r="AH45" s="1767"/>
      <c r="AI45" s="1767"/>
      <c r="AJ45" s="1767"/>
      <c r="AK45" s="1767"/>
      <c r="AL45" s="1767"/>
      <c r="AM45" s="1767"/>
      <c r="AN45" s="1767"/>
      <c r="AO45" s="1768"/>
      <c r="AP45" s="1"/>
    </row>
    <row r="46" spans="1:42" ht="24.75" customHeight="1">
      <c r="B46" s="2471"/>
      <c r="C46" s="2472"/>
      <c r="D46" s="2472"/>
      <c r="E46" s="2473"/>
      <c r="F46" s="1"/>
      <c r="G46" s="1581" t="s">
        <v>22</v>
      </c>
      <c r="H46" s="1"/>
      <c r="I46" s="2428" t="s">
        <v>773</v>
      </c>
      <c r="J46" s="2478"/>
      <c r="K46" s="2478"/>
      <c r="L46" s="2478"/>
      <c r="M46" s="2478"/>
      <c r="N46" s="2478"/>
      <c r="O46" s="2478"/>
      <c r="P46" s="2478"/>
      <c r="Q46" s="2478"/>
      <c r="R46" s="2478"/>
      <c r="S46" s="2478"/>
      <c r="T46" s="2478"/>
      <c r="U46" s="2478"/>
      <c r="V46" s="2478"/>
      <c r="W46" s="2478"/>
      <c r="X46" s="2478"/>
      <c r="Y46" s="2478"/>
      <c r="Z46" s="2478"/>
      <c r="AA46" s="2478"/>
      <c r="AB46" s="2478"/>
      <c r="AC46" s="2478"/>
      <c r="AD46" s="2478"/>
      <c r="AE46" s="57"/>
      <c r="AF46" s="211">
        <v>5</v>
      </c>
      <c r="AG46" s="2423">
        <f>IF('GENERAL INFO'!K15="x","",SUM(AG38:AO44))</f>
        <v>0</v>
      </c>
      <c r="AH46" s="2424"/>
      <c r="AI46" s="2424"/>
      <c r="AJ46" s="2424"/>
      <c r="AK46" s="2424"/>
      <c r="AL46" s="2424"/>
      <c r="AM46" s="2424"/>
      <c r="AN46" s="2424"/>
      <c r="AO46" s="2425"/>
      <c r="AP46" s="1"/>
    </row>
    <row r="47" spans="1:42" ht="2.25" customHeight="1">
      <c r="A47" s="402"/>
      <c r="B47" s="2471"/>
      <c r="C47" s="2472"/>
      <c r="D47" s="2472"/>
      <c r="E47" s="2473"/>
      <c r="F47" s="1"/>
      <c r="G47" s="1581"/>
      <c r="H47" s="1"/>
      <c r="I47" s="1575"/>
      <c r="J47" s="1575"/>
      <c r="K47" s="1572"/>
      <c r="L47" s="1572"/>
      <c r="M47" s="1572"/>
      <c r="N47" s="1572"/>
      <c r="O47" s="1572"/>
      <c r="P47" s="1572"/>
      <c r="Q47" s="1572"/>
      <c r="R47" s="1572"/>
      <c r="S47" s="1572"/>
      <c r="T47" s="1572"/>
      <c r="U47" s="58" t="s">
        <v>23</v>
      </c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212"/>
      <c r="AG47" s="1767"/>
      <c r="AH47" s="1767"/>
      <c r="AI47" s="1767"/>
      <c r="AJ47" s="1767"/>
      <c r="AK47" s="1767"/>
      <c r="AL47" s="1767"/>
      <c r="AM47" s="1767"/>
      <c r="AN47" s="1767"/>
      <c r="AO47" s="1768"/>
      <c r="AP47" s="1"/>
    </row>
    <row r="48" spans="1:42" ht="24" customHeight="1">
      <c r="B48" s="2471"/>
      <c r="C48" s="2472"/>
      <c r="D48" s="2472"/>
      <c r="E48" s="2473"/>
      <c r="F48" s="1"/>
      <c r="G48" s="1581" t="s">
        <v>24</v>
      </c>
      <c r="H48" s="1"/>
      <c r="I48" s="2396" t="s">
        <v>774</v>
      </c>
      <c r="J48" s="2479"/>
      <c r="K48" s="2479"/>
      <c r="L48" s="2479"/>
      <c r="M48" s="2479"/>
      <c r="N48" s="2479"/>
      <c r="O48" s="2479"/>
      <c r="P48" s="2479"/>
      <c r="Q48" s="2479"/>
      <c r="R48" s="2479"/>
      <c r="S48" s="2479"/>
      <c r="T48" s="2479"/>
      <c r="U48" s="2479"/>
      <c r="V48" s="2479"/>
      <c r="W48" s="2479"/>
      <c r="X48" s="2479"/>
      <c r="Y48" s="2479"/>
      <c r="Z48" s="2479"/>
      <c r="AA48" s="2479"/>
      <c r="AB48" s="2479"/>
      <c r="AC48" s="2479"/>
      <c r="AD48" s="2479"/>
      <c r="AE48" s="2480"/>
      <c r="AF48" s="211">
        <v>6</v>
      </c>
      <c r="AG48" s="2423">
        <f>IF('GENERAL INFO'!K15="x","",0)</f>
        <v>0</v>
      </c>
      <c r="AH48" s="2424"/>
      <c r="AI48" s="2424"/>
      <c r="AJ48" s="2424"/>
      <c r="AK48" s="2424"/>
      <c r="AL48" s="2424"/>
      <c r="AM48" s="2424"/>
      <c r="AN48" s="2424"/>
      <c r="AO48" s="2425"/>
      <c r="AP48" s="1"/>
    </row>
    <row r="49" spans="1:42" ht="3" customHeight="1">
      <c r="A49" s="55"/>
      <c r="B49" s="2471"/>
      <c r="C49" s="2472"/>
      <c r="D49" s="2472"/>
      <c r="E49" s="2473"/>
      <c r="F49" s="1"/>
      <c r="G49" s="1581"/>
      <c r="H49" s="1"/>
      <c r="I49" s="1575"/>
      <c r="J49" s="1575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1572"/>
      <c r="V49" s="1572"/>
      <c r="W49" s="1572"/>
      <c r="X49" s="1572"/>
      <c r="Y49" s="1572"/>
      <c r="Z49" s="1572"/>
      <c r="AA49" s="1572"/>
      <c r="AB49" s="1572"/>
      <c r="AC49" s="1572"/>
      <c r="AD49" s="1575"/>
      <c r="AE49" s="1575"/>
      <c r="AF49" s="42"/>
      <c r="AG49" s="1767"/>
      <c r="AH49" s="1767"/>
      <c r="AI49" s="1767"/>
      <c r="AJ49" s="1767"/>
      <c r="AK49" s="1767"/>
      <c r="AL49" s="1767"/>
      <c r="AM49" s="1767"/>
      <c r="AN49" s="1767"/>
      <c r="AO49" s="1768"/>
      <c r="AP49" s="1"/>
    </row>
    <row r="50" spans="1:42" ht="12" customHeight="1">
      <c r="B50" s="2471"/>
      <c r="C50" s="2472"/>
      <c r="D50" s="2472"/>
      <c r="E50" s="2473"/>
      <c r="F50" s="1"/>
      <c r="G50" s="2395" t="s">
        <v>25</v>
      </c>
      <c r="H50" s="1"/>
      <c r="I50" s="1572" t="s">
        <v>775</v>
      </c>
      <c r="J50" s="1577"/>
      <c r="K50" s="1577"/>
      <c r="L50" s="1577"/>
      <c r="M50" s="1577"/>
      <c r="N50" s="1577"/>
      <c r="O50" s="1577"/>
      <c r="P50" s="1577"/>
      <c r="Q50" s="1577"/>
      <c r="R50" s="1577"/>
      <c r="S50" s="1577"/>
      <c r="T50" s="1577"/>
      <c r="U50" s="1577"/>
      <c r="V50" s="1577"/>
      <c r="W50" s="1577"/>
      <c r="X50" s="1577"/>
      <c r="Y50" s="1577"/>
      <c r="Z50" s="1577"/>
      <c r="AA50" s="1575"/>
      <c r="AB50" s="1575"/>
      <c r="AC50" s="1575"/>
      <c r="AD50" s="1575"/>
      <c r="AE50" s="1576"/>
      <c r="AF50" s="2399">
        <v>7</v>
      </c>
      <c r="AG50" s="2408">
        <f>IF('GENERAL INFO'!K15="x","",AG46-AG48)</f>
        <v>0</v>
      </c>
      <c r="AH50" s="2409"/>
      <c r="AI50" s="2409"/>
      <c r="AJ50" s="2409"/>
      <c r="AK50" s="2409"/>
      <c r="AL50" s="2409"/>
      <c r="AM50" s="2409"/>
      <c r="AN50" s="2409"/>
      <c r="AO50" s="2410"/>
      <c r="AP50" s="1"/>
    </row>
    <row r="51" spans="1:42" ht="12" customHeight="1">
      <c r="B51" s="1569"/>
      <c r="C51" s="1570"/>
      <c r="D51" s="1570"/>
      <c r="E51" s="1571"/>
      <c r="F51" s="1"/>
      <c r="G51" s="2395"/>
      <c r="H51" s="1"/>
      <c r="I51" s="1572"/>
      <c r="J51" s="1572"/>
      <c r="K51" s="1572"/>
      <c r="L51" s="1572"/>
      <c r="M51" s="1572"/>
      <c r="N51" s="1572"/>
      <c r="O51" s="1572"/>
      <c r="P51" s="1572"/>
      <c r="Q51" s="1572"/>
      <c r="R51" s="1572"/>
      <c r="S51" s="1572"/>
      <c r="T51" s="1572"/>
      <c r="U51" s="1572"/>
      <c r="V51" s="1572"/>
      <c r="W51" s="1572"/>
      <c r="X51" s="1572"/>
      <c r="Y51" s="1572"/>
      <c r="Z51" s="1572"/>
      <c r="AA51" s="1572"/>
      <c r="AB51" s="1572"/>
      <c r="AC51" s="1572"/>
      <c r="AD51" s="1572"/>
      <c r="AE51" s="1575"/>
      <c r="AF51" s="2400"/>
      <c r="AG51" s="2414"/>
      <c r="AH51" s="2415"/>
      <c r="AI51" s="2415"/>
      <c r="AJ51" s="2415"/>
      <c r="AK51" s="2415"/>
      <c r="AL51" s="2415"/>
      <c r="AM51" s="2415"/>
      <c r="AN51" s="2415"/>
      <c r="AO51" s="2416"/>
      <c r="AP51" s="1"/>
    </row>
    <row r="52" spans="1:42" ht="4.5" customHeight="1">
      <c r="B52" s="265"/>
      <c r="C52" s="266"/>
      <c r="D52" s="266"/>
      <c r="E52" s="267"/>
      <c r="F52" s="76"/>
      <c r="G52" s="268"/>
      <c r="H52" s="76"/>
      <c r="I52" s="70"/>
      <c r="J52" s="70"/>
      <c r="K52" s="76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9"/>
      <c r="W52" s="269"/>
      <c r="X52" s="269"/>
      <c r="Y52" s="269"/>
      <c r="Z52" s="269"/>
      <c r="AA52" s="269"/>
      <c r="AB52" s="269"/>
      <c r="AC52" s="269"/>
      <c r="AD52" s="76"/>
      <c r="AE52" s="76"/>
      <c r="AF52" s="1604"/>
      <c r="AG52" s="1769"/>
      <c r="AH52" s="1769"/>
      <c r="AI52" s="1769"/>
      <c r="AJ52" s="1769"/>
      <c r="AK52" s="1769"/>
      <c r="AL52" s="1769"/>
      <c r="AM52" s="1769"/>
      <c r="AN52" s="1769"/>
      <c r="AO52" s="1770"/>
      <c r="AP52" s="1"/>
    </row>
    <row r="53" spans="1:42" ht="3.75" customHeight="1">
      <c r="A53" s="61"/>
      <c r="B53" s="261"/>
      <c r="C53" s="262"/>
      <c r="D53" s="262"/>
      <c r="E53" s="263"/>
      <c r="F53" s="1"/>
      <c r="G53" s="1"/>
      <c r="H53" s="264"/>
      <c r="I53" s="262"/>
      <c r="J53" s="262"/>
      <c r="K53" s="262"/>
      <c r="L53" s="262"/>
      <c r="M53" s="262"/>
      <c r="N53" s="262"/>
      <c r="O53" s="262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17"/>
      <c r="AE53" s="117"/>
      <c r="AF53" s="213"/>
      <c r="AG53" s="1767"/>
      <c r="AH53" s="1767"/>
      <c r="AI53" s="1767"/>
      <c r="AJ53" s="1767"/>
      <c r="AK53" s="1767"/>
      <c r="AL53" s="1767"/>
      <c r="AM53" s="1767"/>
      <c r="AN53" s="1767"/>
      <c r="AO53" s="1768"/>
      <c r="AP53" s="1"/>
    </row>
    <row r="54" spans="1:42" ht="23.25" customHeight="1">
      <c r="B54" s="2444" t="s">
        <v>777</v>
      </c>
      <c r="C54" s="2445"/>
      <c r="D54" s="2445"/>
      <c r="E54" s="2446"/>
      <c r="F54" s="1"/>
      <c r="G54" s="1581" t="s">
        <v>27</v>
      </c>
      <c r="H54" s="1"/>
      <c r="I54" s="2428" t="s">
        <v>1033</v>
      </c>
      <c r="J54" s="2447"/>
      <c r="K54" s="2447"/>
      <c r="L54" s="2447"/>
      <c r="M54" s="2447"/>
      <c r="N54" s="2447"/>
      <c r="O54" s="2447"/>
      <c r="P54" s="2447"/>
      <c r="Q54" s="2447"/>
      <c r="R54" s="2447"/>
      <c r="S54" s="2447"/>
      <c r="T54" s="2447"/>
      <c r="U54" s="2447"/>
      <c r="V54" s="2447"/>
      <c r="W54" s="2447"/>
      <c r="X54" s="2447"/>
      <c r="Y54" s="2447"/>
      <c r="Z54" s="2447"/>
      <c r="AA54" s="2447"/>
      <c r="AB54" s="2447"/>
      <c r="AC54" s="2447"/>
      <c r="AD54" s="2447"/>
      <c r="AE54" s="2448"/>
      <c r="AF54" s="211">
        <v>8</v>
      </c>
      <c r="AG54" s="2423">
        <f>IF('GENERAL INFO'!K15="x","",IF(AF9="x",'GENERAL INFO'!Q241,0))</f>
        <v>0</v>
      </c>
      <c r="AH54" s="2424"/>
      <c r="AI54" s="2424"/>
      <c r="AJ54" s="2424"/>
      <c r="AK54" s="2424"/>
      <c r="AL54" s="2424"/>
      <c r="AM54" s="2424"/>
      <c r="AN54" s="2424"/>
      <c r="AO54" s="2425"/>
      <c r="AP54" s="1"/>
    </row>
    <row r="55" spans="1:42" ht="3.75" customHeight="1">
      <c r="B55" s="2444"/>
      <c r="C55" s="2445"/>
      <c r="D55" s="2445"/>
      <c r="E55" s="2446"/>
      <c r="F55" s="1"/>
      <c r="G55" s="1581"/>
      <c r="H55" s="1"/>
      <c r="I55" s="60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2"/>
      <c r="V55" s="62"/>
      <c r="W55" s="62"/>
      <c r="X55" s="62"/>
      <c r="Y55" s="62"/>
      <c r="Z55" s="62"/>
      <c r="AA55" s="62"/>
      <c r="AB55" s="62"/>
      <c r="AC55" s="54"/>
      <c r="AD55" s="48"/>
      <c r="AE55" s="48"/>
      <c r="AF55" s="42"/>
      <c r="AG55" s="1767"/>
      <c r="AH55" s="1767"/>
      <c r="AI55" s="1767"/>
      <c r="AJ55" s="1767"/>
      <c r="AK55" s="1767"/>
      <c r="AL55" s="1767"/>
      <c r="AM55" s="1767"/>
      <c r="AN55" s="1767"/>
      <c r="AO55" s="1768"/>
      <c r="AP55" s="1"/>
    </row>
    <row r="56" spans="1:42" ht="24" customHeight="1">
      <c r="B56" s="2444"/>
      <c r="C56" s="2445"/>
      <c r="D56" s="2445"/>
      <c r="E56" s="2446"/>
      <c r="F56" s="1"/>
      <c r="G56" s="1581" t="s">
        <v>28</v>
      </c>
      <c r="H56" s="1"/>
      <c r="I56" s="2428" t="s">
        <v>1034</v>
      </c>
      <c r="J56" s="2447"/>
      <c r="K56" s="2447"/>
      <c r="L56" s="2447"/>
      <c r="M56" s="2447"/>
      <c r="N56" s="2447"/>
      <c r="O56" s="2447"/>
      <c r="P56" s="2447"/>
      <c r="Q56" s="2447"/>
      <c r="R56" s="2447"/>
      <c r="S56" s="2447"/>
      <c r="T56" s="2447"/>
      <c r="U56" s="2447"/>
      <c r="V56" s="2447"/>
      <c r="W56" s="2447"/>
      <c r="X56" s="2447"/>
      <c r="Y56" s="2447"/>
      <c r="Z56" s="2447"/>
      <c r="AA56" s="2447"/>
      <c r="AB56" s="2447"/>
      <c r="AC56" s="2447"/>
      <c r="AD56" s="2447"/>
      <c r="AE56" s="2448"/>
      <c r="AF56" s="211">
        <v>9</v>
      </c>
      <c r="AG56" s="2423">
        <f>IF('GENERAL INFO'!K15="x","",AG50-AG54)</f>
        <v>0</v>
      </c>
      <c r="AH56" s="2424"/>
      <c r="AI56" s="2424"/>
      <c r="AJ56" s="2424"/>
      <c r="AK56" s="2424"/>
      <c r="AL56" s="2424"/>
      <c r="AM56" s="2424"/>
      <c r="AN56" s="2424"/>
      <c r="AO56" s="2425"/>
      <c r="AP56" s="1"/>
    </row>
    <row r="57" spans="1:42" ht="3" customHeight="1">
      <c r="B57" s="2444"/>
      <c r="C57" s="2445"/>
      <c r="D57" s="2445"/>
      <c r="E57" s="2446"/>
      <c r="F57" s="1"/>
      <c r="G57" s="1581"/>
      <c r="H57" s="1"/>
      <c r="I57" s="60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2"/>
      <c r="V57" s="62"/>
      <c r="W57" s="62"/>
      <c r="X57" s="62"/>
      <c r="Y57" s="62"/>
      <c r="Z57" s="62"/>
      <c r="AA57" s="62"/>
      <c r="AB57" s="62"/>
      <c r="AC57" s="54"/>
      <c r="AD57" s="48"/>
      <c r="AE57" s="48"/>
      <c r="AF57" s="42"/>
      <c r="AG57" s="1767"/>
      <c r="AH57" s="1767"/>
      <c r="AI57" s="1767"/>
      <c r="AJ57" s="1767"/>
      <c r="AK57" s="1767"/>
      <c r="AL57" s="1767"/>
      <c r="AM57" s="1767"/>
      <c r="AN57" s="1767"/>
      <c r="AO57" s="1768"/>
      <c r="AP57" s="1"/>
    </row>
    <row r="58" spans="1:42" ht="22.5" customHeight="1">
      <c r="B58" s="2444"/>
      <c r="C58" s="2445"/>
      <c r="D58" s="2445"/>
      <c r="E58" s="2446"/>
      <c r="F58" s="1"/>
      <c r="G58" s="455" t="s">
        <v>29</v>
      </c>
      <c r="H58" s="40"/>
      <c r="I58" s="1582" t="s">
        <v>779</v>
      </c>
      <c r="J58" s="171"/>
      <c r="K58" s="1583"/>
      <c r="L58" s="171"/>
      <c r="M58" s="171"/>
      <c r="N58" s="1583"/>
      <c r="O58" s="1583"/>
      <c r="P58" s="171"/>
      <c r="Q58" s="456" t="s">
        <v>783</v>
      </c>
      <c r="R58" s="1730" t="str">
        <f>IF(marital="SINGLE",dependant,"")</f>
        <v/>
      </c>
      <c r="S58" s="456"/>
      <c r="T58" s="456" t="s">
        <v>784</v>
      </c>
      <c r="U58" s="1727" t="str">
        <f>IF(marital="MARRIED",dependant,"")</f>
        <v/>
      </c>
      <c r="V58" s="456"/>
      <c r="W58" s="456" t="s">
        <v>785</v>
      </c>
      <c r="X58" s="1620" t="str">
        <f>IF(marital="MARRIED+",dependant,"")</f>
        <v/>
      </c>
      <c r="Y58" s="456"/>
      <c r="Z58" s="456"/>
      <c r="AA58" s="456"/>
      <c r="AB58" s="456"/>
      <c r="AC58" s="456"/>
      <c r="AD58" s="456"/>
      <c r="AE58" s="444"/>
      <c r="AF58" s="211">
        <v>10</v>
      </c>
      <c r="AG58" s="2449">
        <f>IF('GENERAL INFO'!K15="x","",CalculationSheet!R30)</f>
        <v>0</v>
      </c>
      <c r="AH58" s="2450"/>
      <c r="AI58" s="2450"/>
      <c r="AJ58" s="2450"/>
      <c r="AK58" s="2450"/>
      <c r="AL58" s="2450"/>
      <c r="AM58" s="2450"/>
      <c r="AN58" s="2450"/>
      <c r="AO58" s="2451"/>
      <c r="AP58" s="1"/>
    </row>
    <row r="59" spans="1:42" ht="3" customHeight="1">
      <c r="B59" s="2444"/>
      <c r="C59" s="2445"/>
      <c r="D59" s="2445"/>
      <c r="E59" s="2446"/>
      <c r="F59" s="1"/>
      <c r="G59" s="1581"/>
      <c r="H59" s="1"/>
      <c r="I59" s="60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2"/>
      <c r="V59" s="62"/>
      <c r="W59" s="62"/>
      <c r="X59" s="62"/>
      <c r="Y59" s="62"/>
      <c r="Z59" s="62"/>
      <c r="AA59" s="62"/>
      <c r="AB59" s="62"/>
      <c r="AC59" s="54"/>
      <c r="AD59" s="48"/>
      <c r="AE59" s="48"/>
      <c r="AF59" s="42"/>
      <c r="AG59" s="1767"/>
      <c r="AH59" s="1767"/>
      <c r="AI59" s="1767"/>
      <c r="AJ59" s="1767"/>
      <c r="AK59" s="1767"/>
      <c r="AL59" s="1767"/>
      <c r="AM59" s="1767"/>
      <c r="AN59" s="1767"/>
      <c r="AO59" s="1768"/>
      <c r="AP59" s="1"/>
    </row>
    <row r="60" spans="1:42" ht="24.75" customHeight="1">
      <c r="B60" s="2444"/>
      <c r="C60" s="2445"/>
      <c r="D60" s="2445"/>
      <c r="E60" s="2446"/>
      <c r="F60" s="1"/>
      <c r="G60" s="1581" t="s">
        <v>31</v>
      </c>
      <c r="H60" s="1"/>
      <c r="I60" s="2428" t="s">
        <v>780</v>
      </c>
      <c r="J60" s="2397"/>
      <c r="K60" s="2397"/>
      <c r="L60" s="2397"/>
      <c r="M60" s="2397"/>
      <c r="N60" s="2397"/>
      <c r="O60" s="2397"/>
      <c r="P60" s="2397"/>
      <c r="Q60" s="2397"/>
      <c r="R60" s="2397"/>
      <c r="S60" s="2397"/>
      <c r="T60" s="2397"/>
      <c r="U60" s="2397"/>
      <c r="V60" s="2397"/>
      <c r="W60" s="2397"/>
      <c r="X60" s="2397"/>
      <c r="Y60" s="2397"/>
      <c r="Z60" s="2397"/>
      <c r="AA60" s="2397"/>
      <c r="AB60" s="2397"/>
      <c r="AC60" s="2397"/>
      <c r="AD60" s="2397"/>
      <c r="AE60" s="2398"/>
      <c r="AF60" s="211">
        <v>11</v>
      </c>
      <c r="AG60" s="2423">
        <f>IF('GENERAL INFO'!K15="x","",IF(AG56-AG58&lt;0,0,AG56-AG58))</f>
        <v>0</v>
      </c>
      <c r="AH60" s="2424"/>
      <c r="AI60" s="2424"/>
      <c r="AJ60" s="2424"/>
      <c r="AK60" s="2424"/>
      <c r="AL60" s="2424"/>
      <c r="AM60" s="2424"/>
      <c r="AN60" s="2424"/>
      <c r="AO60" s="2425"/>
      <c r="AP60" s="1"/>
    </row>
    <row r="61" spans="1:42" ht="5.25" customHeight="1">
      <c r="B61" s="271"/>
      <c r="C61" s="272"/>
      <c r="D61" s="272"/>
      <c r="E61" s="270"/>
      <c r="F61" s="76"/>
      <c r="G61" s="273"/>
      <c r="H61" s="76"/>
      <c r="I61" s="274"/>
      <c r="J61" s="274"/>
      <c r="K61" s="76"/>
      <c r="L61" s="275"/>
      <c r="M61" s="275"/>
      <c r="N61" s="275"/>
      <c r="O61" s="275"/>
      <c r="P61" s="275"/>
      <c r="Q61" s="275"/>
      <c r="R61" s="275"/>
      <c r="S61" s="275"/>
      <c r="T61" s="275"/>
      <c r="U61" s="275"/>
      <c r="V61" s="275"/>
      <c r="W61" s="275"/>
      <c r="X61" s="275"/>
      <c r="Y61" s="275"/>
      <c r="Z61" s="275"/>
      <c r="AA61" s="275"/>
      <c r="AB61" s="275"/>
      <c r="AC61" s="269"/>
      <c r="AD61" s="76"/>
      <c r="AE61" s="76"/>
      <c r="AF61" s="1604"/>
      <c r="AG61" s="1769"/>
      <c r="AH61" s="1769"/>
      <c r="AI61" s="1769"/>
      <c r="AJ61" s="1769"/>
      <c r="AK61" s="1769"/>
      <c r="AL61" s="1769"/>
      <c r="AM61" s="1769"/>
      <c r="AN61" s="1769"/>
      <c r="AO61" s="1770"/>
      <c r="AP61" s="1"/>
    </row>
    <row r="62" spans="1:42" ht="3.75" customHeight="1">
      <c r="A62" s="402"/>
      <c r="B62" s="243"/>
      <c r="C62" s="64"/>
      <c r="D62" s="64"/>
      <c r="E62" s="244"/>
      <c r="F62" s="1"/>
      <c r="G62" s="1"/>
      <c r="H62" s="64"/>
      <c r="I62" s="65"/>
      <c r="J62" s="65"/>
      <c r="K62" s="65"/>
      <c r="L62" s="65"/>
      <c r="M62" s="65"/>
      <c r="N62" s="65"/>
      <c r="O62" s="65"/>
      <c r="P62" s="65"/>
      <c r="Q62" s="65"/>
      <c r="R62" s="65"/>
      <c r="S62" s="65"/>
      <c r="T62" s="65"/>
      <c r="U62" s="65"/>
      <c r="V62" s="65"/>
      <c r="W62" s="65"/>
      <c r="X62" s="65"/>
      <c r="Y62" s="65"/>
      <c r="Z62" s="65"/>
      <c r="AA62" s="65"/>
      <c r="AB62" s="65"/>
      <c r="AC62" s="65"/>
      <c r="AD62" s="66"/>
      <c r="AE62" s="66"/>
      <c r="AF62" s="213"/>
      <c r="AG62" s="1771"/>
      <c r="AH62" s="1771"/>
      <c r="AI62" s="1771"/>
      <c r="AJ62" s="1771"/>
      <c r="AK62" s="1771"/>
      <c r="AL62" s="1771"/>
      <c r="AM62" s="1771"/>
      <c r="AN62" s="1771"/>
      <c r="AO62" s="1772"/>
      <c r="AP62" s="65"/>
    </row>
    <row r="63" spans="1:42" ht="24.75" customHeight="1">
      <c r="B63" s="2418" t="s">
        <v>786</v>
      </c>
      <c r="C63" s="2419"/>
      <c r="D63" s="2419"/>
      <c r="E63" s="2420"/>
      <c r="F63" s="1"/>
      <c r="G63" s="1581" t="s">
        <v>33</v>
      </c>
      <c r="H63" s="48"/>
      <c r="I63" s="2421" t="s">
        <v>1035</v>
      </c>
      <c r="J63" s="2452"/>
      <c r="K63" s="2452"/>
      <c r="L63" s="2452"/>
      <c r="M63" s="2452"/>
      <c r="N63" s="2452"/>
      <c r="O63" s="2452"/>
      <c r="P63" s="2452"/>
      <c r="Q63" s="2452"/>
      <c r="R63" s="2452"/>
      <c r="S63" s="2452"/>
      <c r="T63" s="2452"/>
      <c r="U63" s="2452"/>
      <c r="V63" s="2452"/>
      <c r="W63" s="2452"/>
      <c r="X63" s="2452"/>
      <c r="Y63" s="2452"/>
      <c r="Z63" s="2452"/>
      <c r="AA63" s="2452"/>
      <c r="AB63" s="2452"/>
      <c r="AC63" s="2452"/>
      <c r="AD63" s="2452"/>
      <c r="AE63" s="2453"/>
      <c r="AF63" s="211">
        <v>12</v>
      </c>
      <c r="AG63" s="2454">
        <f>IF('GENERAL INFO'!K15="x","",Attachment!X42)</f>
        <v>0</v>
      </c>
      <c r="AH63" s="2455"/>
      <c r="AI63" s="2455"/>
      <c r="AJ63" s="2455"/>
      <c r="AK63" s="2455"/>
      <c r="AL63" s="2455"/>
      <c r="AM63" s="2455"/>
      <c r="AN63" s="2455"/>
      <c r="AO63" s="2456"/>
      <c r="AP63" s="35"/>
    </row>
    <row r="64" spans="1:42" ht="2.25" customHeight="1">
      <c r="A64" s="55"/>
      <c r="B64" s="2418"/>
      <c r="C64" s="2419"/>
      <c r="D64" s="2419"/>
      <c r="E64" s="2420"/>
      <c r="F64" s="1"/>
      <c r="G64" s="1581"/>
      <c r="H64" s="48"/>
      <c r="I64" s="67"/>
      <c r="J64" s="67"/>
      <c r="K64" s="67"/>
      <c r="L64" s="67"/>
      <c r="M64" s="67"/>
      <c r="N64" s="67"/>
      <c r="O64" s="67"/>
      <c r="P64" s="67"/>
      <c r="Q64" s="67"/>
      <c r="R64" s="67"/>
      <c r="S64" s="67"/>
      <c r="T64" s="67"/>
      <c r="U64" s="67"/>
      <c r="V64" s="67"/>
      <c r="W64" s="67"/>
      <c r="X64" s="67"/>
      <c r="Y64" s="62"/>
      <c r="Z64" s="62"/>
      <c r="AA64" s="54"/>
      <c r="AB64" s="54"/>
      <c r="AC64" s="54"/>
      <c r="AD64" s="48"/>
      <c r="AE64" s="48"/>
      <c r="AF64" s="42"/>
      <c r="AG64" s="1773"/>
      <c r="AH64" s="1773"/>
      <c r="AI64" s="1773"/>
      <c r="AJ64" s="1773"/>
      <c r="AK64" s="1773"/>
      <c r="AL64" s="1773"/>
      <c r="AM64" s="1773"/>
      <c r="AN64" s="1773"/>
      <c r="AO64" s="1774"/>
      <c r="AP64" s="35"/>
    </row>
    <row r="65" spans="1:42" ht="12" customHeight="1">
      <c r="B65" s="2418"/>
      <c r="C65" s="2419"/>
      <c r="D65" s="2419"/>
      <c r="E65" s="2420"/>
      <c r="F65" s="1"/>
      <c r="G65" s="2395" t="s">
        <v>34</v>
      </c>
      <c r="H65" s="48"/>
      <c r="I65" s="2428" t="s">
        <v>781</v>
      </c>
      <c r="J65" s="2397"/>
      <c r="K65" s="2397"/>
      <c r="L65" s="2397"/>
      <c r="M65" s="2397"/>
      <c r="N65" s="2397"/>
      <c r="O65" s="2397"/>
      <c r="P65" s="2397"/>
      <c r="Q65" s="2397"/>
      <c r="R65" s="2397"/>
      <c r="S65" s="2397"/>
      <c r="T65" s="2397"/>
      <c r="U65" s="2397"/>
      <c r="V65" s="2397"/>
      <c r="W65" s="2397"/>
      <c r="X65" s="2397"/>
      <c r="Y65" s="2397"/>
      <c r="Z65" s="2397"/>
      <c r="AA65" s="2397"/>
      <c r="AB65" s="2397"/>
      <c r="AC65" s="2397"/>
      <c r="AD65" s="2397"/>
      <c r="AE65" s="2398"/>
      <c r="AF65" s="2399">
        <v>13</v>
      </c>
      <c r="AG65" s="2408">
        <f>IF('GENERAL INFO'!K15="x","",'GENERAL INFO'!K123)</f>
        <v>0</v>
      </c>
      <c r="AH65" s="2409"/>
      <c r="AI65" s="2409"/>
      <c r="AJ65" s="2409"/>
      <c r="AK65" s="2409"/>
      <c r="AL65" s="2409"/>
      <c r="AM65" s="2409"/>
      <c r="AN65" s="2409"/>
      <c r="AO65" s="2410"/>
      <c r="AP65" s="35"/>
    </row>
    <row r="66" spans="1:42" ht="13.5" customHeight="1">
      <c r="A66" s="68"/>
      <c r="B66" s="2418"/>
      <c r="C66" s="2419"/>
      <c r="D66" s="2419"/>
      <c r="E66" s="2420"/>
      <c r="F66" s="1"/>
      <c r="G66" s="2395"/>
      <c r="H66" s="48"/>
      <c r="I66" s="1577"/>
      <c r="J66" s="1577"/>
      <c r="K66" s="1577"/>
      <c r="L66" s="1577"/>
      <c r="M66" s="1577"/>
      <c r="N66" s="1577"/>
      <c r="O66" s="1577"/>
      <c r="P66" s="1577"/>
      <c r="Q66" s="1577"/>
      <c r="R66" s="1577"/>
      <c r="S66" s="1577"/>
      <c r="T66" s="1577"/>
      <c r="U66" s="1577"/>
      <c r="V66" s="1577"/>
      <c r="W66" s="1577"/>
      <c r="X66" s="1577"/>
      <c r="Y66" s="62"/>
      <c r="Z66" s="62"/>
      <c r="AA66" s="54"/>
      <c r="AB66" s="54"/>
      <c r="AC66" s="54"/>
      <c r="AD66" s="48"/>
      <c r="AE66" s="48"/>
      <c r="AF66" s="2400"/>
      <c r="AG66" s="2414"/>
      <c r="AH66" s="2415"/>
      <c r="AI66" s="2415"/>
      <c r="AJ66" s="2415"/>
      <c r="AK66" s="2415"/>
      <c r="AL66" s="2415"/>
      <c r="AM66" s="2415"/>
      <c r="AN66" s="2415"/>
      <c r="AO66" s="2416"/>
      <c r="AP66" s="35"/>
    </row>
    <row r="67" spans="1:42" ht="2.25" customHeight="1">
      <c r="B67" s="2418"/>
      <c r="C67" s="2419"/>
      <c r="D67" s="2419"/>
      <c r="E67" s="2420"/>
      <c r="F67" s="1"/>
      <c r="G67" s="1"/>
      <c r="H67" s="48"/>
      <c r="I67" s="67"/>
      <c r="J67" s="67"/>
      <c r="K67" s="67"/>
      <c r="L67" s="67"/>
      <c r="M67" s="67"/>
      <c r="N67" s="67"/>
      <c r="O67" s="67"/>
      <c r="P67" s="67"/>
      <c r="Q67" s="67"/>
      <c r="R67" s="67"/>
      <c r="S67" s="67"/>
      <c r="T67" s="67"/>
      <c r="U67" s="67"/>
      <c r="V67" s="67"/>
      <c r="W67" s="67"/>
      <c r="X67" s="67"/>
      <c r="Y67" s="62"/>
      <c r="Z67" s="62"/>
      <c r="AA67" s="54"/>
      <c r="AB67" s="54"/>
      <c r="AC67" s="54"/>
      <c r="AD67" s="48"/>
      <c r="AE67" s="48"/>
      <c r="AF67" s="42"/>
      <c r="AG67" s="1773"/>
      <c r="AH67" s="1773"/>
      <c r="AI67" s="1773"/>
      <c r="AJ67" s="1773"/>
      <c r="AK67" s="1773"/>
      <c r="AL67" s="1773"/>
      <c r="AM67" s="1773"/>
      <c r="AN67" s="1773"/>
      <c r="AO67" s="1774"/>
      <c r="AP67" s="35"/>
    </row>
    <row r="68" spans="1:42" ht="24" customHeight="1">
      <c r="B68" s="2418"/>
      <c r="C68" s="2419"/>
      <c r="D68" s="2419"/>
      <c r="E68" s="2420"/>
      <c r="F68" s="1"/>
      <c r="G68" s="149" t="s">
        <v>35</v>
      </c>
      <c r="H68" s="48"/>
      <c r="I68" s="2396" t="s">
        <v>782</v>
      </c>
      <c r="J68" s="2397"/>
      <c r="K68" s="2397"/>
      <c r="L68" s="2397"/>
      <c r="M68" s="2397"/>
      <c r="N68" s="2397"/>
      <c r="O68" s="2397"/>
      <c r="P68" s="2397"/>
      <c r="Q68" s="2397"/>
      <c r="R68" s="2397"/>
      <c r="S68" s="2397"/>
      <c r="T68" s="2397"/>
      <c r="U68" s="2397"/>
      <c r="V68" s="2397"/>
      <c r="W68" s="2397"/>
      <c r="X68" s="2397"/>
      <c r="Y68" s="2397"/>
      <c r="Z68" s="2397"/>
      <c r="AA68" s="2397"/>
      <c r="AB68" s="2397"/>
      <c r="AC68" s="2397"/>
      <c r="AD68" s="2397"/>
      <c r="AE68" s="2398"/>
      <c r="AF68" s="211">
        <v>14</v>
      </c>
      <c r="AG68" s="2423">
        <f>IF('GENERAL INFO'!K15="x","",AG63+AG65)</f>
        <v>0</v>
      </c>
      <c r="AH68" s="2424"/>
      <c r="AI68" s="2424"/>
      <c r="AJ68" s="2424"/>
      <c r="AK68" s="2424"/>
      <c r="AL68" s="2424"/>
      <c r="AM68" s="2424"/>
      <c r="AN68" s="2424"/>
      <c r="AO68" s="2425"/>
      <c r="AP68" s="35"/>
    </row>
    <row r="69" spans="1:42" ht="5.25" customHeight="1">
      <c r="B69" s="277"/>
      <c r="C69" s="278"/>
      <c r="D69" s="278"/>
      <c r="E69" s="270"/>
      <c r="F69" s="76"/>
      <c r="G69" s="1607"/>
      <c r="H69" s="78"/>
      <c r="I69" s="223"/>
      <c r="J69" s="223"/>
      <c r="K69" s="78"/>
      <c r="L69" s="279"/>
      <c r="M69" s="279"/>
      <c r="N69" s="279"/>
      <c r="O69" s="279"/>
      <c r="P69" s="279"/>
      <c r="Q69" s="279"/>
      <c r="R69" s="279"/>
      <c r="S69" s="279"/>
      <c r="T69" s="279"/>
      <c r="U69" s="279"/>
      <c r="V69" s="279"/>
      <c r="W69" s="279"/>
      <c r="X69" s="279"/>
      <c r="Y69" s="279"/>
      <c r="Z69" s="279"/>
      <c r="AA69" s="77"/>
      <c r="AB69" s="77"/>
      <c r="AC69" s="77"/>
      <c r="AD69" s="78"/>
      <c r="AE69" s="78"/>
      <c r="AF69" s="1604"/>
      <c r="AG69" s="1775"/>
      <c r="AH69" s="1775"/>
      <c r="AI69" s="1775"/>
      <c r="AJ69" s="1775"/>
      <c r="AK69" s="1775"/>
      <c r="AL69" s="1775"/>
      <c r="AM69" s="1775"/>
      <c r="AN69" s="1775"/>
      <c r="AO69" s="1776"/>
      <c r="AP69" s="35"/>
    </row>
    <row r="70" spans="1:42" ht="3.75" customHeight="1">
      <c r="A70" s="49"/>
      <c r="B70" s="243"/>
      <c r="C70" s="156"/>
      <c r="D70" s="156"/>
      <c r="E70" s="244"/>
      <c r="F70" s="1"/>
      <c r="G70" s="48"/>
      <c r="H70" s="1584"/>
      <c r="I70" s="79"/>
      <c r="J70" s="79"/>
      <c r="K70" s="79"/>
      <c r="L70" s="79"/>
      <c r="M70" s="79"/>
      <c r="N70" s="79"/>
      <c r="O70" s="79"/>
      <c r="P70" s="79"/>
      <c r="Q70" s="79"/>
      <c r="R70" s="79"/>
      <c r="S70" s="79"/>
      <c r="T70" s="79"/>
      <c r="U70" s="79"/>
      <c r="V70" s="79"/>
      <c r="W70" s="79"/>
      <c r="X70" s="79"/>
      <c r="Y70" s="79"/>
      <c r="Z70" s="79"/>
      <c r="AA70" s="79"/>
      <c r="AB70" s="79"/>
      <c r="AC70" s="79"/>
      <c r="AD70" s="48"/>
      <c r="AE70" s="48"/>
      <c r="AF70" s="276"/>
      <c r="AG70" s="1777"/>
      <c r="AH70" s="1777"/>
      <c r="AI70" s="1777"/>
      <c r="AJ70" s="1777"/>
      <c r="AK70" s="1777"/>
      <c r="AL70" s="1777"/>
      <c r="AM70" s="1777"/>
      <c r="AN70" s="1777"/>
      <c r="AO70" s="1778"/>
      <c r="AP70" s="65"/>
    </row>
    <row r="71" spans="1:42" ht="24.75" customHeight="1">
      <c r="B71" s="2418" t="s">
        <v>787</v>
      </c>
      <c r="C71" s="2419"/>
      <c r="D71" s="2419"/>
      <c r="E71" s="2420"/>
      <c r="F71" s="1"/>
      <c r="G71" s="1581" t="s">
        <v>37</v>
      </c>
      <c r="H71" s="48"/>
      <c r="I71" s="2421" t="s">
        <v>1036</v>
      </c>
      <c r="J71" s="2422"/>
      <c r="K71" s="2422"/>
      <c r="L71" s="2422"/>
      <c r="M71" s="2422"/>
      <c r="N71" s="2422"/>
      <c r="O71" s="2422"/>
      <c r="P71" s="2422"/>
      <c r="Q71" s="2422"/>
      <c r="R71" s="2422"/>
      <c r="S71" s="2422"/>
      <c r="T71" s="2422"/>
      <c r="U71" s="2422"/>
      <c r="V71" s="2422"/>
      <c r="W71" s="2422"/>
      <c r="X71" s="2422"/>
      <c r="Y71" s="2422"/>
      <c r="Z71" s="2422"/>
      <c r="AA71" s="2422"/>
      <c r="AB71" s="2422"/>
      <c r="AC71" s="2422"/>
      <c r="AD71" s="2422"/>
      <c r="AE71" s="2422"/>
      <c r="AF71" s="211">
        <v>15</v>
      </c>
      <c r="AG71" s="2423">
        <f>IF('GENERAL INFO'!K15="x","",_art21+_art24)</f>
        <v>0</v>
      </c>
      <c r="AH71" s="2424"/>
      <c r="AI71" s="2424"/>
      <c r="AJ71" s="2424"/>
      <c r="AK71" s="2424"/>
      <c r="AL71" s="2424"/>
      <c r="AM71" s="2424"/>
      <c r="AN71" s="2424"/>
      <c r="AO71" s="2425"/>
      <c r="AP71" s="1"/>
    </row>
    <row r="72" spans="1:42" ht="3.75" customHeight="1">
      <c r="A72" s="55"/>
      <c r="B72" s="2418"/>
      <c r="C72" s="2419"/>
      <c r="D72" s="2419"/>
      <c r="E72" s="2420"/>
      <c r="F72" s="1"/>
      <c r="G72" s="59"/>
      <c r="H72" s="48"/>
      <c r="I72" s="1572"/>
      <c r="J72" s="1572"/>
      <c r="K72" s="1572"/>
      <c r="L72" s="1572"/>
      <c r="M72" s="1572"/>
      <c r="N72" s="1572"/>
      <c r="O72" s="1572"/>
      <c r="P72" s="1572"/>
      <c r="Q72" s="1572"/>
      <c r="R72" s="1572"/>
      <c r="S72" s="1572"/>
      <c r="T72" s="1572"/>
      <c r="U72" s="1572"/>
      <c r="V72" s="1572"/>
      <c r="W72" s="1572"/>
      <c r="X72" s="54"/>
      <c r="Y72" s="54"/>
      <c r="Z72" s="54"/>
      <c r="AA72" s="54"/>
      <c r="AB72" s="54"/>
      <c r="AC72" s="54"/>
      <c r="AD72" s="48"/>
      <c r="AE72" s="48"/>
      <c r="AF72" s="212"/>
      <c r="AG72" s="1773"/>
      <c r="AH72" s="1773"/>
      <c r="AI72" s="1773"/>
      <c r="AJ72" s="1773"/>
      <c r="AK72" s="1771"/>
      <c r="AL72" s="1771"/>
      <c r="AM72" s="1771"/>
      <c r="AN72" s="1771"/>
      <c r="AO72" s="1772"/>
      <c r="AP72" s="65"/>
    </row>
    <row r="73" spans="1:42" ht="15" customHeight="1">
      <c r="B73" s="2418"/>
      <c r="C73" s="2419"/>
      <c r="D73" s="2419"/>
      <c r="E73" s="2420"/>
      <c r="F73" s="1"/>
      <c r="G73" s="1581" t="s">
        <v>38</v>
      </c>
      <c r="H73" s="48"/>
      <c r="I73" s="797" t="str">
        <f>IF('GENERAL INFO'!K15="x","",IF(AG73&gt;0,"x",""))</f>
        <v/>
      </c>
      <c r="J73" s="1572"/>
      <c r="K73" s="69" t="s">
        <v>39</v>
      </c>
      <c r="L73" s="70" t="s">
        <v>788</v>
      </c>
      <c r="M73" s="70"/>
      <c r="N73" s="71"/>
      <c r="O73" s="71"/>
      <c r="P73" s="71"/>
      <c r="Q73" s="71"/>
      <c r="R73" s="71"/>
      <c r="S73" s="72"/>
      <c r="T73" s="72"/>
      <c r="U73" s="2426" t="s">
        <v>193</v>
      </c>
      <c r="V73" s="2426"/>
      <c r="W73" s="58"/>
      <c r="X73" s="48"/>
      <c r="Y73" s="48"/>
      <c r="Z73" s="48"/>
      <c r="AA73" s="48"/>
      <c r="AB73" s="48"/>
      <c r="AC73" s="48"/>
      <c r="AD73" s="48"/>
      <c r="AE73" s="48"/>
      <c r="AF73" s="2399">
        <v>16</v>
      </c>
      <c r="AG73" s="2408">
        <f>IF('GENERAL INFO'!K15="x","",IF(AG68-AG71&lt;0,0,AG68-AG71))</f>
        <v>0</v>
      </c>
      <c r="AH73" s="2409"/>
      <c r="AI73" s="2409"/>
      <c r="AJ73" s="2409"/>
      <c r="AK73" s="2409"/>
      <c r="AL73" s="2409"/>
      <c r="AM73" s="2409"/>
      <c r="AN73" s="2409"/>
      <c r="AO73" s="2410"/>
      <c r="AP73" s="35"/>
    </row>
    <row r="74" spans="1:42" ht="2.25" customHeight="1">
      <c r="A74" s="55"/>
      <c r="B74" s="2418"/>
      <c r="C74" s="2419"/>
      <c r="D74" s="2419"/>
      <c r="E74" s="2420"/>
      <c r="F74" s="1"/>
      <c r="G74" s="59"/>
      <c r="H74" s="48"/>
      <c r="I74" s="69"/>
      <c r="J74" s="69"/>
      <c r="K74" s="69"/>
      <c r="L74" s="73"/>
      <c r="M74" s="73"/>
      <c r="N74" s="73"/>
      <c r="O74" s="73"/>
      <c r="P74" s="73"/>
      <c r="Q74" s="73"/>
      <c r="R74" s="73"/>
      <c r="S74" s="73"/>
      <c r="T74" s="73"/>
      <c r="U74" s="2426"/>
      <c r="V74" s="2426"/>
      <c r="W74" s="1575"/>
      <c r="X74" s="48"/>
      <c r="Y74" s="48"/>
      <c r="Z74" s="48"/>
      <c r="AA74" s="48"/>
      <c r="AB74" s="48"/>
      <c r="AC74" s="48"/>
      <c r="AD74" s="48"/>
      <c r="AE74" s="48"/>
      <c r="AF74" s="2407"/>
      <c r="AG74" s="2411"/>
      <c r="AH74" s="2412"/>
      <c r="AI74" s="2412"/>
      <c r="AJ74" s="2412"/>
      <c r="AK74" s="2412"/>
      <c r="AL74" s="2412"/>
      <c r="AM74" s="2412"/>
      <c r="AN74" s="2412"/>
      <c r="AO74" s="2413"/>
      <c r="AP74" s="35"/>
    </row>
    <row r="75" spans="1:42" ht="13.5" customHeight="1">
      <c r="A75" s="55"/>
      <c r="B75" s="2418"/>
      <c r="C75" s="2419"/>
      <c r="D75" s="2419"/>
      <c r="E75" s="2420"/>
      <c r="F75" s="1"/>
      <c r="G75" s="59"/>
      <c r="H75" s="48"/>
      <c r="I75" s="798" t="str">
        <f>IF('GENERAL INFO'!K15="x","",IF(AG73&lt;0,"x",""))</f>
        <v/>
      </c>
      <c r="J75" s="1572"/>
      <c r="K75" s="69" t="s">
        <v>41</v>
      </c>
      <c r="L75" s="1577" t="s">
        <v>789</v>
      </c>
      <c r="M75" s="1577"/>
      <c r="N75" s="1575"/>
      <c r="O75" s="1575"/>
      <c r="P75" s="1575"/>
      <c r="Q75" s="1575"/>
      <c r="R75" s="1575"/>
      <c r="S75" s="74"/>
      <c r="T75" s="74"/>
      <c r="U75" s="2426"/>
      <c r="V75" s="2426"/>
      <c r="W75" s="1575"/>
      <c r="X75" s="48"/>
      <c r="Y75" s="48"/>
      <c r="Z75" s="48"/>
      <c r="AA75" s="48"/>
      <c r="AB75" s="48"/>
      <c r="AC75" s="48"/>
      <c r="AD75" s="48"/>
      <c r="AE75" s="48"/>
      <c r="AF75" s="2400"/>
      <c r="AG75" s="2414"/>
      <c r="AH75" s="2415"/>
      <c r="AI75" s="2415"/>
      <c r="AJ75" s="2415"/>
      <c r="AK75" s="2415"/>
      <c r="AL75" s="2415"/>
      <c r="AM75" s="2415"/>
      <c r="AN75" s="2415"/>
      <c r="AO75" s="2416"/>
      <c r="AP75" s="35"/>
    </row>
    <row r="76" spans="1:42" ht="3.75" customHeight="1">
      <c r="A76" s="55"/>
      <c r="B76" s="2418"/>
      <c r="C76" s="2419"/>
      <c r="D76" s="2419"/>
      <c r="E76" s="2420"/>
      <c r="F76" s="1"/>
      <c r="G76" s="59"/>
      <c r="H76" s="48"/>
      <c r="I76" s="1577"/>
      <c r="J76" s="1577"/>
      <c r="K76" s="1577"/>
      <c r="L76" s="1577"/>
      <c r="M76" s="1577"/>
      <c r="N76" s="1577"/>
      <c r="O76" s="1577"/>
      <c r="P76" s="1577"/>
      <c r="Q76" s="75"/>
      <c r="R76" s="75"/>
      <c r="S76" s="75"/>
      <c r="T76" s="1572"/>
      <c r="U76" s="1572"/>
      <c r="V76" s="1572"/>
      <c r="W76" s="1572"/>
      <c r="X76" s="54"/>
      <c r="Y76" s="54"/>
      <c r="Z76" s="53"/>
      <c r="AA76" s="54"/>
      <c r="AB76" s="54"/>
      <c r="AC76" s="54"/>
      <c r="AD76" s="1584"/>
      <c r="AE76" s="1584"/>
      <c r="AF76" s="210"/>
      <c r="AG76" s="1773"/>
      <c r="AH76" s="1773"/>
      <c r="AI76" s="1773"/>
      <c r="AJ76" s="1773"/>
      <c r="AK76" s="1773"/>
      <c r="AL76" s="1773"/>
      <c r="AM76" s="1773"/>
      <c r="AN76" s="1773"/>
      <c r="AO76" s="1774"/>
      <c r="AP76" s="35"/>
    </row>
    <row r="77" spans="1:42" ht="24" customHeight="1">
      <c r="B77" s="2418"/>
      <c r="C77" s="2419"/>
      <c r="D77" s="2419"/>
      <c r="E77" s="2420"/>
      <c r="F77" s="1"/>
      <c r="G77" s="1581" t="s">
        <v>43</v>
      </c>
      <c r="H77" s="48"/>
      <c r="I77" s="2427" t="s">
        <v>790</v>
      </c>
      <c r="J77" s="2427"/>
      <c r="K77" s="2427"/>
      <c r="L77" s="2427"/>
      <c r="M77" s="2427"/>
      <c r="N77" s="2427"/>
      <c r="O77" s="2427"/>
      <c r="P77" s="69" t="s">
        <v>39</v>
      </c>
      <c r="Q77" s="2428" t="s">
        <v>791</v>
      </c>
      <c r="R77" s="2397"/>
      <c r="S77" s="2397"/>
      <c r="T77" s="2397"/>
      <c r="U77" s="2397"/>
      <c r="V77" s="2397"/>
      <c r="W77" s="2397"/>
      <c r="X77" s="2397"/>
      <c r="Y77" s="2397"/>
      <c r="Z77" s="2397"/>
      <c r="AA77" s="2397"/>
      <c r="AB77" s="2397"/>
      <c r="AC77" s="2397"/>
      <c r="AD77" s="2397"/>
      <c r="AE77" s="2398"/>
      <c r="AF77" s="211" t="s">
        <v>299</v>
      </c>
      <c r="AG77" s="2423">
        <f>IF('GENERAL INFO'!K15="x","",'GENERAL INFO'!K121)</f>
        <v>0</v>
      </c>
      <c r="AH77" s="2424"/>
      <c r="AI77" s="2424"/>
      <c r="AJ77" s="2424"/>
      <c r="AK77" s="2424"/>
      <c r="AL77" s="2424"/>
      <c r="AM77" s="2424"/>
      <c r="AN77" s="2424"/>
      <c r="AO77" s="2425"/>
      <c r="AP77" s="35"/>
    </row>
    <row r="78" spans="1:42" ht="2.25" customHeight="1">
      <c r="A78" s="68"/>
      <c r="B78" s="2418"/>
      <c r="C78" s="2419"/>
      <c r="D78" s="2419"/>
      <c r="E78" s="2420"/>
      <c r="F78" s="35"/>
      <c r="G78" s="1572"/>
      <c r="H78" s="54"/>
      <c r="I78" s="1572"/>
      <c r="J78" s="1572"/>
      <c r="K78" s="1572"/>
      <c r="L78" s="1577"/>
      <c r="M78" s="69"/>
      <c r="N78" s="1577"/>
      <c r="O78" s="1577"/>
      <c r="P78" s="1577"/>
      <c r="Q78" s="1577"/>
      <c r="R78" s="1575"/>
      <c r="S78" s="1575"/>
      <c r="T78" s="1577"/>
      <c r="U78" s="1577"/>
      <c r="V78" s="1577"/>
      <c r="W78" s="1577"/>
      <c r="X78" s="63"/>
      <c r="Y78" s="63"/>
      <c r="Z78" s="54"/>
      <c r="AA78" s="54"/>
      <c r="AB78" s="54"/>
      <c r="AC78" s="54"/>
      <c r="AD78" s="48"/>
      <c r="AE78" s="48"/>
      <c r="AF78" s="42"/>
      <c r="AG78" s="1773"/>
      <c r="AH78" s="1773"/>
      <c r="AI78" s="1773"/>
      <c r="AJ78" s="1773"/>
      <c r="AK78" s="1773"/>
      <c r="AL78" s="1773"/>
      <c r="AM78" s="1773"/>
      <c r="AN78" s="1773"/>
      <c r="AO78" s="1774"/>
      <c r="AP78" s="35"/>
    </row>
    <row r="79" spans="1:42" ht="24" customHeight="1">
      <c r="A79" s="68"/>
      <c r="B79" s="2418"/>
      <c r="C79" s="2419"/>
      <c r="D79" s="2419"/>
      <c r="E79" s="2420"/>
      <c r="F79" s="35"/>
      <c r="G79" s="1572"/>
      <c r="H79" s="170"/>
      <c r="I79" s="1582"/>
      <c r="J79" s="1582"/>
      <c r="K79" s="1582"/>
      <c r="L79" s="1583"/>
      <c r="M79" s="1583"/>
      <c r="N79" s="1583"/>
      <c r="O79" s="171"/>
      <c r="P79" s="145" t="s">
        <v>41</v>
      </c>
      <c r="Q79" s="2429" t="s">
        <v>792</v>
      </c>
      <c r="R79" s="2430"/>
      <c r="S79" s="2430"/>
      <c r="T79" s="2430"/>
      <c r="U79" s="2430"/>
      <c r="V79" s="2430"/>
      <c r="W79" s="2430"/>
      <c r="X79" s="2430"/>
      <c r="Y79" s="2430"/>
      <c r="Z79" s="2430"/>
      <c r="AA79" s="2430"/>
      <c r="AB79" s="2430"/>
      <c r="AC79" s="2430"/>
      <c r="AD79" s="2430"/>
      <c r="AE79" s="2431"/>
      <c r="AF79" s="457" t="s">
        <v>300</v>
      </c>
      <c r="AG79" s="2454">
        <f>IF('GENERAL INFO'!K15="x","",'GENERAL INFO'!O121)</f>
        <v>0</v>
      </c>
      <c r="AH79" s="2455"/>
      <c r="AI79" s="2455"/>
      <c r="AJ79" s="2455"/>
      <c r="AK79" s="2455"/>
      <c r="AL79" s="2455"/>
      <c r="AM79" s="2455"/>
      <c r="AN79" s="2455"/>
      <c r="AO79" s="2456"/>
      <c r="AP79" s="35"/>
    </row>
    <row r="80" spans="1:42" ht="3" customHeight="1">
      <c r="A80" s="68"/>
      <c r="B80" s="2418"/>
      <c r="C80" s="2419"/>
      <c r="D80" s="2419"/>
      <c r="E80" s="2420"/>
      <c r="F80" s="35"/>
      <c r="G80" s="1572"/>
      <c r="H80" s="170"/>
      <c r="I80" s="1582"/>
      <c r="J80" s="1582"/>
      <c r="K80" s="1582"/>
      <c r="L80" s="145"/>
      <c r="M80" s="1583"/>
      <c r="N80" s="171"/>
      <c r="O80" s="171"/>
      <c r="P80" s="171"/>
      <c r="Q80" s="171"/>
      <c r="R80" s="1583"/>
      <c r="S80" s="1583"/>
      <c r="T80" s="171"/>
      <c r="U80" s="171"/>
      <c r="V80" s="171"/>
      <c r="W80" s="171"/>
      <c r="X80" s="444"/>
      <c r="Y80" s="444"/>
      <c r="Z80" s="170"/>
      <c r="AA80" s="170"/>
      <c r="AB80" s="170"/>
      <c r="AC80" s="170"/>
      <c r="AD80" s="458"/>
      <c r="AE80" s="458"/>
      <c r="AF80" s="45"/>
      <c r="AG80" s="1779"/>
      <c r="AH80" s="1779"/>
      <c r="AI80" s="1779"/>
      <c r="AJ80" s="1779"/>
      <c r="AK80" s="1779"/>
      <c r="AL80" s="1779"/>
      <c r="AM80" s="1779"/>
      <c r="AN80" s="1779"/>
      <c r="AO80" s="1780"/>
      <c r="AP80" s="35"/>
    </row>
    <row r="81" spans="1:42" ht="3" customHeight="1">
      <c r="A81" s="68"/>
      <c r="B81" s="2418"/>
      <c r="C81" s="2419"/>
      <c r="D81" s="2419"/>
      <c r="E81" s="2420"/>
      <c r="F81" s="35"/>
      <c r="G81" s="1572"/>
      <c r="H81" s="390"/>
      <c r="I81" s="1582"/>
      <c r="J81" s="1582"/>
      <c r="K81" s="1582"/>
      <c r="L81" s="1582"/>
      <c r="M81" s="145"/>
      <c r="N81" s="171"/>
      <c r="O81" s="171"/>
      <c r="P81" s="171"/>
      <c r="Q81" s="171"/>
      <c r="R81" s="171"/>
      <c r="S81" s="171"/>
      <c r="T81" s="171"/>
      <c r="U81" s="171"/>
      <c r="V81" s="171"/>
      <c r="W81" s="171"/>
      <c r="X81" s="441"/>
      <c r="Y81" s="441"/>
      <c r="Z81" s="390"/>
      <c r="AA81" s="390"/>
      <c r="AB81" s="390"/>
      <c r="AC81" s="390"/>
      <c r="AD81" s="40"/>
      <c r="AE81" s="40"/>
      <c r="AF81" s="391"/>
      <c r="AG81" s="1779"/>
      <c r="AH81" s="1779"/>
      <c r="AI81" s="1779"/>
      <c r="AJ81" s="1779"/>
      <c r="AK81" s="1779"/>
      <c r="AL81" s="1779"/>
      <c r="AM81" s="1779"/>
      <c r="AN81" s="1779"/>
      <c r="AO81" s="1780"/>
      <c r="AP81" s="35"/>
    </row>
    <row r="82" spans="1:42" ht="24" customHeight="1">
      <c r="B82" s="2418"/>
      <c r="C82" s="2419"/>
      <c r="D82" s="2419"/>
      <c r="E82" s="2420"/>
      <c r="F82" s="1"/>
      <c r="G82" s="1581" t="s">
        <v>48</v>
      </c>
      <c r="H82" s="458"/>
      <c r="I82" s="2429" t="s">
        <v>813</v>
      </c>
      <c r="J82" s="2457"/>
      <c r="K82" s="2457"/>
      <c r="L82" s="2457"/>
      <c r="M82" s="2457"/>
      <c r="N82" s="2457"/>
      <c r="O82" s="2457"/>
      <c r="P82" s="2457"/>
      <c r="Q82" s="2457"/>
      <c r="R82" s="2457"/>
      <c r="S82" s="2457"/>
      <c r="T82" s="2457"/>
      <c r="U82" s="2457"/>
      <c r="V82" s="2457"/>
      <c r="W82" s="2457"/>
      <c r="X82" s="2457"/>
      <c r="Y82" s="2457"/>
      <c r="Z82" s="2457"/>
      <c r="AA82" s="2457"/>
      <c r="AB82" s="2457"/>
      <c r="AC82" s="2457"/>
      <c r="AD82" s="2457"/>
      <c r="AE82" s="2458"/>
      <c r="AF82" s="457">
        <v>18</v>
      </c>
      <c r="AG82" s="2454">
        <f>IF('GENERAL INFO'!K15="x","",AG77+AG79)</f>
        <v>0</v>
      </c>
      <c r="AH82" s="2455"/>
      <c r="AI82" s="2455"/>
      <c r="AJ82" s="2455"/>
      <c r="AK82" s="2455"/>
      <c r="AL82" s="2455"/>
      <c r="AM82" s="2455"/>
      <c r="AN82" s="2455"/>
      <c r="AO82" s="2456"/>
      <c r="AP82" s="35"/>
    </row>
    <row r="83" spans="1:42" ht="3.75" customHeight="1">
      <c r="B83" s="280"/>
      <c r="C83" s="281"/>
      <c r="D83" s="281"/>
      <c r="E83" s="270"/>
      <c r="F83" s="76"/>
      <c r="G83" s="1607"/>
      <c r="H83" s="459"/>
      <c r="I83" s="460"/>
      <c r="J83" s="460"/>
      <c r="K83" s="460"/>
      <c r="L83" s="459"/>
      <c r="M83" s="461"/>
      <c r="N83" s="459"/>
      <c r="O83" s="462"/>
      <c r="P83" s="459"/>
      <c r="Q83" s="459"/>
      <c r="R83" s="459"/>
      <c r="S83" s="459"/>
      <c r="T83" s="459"/>
      <c r="U83" s="459"/>
      <c r="V83" s="459"/>
      <c r="W83" s="459"/>
      <c r="X83" s="462"/>
      <c r="Y83" s="462"/>
      <c r="Z83" s="461"/>
      <c r="AA83" s="461"/>
      <c r="AB83" s="461"/>
      <c r="AC83" s="461"/>
      <c r="AD83" s="459"/>
      <c r="AE83" s="459"/>
      <c r="AF83" s="463"/>
      <c r="AG83" s="1781"/>
      <c r="AH83" s="1781"/>
      <c r="AI83" s="1781"/>
      <c r="AJ83" s="1781"/>
      <c r="AK83" s="1781"/>
      <c r="AL83" s="1781"/>
      <c r="AM83" s="1781"/>
      <c r="AN83" s="1781"/>
      <c r="AO83" s="1782"/>
      <c r="AP83" s="35"/>
    </row>
    <row r="84" spans="1:42" ht="6.75" customHeight="1">
      <c r="A84" s="49"/>
      <c r="B84" s="2386" t="s">
        <v>798</v>
      </c>
      <c r="C84" s="2387"/>
      <c r="D84" s="2387"/>
      <c r="E84" s="2388"/>
      <c r="F84" s="283"/>
      <c r="G84" s="283"/>
      <c r="H84" s="773"/>
      <c r="I84" s="284"/>
      <c r="J84" s="284"/>
      <c r="K84" s="284"/>
      <c r="L84" s="284"/>
      <c r="M84" s="284"/>
      <c r="N84" s="285"/>
      <c r="O84" s="285"/>
      <c r="P84" s="285"/>
      <c r="Q84" s="285"/>
      <c r="R84" s="285"/>
      <c r="S84" s="285"/>
      <c r="T84" s="285"/>
      <c r="U84" s="285"/>
      <c r="V84" s="285"/>
      <c r="W84" s="285"/>
      <c r="X84" s="285"/>
      <c r="Y84" s="285"/>
      <c r="Z84" s="285"/>
      <c r="AA84" s="285"/>
      <c r="AB84" s="285"/>
      <c r="AC84" s="285"/>
      <c r="AD84" s="241"/>
      <c r="AE84" s="241"/>
      <c r="AF84" s="286"/>
      <c r="AG84" s="1783"/>
      <c r="AH84" s="1783"/>
      <c r="AI84" s="1783"/>
      <c r="AJ84" s="1783"/>
      <c r="AK84" s="1783"/>
      <c r="AL84" s="1783"/>
      <c r="AM84" s="1783"/>
      <c r="AN84" s="1783"/>
      <c r="AO84" s="1784"/>
      <c r="AP84" s="65"/>
    </row>
    <row r="85" spans="1:42" ht="15" customHeight="1">
      <c r="B85" s="2389"/>
      <c r="C85" s="2390"/>
      <c r="D85" s="2390"/>
      <c r="E85" s="2391"/>
      <c r="F85" s="1"/>
      <c r="G85" s="2439" t="s">
        <v>49</v>
      </c>
      <c r="H85" s="48"/>
      <c r="I85" s="42" t="s">
        <v>39</v>
      </c>
      <c r="J85" s="798" t="str">
        <f>IF('GENERAL INFO'!K15="x","",IF(AG85="NIL","",IF(AG85&gt;0,"x","")))</f>
        <v/>
      </c>
      <c r="K85" s="223" t="s">
        <v>814</v>
      </c>
      <c r="L85" s="76"/>
      <c r="M85" s="76"/>
      <c r="N85" s="77"/>
      <c r="O85" s="77"/>
      <c r="P85" s="78"/>
      <c r="Q85" s="78"/>
      <c r="R85" s="78"/>
      <c r="S85" s="78"/>
      <c r="T85" s="77"/>
      <c r="U85" s="2426" t="s">
        <v>51</v>
      </c>
      <c r="V85" s="2426"/>
      <c r="W85" s="2440" t="s">
        <v>793</v>
      </c>
      <c r="X85" s="2440"/>
      <c r="Y85" s="797" t="str">
        <f>IF('GENERAL INFO'!F44="","",'GENERAL INFO'!F44)</f>
        <v/>
      </c>
      <c r="Z85" s="797" t="str">
        <f>IF('GENERAL INFO'!G44="","",'GENERAL INFO'!G44)</f>
        <v/>
      </c>
      <c r="AA85" s="797" t="str">
        <f>IF('GENERAL INFO'!H44="","",'GENERAL INFO'!H44)</f>
        <v/>
      </c>
      <c r="AB85" s="797" t="str">
        <f>IF('GENERAL INFO'!I44="","",'GENERAL INFO'!I44)</f>
        <v/>
      </c>
      <c r="AC85" s="797" t="str">
        <f>IF('GENERAL INFO'!J44="","",'GENERAL INFO'!J44)</f>
        <v/>
      </c>
      <c r="AD85" s="797" t="str">
        <f>IF('GENERAL INFO'!K44="","",'GENERAL INFO'!K44)</f>
        <v/>
      </c>
      <c r="AE85" s="48"/>
      <c r="AF85" s="2399">
        <v>19</v>
      </c>
      <c r="AG85" s="2408" t="str">
        <f>IF('GENERAL INFO'!K15="x","",IF(AG73-AG82=0,"NIL",AG73-AG82))</f>
        <v>NIL</v>
      </c>
      <c r="AH85" s="2409"/>
      <c r="AI85" s="2409"/>
      <c r="AJ85" s="2409"/>
      <c r="AK85" s="2409"/>
      <c r="AL85" s="2409"/>
      <c r="AM85" s="2409"/>
      <c r="AN85" s="2409"/>
      <c r="AO85" s="2410"/>
      <c r="AP85" s="1"/>
    </row>
    <row r="86" spans="1:42" ht="1.5" customHeight="1">
      <c r="B86" s="2389"/>
      <c r="C86" s="2390"/>
      <c r="D86" s="2390"/>
      <c r="E86" s="2391"/>
      <c r="F86" s="1"/>
      <c r="G86" s="2439"/>
      <c r="H86" s="48"/>
      <c r="I86" s="54"/>
      <c r="J86" s="54"/>
      <c r="K86" s="1"/>
      <c r="L86" s="42"/>
      <c r="M86" s="48"/>
      <c r="N86" s="54"/>
      <c r="O86" s="54"/>
      <c r="P86" s="48"/>
      <c r="Q86" s="48"/>
      <c r="R86" s="48"/>
      <c r="S86" s="48"/>
      <c r="T86" s="54"/>
      <c r="U86" s="2426"/>
      <c r="V86" s="2426"/>
      <c r="W86" s="2440"/>
      <c r="X86" s="2440"/>
      <c r="Y86" s="54"/>
      <c r="Z86" s="54"/>
      <c r="AA86" s="54"/>
      <c r="AB86" s="54"/>
      <c r="AC86" s="54"/>
      <c r="AD86" s="48"/>
      <c r="AE86" s="48"/>
      <c r="AF86" s="2407"/>
      <c r="AG86" s="2411"/>
      <c r="AH86" s="2412"/>
      <c r="AI86" s="2412"/>
      <c r="AJ86" s="2412"/>
      <c r="AK86" s="2412"/>
      <c r="AL86" s="2412"/>
      <c r="AM86" s="2412"/>
      <c r="AN86" s="2412"/>
      <c r="AO86" s="2413"/>
      <c r="AP86" s="1"/>
    </row>
    <row r="87" spans="1:42" ht="14.25" customHeight="1">
      <c r="A87" s="68"/>
      <c r="B87" s="2389"/>
      <c r="C87" s="2390"/>
      <c r="D87" s="2390"/>
      <c r="E87" s="2391"/>
      <c r="F87" s="1"/>
      <c r="G87" s="53"/>
      <c r="H87" s="48"/>
      <c r="I87" s="42" t="s">
        <v>41</v>
      </c>
      <c r="J87" s="798" t="str">
        <f>IF('GENERAL INFO'!K15="x","",IF(AG85="NIL","",IF(AG85&lt;0,"x","")))</f>
        <v/>
      </c>
      <c r="K87" s="63" t="s">
        <v>815</v>
      </c>
      <c r="L87" s="1"/>
      <c r="M87" s="1"/>
      <c r="N87" s="54"/>
      <c r="O87" s="54"/>
      <c r="P87" s="48"/>
      <c r="Q87" s="48"/>
      <c r="R87" s="48"/>
      <c r="S87" s="48"/>
      <c r="T87" s="54"/>
      <c r="U87" s="2426"/>
      <c r="V87" s="2426"/>
      <c r="W87" s="2440"/>
      <c r="X87" s="2440"/>
      <c r="Y87" s="2417" t="s">
        <v>565</v>
      </c>
      <c r="Z87" s="2417"/>
      <c r="AA87" s="2417" t="s">
        <v>794</v>
      </c>
      <c r="AB87" s="2417"/>
      <c r="AC87" s="2417" t="s">
        <v>795</v>
      </c>
      <c r="AD87" s="2417"/>
      <c r="AE87" s="80"/>
      <c r="AF87" s="2400"/>
      <c r="AG87" s="2414"/>
      <c r="AH87" s="2415"/>
      <c r="AI87" s="2415"/>
      <c r="AJ87" s="2415"/>
      <c r="AK87" s="2415"/>
      <c r="AL87" s="2415"/>
      <c r="AM87" s="2415"/>
      <c r="AN87" s="2415"/>
      <c r="AO87" s="2416"/>
      <c r="AP87" s="1"/>
    </row>
    <row r="88" spans="1:42" ht="3" customHeight="1">
      <c r="A88" s="68"/>
      <c r="B88" s="2389"/>
      <c r="C88" s="2390"/>
      <c r="D88" s="2390"/>
      <c r="E88" s="2391"/>
      <c r="F88" s="1"/>
      <c r="G88" s="53"/>
      <c r="H88" s="48"/>
      <c r="I88" s="42"/>
      <c r="J88" s="54"/>
      <c r="K88" s="63"/>
      <c r="L88" s="1"/>
      <c r="M88" s="1"/>
      <c r="N88" s="54"/>
      <c r="O88" s="54"/>
      <c r="P88" s="48"/>
      <c r="Q88" s="48"/>
      <c r="R88" s="48"/>
      <c r="S88" s="48"/>
      <c r="T88" s="54"/>
      <c r="U88" s="1585"/>
      <c r="V88" s="1585"/>
      <c r="W88" s="1586"/>
      <c r="X88" s="1586"/>
      <c r="Y88" s="1587"/>
      <c r="Z88" s="1587"/>
      <c r="AA88" s="1587"/>
      <c r="AB88" s="1587"/>
      <c r="AC88" s="1587"/>
      <c r="AD88" s="1587"/>
      <c r="AE88" s="80"/>
      <c r="AF88" s="42"/>
      <c r="AG88" s="1589"/>
      <c r="AH88" s="1589"/>
      <c r="AI88" s="1589"/>
      <c r="AJ88" s="1589"/>
      <c r="AK88" s="1589"/>
      <c r="AL88" s="1589"/>
      <c r="AM88" s="1589"/>
      <c r="AN88" s="1589"/>
      <c r="AO88" s="383"/>
      <c r="AP88" s="1"/>
    </row>
    <row r="89" spans="1:42" ht="9.9499999999999993" customHeight="1">
      <c r="A89" s="68"/>
      <c r="B89" s="2389"/>
      <c r="C89" s="2390"/>
      <c r="D89" s="2390"/>
      <c r="E89" s="2391"/>
      <c r="F89" s="1"/>
      <c r="G89" s="1584" t="s">
        <v>54</v>
      </c>
      <c r="H89" s="48"/>
      <c r="I89" s="63" t="s">
        <v>796</v>
      </c>
      <c r="J89" s="63"/>
      <c r="K89" s="79"/>
      <c r="L89" s="79"/>
      <c r="M89" s="79"/>
      <c r="N89" s="79"/>
      <c r="O89" s="81"/>
      <c r="P89" s="48"/>
      <c r="Q89" s="48"/>
      <c r="R89" s="48"/>
      <c r="V89" s="2432" t="s">
        <v>39</v>
      </c>
      <c r="W89" s="2433" t="str">
        <f>IF('GENERAL INFO'!F46="x","x","")</f>
        <v/>
      </c>
      <c r="X89" s="2435" t="s">
        <v>417</v>
      </c>
      <c r="Y89" s="2436"/>
      <c r="Z89" s="2436"/>
      <c r="AA89" s="2436"/>
      <c r="AB89" s="2436"/>
      <c r="AC89" s="2441" t="s">
        <v>46</v>
      </c>
      <c r="AD89" s="2437" t="str">
        <f>IF('GENERAL INFO'!O46="x","x","")</f>
        <v/>
      </c>
      <c r="AE89" s="524"/>
      <c r="AF89" s="2442" t="s">
        <v>419</v>
      </c>
      <c r="AG89" s="2442"/>
      <c r="AH89" s="2442"/>
      <c r="AI89" s="2442"/>
      <c r="AJ89" s="2442"/>
      <c r="AK89" s="2442"/>
      <c r="AL89" s="2442"/>
      <c r="AM89" s="2442"/>
      <c r="AN89" s="2442"/>
      <c r="AO89" s="2443"/>
      <c r="AP89" s="65"/>
    </row>
    <row r="90" spans="1:42" ht="9.9499999999999993" customHeight="1">
      <c r="A90" s="68"/>
      <c r="B90" s="2389"/>
      <c r="C90" s="2390"/>
      <c r="D90" s="2390"/>
      <c r="E90" s="2391"/>
      <c r="F90" s="1"/>
      <c r="G90" s="1584"/>
      <c r="H90" s="48"/>
      <c r="I90" s="63"/>
      <c r="J90" s="63"/>
      <c r="K90" s="79"/>
      <c r="L90" s="79"/>
      <c r="M90" s="79"/>
      <c r="N90" s="79"/>
      <c r="O90" s="79"/>
      <c r="P90" s="48"/>
      <c r="Q90" s="48"/>
      <c r="R90" s="48"/>
      <c r="V90" s="2432"/>
      <c r="W90" s="2434"/>
      <c r="X90" s="2435"/>
      <c r="Y90" s="2436"/>
      <c r="Z90" s="2436"/>
      <c r="AA90" s="2436"/>
      <c r="AB90" s="2436"/>
      <c r="AC90" s="2441"/>
      <c r="AD90" s="2438"/>
      <c r="AE90" s="524"/>
      <c r="AF90" s="2442"/>
      <c r="AG90" s="2442"/>
      <c r="AH90" s="2442"/>
      <c r="AI90" s="2442"/>
      <c r="AJ90" s="2442"/>
      <c r="AK90" s="2442"/>
      <c r="AL90" s="2442"/>
      <c r="AM90" s="2442"/>
      <c r="AN90" s="2442"/>
      <c r="AO90" s="2443"/>
      <c r="AP90" s="65"/>
    </row>
    <row r="91" spans="1:42" ht="3" customHeight="1">
      <c r="A91" s="68"/>
      <c r="B91" s="2389"/>
      <c r="C91" s="2390"/>
      <c r="D91" s="2390"/>
      <c r="E91" s="2391"/>
      <c r="F91" s="1"/>
      <c r="G91" s="1584"/>
      <c r="H91" s="48"/>
      <c r="I91" s="63"/>
      <c r="J91" s="63"/>
      <c r="K91" s="79"/>
      <c r="L91" s="79"/>
      <c r="M91" s="79"/>
      <c r="N91" s="79"/>
      <c r="O91" s="79"/>
      <c r="P91" s="48"/>
      <c r="Q91" s="48"/>
      <c r="R91" s="48"/>
      <c r="V91" s="82"/>
      <c r="W91" s="54"/>
      <c r="X91" s="190"/>
      <c r="Y91" s="82"/>
      <c r="Z91" s="54"/>
      <c r="AA91" s="1592"/>
      <c r="AB91" s="1592"/>
      <c r="AC91" s="1592"/>
      <c r="AD91" s="1592"/>
      <c r="AE91" s="1592"/>
      <c r="AF91" s="135"/>
      <c r="AG91" s="83"/>
      <c r="AH91" s="65"/>
      <c r="AI91" s="65"/>
      <c r="AJ91" s="65"/>
      <c r="AK91" s="65"/>
      <c r="AL91" s="65"/>
      <c r="AM91" s="65"/>
      <c r="AN91" s="65"/>
      <c r="AO91" s="151"/>
      <c r="AP91" s="65"/>
    </row>
    <row r="92" spans="1:42" ht="9.9499999999999993" customHeight="1">
      <c r="A92" s="68"/>
      <c r="B92" s="2389"/>
      <c r="C92" s="2390"/>
      <c r="D92" s="2390"/>
      <c r="E92" s="2391"/>
      <c r="F92" s="1"/>
      <c r="G92" s="1584"/>
      <c r="H92" s="48"/>
      <c r="I92" s="63"/>
      <c r="J92" s="63"/>
      <c r="K92" s="79"/>
      <c r="L92" s="79"/>
      <c r="M92" s="79"/>
      <c r="N92" s="79"/>
      <c r="O92" s="79"/>
      <c r="P92" s="48"/>
      <c r="Q92" s="48"/>
      <c r="R92" s="48"/>
      <c r="V92" s="2375" t="s">
        <v>41</v>
      </c>
      <c r="W92" s="2459"/>
      <c r="X92" s="2405" t="s">
        <v>797</v>
      </c>
      <c r="Y92" s="2406"/>
      <c r="Z92" s="2406"/>
      <c r="AA92" s="2406"/>
      <c r="AB92" s="2406"/>
      <c r="AC92" s="2441" t="s">
        <v>47</v>
      </c>
      <c r="AD92" s="2437" t="str">
        <f>IF('GENERAL INFO'!O48="x","x","")</f>
        <v/>
      </c>
      <c r="AE92" s="524"/>
      <c r="AF92" s="2442" t="s">
        <v>422</v>
      </c>
      <c r="AG92" s="2442"/>
      <c r="AH92" s="2442"/>
      <c r="AI92" s="2442"/>
      <c r="AJ92" s="2442"/>
      <c r="AK92" s="2442"/>
      <c r="AL92" s="2442"/>
      <c r="AM92" s="2442"/>
      <c r="AN92" s="2442"/>
      <c r="AO92" s="2443"/>
      <c r="AP92" s="65"/>
    </row>
    <row r="93" spans="1:42" ht="9.9499999999999993" customHeight="1">
      <c r="A93" s="68"/>
      <c r="B93" s="2389"/>
      <c r="C93" s="2390"/>
      <c r="D93" s="2390"/>
      <c r="E93" s="2391"/>
      <c r="F93" s="1"/>
      <c r="G93" s="1584"/>
      <c r="H93" s="48"/>
      <c r="I93" s="63"/>
      <c r="J93" s="63"/>
      <c r="K93" s="79"/>
      <c r="L93" s="79"/>
      <c r="M93" s="79"/>
      <c r="N93" s="79"/>
      <c r="O93" s="79"/>
      <c r="P93" s="48"/>
      <c r="Q93" s="48"/>
      <c r="R93" s="48"/>
      <c r="V93" s="2375"/>
      <c r="W93" s="2460"/>
      <c r="X93" s="2405"/>
      <c r="Y93" s="2406"/>
      <c r="Z93" s="2406"/>
      <c r="AA93" s="2406"/>
      <c r="AB93" s="2406"/>
      <c r="AC93" s="2441"/>
      <c r="AD93" s="2438"/>
      <c r="AE93" s="523"/>
      <c r="AF93" s="2442"/>
      <c r="AG93" s="2442"/>
      <c r="AH93" s="2442"/>
      <c r="AI93" s="2442"/>
      <c r="AJ93" s="2442"/>
      <c r="AK93" s="2442"/>
      <c r="AL93" s="2442"/>
      <c r="AM93" s="2442"/>
      <c r="AN93" s="2442"/>
      <c r="AO93" s="2443"/>
      <c r="AP93" s="65"/>
    </row>
    <row r="94" spans="1:42" ht="7.5" customHeight="1">
      <c r="A94" s="68"/>
      <c r="B94" s="2392"/>
      <c r="C94" s="2393"/>
      <c r="D94" s="2393"/>
      <c r="E94" s="2394"/>
      <c r="F94" s="287"/>
      <c r="G94" s="287"/>
      <c r="H94" s="273"/>
      <c r="I94" s="70"/>
      <c r="J94" s="70"/>
      <c r="K94" s="288"/>
      <c r="L94" s="288"/>
      <c r="M94" s="288"/>
      <c r="N94" s="288"/>
      <c r="O94" s="288"/>
      <c r="P94" s="71"/>
      <c r="Q94" s="71"/>
      <c r="R94" s="71"/>
      <c r="S94" s="71"/>
      <c r="T94" s="289"/>
      <c r="U94" s="290"/>
      <c r="V94" s="290"/>
      <c r="W94" s="290"/>
      <c r="X94" s="464"/>
      <c r="Y94" s="465"/>
      <c r="Z94" s="466"/>
      <c r="AA94" s="466"/>
      <c r="AB94" s="466"/>
      <c r="AC94" s="291"/>
      <c r="AD94" s="291"/>
      <c r="AE94" s="291"/>
      <c r="AF94" s="136"/>
      <c r="AG94" s="291"/>
      <c r="AH94" s="257"/>
      <c r="AI94" s="257"/>
      <c r="AJ94" s="257"/>
      <c r="AK94" s="257"/>
      <c r="AL94" s="257"/>
      <c r="AM94" s="257"/>
      <c r="AN94" s="257"/>
      <c r="AO94" s="258"/>
      <c r="AP94" s="65"/>
    </row>
    <row r="95" spans="1:42" ht="6" customHeight="1">
      <c r="A95" s="49"/>
      <c r="B95" s="2386" t="s">
        <v>799</v>
      </c>
      <c r="C95" s="2387"/>
      <c r="D95" s="2387"/>
      <c r="E95" s="2388"/>
      <c r="F95" s="292"/>
      <c r="G95" s="241"/>
      <c r="H95" s="293"/>
      <c r="I95" s="241"/>
      <c r="J95" s="294"/>
      <c r="K95" s="295"/>
      <c r="L95" s="295"/>
      <c r="M95" s="295"/>
      <c r="N95" s="295"/>
      <c r="O95" s="295"/>
      <c r="P95" s="241"/>
      <c r="Q95" s="241"/>
      <c r="R95" s="295"/>
      <c r="S95" s="218"/>
      <c r="T95" s="218"/>
      <c r="U95" s="218"/>
      <c r="V95" s="218"/>
      <c r="W95" s="218"/>
      <c r="X95" s="218"/>
      <c r="Y95" s="218"/>
      <c r="Z95" s="293"/>
      <c r="AA95" s="293"/>
      <c r="AB95" s="293"/>
      <c r="AC95" s="241"/>
      <c r="AD95" s="241"/>
      <c r="AE95" s="241"/>
      <c r="AF95" s="296"/>
      <c r="AG95" s="241"/>
      <c r="AH95" s="241"/>
      <c r="AI95" s="241"/>
      <c r="AJ95" s="241"/>
      <c r="AK95" s="241"/>
      <c r="AL95" s="241"/>
      <c r="AM95" s="241"/>
      <c r="AN95" s="241"/>
      <c r="AO95" s="242"/>
      <c r="AP95" s="1"/>
    </row>
    <row r="96" spans="1:42" ht="6" customHeight="1">
      <c r="A96" s="49"/>
      <c r="B96" s="2389"/>
      <c r="C96" s="2390"/>
      <c r="D96" s="2390"/>
      <c r="E96" s="2391"/>
      <c r="F96" s="47"/>
      <c r="G96" s="2395" t="s">
        <v>57</v>
      </c>
      <c r="H96" s="48"/>
      <c r="I96" s="2396" t="s">
        <v>800</v>
      </c>
      <c r="J96" s="2396"/>
      <c r="K96" s="2396"/>
      <c r="L96" s="2396"/>
      <c r="M96" s="2396"/>
      <c r="N96" s="2396"/>
      <c r="O96" s="2396"/>
      <c r="P96" s="2396"/>
      <c r="Q96" s="2396"/>
      <c r="R96" s="2396"/>
      <c r="S96" s="2396"/>
      <c r="T96" s="2396"/>
      <c r="U96" s="2396"/>
      <c r="V96" s="2396"/>
      <c r="W96" s="2396"/>
      <c r="X96" s="2397"/>
      <c r="Y96" s="2397"/>
      <c r="Z96" s="2397"/>
      <c r="AA96" s="2397"/>
      <c r="AB96" s="2397"/>
      <c r="AC96" s="2397"/>
      <c r="AD96" s="2397"/>
      <c r="AE96" s="2398"/>
      <c r="AF96" s="2399">
        <v>21</v>
      </c>
      <c r="AG96" s="2401" t="e">
        <f>IF('GENERAL INFO'!K15="x","",IF(Attachment!X119&gt;1,ROUNDUP(Attachment!X119,-3),0))</f>
        <v>#DIV/0!</v>
      </c>
      <c r="AH96" s="2401"/>
      <c r="AI96" s="2401"/>
      <c r="AJ96" s="2401"/>
      <c r="AK96" s="2401"/>
      <c r="AL96" s="2401"/>
      <c r="AM96" s="2401"/>
      <c r="AN96" s="2401"/>
      <c r="AO96" s="2401"/>
      <c r="AP96" s="1"/>
    </row>
    <row r="97" spans="1:42" ht="14.25" customHeight="1">
      <c r="A97" s="85"/>
      <c r="B97" s="2389"/>
      <c r="C97" s="2390"/>
      <c r="D97" s="2390"/>
      <c r="E97" s="2391"/>
      <c r="F97" s="1"/>
      <c r="G97" s="2395"/>
      <c r="H97" s="48"/>
      <c r="I97" s="2396"/>
      <c r="J97" s="2396"/>
      <c r="K97" s="2396"/>
      <c r="L97" s="2396"/>
      <c r="M97" s="2396"/>
      <c r="N97" s="2396"/>
      <c r="O97" s="2396"/>
      <c r="P97" s="2396"/>
      <c r="Q97" s="2396"/>
      <c r="R97" s="2396"/>
      <c r="S97" s="2396"/>
      <c r="T97" s="2396"/>
      <c r="U97" s="2396"/>
      <c r="V97" s="2396"/>
      <c r="W97" s="2396"/>
      <c r="X97" s="2397"/>
      <c r="Y97" s="2397"/>
      <c r="Z97" s="2397"/>
      <c r="AA97" s="2397"/>
      <c r="AB97" s="2397"/>
      <c r="AC97" s="2397"/>
      <c r="AD97" s="2397"/>
      <c r="AE97" s="2398"/>
      <c r="AF97" s="2400"/>
      <c r="AG97" s="2401"/>
      <c r="AH97" s="2401"/>
      <c r="AI97" s="2401"/>
      <c r="AJ97" s="2401"/>
      <c r="AK97" s="2401"/>
      <c r="AL97" s="2401"/>
      <c r="AM97" s="2401"/>
      <c r="AN97" s="2401"/>
      <c r="AO97" s="2401"/>
      <c r="AP97" s="65"/>
    </row>
    <row r="98" spans="1:42" ht="7.5" customHeight="1">
      <c r="A98" s="85"/>
      <c r="B98" s="2389"/>
      <c r="C98" s="2390"/>
      <c r="D98" s="2390"/>
      <c r="E98" s="2391"/>
      <c r="F98" s="1"/>
      <c r="G98" s="1584"/>
      <c r="H98" s="48"/>
      <c r="I98" s="54" t="s">
        <v>801</v>
      </c>
      <c r="J98" s="1"/>
      <c r="K98" s="1"/>
      <c r="L98" s="1"/>
      <c r="M98" s="1"/>
      <c r="N98" s="48"/>
      <c r="O98" s="1"/>
      <c r="P98" s="54"/>
      <c r="Q98" s="1"/>
      <c r="R98" s="54"/>
      <c r="S98" s="1"/>
      <c r="T98" s="1"/>
      <c r="U98" s="48"/>
      <c r="V98" s="48"/>
      <c r="W98" s="48"/>
      <c r="X98" s="48"/>
      <c r="Y98" s="54"/>
      <c r="Z98" s="54"/>
      <c r="AA98" s="54"/>
      <c r="AB98" s="54"/>
      <c r="AC98" s="35"/>
      <c r="AD98" s="35"/>
      <c r="AE98" s="35"/>
      <c r="AF98" s="1581"/>
      <c r="AG98" s="65"/>
      <c r="AH98" s="65"/>
      <c r="AI98" s="65"/>
      <c r="AJ98" s="65"/>
      <c r="AK98" s="65"/>
      <c r="AL98" s="65"/>
      <c r="AM98" s="65"/>
      <c r="AN98" s="65"/>
      <c r="AO98" s="151"/>
      <c r="AP98" s="65"/>
    </row>
    <row r="99" spans="1:42" ht="7.5" customHeight="1">
      <c r="A99" s="85"/>
      <c r="B99" s="2389"/>
      <c r="C99" s="2390"/>
      <c r="D99" s="2390"/>
      <c r="E99" s="2391"/>
      <c r="F99" s="1"/>
      <c r="G99" s="1584"/>
      <c r="H99" s="48"/>
      <c r="I99" s="54"/>
      <c r="J99" s="1"/>
      <c r="K99" s="1"/>
      <c r="L99" s="1"/>
      <c r="M99" s="1"/>
      <c r="N99" s="48"/>
      <c r="O99" s="1"/>
      <c r="P99" s="54"/>
      <c r="Q99" s="1"/>
      <c r="R99" s="54"/>
      <c r="S99" s="1"/>
      <c r="T99" s="1"/>
      <c r="U99" s="48"/>
      <c r="V99" s="48"/>
      <c r="W99" s="48"/>
      <c r="X99" s="48"/>
      <c r="Y99" s="54"/>
      <c r="Z99" s="54"/>
      <c r="AA99" s="54"/>
      <c r="AB99" s="54"/>
      <c r="AC99" s="35"/>
      <c r="AD99" s="35"/>
      <c r="AE99" s="35"/>
      <c r="AF99" s="1581"/>
      <c r="AG99" s="65"/>
      <c r="AH99" s="65"/>
      <c r="AI99" s="65"/>
      <c r="AJ99" s="65"/>
      <c r="AK99" s="65"/>
      <c r="AL99" s="65"/>
      <c r="AM99" s="65"/>
      <c r="AN99" s="65"/>
      <c r="AO99" s="151"/>
      <c r="AP99" s="65"/>
    </row>
    <row r="100" spans="1:42" ht="20.100000000000001" customHeight="1">
      <c r="A100" s="85"/>
      <c r="B100" s="2389"/>
      <c r="C100" s="2390"/>
      <c r="D100" s="2390"/>
      <c r="E100" s="2391"/>
      <c r="F100" s="1"/>
      <c r="G100" s="1584"/>
      <c r="H100" s="48"/>
      <c r="I100" s="42" t="s">
        <v>39</v>
      </c>
      <c r="J100" s="796" t="str">
        <f>IF('GENERAL INFO'!K15="x","",IF(AG73=0,"x",IF(AND(irregularincome=0,ISBLANK(dateofdeparture)=TRUE,dateofdeparture-taxyear&lt;0,ISBLANK('GENERAL INFO'!W77),workperiod=12,irregulartaxcredit=0),"x","")))</f>
        <v>x</v>
      </c>
      <c r="K100" s="386" t="s">
        <v>802</v>
      </c>
      <c r="L100" s="1"/>
      <c r="M100" s="1"/>
      <c r="N100" s="48"/>
      <c r="O100" s="1"/>
      <c r="P100" s="54"/>
      <c r="Q100" s="1"/>
      <c r="R100" s="54"/>
      <c r="S100" s="1"/>
      <c r="T100" s="1"/>
      <c r="U100" s="48"/>
      <c r="V100" s="48"/>
      <c r="W100" s="48"/>
      <c r="X100" s="48"/>
      <c r="Y100" s="54"/>
      <c r="Z100" s="42" t="s">
        <v>46</v>
      </c>
      <c r="AA100" s="796" t="str">
        <f>IF('GENERAL INFO'!K15="x","",IF(J100="x","","x"))</f>
        <v/>
      </c>
      <c r="AB100" s="63" t="s">
        <v>803</v>
      </c>
      <c r="AC100" s="35"/>
      <c r="AD100" s="35"/>
      <c r="AE100" s="35"/>
      <c r="AF100" s="1581"/>
      <c r="AG100" s="65"/>
      <c r="AH100" s="65"/>
      <c r="AI100" s="65"/>
      <c r="AJ100" s="65"/>
      <c r="AK100" s="65"/>
      <c r="AL100" s="65"/>
      <c r="AM100" s="65"/>
      <c r="AN100" s="65"/>
      <c r="AO100" s="151"/>
      <c r="AP100" s="65"/>
    </row>
    <row r="101" spans="1:42" ht="3" customHeight="1">
      <c r="A101" s="85"/>
      <c r="B101" s="2389"/>
      <c r="C101" s="2390"/>
      <c r="D101" s="2390"/>
      <c r="E101" s="2391"/>
      <c r="F101" s="1"/>
      <c r="G101" s="1584"/>
      <c r="H101" s="48"/>
      <c r="I101" s="1596"/>
      <c r="J101" s="1"/>
      <c r="K101" s="1"/>
      <c r="L101" s="1"/>
      <c r="M101" s="1"/>
      <c r="N101" s="48"/>
      <c r="O101" s="1"/>
      <c r="P101" s="54"/>
      <c r="Q101" s="1"/>
      <c r="R101" s="54"/>
      <c r="S101" s="1"/>
      <c r="T101" s="1"/>
      <c r="U101" s="48"/>
      <c r="V101" s="48"/>
      <c r="W101" s="48"/>
      <c r="X101" s="48"/>
      <c r="Y101" s="54"/>
      <c r="Z101" s="54"/>
      <c r="AA101" s="54"/>
      <c r="AB101" s="54"/>
      <c r="AC101" s="35"/>
      <c r="AD101" s="35"/>
      <c r="AE101" s="35"/>
      <c r="AF101" s="1581"/>
      <c r="AG101" s="65"/>
      <c r="AH101" s="65"/>
      <c r="AI101" s="65"/>
      <c r="AJ101" s="65"/>
      <c r="AK101" s="65"/>
      <c r="AL101" s="65"/>
      <c r="AM101" s="65"/>
      <c r="AN101" s="65"/>
      <c r="AO101" s="151"/>
      <c r="AP101" s="65"/>
    </row>
    <row r="102" spans="1:42" ht="20.100000000000001" customHeight="1">
      <c r="A102" s="85"/>
      <c r="B102" s="2389"/>
      <c r="C102" s="2390"/>
      <c r="D102" s="2390"/>
      <c r="E102" s="2391"/>
      <c r="F102" s="29"/>
      <c r="G102" s="32"/>
      <c r="H102" s="48"/>
      <c r="I102" s="42" t="s">
        <v>41</v>
      </c>
      <c r="J102" s="457"/>
      <c r="K102" s="63" t="s">
        <v>1037</v>
      </c>
      <c r="L102" s="79"/>
      <c r="M102" s="48"/>
      <c r="N102" s="82"/>
      <c r="O102" s="54"/>
      <c r="P102" s="63"/>
      <c r="Q102" s="1"/>
      <c r="R102" s="1"/>
      <c r="S102" s="1"/>
      <c r="T102" s="1"/>
      <c r="U102" s="48"/>
      <c r="V102" s="82"/>
      <c r="W102" s="82"/>
      <c r="X102" s="1"/>
      <c r="Y102" s="63"/>
      <c r="Z102" s="48"/>
      <c r="AA102" s="48"/>
      <c r="AB102" s="48"/>
      <c r="AC102" s="48"/>
      <c r="AD102" s="48"/>
      <c r="AE102" s="48"/>
      <c r="AF102" s="48"/>
      <c r="AG102" s="48"/>
      <c r="AH102" s="48"/>
      <c r="AI102" s="48"/>
      <c r="AJ102" s="48"/>
      <c r="AK102" s="48"/>
      <c r="AL102" s="48"/>
      <c r="AM102" s="48"/>
      <c r="AN102" s="48"/>
      <c r="AO102" s="246"/>
      <c r="AP102" s="48"/>
    </row>
    <row r="103" spans="1:42" ht="4.5" customHeight="1">
      <c r="A103" s="85"/>
      <c r="B103" s="2392"/>
      <c r="C103" s="2393"/>
      <c r="D103" s="2393"/>
      <c r="E103" s="2394"/>
      <c r="F103" s="297"/>
      <c r="G103" s="298"/>
      <c r="H103" s="78"/>
      <c r="I103" s="299"/>
      <c r="J103" s="299"/>
      <c r="K103" s="299"/>
      <c r="L103" s="299"/>
      <c r="M103" s="78"/>
      <c r="N103" s="78"/>
      <c r="O103" s="78"/>
      <c r="P103" s="77"/>
      <c r="Q103" s="299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300"/>
      <c r="AP103" s="48"/>
    </row>
    <row r="104" spans="1:42" ht="12" customHeight="1">
      <c r="A104" s="85"/>
      <c r="B104" s="245"/>
      <c r="C104" s="84"/>
      <c r="D104" s="84"/>
      <c r="E104" s="260"/>
      <c r="F104" s="29"/>
      <c r="G104" s="65" t="s">
        <v>1038</v>
      </c>
      <c r="H104" s="1"/>
      <c r="I104" s="65"/>
      <c r="J104" s="65"/>
      <c r="K104" s="65"/>
      <c r="L104" s="65"/>
      <c r="M104" s="1"/>
      <c r="N104" s="617"/>
      <c r="O104" s="617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  <c r="AG104" s="48"/>
      <c r="AH104" s="48"/>
      <c r="AI104" s="48"/>
      <c r="AJ104" s="48"/>
      <c r="AK104" s="48"/>
      <c r="AL104" s="48"/>
      <c r="AM104" s="48"/>
      <c r="AN104" s="48"/>
      <c r="AO104" s="246"/>
      <c r="AP104" s="48"/>
    </row>
    <row r="105" spans="1:42" ht="16.5" customHeight="1">
      <c r="A105" s="49"/>
      <c r="B105" s="2402" t="s">
        <v>804</v>
      </c>
      <c r="C105" s="2403"/>
      <c r="D105" s="2403"/>
      <c r="E105" s="2404"/>
      <c r="F105" s="97"/>
      <c r="G105" s="1595" t="s">
        <v>39</v>
      </c>
      <c r="H105" s="1"/>
      <c r="I105" s="1621">
        <f>'GENERAL INFO'!F51</f>
        <v>0</v>
      </c>
      <c r="J105" s="32" t="s">
        <v>749</v>
      </c>
      <c r="K105" s="1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1564" t="s">
        <v>102</v>
      </c>
      <c r="AB105" s="1623">
        <f>'GENERAL INFO'!F63</f>
        <v>0</v>
      </c>
      <c r="AC105" s="91" t="s">
        <v>806</v>
      </c>
      <c r="AD105" s="91"/>
      <c r="AE105" s="91"/>
      <c r="AF105" s="91"/>
      <c r="AG105" s="91"/>
      <c r="AH105" s="91"/>
      <c r="AI105" s="91"/>
      <c r="AJ105" s="91"/>
      <c r="AK105" s="91"/>
      <c r="AL105" s="91"/>
      <c r="AM105" s="91"/>
      <c r="AN105" s="91"/>
      <c r="AO105" s="247"/>
      <c r="AP105" s="29"/>
    </row>
    <row r="106" spans="1:42" ht="2.25" customHeight="1">
      <c r="A106" s="49"/>
      <c r="B106" s="2402"/>
      <c r="C106" s="2403"/>
      <c r="D106" s="2403"/>
      <c r="E106" s="2404"/>
      <c r="F106" s="97"/>
      <c r="G106" s="1595"/>
      <c r="H106" s="1"/>
      <c r="I106" s="86"/>
      <c r="J106" s="65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1564"/>
      <c r="AB106" s="467"/>
      <c r="AC106" s="91"/>
      <c r="AD106" s="91"/>
      <c r="AE106" s="91"/>
      <c r="AF106" s="91"/>
      <c r="AG106" s="91"/>
      <c r="AH106" s="91"/>
      <c r="AI106" s="91"/>
      <c r="AJ106" s="91"/>
      <c r="AK106" s="91"/>
      <c r="AL106" s="91"/>
      <c r="AM106" s="91"/>
      <c r="AN106" s="91"/>
      <c r="AO106" s="247"/>
      <c r="AP106" s="29"/>
    </row>
    <row r="107" spans="1:42" ht="17.25" customHeight="1">
      <c r="A107" s="88"/>
      <c r="B107" s="2402"/>
      <c r="C107" s="2403"/>
      <c r="D107" s="2403"/>
      <c r="E107" s="2404"/>
      <c r="F107" s="65"/>
      <c r="G107" s="1595" t="s">
        <v>41</v>
      </c>
      <c r="H107" s="1"/>
      <c r="I107" s="1621">
        <f>'GENERAL INFO'!F53</f>
        <v>0</v>
      </c>
      <c r="J107" s="32" t="s">
        <v>805</v>
      </c>
      <c r="K107" s="1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1564" t="s">
        <v>104</v>
      </c>
      <c r="AB107" s="1623">
        <f>'GENERAL INFO'!F66</f>
        <v>0</v>
      </c>
      <c r="AC107" s="2376" t="str">
        <f>IF(AB107="x",UPPER('GENERAL INFO'!H66),"............................................................................................................................")</f>
        <v>............................................................................................................................</v>
      </c>
      <c r="AD107" s="2377"/>
      <c r="AE107" s="2377"/>
      <c r="AF107" s="2377"/>
      <c r="AG107" s="2377"/>
      <c r="AH107" s="2377"/>
      <c r="AI107" s="2377"/>
      <c r="AJ107" s="2377"/>
      <c r="AK107" s="2377"/>
      <c r="AL107" s="2377"/>
      <c r="AM107" s="2377"/>
      <c r="AN107" s="91"/>
      <c r="AO107" s="247"/>
      <c r="AP107" s="29"/>
    </row>
    <row r="108" spans="1:42" ht="2.25" customHeight="1">
      <c r="A108" s="88"/>
      <c r="B108" s="2402"/>
      <c r="C108" s="2403"/>
      <c r="D108" s="2403"/>
      <c r="E108" s="2404"/>
      <c r="F108" s="65"/>
      <c r="G108" s="1595"/>
      <c r="H108" s="1"/>
      <c r="I108" s="87"/>
      <c r="J108" s="2378" t="s">
        <v>1039</v>
      </c>
      <c r="K108" s="2379"/>
      <c r="L108" s="2379"/>
      <c r="M108" s="2379"/>
      <c r="N108" s="2379"/>
      <c r="O108" s="2379"/>
      <c r="P108" s="2379"/>
      <c r="Q108" s="2379"/>
      <c r="R108" s="2379"/>
      <c r="S108" s="2379"/>
      <c r="T108" s="2379"/>
      <c r="U108" s="2379"/>
      <c r="V108" s="2379"/>
      <c r="W108" s="2379"/>
      <c r="X108" s="2379"/>
      <c r="Y108" s="2379"/>
      <c r="Z108" s="2379"/>
      <c r="AA108" s="1564"/>
      <c r="AB108" s="468"/>
      <c r="AC108" s="91"/>
      <c r="AD108" s="91"/>
      <c r="AE108" s="91"/>
      <c r="AF108" s="91"/>
      <c r="AG108" s="91"/>
      <c r="AH108" s="91"/>
      <c r="AI108" s="91"/>
      <c r="AJ108" s="91"/>
      <c r="AK108" s="91"/>
      <c r="AL108" s="91"/>
      <c r="AM108" s="91"/>
      <c r="AN108" s="91"/>
      <c r="AO108" s="247"/>
      <c r="AP108" s="29"/>
    </row>
    <row r="109" spans="1:42" ht="17.25" customHeight="1">
      <c r="A109" s="88"/>
      <c r="B109" s="2402"/>
      <c r="C109" s="2403"/>
      <c r="D109" s="2403"/>
      <c r="E109" s="2404"/>
      <c r="F109" s="65"/>
      <c r="G109" s="1595" t="s">
        <v>46</v>
      </c>
      <c r="H109" s="1"/>
      <c r="I109" s="1621">
        <f>'GENERAL INFO'!F55</f>
        <v>0</v>
      </c>
      <c r="J109" s="2379"/>
      <c r="K109" s="2379"/>
      <c r="L109" s="2379"/>
      <c r="M109" s="2379"/>
      <c r="N109" s="2379"/>
      <c r="O109" s="2379"/>
      <c r="P109" s="2379"/>
      <c r="Q109" s="2379"/>
      <c r="R109" s="2379"/>
      <c r="S109" s="2379"/>
      <c r="T109" s="2379"/>
      <c r="U109" s="2379"/>
      <c r="V109" s="2379"/>
      <c r="W109" s="2379"/>
      <c r="X109" s="2379"/>
      <c r="Y109" s="2379"/>
      <c r="Z109" s="2379"/>
      <c r="AA109" s="469" t="s">
        <v>106</v>
      </c>
      <c r="AB109" s="1623">
        <f>'GENERAL INFO'!F68</f>
        <v>0</v>
      </c>
      <c r="AC109" s="2380" t="s">
        <v>426</v>
      </c>
      <c r="AD109" s="2381"/>
      <c r="AE109" s="2381"/>
      <c r="AF109" s="2381"/>
      <c r="AG109" s="2381"/>
      <c r="AH109" s="2381"/>
      <c r="AI109" s="2381"/>
      <c r="AJ109" s="2381"/>
      <c r="AK109" s="2381"/>
      <c r="AL109" s="2381"/>
      <c r="AM109" s="2381"/>
      <c r="AN109" s="2381"/>
      <c r="AO109" s="247"/>
      <c r="AP109" s="29"/>
    </row>
    <row r="110" spans="1:42" ht="2.25" customHeight="1">
      <c r="A110" s="88"/>
      <c r="B110" s="2402"/>
      <c r="C110" s="2403"/>
      <c r="D110" s="2403"/>
      <c r="E110" s="2404"/>
      <c r="F110" s="65"/>
      <c r="G110" s="1595"/>
      <c r="H110" s="1"/>
      <c r="I110" s="87"/>
      <c r="J110" s="65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1564"/>
      <c r="AB110" s="467"/>
      <c r="AC110" s="91"/>
      <c r="AD110" s="91"/>
      <c r="AE110" s="91"/>
      <c r="AF110" s="91"/>
      <c r="AG110" s="91"/>
      <c r="AH110" s="91"/>
      <c r="AI110" s="91"/>
      <c r="AJ110" s="91"/>
      <c r="AK110" s="91"/>
      <c r="AL110" s="91"/>
      <c r="AM110" s="91"/>
      <c r="AN110" s="91"/>
      <c r="AO110" s="247"/>
      <c r="AP110" s="29"/>
    </row>
    <row r="111" spans="1:42" ht="17.25" customHeight="1">
      <c r="A111" s="88"/>
      <c r="B111" s="2402"/>
      <c r="C111" s="2403"/>
      <c r="D111" s="2403"/>
      <c r="E111" s="2404"/>
      <c r="F111" s="65"/>
      <c r="G111" s="1595" t="s">
        <v>47</v>
      </c>
      <c r="H111" s="1"/>
      <c r="I111" s="1621">
        <f>'GENERAL INFO'!F57</f>
        <v>0</v>
      </c>
      <c r="J111" s="91" t="s">
        <v>1040</v>
      </c>
      <c r="K111" s="1"/>
      <c r="L111" s="91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1564" t="s">
        <v>108</v>
      </c>
      <c r="AB111" s="1623">
        <f>'GENERAL INFO'!F70</f>
        <v>0</v>
      </c>
      <c r="AC111" s="2380" t="s">
        <v>1041</v>
      </c>
      <c r="AD111" s="2381"/>
      <c r="AE111" s="2381"/>
      <c r="AF111" s="2381"/>
      <c r="AG111" s="2381"/>
      <c r="AH111" s="2381"/>
      <c r="AI111" s="2381"/>
      <c r="AJ111" s="2381"/>
      <c r="AK111" s="2381"/>
      <c r="AL111" s="2381"/>
      <c r="AM111" s="2381"/>
      <c r="AN111" s="2381"/>
      <c r="AO111" s="247"/>
      <c r="AP111" s="29"/>
    </row>
    <row r="112" spans="1:42" ht="2.25" customHeight="1">
      <c r="A112" s="88"/>
      <c r="B112" s="2402"/>
      <c r="C112" s="2403"/>
      <c r="D112" s="2403"/>
      <c r="E112" s="2404"/>
      <c r="F112" s="65"/>
      <c r="G112" s="1595"/>
      <c r="H112" s="1"/>
      <c r="I112" s="87"/>
      <c r="J112" s="65"/>
      <c r="K112" s="91"/>
      <c r="L112" s="91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1596"/>
      <c r="AB112" s="90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247"/>
      <c r="AP112" s="29"/>
    </row>
    <row r="113" spans="1:45" ht="15.75" customHeight="1">
      <c r="A113" s="88"/>
      <c r="B113" s="2402"/>
      <c r="C113" s="2403"/>
      <c r="D113" s="2403"/>
      <c r="E113" s="2404"/>
      <c r="F113" s="65"/>
      <c r="G113" s="1595" t="s">
        <v>92</v>
      </c>
      <c r="H113" s="1"/>
      <c r="I113" s="1621">
        <f>'GENERAL INFO'!F59</f>
        <v>0</v>
      </c>
      <c r="J113" s="2382" t="s">
        <v>807</v>
      </c>
      <c r="K113" s="2378"/>
      <c r="L113" s="2378"/>
      <c r="M113" s="2378"/>
      <c r="N113" s="2378"/>
      <c r="O113" s="2378"/>
      <c r="P113" s="2378"/>
      <c r="Q113" s="2378"/>
      <c r="R113" s="2378"/>
      <c r="S113" s="2378"/>
      <c r="T113" s="2378"/>
      <c r="U113" s="2378"/>
      <c r="V113" s="2378"/>
      <c r="W113" s="2378"/>
      <c r="X113" s="2378"/>
      <c r="Y113" s="1"/>
      <c r="Z113" s="220"/>
      <c r="AA113" s="221" t="s">
        <v>110</v>
      </c>
      <c r="AB113" s="1621">
        <f>'GENERAL INFO'!F72</f>
        <v>0</v>
      </c>
      <c r="AC113" s="2380" t="s">
        <v>1042</v>
      </c>
      <c r="AD113" s="2381"/>
      <c r="AE113" s="2381"/>
      <c r="AF113" s="2381"/>
      <c r="AG113" s="2381"/>
      <c r="AH113" s="2381"/>
      <c r="AI113" s="2381"/>
      <c r="AJ113" s="2381"/>
      <c r="AK113" s="2381"/>
      <c r="AL113" s="2381"/>
      <c r="AM113" s="2381"/>
      <c r="AN113" s="2381"/>
      <c r="AO113" s="248"/>
      <c r="AP113" s="92"/>
      <c r="AQ113" s="48"/>
      <c r="AR113" s="48"/>
      <c r="AS113" s="48"/>
    </row>
    <row r="114" spans="1:45" ht="2.25" customHeight="1">
      <c r="A114" s="88"/>
      <c r="B114" s="2402"/>
      <c r="C114" s="2403"/>
      <c r="D114" s="2403"/>
      <c r="E114" s="2404"/>
      <c r="F114" s="65"/>
      <c r="G114" s="1595"/>
      <c r="H114" s="1"/>
      <c r="I114" s="87"/>
      <c r="J114" s="65"/>
      <c r="K114" s="1593"/>
      <c r="L114" s="1593"/>
      <c r="M114" s="1593"/>
      <c r="N114" s="1593"/>
      <c r="O114" s="1593"/>
      <c r="P114" s="1593"/>
      <c r="Q114" s="1593"/>
      <c r="R114" s="1593"/>
      <c r="S114" s="1593"/>
      <c r="T114" s="1593"/>
      <c r="U114" s="1593"/>
      <c r="V114" s="1593"/>
      <c r="W114" s="1593"/>
      <c r="X114" s="1593"/>
      <c r="Y114" s="1593"/>
      <c r="Z114" s="1593"/>
      <c r="AA114" s="1602"/>
      <c r="AB114" s="90"/>
      <c r="AC114" s="1567"/>
      <c r="AD114" s="1567"/>
      <c r="AE114" s="1567"/>
      <c r="AF114" s="1567"/>
      <c r="AG114" s="1567"/>
      <c r="AH114" s="1567"/>
      <c r="AI114" s="1567"/>
      <c r="AJ114" s="1567"/>
      <c r="AK114" s="1567"/>
      <c r="AL114" s="1567"/>
      <c r="AM114" s="1567"/>
      <c r="AN114" s="1567"/>
      <c r="AO114" s="248"/>
      <c r="AP114" s="92"/>
      <c r="AQ114" s="48"/>
      <c r="AR114" s="48"/>
      <c r="AS114" s="48"/>
    </row>
    <row r="115" spans="1:45" ht="17.25" customHeight="1">
      <c r="A115" s="88"/>
      <c r="B115" s="2402"/>
      <c r="C115" s="2403"/>
      <c r="D115" s="2403"/>
      <c r="E115" s="2404"/>
      <c r="F115" s="250"/>
      <c r="G115" s="1595" t="s">
        <v>100</v>
      </c>
      <c r="H115" s="1"/>
      <c r="I115" s="1621">
        <f>'GENERAL INFO'!F61</f>
        <v>0</v>
      </c>
      <c r="J115" s="799" t="str">
        <f>IF(I115="x","COPY OF FORMS 1721-A1 AND / OR 1721-A1 ("&amp;'GENERAL INFO'!M61&amp;" SHEET(S))","COPY OF FORMS 1721-A1 AND / OR 1721-A1 (............SHEET(S))")</f>
        <v>COPY OF FORMS 1721-A1 AND / OR 1721-A1 (............SHEET(S))</v>
      </c>
      <c r="K115" s="1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1596" t="s">
        <v>112</v>
      </c>
      <c r="AB115" s="1621">
        <f>'GENERAL INFO'!F75</f>
        <v>0</v>
      </c>
      <c r="AC115" s="2376" t="str">
        <f>IF(AB115="x",UPPER('GENERAL INFO'!H75),"............................................................................................................................")</f>
        <v>............................................................................................................................</v>
      </c>
      <c r="AD115" s="2377"/>
      <c r="AE115" s="2377"/>
      <c r="AF115" s="2377"/>
      <c r="AG115" s="2377"/>
      <c r="AH115" s="2377"/>
      <c r="AI115" s="2377"/>
      <c r="AJ115" s="2377"/>
      <c r="AK115" s="2377"/>
      <c r="AL115" s="2377"/>
      <c r="AM115" s="2377"/>
      <c r="AN115" s="93"/>
      <c r="AO115" s="249"/>
      <c r="AP115" s="29"/>
      <c r="AQ115" s="48"/>
      <c r="AR115" s="48"/>
      <c r="AS115" s="48"/>
    </row>
    <row r="116" spans="1:45" ht="0.75" customHeight="1">
      <c r="A116" s="88"/>
      <c r="B116" s="250"/>
      <c r="C116" s="65"/>
      <c r="D116" s="65"/>
      <c r="E116" s="151"/>
      <c r="F116" s="250"/>
      <c r="G116" s="1"/>
      <c r="H116" s="1"/>
      <c r="I116" s="65"/>
      <c r="J116" s="65"/>
      <c r="K116" s="94"/>
      <c r="L116" s="94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  <c r="AA116" s="29"/>
      <c r="AB116" s="29"/>
      <c r="AC116" s="95"/>
      <c r="AD116" s="95"/>
      <c r="AE116" s="95"/>
      <c r="AF116" s="95"/>
      <c r="AG116" s="95"/>
      <c r="AH116" s="95"/>
      <c r="AI116" s="95"/>
      <c r="AJ116" s="95"/>
      <c r="AK116" s="95"/>
      <c r="AL116" s="95"/>
      <c r="AM116" s="95"/>
      <c r="AN116" s="95"/>
      <c r="AO116" s="251"/>
      <c r="AP116" s="29"/>
      <c r="AQ116" s="48"/>
      <c r="AR116" s="48"/>
      <c r="AS116" s="48"/>
    </row>
    <row r="117" spans="1:45" ht="2.25" customHeight="1">
      <c r="A117" s="88"/>
      <c r="B117" s="256"/>
      <c r="C117" s="257"/>
      <c r="D117" s="257"/>
      <c r="E117" s="258"/>
      <c r="F117" s="256"/>
      <c r="G117" s="76"/>
      <c r="H117" s="76"/>
      <c r="I117" s="257"/>
      <c r="J117" s="257"/>
      <c r="K117" s="301"/>
      <c r="L117" s="301"/>
      <c r="M117" s="297"/>
      <c r="N117" s="297"/>
      <c r="O117" s="297"/>
      <c r="P117" s="297"/>
      <c r="Q117" s="297"/>
      <c r="R117" s="297"/>
      <c r="S117" s="297"/>
      <c r="T117" s="297"/>
      <c r="U117" s="297"/>
      <c r="V117" s="297"/>
      <c r="W117" s="297"/>
      <c r="X117" s="297"/>
      <c r="Y117" s="297"/>
      <c r="Z117" s="297"/>
      <c r="AA117" s="297"/>
      <c r="AB117" s="297"/>
      <c r="AC117" s="302"/>
      <c r="AD117" s="302"/>
      <c r="AE117" s="302"/>
      <c r="AF117" s="302"/>
      <c r="AG117" s="302"/>
      <c r="AH117" s="302"/>
      <c r="AI117" s="302"/>
      <c r="AJ117" s="302"/>
      <c r="AK117" s="302"/>
      <c r="AL117" s="302"/>
      <c r="AM117" s="302"/>
      <c r="AN117" s="302"/>
      <c r="AO117" s="303"/>
      <c r="AP117" s="30"/>
      <c r="AQ117" s="48"/>
      <c r="AR117" s="48"/>
      <c r="AS117" s="48"/>
    </row>
    <row r="118" spans="1:45" ht="12" customHeight="1">
      <c r="A118" s="1"/>
      <c r="B118" s="2383" t="s">
        <v>1043</v>
      </c>
      <c r="C118" s="2384"/>
      <c r="D118" s="2384"/>
      <c r="E118" s="2384"/>
      <c r="F118" s="2384"/>
      <c r="G118" s="2384"/>
      <c r="H118" s="2384"/>
      <c r="I118" s="2384"/>
      <c r="J118" s="2384"/>
      <c r="K118" s="2384"/>
      <c r="L118" s="2384"/>
      <c r="M118" s="2384"/>
      <c r="N118" s="2384"/>
      <c r="O118" s="2384"/>
      <c r="P118" s="2384"/>
      <c r="Q118" s="2384"/>
      <c r="R118" s="2384"/>
      <c r="S118" s="2384"/>
      <c r="T118" s="2384"/>
      <c r="U118" s="2384"/>
      <c r="V118" s="2384"/>
      <c r="W118" s="2384"/>
      <c r="X118" s="2384"/>
      <c r="Y118" s="2384"/>
      <c r="Z118" s="2384"/>
      <c r="AA118" s="2384"/>
      <c r="AB118" s="2384"/>
      <c r="AC118" s="2384"/>
      <c r="AD118" s="2384"/>
      <c r="AE118" s="2384"/>
      <c r="AF118" s="2384"/>
      <c r="AG118" s="2384"/>
      <c r="AH118" s="2384"/>
      <c r="AI118" s="2384"/>
      <c r="AJ118" s="2384"/>
      <c r="AK118" s="2384"/>
      <c r="AL118" s="2384"/>
      <c r="AM118" s="2384"/>
      <c r="AN118" s="2384"/>
      <c r="AO118" s="2385"/>
      <c r="AP118" s="96"/>
    </row>
    <row r="119" spans="1:45" ht="12" customHeight="1">
      <c r="B119" s="2368" t="s">
        <v>816</v>
      </c>
      <c r="C119" s="2369"/>
      <c r="D119" s="2369"/>
      <c r="E119" s="2369"/>
      <c r="F119" s="2369"/>
      <c r="G119" s="2369"/>
      <c r="H119" s="2369"/>
      <c r="I119" s="2369"/>
      <c r="J119" s="2369"/>
      <c r="K119" s="2369"/>
      <c r="L119" s="2369"/>
      <c r="M119" s="2369"/>
      <c r="N119" s="2369"/>
      <c r="O119" s="2369"/>
      <c r="P119" s="2369"/>
      <c r="Q119" s="2369"/>
      <c r="R119" s="2369"/>
      <c r="S119" s="2369"/>
      <c r="T119" s="2369"/>
      <c r="U119" s="2369"/>
      <c r="V119" s="2369"/>
      <c r="W119" s="2369"/>
      <c r="X119" s="2369"/>
      <c r="Y119" s="2369"/>
      <c r="Z119" s="2369"/>
      <c r="AA119" s="2369"/>
      <c r="AB119" s="2369"/>
      <c r="AC119" s="2369"/>
      <c r="AD119" s="2369"/>
      <c r="AE119" s="2369"/>
      <c r="AF119" s="2370" t="s">
        <v>817</v>
      </c>
      <c r="AG119" s="2370"/>
      <c r="AH119" s="2370"/>
      <c r="AI119" s="2370"/>
      <c r="AJ119" s="2370"/>
      <c r="AK119" s="2370"/>
      <c r="AL119" s="2370"/>
      <c r="AM119" s="2370"/>
      <c r="AN119" s="2370"/>
      <c r="AO119" s="252"/>
      <c r="AP119" s="96"/>
    </row>
    <row r="120" spans="1:45" ht="9" customHeight="1">
      <c r="A120" s="96"/>
      <c r="B120" s="2368"/>
      <c r="C120" s="2369"/>
      <c r="D120" s="2369"/>
      <c r="E120" s="2369"/>
      <c r="F120" s="2369"/>
      <c r="G120" s="2369"/>
      <c r="H120" s="2369"/>
      <c r="I120" s="2369"/>
      <c r="J120" s="2369"/>
      <c r="K120" s="2369"/>
      <c r="L120" s="2369"/>
      <c r="M120" s="2369"/>
      <c r="N120" s="2369"/>
      <c r="O120" s="2369"/>
      <c r="P120" s="2369"/>
      <c r="Q120" s="2369"/>
      <c r="R120" s="2369"/>
      <c r="S120" s="2369"/>
      <c r="T120" s="2369"/>
      <c r="U120" s="2369"/>
      <c r="V120" s="2369"/>
      <c r="W120" s="2369"/>
      <c r="X120" s="2369"/>
      <c r="Y120" s="2369"/>
      <c r="Z120" s="2369"/>
      <c r="AA120" s="2369"/>
      <c r="AB120" s="2369"/>
      <c r="AC120" s="2369"/>
      <c r="AD120" s="2369"/>
      <c r="AE120" s="2369"/>
      <c r="AF120" s="2371"/>
      <c r="AG120" s="2371"/>
      <c r="AH120" s="2371"/>
      <c r="AI120" s="2371"/>
      <c r="AJ120" s="2371"/>
      <c r="AK120" s="2371"/>
      <c r="AL120" s="2371"/>
      <c r="AM120" s="2371"/>
      <c r="AN120" s="2371"/>
      <c r="AO120" s="253"/>
      <c r="AP120" s="98"/>
    </row>
    <row r="121" spans="1:45" ht="0.75" customHeight="1">
      <c r="A121" s="98"/>
      <c r="B121" s="2368"/>
      <c r="C121" s="2369"/>
      <c r="D121" s="2369"/>
      <c r="E121" s="2369"/>
      <c r="F121" s="2369"/>
      <c r="G121" s="2369"/>
      <c r="H121" s="2369"/>
      <c r="I121" s="2369"/>
      <c r="J121" s="2369"/>
      <c r="K121" s="2369"/>
      <c r="L121" s="2369"/>
      <c r="M121" s="2369"/>
      <c r="N121" s="2369"/>
      <c r="O121" s="2369"/>
      <c r="P121" s="2369"/>
      <c r="Q121" s="2369"/>
      <c r="R121" s="2369"/>
      <c r="S121" s="2369"/>
      <c r="T121" s="2369"/>
      <c r="U121" s="2369"/>
      <c r="V121" s="2369"/>
      <c r="W121" s="2369"/>
      <c r="X121" s="2369"/>
      <c r="Y121" s="2369"/>
      <c r="Z121" s="2369"/>
      <c r="AA121" s="2369"/>
      <c r="AB121" s="2369"/>
      <c r="AC121" s="2369"/>
      <c r="AD121" s="2369"/>
      <c r="AE121" s="2369"/>
      <c r="AF121" s="2371"/>
      <c r="AG121" s="2371"/>
      <c r="AH121" s="2371"/>
      <c r="AI121" s="2371"/>
      <c r="AJ121" s="2371"/>
      <c r="AK121" s="2371"/>
      <c r="AL121" s="2371"/>
      <c r="AM121" s="2371"/>
      <c r="AN121" s="2371"/>
      <c r="AO121" s="253"/>
      <c r="AP121" s="98"/>
    </row>
    <row r="122" spans="1:45" ht="20.100000000000001" customHeight="1">
      <c r="B122" s="243"/>
      <c r="C122" s="65"/>
      <c r="D122" s="65"/>
      <c r="E122" s="65"/>
      <c r="F122" s="65"/>
      <c r="G122" s="65"/>
      <c r="H122" s="65"/>
      <c r="I122" s="1621">
        <f>'GENERAL INFO'!B80</f>
        <v>0</v>
      </c>
      <c r="J122" s="127" t="s">
        <v>808</v>
      </c>
      <c r="K122" s="1"/>
      <c r="L122" s="1"/>
      <c r="M122" s="1"/>
      <c r="N122" s="1"/>
      <c r="O122" s="1624">
        <f>'GENERAL INFO'!B81</f>
        <v>0</v>
      </c>
      <c r="P122" s="127" t="s">
        <v>809</v>
      </c>
      <c r="Q122" s="48"/>
      <c r="R122" s="2372" t="s">
        <v>810</v>
      </c>
      <c r="S122" s="2372"/>
      <c r="T122" s="2372"/>
      <c r="U122" s="1703"/>
      <c r="V122" s="1703"/>
      <c r="W122" s="400"/>
      <c r="X122" s="1703"/>
      <c r="Y122" s="1703"/>
      <c r="Z122" s="400"/>
      <c r="AA122" s="1703"/>
      <c r="AB122" s="1703"/>
      <c r="AC122" s="1703"/>
      <c r="AD122" s="1703"/>
      <c r="AE122" s="1"/>
      <c r="AF122" s="2371"/>
      <c r="AG122" s="2371"/>
      <c r="AH122" s="2371"/>
      <c r="AI122" s="2371"/>
      <c r="AJ122" s="2371"/>
      <c r="AK122" s="2371"/>
      <c r="AL122" s="2371"/>
      <c r="AM122" s="2371"/>
      <c r="AN122" s="2371"/>
      <c r="AO122" s="254"/>
      <c r="AP122" s="16"/>
    </row>
    <row r="123" spans="1:45" ht="3" customHeight="1">
      <c r="B123" s="243"/>
      <c r="C123" s="65"/>
      <c r="D123" s="65"/>
      <c r="E123" s="65"/>
      <c r="F123" s="65"/>
      <c r="G123" s="65"/>
      <c r="H123" s="65"/>
      <c r="I123" s="65"/>
      <c r="J123" s="65"/>
      <c r="K123" s="1"/>
      <c r="L123" s="1"/>
      <c r="M123" s="1"/>
      <c r="N123" s="65"/>
      <c r="O123" s="65"/>
      <c r="P123" s="65"/>
      <c r="Q123" s="65"/>
      <c r="R123" s="65"/>
      <c r="S123" s="1"/>
      <c r="T123" s="65"/>
      <c r="U123" s="29"/>
      <c r="V123" s="65"/>
      <c r="W123" s="65"/>
      <c r="X123" s="1"/>
      <c r="Y123" s="65"/>
      <c r="Z123" s="65"/>
      <c r="AA123" s="65"/>
      <c r="AB123" s="65"/>
      <c r="AC123" s="94"/>
      <c r="AD123" s="100"/>
      <c r="AE123" s="100"/>
      <c r="AF123" s="2371"/>
      <c r="AG123" s="2371"/>
      <c r="AH123" s="2371"/>
      <c r="AI123" s="2371"/>
      <c r="AJ123" s="2371"/>
      <c r="AK123" s="2371"/>
      <c r="AL123" s="2371"/>
      <c r="AM123" s="2371"/>
      <c r="AN123" s="2371"/>
      <c r="AO123" s="254"/>
      <c r="AP123" s="16"/>
    </row>
    <row r="124" spans="1:45" ht="20.100000000000001" customHeight="1">
      <c r="B124" s="2373" t="s">
        <v>811</v>
      </c>
      <c r="C124" s="2374"/>
      <c r="D124" s="2374"/>
      <c r="E124" s="2374"/>
      <c r="F124" s="2374"/>
      <c r="G124" s="2374"/>
      <c r="H124" s="79"/>
      <c r="I124" s="1704" t="str">
        <f>IF(I122="x",IF(LEN(name01)&gt;23,IF(LEN(LEFT(name01,FIND("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",name01,1)),1)),1)),1)+1)),UPPER(LEFT(name01,FIND("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",name01,1)),1)),1)))),UPPER(LEFT(name01,FIND("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",name01,1)),1)))),UPPER(name01)),UPPER('GENERAL INFO'!D81))</f>
        <v/>
      </c>
      <c r="J124" s="1705"/>
      <c r="K124" s="1705"/>
      <c r="L124" s="1705"/>
      <c r="M124" s="1705"/>
      <c r="N124" s="1705"/>
      <c r="O124" s="1705"/>
      <c r="P124" s="1705"/>
      <c r="Q124" s="1705"/>
      <c r="R124" s="1705"/>
      <c r="S124" s="1705"/>
      <c r="T124" s="1705"/>
      <c r="U124" s="1705"/>
      <c r="V124" s="1705"/>
      <c r="W124" s="1705"/>
      <c r="X124" s="1705"/>
      <c r="Y124" s="1705"/>
      <c r="Z124" s="1705"/>
      <c r="AA124" s="1705"/>
      <c r="AB124" s="1706"/>
      <c r="AC124" s="1706"/>
      <c r="AD124" s="1706"/>
      <c r="AE124" s="65"/>
      <c r="AF124" s="2371"/>
      <c r="AG124" s="2371"/>
      <c r="AH124" s="2371"/>
      <c r="AI124" s="2371"/>
      <c r="AJ124" s="2371"/>
      <c r="AK124" s="2371"/>
      <c r="AL124" s="2371"/>
      <c r="AM124" s="2371"/>
      <c r="AN124" s="2371"/>
      <c r="AO124" s="254"/>
      <c r="AP124" s="16"/>
    </row>
    <row r="125" spans="1:45" ht="3" customHeight="1">
      <c r="A125" s="88"/>
      <c r="B125" s="255"/>
      <c r="C125" s="79"/>
      <c r="D125" s="79"/>
      <c r="E125" s="79"/>
      <c r="F125" s="79"/>
      <c r="G125" s="79"/>
      <c r="H125" s="79"/>
      <c r="I125" s="396"/>
      <c r="J125" s="396"/>
      <c r="K125" s="396"/>
      <c r="L125" s="396"/>
      <c r="M125" s="396"/>
      <c r="N125" s="396"/>
      <c r="O125" s="396"/>
      <c r="P125" s="396"/>
      <c r="Q125" s="396"/>
      <c r="R125" s="396"/>
      <c r="S125" s="396"/>
      <c r="T125" s="396"/>
      <c r="U125" s="396"/>
      <c r="V125" s="396"/>
      <c r="W125" s="396"/>
      <c r="X125" s="396"/>
      <c r="Y125" s="396"/>
      <c r="Z125" s="396"/>
      <c r="AA125" s="396"/>
      <c r="AB125" s="396"/>
      <c r="AC125" s="396"/>
      <c r="AD125" s="65"/>
      <c r="AE125" s="65"/>
      <c r="AF125" s="2371"/>
      <c r="AG125" s="2371"/>
      <c r="AH125" s="2371"/>
      <c r="AI125" s="2371"/>
      <c r="AJ125" s="2371"/>
      <c r="AK125" s="2371"/>
      <c r="AL125" s="2371"/>
      <c r="AM125" s="2371"/>
      <c r="AN125" s="2371"/>
      <c r="AO125" s="254"/>
      <c r="AP125" s="16"/>
    </row>
    <row r="126" spans="1:45" ht="20.100000000000001" customHeight="1">
      <c r="B126" s="2373" t="s">
        <v>812</v>
      </c>
      <c r="C126" s="2374"/>
      <c r="D126" s="2374"/>
      <c r="E126" s="2374"/>
      <c r="F126" s="2374"/>
      <c r="G126" s="2374"/>
      <c r="H126" s="79"/>
      <c r="I126" s="1698" t="str">
        <f>IF(I122="x",LEFT('GENERAL INFO'!G19,1),LEFT('GENERAL INFO'!D82,1))</f>
        <v/>
      </c>
      <c r="J126" s="1698" t="str">
        <f>IF(I122="x",MID('GENERAL INFO'!G19,2,1),MID('GENERAL INFO'!D82,2,1))</f>
        <v/>
      </c>
      <c r="K126" s="397"/>
      <c r="L126" s="1698" t="str">
        <f>IF(I122="x",MID('GENERAL INFO'!G19,3,1),MID('GENERAL INFO'!D82,3,1))</f>
        <v/>
      </c>
      <c r="M126" s="1698" t="str">
        <f>IF(I122="x",MID('GENERAL INFO'!G19,4,1),MID('GENERAL INFO'!D82,4,1))</f>
        <v/>
      </c>
      <c r="N126" s="1698" t="str">
        <f>IF(I122="x",MID('GENERAL INFO'!G19,5,1),MID('GENERAL INFO'!D82,5,1))</f>
        <v/>
      </c>
      <c r="O126" s="397"/>
      <c r="P126" s="1698" t="str">
        <f>IF(I122="x",MID('GENERAL INFO'!G19,6,1),MID('GENERAL INFO'!D82,6,1))</f>
        <v/>
      </c>
      <c r="Q126" s="1698" t="str">
        <f>IF(I122="x",MID('GENERAL INFO'!G19,7,1),MID('GENERAL INFO'!D82,7,1))</f>
        <v/>
      </c>
      <c r="R126" s="1698" t="str">
        <f>IF(I122="x",MID('GENERAL INFO'!G19,8,1),MID('GENERAL INFO'!D82,8,1))</f>
        <v/>
      </c>
      <c r="S126" s="397"/>
      <c r="T126" s="1698" t="str">
        <f>IF(I122="x",MID('GENERAL INFO'!G19,9,1),MID('GENERAL INFO'!D82,9,1))</f>
        <v/>
      </c>
      <c r="U126" s="397"/>
      <c r="V126" s="1698" t="str">
        <f>IF(I122="x",MID('GENERAL INFO'!G19,10,1),MID('GENERAL INFO'!D82,10,1))</f>
        <v/>
      </c>
      <c r="W126" s="1698" t="str">
        <f>IF(I122="x",MID('GENERAL INFO'!G19,11,1),MID('GENERAL INFO'!D82,11,1))</f>
        <v/>
      </c>
      <c r="X126" s="1698" t="str">
        <f>IF(I122="x",MID('GENERAL INFO'!G19,12,1),MID('GENERAL INFO'!D82,12,1))</f>
        <v/>
      </c>
      <c r="Y126" s="398"/>
      <c r="Z126" s="1698" t="str">
        <f>IF(I122="x",MID('GENERAL INFO'!G19,13,1),MID('GENERAL INFO'!D82,13,1))</f>
        <v/>
      </c>
      <c r="AA126" s="1698" t="str">
        <f>IF(I122="x",MID('GENERAL INFO'!G19,14,1),MID('GENERAL INFO'!D82,14,1))</f>
        <v/>
      </c>
      <c r="AB126" s="1698" t="str">
        <f>IF(I122="x",MID('GENERAL INFO'!G19,15,1),MID('GENERAL INFO'!D82,15,1))</f>
        <v/>
      </c>
      <c r="AC126" s="399"/>
      <c r="AD126" s="65"/>
      <c r="AE126" s="65"/>
      <c r="AF126" s="2371"/>
      <c r="AG126" s="2371"/>
      <c r="AH126" s="2371"/>
      <c r="AI126" s="2371"/>
      <c r="AJ126" s="2371"/>
      <c r="AK126" s="2371"/>
      <c r="AL126" s="2371"/>
      <c r="AM126" s="2371"/>
      <c r="AN126" s="2371"/>
      <c r="AO126" s="254"/>
      <c r="AP126" s="16"/>
    </row>
    <row r="127" spans="1:45" ht="10.5" customHeight="1">
      <c r="A127" s="65"/>
      <c r="B127" s="256"/>
      <c r="C127" s="257"/>
      <c r="D127" s="257"/>
      <c r="E127" s="257"/>
      <c r="F127" s="257"/>
      <c r="G127" s="257"/>
      <c r="H127" s="257"/>
      <c r="I127" s="257"/>
      <c r="J127" s="257"/>
      <c r="K127" s="257"/>
      <c r="L127" s="257"/>
      <c r="M127" s="257"/>
      <c r="N127" s="257"/>
      <c r="O127" s="257"/>
      <c r="P127" s="257"/>
      <c r="Q127" s="257"/>
      <c r="R127" s="257"/>
      <c r="S127" s="257"/>
      <c r="T127" s="257"/>
      <c r="U127" s="257"/>
      <c r="V127" s="257"/>
      <c r="W127" s="257"/>
      <c r="X127" s="257"/>
      <c r="Y127" s="257"/>
      <c r="Z127" s="257"/>
      <c r="AA127" s="257"/>
      <c r="AB127" s="257"/>
      <c r="AC127" s="257"/>
      <c r="AD127" s="257"/>
      <c r="AE127" s="257"/>
      <c r="AF127" s="257"/>
      <c r="AG127" s="257"/>
      <c r="AH127" s="257"/>
      <c r="AI127" s="257"/>
      <c r="AJ127" s="257"/>
      <c r="AK127" s="257"/>
      <c r="AL127" s="257"/>
      <c r="AM127" s="257"/>
      <c r="AN127" s="257"/>
      <c r="AO127" s="258"/>
      <c r="AP127" s="65"/>
    </row>
    <row r="128" spans="1:45" ht="9.75" customHeight="1">
      <c r="A128" s="65"/>
      <c r="B128" s="100" t="s">
        <v>70</v>
      </c>
      <c r="C128" s="65"/>
      <c r="D128" s="65"/>
      <c r="E128" s="65"/>
      <c r="F128" s="65"/>
      <c r="G128" s="65"/>
      <c r="H128" s="65"/>
      <c r="I128" s="65"/>
      <c r="J128" s="65"/>
      <c r="K128" s="65"/>
      <c r="L128" s="65"/>
      <c r="M128" s="65"/>
      <c r="N128" s="65"/>
      <c r="O128" s="65"/>
      <c r="P128" s="65"/>
      <c r="Q128" s="65"/>
      <c r="R128" s="65"/>
      <c r="S128" s="65"/>
      <c r="T128" s="65"/>
      <c r="U128" s="65"/>
      <c r="V128" s="65"/>
      <c r="W128" s="65"/>
      <c r="X128" s="65"/>
      <c r="Y128" s="65"/>
      <c r="Z128" s="65"/>
      <c r="AA128" s="65"/>
      <c r="AB128" s="65"/>
      <c r="AC128" s="65"/>
      <c r="AD128" s="65"/>
      <c r="AE128" s="65"/>
      <c r="AF128" s="65"/>
      <c r="AG128" s="65"/>
      <c r="AH128" s="65"/>
      <c r="AI128" s="65"/>
      <c r="AJ128" s="65"/>
      <c r="AK128" s="65"/>
      <c r="AL128" s="65"/>
      <c r="AM128" s="65"/>
      <c r="AN128" s="65"/>
      <c r="AO128" s="65"/>
      <c r="AP128" s="65"/>
    </row>
    <row r="129" spans="1:42" ht="12.75" customHeight="1">
      <c r="A129" s="101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  <c r="AM129" s="88"/>
      <c r="AN129" s="88"/>
      <c r="AO129" s="88"/>
      <c r="AP129" s="101"/>
    </row>
    <row r="130" spans="1:42" ht="12" customHeight="1">
      <c r="B130" s="1243" t="str">
        <f>IF('GENERAL INFO'!K13="x","","* Includes 20% surcharge as tax ID number was only obtained in "&amp;taxyear&amp;" per regulation PER-31/PJ/2012 Art 25 dated on 25 May 2012.")</f>
        <v/>
      </c>
    </row>
    <row r="131" spans="1:42" ht="11.25" customHeight="1"/>
    <row r="132" spans="1:42" ht="12" customHeight="1"/>
    <row r="133" spans="1:42" ht="12.75" customHeight="1"/>
    <row r="134" spans="1:42" ht="12.75" customHeight="1"/>
    <row r="135" spans="1:42" ht="8.25" customHeight="1"/>
    <row r="136" spans="1:42" ht="12.75" customHeight="1"/>
    <row r="137" spans="1:42" ht="15" customHeight="1"/>
    <row r="138" spans="1:42" ht="15" customHeight="1"/>
    <row r="139" spans="1:42" ht="15" customHeight="1"/>
    <row r="140" spans="1:42" ht="15" customHeight="1"/>
    <row r="141" spans="1:42" ht="15" customHeight="1"/>
    <row r="142" spans="1:42" ht="15" customHeight="1"/>
    <row r="143" spans="1:42" ht="15" customHeight="1"/>
    <row r="144" spans="1:42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20.25" customHeight="1"/>
    <row r="346" ht="20.25" customHeight="1"/>
    <row r="347" ht="20.25" customHeight="1"/>
    <row r="348" ht="20.25" customHeight="1"/>
    <row r="349" ht="20.25" customHeight="1"/>
    <row r="350" ht="20.25" customHeight="1"/>
    <row r="351" ht="20.25" customHeight="1"/>
    <row r="352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20.25" customHeight="1"/>
    <row r="360" ht="20.25" customHeight="1"/>
    <row r="361" ht="20.25" customHeight="1"/>
    <row r="362" ht="20.25" customHeight="1"/>
    <row r="363" ht="20.25" customHeight="1"/>
    <row r="364" ht="20.25" customHeight="1"/>
    <row r="365" ht="20.25" customHeight="1"/>
    <row r="366" ht="20.25" customHeight="1"/>
    <row r="367" ht="20.25" customHeight="1"/>
    <row r="368" ht="20.25" customHeight="1"/>
    <row r="369" ht="20.25" customHeight="1"/>
    <row r="370" ht="20.25" customHeight="1"/>
    <row r="371" ht="20.25" customHeight="1"/>
    <row r="372" ht="20.25" customHeight="1"/>
    <row r="373" ht="20.25" customHeight="1"/>
    <row r="374" ht="20.25" customHeight="1"/>
    <row r="375" ht="20.25" customHeight="1"/>
    <row r="376" ht="20.25" customHeight="1"/>
    <row r="377" ht="20.25" customHeight="1"/>
    <row r="378" ht="20.25" customHeight="1"/>
    <row r="379" ht="20.25" customHeight="1"/>
    <row r="380" ht="20.25" customHeight="1"/>
    <row r="381" ht="20.25" customHeight="1"/>
    <row r="382" ht="20.25" customHeight="1"/>
    <row r="383" ht="20.25" customHeight="1"/>
    <row r="384" ht="20.25" customHeight="1"/>
    <row r="385" ht="20.25" customHeight="1"/>
    <row r="386" ht="20.25" customHeight="1"/>
    <row r="387" ht="20.25" customHeight="1"/>
    <row r="388" ht="20.25" customHeight="1"/>
    <row r="389" ht="20.25" customHeight="1"/>
    <row r="390" ht="20.25" customHeight="1"/>
    <row r="391" ht="20.25" customHeight="1"/>
    <row r="392" ht="20.25" customHeight="1"/>
    <row r="393" ht="20.25" customHeight="1"/>
    <row r="394" ht="20.25" customHeight="1"/>
    <row r="395" ht="20.25" customHeight="1"/>
    <row r="396" ht="20.25" customHeight="1"/>
    <row r="397" ht="20.25" customHeight="1"/>
    <row r="398" ht="20.25" customHeight="1"/>
    <row r="399" ht="20.25" customHeight="1"/>
    <row r="400" ht="20.25" customHeight="1"/>
    <row r="401" ht="20.25" customHeight="1"/>
    <row r="402" ht="20.25" customHeight="1"/>
    <row r="403" ht="20.25" customHeight="1"/>
    <row r="404" ht="20.25" customHeight="1"/>
    <row r="405" ht="20.25" customHeight="1"/>
    <row r="406" ht="20.25" customHeight="1"/>
    <row r="407" ht="20.25" customHeight="1"/>
    <row r="408" ht="20.25" customHeight="1"/>
    <row r="409" ht="20.25" customHeight="1"/>
    <row r="410" ht="20.25" customHeight="1"/>
    <row r="411" ht="20.25" customHeight="1"/>
    <row r="412" ht="20.25" customHeight="1"/>
    <row r="413" ht="20.25" customHeight="1"/>
    <row r="414" ht="20.25" customHeight="1"/>
    <row r="415" ht="20.25" customHeight="1"/>
    <row r="416" ht="20.25" customHeight="1"/>
    <row r="417" ht="20.25" customHeight="1"/>
    <row r="418" ht="20.25" customHeight="1"/>
    <row r="419" ht="20.25" customHeight="1"/>
    <row r="420" ht="20.25" customHeight="1"/>
    <row r="421" ht="20.25" customHeight="1"/>
    <row r="422" ht="20.25" customHeight="1"/>
    <row r="423" ht="20.25" customHeight="1"/>
    <row r="424" ht="20.25" customHeight="1"/>
    <row r="425" ht="20.25" customHeight="1"/>
    <row r="426" ht="20.25" customHeight="1"/>
    <row r="427" ht="20.25" customHeight="1"/>
    <row r="428" ht="20.25" customHeight="1"/>
    <row r="429" ht="20.25" customHeight="1"/>
    <row r="430" ht="20.25" customHeight="1"/>
    <row r="431" ht="20.25" customHeight="1"/>
    <row r="432" ht="20.25" customHeight="1"/>
    <row r="433" ht="20.25" customHeight="1"/>
    <row r="434" ht="20.25" customHeight="1"/>
    <row r="435" ht="20.25" customHeight="1"/>
    <row r="436" ht="20.25" customHeight="1"/>
    <row r="437" ht="20.25" customHeight="1"/>
    <row r="438" ht="20.25" customHeight="1"/>
    <row r="439" ht="20.25" customHeight="1"/>
    <row r="440" ht="20.25" customHeight="1"/>
    <row r="441" ht="20.25" customHeight="1"/>
    <row r="442" ht="20.25" customHeight="1"/>
    <row r="443" ht="20.25" customHeight="1"/>
    <row r="444" ht="20.25" customHeight="1"/>
    <row r="445" ht="20.25" customHeight="1"/>
    <row r="446" ht="20.25" customHeight="1"/>
    <row r="447" ht="20.25" customHeight="1"/>
    <row r="448" ht="20.25" customHeight="1"/>
    <row r="449" ht="20.25" customHeight="1"/>
    <row r="450" ht="20.25" customHeight="1"/>
    <row r="451" ht="20.25" customHeight="1"/>
    <row r="452" ht="20.25" customHeight="1"/>
    <row r="453" ht="20.25" customHeight="1"/>
    <row r="454" ht="20.25" customHeight="1"/>
    <row r="455" ht="20.25" customHeight="1"/>
    <row r="456" ht="20.25" customHeight="1"/>
    <row r="457" ht="20.25" customHeight="1"/>
    <row r="458" ht="20.25" customHeight="1"/>
    <row r="459" ht="20.25" customHeight="1"/>
    <row r="460" ht="20.25" customHeight="1"/>
    <row r="461" ht="20.25" customHeight="1"/>
    <row r="462" ht="20.25" customHeight="1"/>
    <row r="463" ht="20.25" customHeight="1"/>
    <row r="464" ht="20.25" customHeight="1"/>
    <row r="465" ht="20.25" customHeight="1"/>
    <row r="466" ht="20.25" customHeight="1"/>
    <row r="467" ht="20.25" customHeight="1"/>
    <row r="468" ht="20.25" customHeight="1"/>
    <row r="469" ht="20.25" customHeight="1"/>
    <row r="470" ht="20.25" customHeight="1"/>
    <row r="471" ht="20.25" customHeight="1"/>
    <row r="472" ht="20.25" customHeight="1"/>
    <row r="473" ht="20.25" customHeight="1"/>
    <row r="474" ht="20.25" customHeight="1"/>
    <row r="475" ht="20.25" customHeight="1"/>
    <row r="476" ht="20.25" customHeight="1"/>
    <row r="477" ht="20.25" customHeight="1"/>
    <row r="478" ht="20.25" customHeight="1"/>
    <row r="479" ht="20.25" customHeight="1"/>
    <row r="480" ht="20.25" customHeight="1"/>
    <row r="481" ht="20.25" customHeight="1"/>
    <row r="482" ht="20.25" customHeight="1"/>
    <row r="483" ht="20.25" customHeight="1"/>
    <row r="484" ht="20.25" customHeight="1"/>
    <row r="485" ht="20.25" customHeight="1"/>
    <row r="486" ht="20.25" customHeight="1"/>
    <row r="487" ht="20.25" customHeight="1"/>
    <row r="488" ht="20.25" customHeight="1"/>
    <row r="489" ht="20.25" customHeight="1"/>
    <row r="490" ht="20.25" customHeight="1"/>
    <row r="491" ht="20.25" customHeight="1"/>
    <row r="492" ht="20.25" customHeight="1"/>
    <row r="493" ht="20.25" customHeight="1"/>
    <row r="494" ht="20.25" customHeight="1"/>
    <row r="495" ht="20.25" customHeight="1"/>
    <row r="496" ht="20.25" customHeight="1"/>
    <row r="497" ht="20.25" customHeight="1"/>
    <row r="498" ht="20.25" customHeight="1"/>
  </sheetData>
  <mergeCells count="128">
    <mergeCell ref="AJ3:AK4"/>
    <mergeCell ref="AL3:AM4"/>
    <mergeCell ref="AF5:AG5"/>
    <mergeCell ref="AH5:AI5"/>
    <mergeCell ref="AK5:AL5"/>
    <mergeCell ref="AM5:AN5"/>
    <mergeCell ref="B3:C7"/>
    <mergeCell ref="E3:K5"/>
    <mergeCell ref="L3:AD4"/>
    <mergeCell ref="AE3:AE10"/>
    <mergeCell ref="AF3:AG4"/>
    <mergeCell ref="AH3:AI4"/>
    <mergeCell ref="M6:AD6"/>
    <mergeCell ref="AF6:AF7"/>
    <mergeCell ref="AG6:AG7"/>
    <mergeCell ref="AH6:AH7"/>
    <mergeCell ref="M7:AD7"/>
    <mergeCell ref="B8:K8"/>
    <mergeCell ref="AF8:AG8"/>
    <mergeCell ref="AH8:AI8"/>
    <mergeCell ref="AK8:AL8"/>
    <mergeCell ref="AM8:AN8"/>
    <mergeCell ref="AI6:AI7"/>
    <mergeCell ref="AJ6:AJ7"/>
    <mergeCell ref="AK6:AK7"/>
    <mergeCell ref="AL6:AL7"/>
    <mergeCell ref="AM6:AM7"/>
    <mergeCell ref="AN6:AN7"/>
    <mergeCell ref="B9:K9"/>
    <mergeCell ref="B14:E14"/>
    <mergeCell ref="I14:Q14"/>
    <mergeCell ref="AD14:AG14"/>
    <mergeCell ref="AI14:AN14"/>
    <mergeCell ref="B10:K10"/>
    <mergeCell ref="E22:O22"/>
    <mergeCell ref="B35:AE36"/>
    <mergeCell ref="AF36:AO36"/>
    <mergeCell ref="B38:E50"/>
    <mergeCell ref="I38:AD38"/>
    <mergeCell ref="AG38:AO38"/>
    <mergeCell ref="I40:AE40"/>
    <mergeCell ref="AG40:AO40"/>
    <mergeCell ref="I42:AD42"/>
    <mergeCell ref="AG42:AO42"/>
    <mergeCell ref="I44:AD44"/>
    <mergeCell ref="AG44:AO44"/>
    <mergeCell ref="I46:AD46"/>
    <mergeCell ref="AG46:AO46"/>
    <mergeCell ref="I48:AE48"/>
    <mergeCell ref="AG48:AO48"/>
    <mergeCell ref="AF50:AF51"/>
    <mergeCell ref="AG50:AO51"/>
    <mergeCell ref="G50:G51"/>
    <mergeCell ref="B16:C33"/>
    <mergeCell ref="AF22:AG22"/>
    <mergeCell ref="E26:O27"/>
    <mergeCell ref="D31:AO33"/>
    <mergeCell ref="AF92:AO93"/>
    <mergeCell ref="AF89:AO90"/>
    <mergeCell ref="B54:E60"/>
    <mergeCell ref="I54:AE54"/>
    <mergeCell ref="AG54:AO54"/>
    <mergeCell ref="I56:AE56"/>
    <mergeCell ref="AG56:AO56"/>
    <mergeCell ref="AG58:AO58"/>
    <mergeCell ref="I60:AE60"/>
    <mergeCell ref="AG60:AO60"/>
    <mergeCell ref="B63:E68"/>
    <mergeCell ref="I63:AE63"/>
    <mergeCell ref="AG63:AO63"/>
    <mergeCell ref="G65:G66"/>
    <mergeCell ref="I65:AE65"/>
    <mergeCell ref="AF65:AF66"/>
    <mergeCell ref="AG65:AO66"/>
    <mergeCell ref="I68:AE68"/>
    <mergeCell ref="AG68:AO68"/>
    <mergeCell ref="AG79:AO79"/>
    <mergeCell ref="I82:AE82"/>
    <mergeCell ref="AG82:AO82"/>
    <mergeCell ref="W92:W93"/>
    <mergeCell ref="AC92:AC93"/>
    <mergeCell ref="V89:V90"/>
    <mergeCell ref="W89:W90"/>
    <mergeCell ref="X89:AB90"/>
    <mergeCell ref="AD89:AD90"/>
    <mergeCell ref="AD92:AD93"/>
    <mergeCell ref="G85:G86"/>
    <mergeCell ref="U85:V87"/>
    <mergeCell ref="W85:X87"/>
    <mergeCell ref="AC89:AC90"/>
    <mergeCell ref="AG85:AO87"/>
    <mergeCell ref="Y87:Z87"/>
    <mergeCell ref="B71:E82"/>
    <mergeCell ref="I71:AE71"/>
    <mergeCell ref="AG71:AO71"/>
    <mergeCell ref="U73:V75"/>
    <mergeCell ref="AF73:AF75"/>
    <mergeCell ref="AG73:AO75"/>
    <mergeCell ref="I77:O77"/>
    <mergeCell ref="Q77:AE77"/>
    <mergeCell ref="AG77:AO77"/>
    <mergeCell ref="Q79:AE79"/>
    <mergeCell ref="AA87:AB87"/>
    <mergeCell ref="AC87:AD87"/>
    <mergeCell ref="B119:AE121"/>
    <mergeCell ref="AF119:AN119"/>
    <mergeCell ref="AF120:AN126"/>
    <mergeCell ref="R122:T122"/>
    <mergeCell ref="B124:G124"/>
    <mergeCell ref="B126:G126"/>
    <mergeCell ref="V92:V93"/>
    <mergeCell ref="AC107:AM107"/>
    <mergeCell ref="J108:Z109"/>
    <mergeCell ref="AC109:AN109"/>
    <mergeCell ref="AC111:AN111"/>
    <mergeCell ref="J113:X113"/>
    <mergeCell ref="AC113:AN113"/>
    <mergeCell ref="AC115:AM115"/>
    <mergeCell ref="B118:AO118"/>
    <mergeCell ref="B95:E103"/>
    <mergeCell ref="G96:G97"/>
    <mergeCell ref="I96:AE97"/>
    <mergeCell ref="AF96:AF97"/>
    <mergeCell ref="AG96:AO97"/>
    <mergeCell ref="B105:E115"/>
    <mergeCell ref="X92:AB93"/>
    <mergeCell ref="B84:E94"/>
    <mergeCell ref="AF85:AF87"/>
  </mergeCells>
  <printOptions horizontalCentered="1"/>
  <pageMargins left="0.11811023622047245" right="0.11811023622047245" top="0.11811023622047245" bottom="0.11811023622047245" header="0.11811023622047245" footer="0.11811023622047245"/>
  <pageSetup paperSize="5" scale="6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9" tint="0.39997558519241921"/>
  </sheetPr>
  <dimension ref="A1:BG469"/>
  <sheetViews>
    <sheetView showGridLines="0" view="pageBreakPreview" topLeftCell="A55" workbookViewId="0"/>
  </sheetViews>
  <sheetFormatPr defaultColWidth="9.140625" defaultRowHeight="12.75"/>
  <cols>
    <col min="1" max="1" width="3.5703125" style="64" customWidth="1"/>
    <col min="2" max="2" width="2.42578125" style="102" customWidth="1"/>
    <col min="3" max="3" width="1" style="64" customWidth="1"/>
    <col min="4" max="4" width="3.28515625" style="102" customWidth="1"/>
    <col min="5" max="5" width="4.7109375" style="102" customWidth="1"/>
    <col min="6" max="6" width="3" style="102" customWidth="1"/>
    <col min="7" max="7" width="3.28515625" style="102" customWidth="1"/>
    <col min="8" max="8" width="8.85546875" style="102" customWidth="1"/>
    <col min="9" max="9" width="0.5703125" style="102" customWidth="1"/>
    <col min="10" max="10" width="0.28515625" style="102" customWidth="1"/>
    <col min="11" max="11" width="0.42578125" style="102" customWidth="1"/>
    <col min="12" max="12" width="0.28515625" style="102" hidden="1" customWidth="1"/>
    <col min="13" max="13" width="2.140625" style="102" customWidth="1"/>
    <col min="14" max="26" width="3.7109375" style="102" customWidth="1"/>
    <col min="27" max="27" width="4.140625" style="102" customWidth="1"/>
    <col min="28" max="28" width="3.85546875" style="102" customWidth="1"/>
    <col min="29" max="29" width="4" style="102" customWidth="1"/>
    <col min="30" max="30" width="3.85546875" style="102" customWidth="1"/>
    <col min="31" max="39" width="3.7109375" style="102" customWidth="1"/>
    <col min="40" max="40" width="3.5703125" style="102" customWidth="1"/>
    <col min="41" max="41" width="3.7109375" style="102" customWidth="1"/>
    <col min="42" max="42" width="0.5703125" style="102" hidden="1" customWidth="1"/>
    <col min="43" max="43" width="2.85546875" style="64" customWidth="1"/>
    <col min="44" max="97" width="2.85546875" style="102" customWidth="1"/>
    <col min="98" max="191" width="3.85546875" style="102" customWidth="1"/>
    <col min="192" max="16384" width="9.140625" style="102"/>
  </cols>
  <sheetData>
    <row r="1" spans="1:43" ht="12.75" customHeight="1">
      <c r="A1" s="103"/>
      <c r="B1" s="10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64"/>
      <c r="AN1" s="105"/>
    </row>
    <row r="2" spans="1:43" ht="5.25" customHeight="1">
      <c r="A2" s="106"/>
      <c r="B2" s="10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64"/>
      <c r="AP2" s="104"/>
    </row>
    <row r="3" spans="1:43" ht="15" customHeight="1">
      <c r="B3" s="2419" t="s">
        <v>758</v>
      </c>
      <c r="C3" s="2419"/>
      <c r="D3" s="2556" t="s">
        <v>998</v>
      </c>
      <c r="E3" s="2556"/>
      <c r="F3" s="2556"/>
      <c r="G3" s="2556"/>
      <c r="H3" s="2557"/>
      <c r="I3" s="104"/>
      <c r="J3" s="2528" t="s">
        <v>997</v>
      </c>
      <c r="K3" s="2528"/>
      <c r="L3" s="2528"/>
      <c r="M3" s="2528"/>
      <c r="N3" s="2528"/>
      <c r="O3" s="2528"/>
      <c r="P3" s="2528"/>
      <c r="Q3" s="2528"/>
      <c r="R3" s="2528"/>
      <c r="S3" s="2528"/>
      <c r="T3" s="2528"/>
      <c r="U3" s="2528"/>
      <c r="V3" s="2528"/>
      <c r="W3" s="2528"/>
      <c r="X3" s="2528"/>
      <c r="Y3" s="2528"/>
      <c r="Z3" s="2528"/>
      <c r="AA3" s="2528"/>
      <c r="AB3" s="2528"/>
      <c r="AC3" s="2528"/>
      <c r="AD3" s="2529"/>
      <c r="AE3" s="2517" t="s">
        <v>762</v>
      </c>
      <c r="AF3" s="2507">
        <f>'FE-1770'!AF3</f>
        <v>0</v>
      </c>
      <c r="AG3" s="2507"/>
      <c r="AH3" s="2507">
        <f>'FE-1770'!AH3</f>
        <v>0</v>
      </c>
      <c r="AI3" s="2507"/>
      <c r="AJ3" s="2507">
        <f>'FE-1770'!AJ3</f>
        <v>0</v>
      </c>
      <c r="AK3" s="2507"/>
      <c r="AL3" s="2507">
        <f>'FE-1770'!AL3</f>
        <v>0</v>
      </c>
      <c r="AM3" s="2507"/>
      <c r="AN3" s="408"/>
      <c r="AO3" s="107"/>
      <c r="AP3" s="5"/>
    </row>
    <row r="4" spans="1:43" ht="11.25" customHeight="1">
      <c r="B4" s="2419"/>
      <c r="C4" s="2419"/>
      <c r="D4" s="2540" t="s">
        <v>72</v>
      </c>
      <c r="E4" s="2540"/>
      <c r="F4" s="2540"/>
      <c r="G4" s="2540"/>
      <c r="H4" s="2541"/>
      <c r="I4" s="2542" t="s">
        <v>1001</v>
      </c>
      <c r="J4" s="2543"/>
      <c r="K4" s="2543"/>
      <c r="L4" s="2543"/>
      <c r="M4" s="2543"/>
      <c r="N4" s="2543"/>
      <c r="O4" s="2543"/>
      <c r="P4" s="2543"/>
      <c r="Q4" s="2543"/>
      <c r="R4" s="2543"/>
      <c r="S4" s="2543"/>
      <c r="T4" s="2543"/>
      <c r="U4" s="2543"/>
      <c r="V4" s="2543"/>
      <c r="W4" s="2543"/>
      <c r="X4" s="2543"/>
      <c r="Y4" s="2543"/>
      <c r="Z4" s="2543"/>
      <c r="AA4" s="2543"/>
      <c r="AB4" s="2543"/>
      <c r="AC4" s="2543"/>
      <c r="AD4" s="2544"/>
      <c r="AE4" s="2517"/>
      <c r="AF4" s="2507"/>
      <c r="AG4" s="2507"/>
      <c r="AH4" s="2507"/>
      <c r="AI4" s="2507"/>
      <c r="AJ4" s="2507"/>
      <c r="AK4" s="2507"/>
      <c r="AL4" s="2507"/>
      <c r="AM4" s="2507"/>
      <c r="AN4" s="408"/>
      <c r="AO4" s="107"/>
      <c r="AP4" s="5"/>
    </row>
    <row r="5" spans="1:43" ht="16.5" customHeight="1" thickBot="1">
      <c r="B5" s="2419"/>
      <c r="C5" s="2419"/>
      <c r="D5" s="2540"/>
      <c r="E5" s="2540"/>
      <c r="F5" s="2540"/>
      <c r="G5" s="2540"/>
      <c r="H5" s="2541"/>
      <c r="I5" s="2545"/>
      <c r="J5" s="2546"/>
      <c r="K5" s="2546"/>
      <c r="L5" s="2546"/>
      <c r="M5" s="2546"/>
      <c r="N5" s="2546"/>
      <c r="O5" s="2546"/>
      <c r="P5" s="2546"/>
      <c r="Q5" s="2546"/>
      <c r="R5" s="2546"/>
      <c r="S5" s="2546"/>
      <c r="T5" s="2546"/>
      <c r="U5" s="2546"/>
      <c r="V5" s="2546"/>
      <c r="W5" s="2546"/>
      <c r="X5" s="2546"/>
      <c r="Y5" s="2546"/>
      <c r="Z5" s="2546"/>
      <c r="AA5" s="2546"/>
      <c r="AB5" s="2546"/>
      <c r="AC5" s="2546"/>
      <c r="AD5" s="2547"/>
      <c r="AE5" s="2517"/>
      <c r="AF5" s="104"/>
      <c r="AG5" s="104"/>
      <c r="AH5" s="104"/>
      <c r="AI5" s="104"/>
      <c r="AJ5" s="408"/>
      <c r="AK5" s="104"/>
      <c r="AL5" s="104"/>
      <c r="AM5" s="104"/>
      <c r="AN5" s="104"/>
      <c r="AO5" s="108"/>
      <c r="AP5" s="109"/>
    </row>
    <row r="6" spans="1:43" ht="21.75" customHeight="1">
      <c r="B6" s="2419"/>
      <c r="C6" s="2419"/>
      <c r="D6" s="2540"/>
      <c r="E6" s="2540"/>
      <c r="F6" s="2540"/>
      <c r="G6" s="2540"/>
      <c r="H6" s="2541"/>
      <c r="I6" s="104"/>
      <c r="J6" s="2548" t="s">
        <v>1044</v>
      </c>
      <c r="K6" s="2548"/>
      <c r="L6" s="2548"/>
      <c r="M6" s="2548"/>
      <c r="N6" s="2548"/>
      <c r="O6" s="2548"/>
      <c r="P6" s="2548"/>
      <c r="Q6" s="2548"/>
      <c r="R6" s="2548"/>
      <c r="S6" s="2548"/>
      <c r="T6" s="2548"/>
      <c r="U6" s="2548"/>
      <c r="V6" s="2548"/>
      <c r="W6" s="2548"/>
      <c r="X6" s="2548"/>
      <c r="Y6" s="2548"/>
      <c r="Z6" s="2548"/>
      <c r="AA6" s="2548"/>
      <c r="AB6" s="2548"/>
      <c r="AC6" s="2548"/>
      <c r="AD6" s="2549"/>
      <c r="AE6" s="2517"/>
      <c r="AF6" s="1698" t="str">
        <f>'FE-1770'!AF6</f>
        <v>0</v>
      </c>
      <c r="AG6" s="1698" t="str">
        <f>'FE-1770'!AG6</f>
        <v>1</v>
      </c>
      <c r="AH6" s="1698" t="str">
        <f>'FE-1770'!AH6</f>
        <v>0</v>
      </c>
      <c r="AI6" s="1698" t="str">
        <f>'FE-1770'!AI6</f>
        <v>0</v>
      </c>
      <c r="AJ6" s="1566" t="s">
        <v>7</v>
      </c>
      <c r="AK6" s="1698" t="str">
        <f>'FE-1770'!AK6</f>
        <v>0</v>
      </c>
      <c r="AL6" s="1698" t="str">
        <f>'FE-1770'!AL6</f>
        <v>1</v>
      </c>
      <c r="AM6" s="1698" t="str">
        <f>'FE-1770'!AM6</f>
        <v>0</v>
      </c>
      <c r="AN6" s="1698" t="str">
        <f>'FE-1770'!AN6</f>
        <v>0</v>
      </c>
      <c r="AO6" s="110"/>
      <c r="AP6" s="110"/>
    </row>
    <row r="7" spans="1:43" ht="12" customHeight="1">
      <c r="B7" s="2554" t="s">
        <v>759</v>
      </c>
      <c r="C7" s="2554"/>
      <c r="D7" s="2554"/>
      <c r="E7" s="2554"/>
      <c r="F7" s="2554"/>
      <c r="G7" s="2554"/>
      <c r="H7" s="2555"/>
      <c r="I7" s="104"/>
      <c r="J7" s="2550"/>
      <c r="K7" s="2550"/>
      <c r="L7" s="2550"/>
      <c r="M7" s="2550"/>
      <c r="N7" s="2550"/>
      <c r="O7" s="2550"/>
      <c r="P7" s="2550"/>
      <c r="Q7" s="2550"/>
      <c r="R7" s="2550"/>
      <c r="S7" s="2550"/>
      <c r="T7" s="2550"/>
      <c r="U7" s="2550"/>
      <c r="V7" s="2550"/>
      <c r="W7" s="2550"/>
      <c r="X7" s="2550"/>
      <c r="Y7" s="2550"/>
      <c r="Z7" s="2550"/>
      <c r="AA7" s="2550"/>
      <c r="AB7" s="2550"/>
      <c r="AC7" s="2550"/>
      <c r="AD7" s="2551"/>
      <c r="AE7" s="2517"/>
      <c r="AF7" s="2526" t="s">
        <v>764</v>
      </c>
      <c r="AG7" s="2526"/>
      <c r="AH7" s="2527" t="s">
        <v>763</v>
      </c>
      <c r="AI7" s="2527"/>
      <c r="AJ7" s="470"/>
      <c r="AK7" s="2527" t="s">
        <v>764</v>
      </c>
      <c r="AL7" s="2527"/>
      <c r="AM7" s="2527" t="s">
        <v>763</v>
      </c>
      <c r="AN7" s="2527"/>
    </row>
    <row r="8" spans="1:43" ht="14.25" customHeight="1">
      <c r="B8" s="2531" t="s">
        <v>1000</v>
      </c>
      <c r="C8" s="2531"/>
      <c r="D8" s="2531"/>
      <c r="E8" s="2531"/>
      <c r="F8" s="2531"/>
      <c r="G8" s="2531"/>
      <c r="H8" s="2532"/>
      <c r="I8" s="471"/>
      <c r="J8" s="2550"/>
      <c r="K8" s="2550"/>
      <c r="L8" s="2550"/>
      <c r="M8" s="2550"/>
      <c r="N8" s="2550"/>
      <c r="O8" s="2550"/>
      <c r="P8" s="2550"/>
      <c r="Q8" s="2550"/>
      <c r="R8" s="2550"/>
      <c r="S8" s="2550"/>
      <c r="T8" s="2550"/>
      <c r="U8" s="2550"/>
      <c r="V8" s="2550"/>
      <c r="W8" s="2550"/>
      <c r="X8" s="2550"/>
      <c r="Y8" s="2550"/>
      <c r="Z8" s="2550"/>
      <c r="AA8" s="2550"/>
      <c r="AB8" s="2550"/>
      <c r="AC8" s="2550"/>
      <c r="AD8" s="2551"/>
      <c r="AE8" s="2517"/>
      <c r="AF8" s="792" t="str">
        <f>IF('FE-1770'!AF9="x","x","")</f>
        <v/>
      </c>
      <c r="AG8" s="414" t="s">
        <v>1025</v>
      </c>
      <c r="AH8" s="1565"/>
      <c r="AI8" s="104"/>
      <c r="AJ8" s="792" t="str">
        <f>IF('FE-1770'!AK9="x","x","")</f>
        <v/>
      </c>
      <c r="AK8" s="478" t="s">
        <v>1029</v>
      </c>
      <c r="AL8" s="472"/>
      <c r="AM8" s="1565"/>
      <c r="AN8" s="1565"/>
      <c r="AO8" s="402"/>
      <c r="AP8" s="402"/>
    </row>
    <row r="9" spans="1:43" ht="12" customHeight="1" thickBot="1">
      <c r="B9" s="2533" t="s">
        <v>761</v>
      </c>
      <c r="C9" s="2533"/>
      <c r="D9" s="2533"/>
      <c r="E9" s="2533"/>
      <c r="F9" s="2533"/>
      <c r="G9" s="2533"/>
      <c r="H9" s="2534"/>
      <c r="I9" s="473"/>
      <c r="J9" s="2552"/>
      <c r="K9" s="2552"/>
      <c r="L9" s="2552"/>
      <c r="M9" s="2552"/>
      <c r="N9" s="2552"/>
      <c r="O9" s="2552"/>
      <c r="P9" s="2552"/>
      <c r="Q9" s="2552"/>
      <c r="R9" s="2552"/>
      <c r="S9" s="2552"/>
      <c r="T9" s="2552"/>
      <c r="U9" s="2552"/>
      <c r="V9" s="2552"/>
      <c r="W9" s="2552"/>
      <c r="X9" s="2552"/>
      <c r="Y9" s="2552"/>
      <c r="Z9" s="2552"/>
      <c r="AA9" s="2552"/>
      <c r="AB9" s="2552"/>
      <c r="AC9" s="2552"/>
      <c r="AD9" s="2553"/>
      <c r="AE9" s="2530"/>
      <c r="AF9" s="104"/>
      <c r="AG9" s="104"/>
      <c r="AH9" s="104"/>
      <c r="AI9" s="104"/>
      <c r="AJ9" s="420"/>
      <c r="AK9" s="104"/>
      <c r="AL9" s="104"/>
      <c r="AM9" s="104"/>
      <c r="AN9" s="104"/>
    </row>
    <row r="10" spans="1:43" ht="3.75" customHeight="1">
      <c r="B10" s="18"/>
      <c r="C10" s="114"/>
      <c r="D10" s="20"/>
      <c r="E10" s="20"/>
      <c r="F10" s="20"/>
      <c r="G10" s="21"/>
      <c r="H10" s="22"/>
      <c r="I10" s="23"/>
      <c r="J10" s="24"/>
      <c r="K10" s="115"/>
      <c r="L10" s="115"/>
      <c r="M10" s="115"/>
      <c r="N10" s="115"/>
      <c r="O10" s="115"/>
      <c r="P10" s="115"/>
      <c r="Q10" s="115"/>
      <c r="R10" s="115"/>
      <c r="S10" s="115"/>
      <c r="T10" s="115"/>
      <c r="U10" s="114"/>
      <c r="V10" s="114"/>
      <c r="W10" s="115"/>
      <c r="X10" s="115"/>
      <c r="Y10" s="115"/>
      <c r="Z10" s="115"/>
      <c r="AA10" s="26"/>
      <c r="AB10" s="116"/>
      <c r="AC10" s="116"/>
      <c r="AD10" s="114"/>
      <c r="AE10" s="18"/>
      <c r="AF10" s="114"/>
      <c r="AG10" s="114"/>
      <c r="AH10" s="114"/>
      <c r="AI10" s="114"/>
      <c r="AJ10" s="28"/>
      <c r="AK10" s="114"/>
      <c r="AL10" s="114"/>
      <c r="AM10" s="114"/>
      <c r="AN10" s="114"/>
      <c r="AO10" s="64"/>
      <c r="AP10" s="64"/>
    </row>
    <row r="11" spans="1:43" s="30" customFormat="1" ht="17.25" customHeight="1">
      <c r="A11" s="29"/>
      <c r="B11" s="2526" t="s">
        <v>1002</v>
      </c>
      <c r="C11" s="2526"/>
      <c r="D11" s="2526"/>
      <c r="E11" s="2526"/>
      <c r="F11" s="1608" t="s">
        <v>6</v>
      </c>
      <c r="G11" s="2378" t="s">
        <v>824</v>
      </c>
      <c r="H11" s="2378"/>
      <c r="I11" s="2378"/>
      <c r="J11" s="2378"/>
      <c r="K11" s="2378"/>
      <c r="L11" s="2378"/>
      <c r="M11" s="2378"/>
      <c r="N11" s="2378"/>
      <c r="O11" s="2378"/>
      <c r="P11" s="2378"/>
      <c r="Q11" s="2378"/>
      <c r="R11" s="1608" t="s">
        <v>6</v>
      </c>
      <c r="S11" s="32" t="s">
        <v>825</v>
      </c>
      <c r="V11" s="33"/>
      <c r="W11" s="33"/>
      <c r="X11" s="33"/>
      <c r="Y11" s="33"/>
      <c r="Z11" s="33"/>
      <c r="AA11" s="33"/>
      <c r="AC11" s="1608" t="s">
        <v>6</v>
      </c>
      <c r="AD11" s="2378" t="s">
        <v>1118</v>
      </c>
      <c r="AE11" s="2378"/>
      <c r="AF11" s="2378"/>
      <c r="AG11" s="2535"/>
      <c r="AH11" s="214"/>
      <c r="AI11" s="2536" t="s">
        <v>826</v>
      </c>
      <c r="AJ11" s="2537"/>
      <c r="AK11" s="2537"/>
      <c r="AL11" s="2537"/>
      <c r="AM11" s="2537"/>
      <c r="AN11" s="2537"/>
      <c r="AO11" s="1606"/>
      <c r="AP11" s="33"/>
      <c r="AQ11" s="29"/>
    </row>
    <row r="12" spans="1:43" ht="4.5" customHeight="1" thickBot="1">
      <c r="B12" s="64"/>
      <c r="D12" s="1572"/>
      <c r="E12" s="1572"/>
      <c r="F12" s="1572"/>
      <c r="G12" s="1572"/>
      <c r="H12" s="1572"/>
      <c r="I12" s="1572"/>
      <c r="J12" s="1572"/>
      <c r="K12" s="35"/>
      <c r="L12" s="64"/>
      <c r="M12" s="64"/>
      <c r="N12" s="64"/>
      <c r="O12" s="64"/>
      <c r="P12" s="64"/>
      <c r="Q12" s="117"/>
      <c r="R12" s="117"/>
      <c r="S12" s="117"/>
      <c r="T12" s="117"/>
      <c r="U12" s="117"/>
      <c r="V12" s="117"/>
      <c r="W12" s="117"/>
      <c r="X12" s="117"/>
      <c r="Y12" s="117"/>
      <c r="Z12" s="117"/>
      <c r="AA12" s="16"/>
      <c r="AB12" s="118"/>
      <c r="AC12" s="118"/>
      <c r="AD12" s="64"/>
      <c r="AE12" s="17"/>
      <c r="AF12" s="37"/>
      <c r="AG12" s="10"/>
      <c r="AH12" s="10"/>
      <c r="AI12" s="10"/>
      <c r="AJ12" s="10"/>
      <c r="AK12" s="33"/>
      <c r="AL12" s="33"/>
      <c r="AM12" s="33"/>
      <c r="AN12" s="33"/>
      <c r="AO12" s="33"/>
      <c r="AP12" s="33"/>
    </row>
    <row r="13" spans="1:43" ht="6.75" customHeight="1">
      <c r="B13" s="304"/>
      <c r="C13" s="236"/>
      <c r="D13" s="236"/>
      <c r="E13" s="236"/>
      <c r="F13" s="305"/>
      <c r="G13" s="305"/>
      <c r="H13" s="305"/>
      <c r="I13" s="305"/>
      <c r="J13" s="305"/>
      <c r="K13" s="114"/>
      <c r="L13" s="114"/>
      <c r="M13" s="114"/>
      <c r="N13" s="114"/>
      <c r="O13" s="114"/>
      <c r="P13" s="114"/>
      <c r="Q13" s="115"/>
      <c r="R13" s="115"/>
      <c r="S13" s="115"/>
      <c r="T13" s="115"/>
      <c r="U13" s="115"/>
      <c r="V13" s="115"/>
      <c r="W13" s="115"/>
      <c r="X13" s="115"/>
      <c r="Y13" s="115"/>
      <c r="Z13" s="115"/>
      <c r="AA13" s="26"/>
      <c r="AB13" s="116"/>
      <c r="AC13" s="116"/>
      <c r="AD13" s="114"/>
      <c r="AE13" s="18"/>
      <c r="AF13" s="238"/>
      <c r="AG13" s="28"/>
      <c r="AH13" s="28"/>
      <c r="AI13" s="28"/>
      <c r="AJ13" s="28"/>
      <c r="AK13" s="28"/>
      <c r="AL13" s="28"/>
      <c r="AM13" s="28"/>
      <c r="AN13" s="239"/>
      <c r="AO13" s="10"/>
      <c r="AP13" s="10"/>
    </row>
    <row r="14" spans="1:43" ht="20.100000000000001" customHeight="1">
      <c r="B14" s="306" t="s">
        <v>1003</v>
      </c>
      <c r="C14" s="44"/>
      <c r="D14" s="44"/>
      <c r="E14" s="44"/>
      <c r="F14" s="41"/>
      <c r="G14" s="35"/>
      <c r="H14" s="42" t="s">
        <v>13</v>
      </c>
      <c r="I14" s="64"/>
      <c r="J14" s="64"/>
      <c r="K14" s="64"/>
      <c r="L14" s="64"/>
      <c r="M14" s="64"/>
      <c r="N14" s="1423" t="str">
        <f>'FE-1770'!Q18</f>
        <v/>
      </c>
      <c r="O14" s="1423" t="str">
        <f>'FE-1770'!R18</f>
        <v/>
      </c>
      <c r="P14" s="387"/>
      <c r="Q14" s="1423" t="str">
        <f>'FE-1770'!T18</f>
        <v/>
      </c>
      <c r="R14" s="1423" t="str">
        <f>'FE-1770'!U18</f>
        <v/>
      </c>
      <c r="S14" s="1423" t="str">
        <f>'FE-1770'!V18</f>
        <v/>
      </c>
      <c r="T14" s="64"/>
      <c r="U14" s="1423" t="str">
        <f>'FE-1770'!X18</f>
        <v/>
      </c>
      <c r="V14" s="1423" t="str">
        <f>'FE-1770'!Y18</f>
        <v/>
      </c>
      <c r="W14" s="1423" t="str">
        <f>'FE-1770'!Z18</f>
        <v/>
      </c>
      <c r="X14" s="64"/>
      <c r="Y14" s="1423" t="str">
        <f>'FE-1770'!AB18</f>
        <v/>
      </c>
      <c r="Z14" s="106"/>
      <c r="AA14" s="1423" t="str">
        <f>'FE-1770'!AD18</f>
        <v/>
      </c>
      <c r="AB14" s="1423" t="str">
        <f>'FE-1770'!AE18</f>
        <v/>
      </c>
      <c r="AC14" s="1423" t="str">
        <f>'FE-1770'!AF18</f>
        <v/>
      </c>
      <c r="AD14" s="64"/>
      <c r="AE14" s="1423" t="str">
        <f>'FE-1770'!AH18</f>
        <v/>
      </c>
      <c r="AF14" s="1423" t="str">
        <f>'FE-1770'!AI18</f>
        <v/>
      </c>
      <c r="AG14" s="1423" t="str">
        <f>'FE-1770'!AJ18</f>
        <v/>
      </c>
      <c r="AH14" s="64"/>
      <c r="AI14" s="64"/>
      <c r="AJ14" s="106"/>
      <c r="AK14" s="64"/>
      <c r="AL14" s="64"/>
      <c r="AM14" s="64"/>
      <c r="AN14" s="307"/>
      <c r="AO14" s="64"/>
      <c r="AP14" s="64"/>
    </row>
    <row r="15" spans="1:43" ht="6.75" customHeight="1">
      <c r="B15" s="6"/>
      <c r="C15" s="44"/>
      <c r="D15" s="44"/>
      <c r="E15" s="44"/>
      <c r="F15" s="41"/>
      <c r="G15" s="35"/>
      <c r="H15" s="35"/>
      <c r="I15" s="35"/>
      <c r="J15" s="9"/>
      <c r="K15" s="64"/>
      <c r="L15" s="64"/>
      <c r="M15" s="45"/>
      <c r="N15" s="64"/>
      <c r="O15" s="64"/>
      <c r="P15" s="64"/>
      <c r="Q15" s="106"/>
      <c r="R15" s="106"/>
      <c r="S15" s="64"/>
      <c r="T15" s="106"/>
      <c r="U15" s="106"/>
      <c r="V15" s="106"/>
      <c r="W15" s="106"/>
      <c r="X15" s="106"/>
      <c r="Y15" s="106"/>
      <c r="Z15" s="106"/>
      <c r="AA15" s="106"/>
      <c r="AB15" s="106"/>
      <c r="AC15" s="106"/>
      <c r="AD15" s="106"/>
      <c r="AE15" s="106"/>
      <c r="AF15" s="106"/>
      <c r="AG15" s="106"/>
      <c r="AH15" s="106"/>
      <c r="AI15" s="106"/>
      <c r="AJ15" s="106"/>
      <c r="AK15" s="106"/>
      <c r="AL15" s="106"/>
      <c r="AM15" s="64"/>
      <c r="AN15" s="307"/>
      <c r="AO15" s="64"/>
      <c r="AP15" s="64"/>
    </row>
    <row r="16" spans="1:43" ht="20.100000000000001" customHeight="1">
      <c r="B16" s="306" t="s">
        <v>1045</v>
      </c>
      <c r="C16" s="44"/>
      <c r="D16" s="44"/>
      <c r="E16" s="44"/>
      <c r="F16" s="41"/>
      <c r="G16" s="35"/>
      <c r="H16" s="45" t="s">
        <v>13</v>
      </c>
      <c r="I16" s="64"/>
      <c r="J16" s="64"/>
      <c r="K16" s="64"/>
      <c r="L16" s="64"/>
      <c r="M16" s="64"/>
      <c r="N16" s="1707" t="str">
        <f>IF(LEN(name01)&gt;23,IF(LEN(LEFT(name01,FIND("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",name01,1)),1)))&gt;23,IF(LEN(LEFT(name01,FIND("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",name01,1)),1)),1)))&gt;23,UPPER(LEFT(name01,FIND("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"&amp;LEFT(RIGHT(RIGHT(MID(name01,FIND("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",name01,1)),1)),1)),1)&amp;" "&amp;MID(RIGHT(RIGHT(MID(name01,FIND("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",name01,1)),1)),1)),1)+1,LEN(RIGHT(RIGHT(MID(name01,FIND("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",name01,1)),1)),1)))-FIND(" ",RIGHT(RIGHT(MID(name01,FIND("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",name01,1)),1)),1)),1)+1)),UPPER(LEFT(name01,FIND(" ",name01,1))&amp;LEFT(MID(name01,FIND(" ",name01,1)+1,LEN(name01)-FIND(" ",name01,1)),1)&amp;" "&amp;LEFT(RIGHT(MID(name01,FIND(" ",name01,1)+1,LEN(name01)-FIND(" ",name01,1)),LEN(MID(name01,FIND(" ",name01,1)+1,LEN(name01)-FIND(" ",name01,1)))-FIND(" ",MID(name01,FIND(" ",name01,1)+1,LEN(name01)-FIND(" ",name01,1)),1)),1)&amp;" "&amp;RIGHT(RIGHT(MID(name01,FIND(" ",name01,1)+1,LEN(name01)-FIND(" ",name01,1)),LEN(MID(name01,FIND(" ",name01,1)+1,LEN(name01)-FIND(" ",name01,1)))-FIND(" ",MID(name01,FIND(" ",name01,1)+1,LEN(name01)-FIND(" ",name01,1)),1)),LEN(RIGHT(MID(name01,FIND(" ",name01,1)+1,LEN(name01)-FIND(" ",name01,1)),LEN(MID(name01,FIND(" ",name01,1)+1,LEN(name01)-FIND(" ",name01,1)))-FIND(" ",MID(name01,FIND(" ",name01,1)+1,LEN(name01)-FIND(" ",name01,1)),1)))-FIND(" ",RIGHT(MID(name01,FIND(" ",name01,1)+1,LEN(name01)-FIND(" ",name01,1)),LEN(MID(name01,FIND(" ",name01,1)+1,LEN(name01)-FIND(" ",name01,1)))-FIND(" ",MID(name01,FIND(" ",name01,1)+1,LEN(name01)-FIND(" ",name01,1)),1)),1)))),UPPER(LEFT(name01,FIND(" ",name01,1))&amp;LEFT(MID(name01,FIND(" ",name01,1)+1,LEN(name01)-FIND(" ",name01,1)),1)&amp;" "&amp;RIGHT(MID(name01,FIND(" ",name01,1)+1,LEN(name01)-FIND(" ",name01,1)),LEN(MID(name01,FIND(" ",name01,1)+1,LEN(name01)-FIND(" ",name01,1)))-FIND(" ",MID(name01,FIND(" ",name01,1)+1,LEN(name01)-FIND(" ",name01,1)),1)))),UPPER(name01))</f>
        <v/>
      </c>
      <c r="O16" s="1708"/>
      <c r="P16" s="1708"/>
      <c r="Q16" s="1708"/>
      <c r="R16" s="1708"/>
      <c r="S16" s="1708"/>
      <c r="T16" s="1708"/>
      <c r="U16" s="1708"/>
      <c r="V16" s="1708"/>
      <c r="W16" s="1708"/>
      <c r="X16" s="1708"/>
      <c r="Y16" s="1708"/>
      <c r="Z16" s="1708"/>
      <c r="AA16" s="1708"/>
      <c r="AB16" s="1708"/>
      <c r="AC16" s="1708"/>
      <c r="AD16" s="1708"/>
      <c r="AE16" s="1708"/>
      <c r="AF16" s="1708"/>
      <c r="AG16" s="1708"/>
      <c r="AH16" s="1708"/>
      <c r="AI16" s="1708"/>
      <c r="AJ16" s="1708"/>
      <c r="AK16" s="1708"/>
      <c r="AL16" s="1708"/>
      <c r="AM16" s="119"/>
      <c r="AN16" s="308"/>
      <c r="AO16" s="119"/>
      <c r="AP16" s="64"/>
    </row>
    <row r="17" spans="1:59" ht="8.25" customHeight="1" thickBot="1">
      <c r="B17" s="309"/>
      <c r="C17" s="310"/>
      <c r="D17" s="310"/>
      <c r="E17" s="310"/>
      <c r="F17" s="311"/>
      <c r="G17" s="312"/>
      <c r="H17" s="312"/>
      <c r="I17" s="312"/>
      <c r="J17" s="313"/>
      <c r="K17" s="314"/>
      <c r="L17" s="313"/>
      <c r="M17" s="113"/>
      <c r="N17" s="113"/>
      <c r="O17" s="113"/>
      <c r="P17" s="113"/>
      <c r="Q17" s="315"/>
      <c r="R17" s="113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316"/>
      <c r="AO17" s="64"/>
      <c r="AP17" s="64"/>
    </row>
    <row r="18" spans="1:59" ht="7.5" customHeight="1">
      <c r="G18" s="35"/>
      <c r="O18" s="104"/>
      <c r="P18" s="104"/>
      <c r="Q18" s="1565"/>
      <c r="R18" s="104"/>
      <c r="S18" s="104"/>
      <c r="T18" s="104"/>
      <c r="U18" s="104"/>
      <c r="V18" s="104"/>
      <c r="W18" s="104"/>
      <c r="X18" s="104"/>
      <c r="Y18" s="104"/>
      <c r="Z18" s="104"/>
      <c r="AA18" s="104"/>
      <c r="AB18" s="120"/>
      <c r="AC18" s="106"/>
      <c r="AD18" s="106"/>
      <c r="AE18" s="106"/>
      <c r="AF18" s="106"/>
      <c r="AG18" s="106"/>
      <c r="AH18" s="106"/>
      <c r="AI18" s="106"/>
      <c r="AJ18" s="106"/>
      <c r="AK18" s="106"/>
      <c r="AL18" s="106"/>
      <c r="AM18" s="106"/>
      <c r="AN18" s="106"/>
      <c r="AO18" s="106"/>
      <c r="AP18" s="64"/>
    </row>
    <row r="19" spans="1:59" s="402" customFormat="1" ht="15" customHeight="1">
      <c r="A19" s="47"/>
      <c r="B19" s="2538" t="s">
        <v>1004</v>
      </c>
      <c r="C19" s="2538"/>
      <c r="D19" s="2538"/>
      <c r="E19" s="2538"/>
      <c r="G19" s="121" t="s">
        <v>1046</v>
      </c>
      <c r="H19" s="122"/>
      <c r="I19" s="122"/>
      <c r="J19" s="122"/>
      <c r="K19" s="122"/>
      <c r="L19" s="122"/>
      <c r="M19" s="122"/>
      <c r="N19" s="122"/>
      <c r="O19" s="122"/>
      <c r="P19" s="122"/>
      <c r="Q19" s="122"/>
      <c r="R19" s="122"/>
      <c r="S19" s="122"/>
      <c r="T19" s="122"/>
      <c r="U19" s="122"/>
      <c r="V19" s="122"/>
      <c r="W19" s="122"/>
      <c r="X19" s="122"/>
      <c r="Y19" s="122"/>
      <c r="Z19" s="122"/>
      <c r="AA19" s="122"/>
      <c r="AB19" s="122"/>
      <c r="AC19" s="122"/>
      <c r="AD19" s="122"/>
      <c r="AF19" s="122"/>
      <c r="AG19" s="122"/>
      <c r="AH19" s="122"/>
      <c r="AI19" s="122"/>
      <c r="AJ19" s="122"/>
      <c r="AK19" s="122"/>
      <c r="AL19" s="122"/>
      <c r="AM19" s="122"/>
      <c r="AN19" s="122"/>
      <c r="AO19" s="123"/>
      <c r="AP19" s="123"/>
      <c r="AQ19" s="47"/>
    </row>
    <row r="20" spans="1:59" s="402" customFormat="1" ht="15" customHeight="1">
      <c r="A20" s="47"/>
      <c r="C20" s="47"/>
      <c r="G20" s="2539" t="s">
        <v>1047</v>
      </c>
      <c r="H20" s="2539"/>
      <c r="I20" s="2539"/>
      <c r="J20" s="2539"/>
      <c r="K20" s="2539"/>
      <c r="L20" s="2539"/>
      <c r="M20" s="2539"/>
      <c r="N20" s="2539"/>
      <c r="O20" s="2539"/>
      <c r="P20" s="2539"/>
      <c r="Q20" s="2539"/>
      <c r="R20" s="2539"/>
      <c r="S20" s="2539"/>
      <c r="T20" s="2539"/>
      <c r="U20" s="2539"/>
      <c r="V20" s="2539"/>
      <c r="W20" s="2539"/>
      <c r="X20" s="2539"/>
      <c r="Y20" s="2539"/>
      <c r="Z20" s="124"/>
      <c r="AA20" s="124"/>
      <c r="AB20" s="124"/>
      <c r="AC20" s="124"/>
      <c r="AD20" s="124"/>
      <c r="AE20" s="124"/>
      <c r="AF20" s="124"/>
      <c r="AG20" s="124"/>
      <c r="AH20" s="124"/>
      <c r="AI20" s="124"/>
      <c r="AJ20" s="124"/>
      <c r="AK20" s="124"/>
      <c r="AL20" s="124"/>
      <c r="AM20" s="124"/>
      <c r="AN20" s="124"/>
      <c r="AO20" s="123"/>
      <c r="AP20" s="123"/>
      <c r="AQ20" s="47"/>
    </row>
    <row r="21" spans="1:59" s="402" customFormat="1" ht="3" customHeight="1">
      <c r="A21" s="47"/>
      <c r="C21" s="47"/>
      <c r="F21" s="123"/>
      <c r="G21" s="123"/>
      <c r="H21" s="123"/>
      <c r="I21" s="123"/>
      <c r="J21" s="123"/>
      <c r="K21" s="123"/>
      <c r="L21" s="123"/>
      <c r="M21" s="123"/>
      <c r="N21" s="123"/>
      <c r="O21" s="123"/>
      <c r="P21" s="123"/>
      <c r="Q21" s="123"/>
      <c r="R21" s="123"/>
      <c r="S21" s="123"/>
      <c r="T21" s="123"/>
      <c r="U21" s="123"/>
      <c r="V21" s="123"/>
      <c r="W21" s="123"/>
      <c r="X21" s="123"/>
      <c r="Y21" s="123"/>
      <c r="Z21" s="123"/>
      <c r="AA21" s="123"/>
      <c r="AB21" s="123"/>
      <c r="AC21" s="123"/>
      <c r="AD21" s="123"/>
      <c r="AE21" s="123"/>
      <c r="AF21" s="123"/>
      <c r="AG21" s="123"/>
      <c r="AH21" s="123"/>
      <c r="AI21" s="123"/>
      <c r="AJ21" s="123"/>
      <c r="AK21" s="123"/>
      <c r="AL21" s="123"/>
      <c r="AM21" s="123"/>
      <c r="AN21" s="123"/>
      <c r="AO21" s="123"/>
      <c r="AP21" s="123"/>
      <c r="AQ21" s="47"/>
    </row>
    <row r="22" spans="1:59" ht="6" customHeight="1">
      <c r="B22" s="317"/>
      <c r="C22" s="284"/>
      <c r="D22" s="284"/>
      <c r="E22" s="284"/>
      <c r="F22" s="284"/>
      <c r="G22" s="318"/>
      <c r="H22" s="284"/>
      <c r="I22" s="284"/>
      <c r="J22" s="284"/>
      <c r="K22" s="284"/>
      <c r="L22" s="284"/>
      <c r="M22" s="284"/>
      <c r="N22" s="284"/>
      <c r="O22" s="319"/>
      <c r="P22" s="319"/>
      <c r="Q22" s="320"/>
      <c r="R22" s="319"/>
      <c r="S22" s="319"/>
      <c r="T22" s="319"/>
      <c r="U22" s="319"/>
      <c r="V22" s="319"/>
      <c r="W22" s="319"/>
      <c r="X22" s="319"/>
      <c r="Y22" s="319"/>
      <c r="Z22" s="319"/>
      <c r="AA22" s="319"/>
      <c r="AB22" s="321"/>
      <c r="AC22" s="319"/>
      <c r="AD22" s="319"/>
      <c r="AE22" s="319"/>
      <c r="AF22" s="319"/>
      <c r="AG22" s="319"/>
      <c r="AH22" s="319"/>
      <c r="AI22" s="319"/>
      <c r="AJ22" s="319"/>
      <c r="AK22" s="319"/>
      <c r="AL22" s="319"/>
      <c r="AM22" s="319"/>
      <c r="AN22" s="322"/>
      <c r="AO22" s="106"/>
      <c r="AP22" s="64"/>
    </row>
    <row r="23" spans="1:59" s="125" customFormat="1" ht="20.100000000000001" customHeight="1">
      <c r="A23" s="59"/>
      <c r="B23" s="2573" t="s">
        <v>1048</v>
      </c>
      <c r="C23" s="2475"/>
      <c r="D23" s="2475"/>
      <c r="E23" s="2475"/>
      <c r="F23" s="2475"/>
      <c r="G23" s="2475"/>
      <c r="H23" s="2475"/>
      <c r="I23" s="2475"/>
      <c r="J23" s="2475"/>
      <c r="K23" s="2475"/>
      <c r="L23" s="2475"/>
      <c r="M23" s="2475"/>
      <c r="N23" s="1581" t="s">
        <v>13</v>
      </c>
      <c r="O23" s="796" t="str">
        <f>IF('GENERAL INFO'!G212="x","x","")</f>
        <v/>
      </c>
      <c r="P23" s="1572" t="s">
        <v>1005</v>
      </c>
      <c r="Q23" s="1572"/>
      <c r="R23" s="1572"/>
      <c r="S23" s="1572"/>
      <c r="T23" s="1572"/>
      <c r="U23" s="2475" t="s">
        <v>1049</v>
      </c>
      <c r="V23" s="2475"/>
      <c r="W23" s="2475"/>
      <c r="X23" s="2475"/>
      <c r="Y23" s="796" t="str">
        <f>IF('GENERAL INFO'!K212&lt;&gt;"",'GENERAL INFO'!K212,"")</f>
        <v/>
      </c>
      <c r="Z23" s="1572"/>
      <c r="AA23" s="1572"/>
      <c r="AB23" s="1572"/>
      <c r="AC23" s="1572"/>
      <c r="AD23" s="1572"/>
      <c r="AE23" s="796" t="str">
        <f>IF('GENERAL INFO'!P212="x","x","")</f>
        <v/>
      </c>
      <c r="AF23" s="1572" t="s">
        <v>1006</v>
      </c>
      <c r="AG23" s="1572"/>
      <c r="AH23" s="1572"/>
      <c r="AI23" s="1572"/>
      <c r="AJ23" s="1572"/>
      <c r="AK23" s="1572"/>
      <c r="AL23" s="1572"/>
      <c r="AM23" s="1572"/>
      <c r="AN23" s="324"/>
      <c r="AO23" s="1572"/>
      <c r="AP23" s="126"/>
      <c r="AQ23" s="1572"/>
      <c r="AR23" s="59"/>
      <c r="AS23" s="59"/>
      <c r="AT23" s="1578"/>
      <c r="AU23" s="59"/>
      <c r="AV23" s="59"/>
      <c r="AW23" s="59"/>
      <c r="AX23" s="59"/>
      <c r="AY23" s="59"/>
      <c r="AZ23" s="59"/>
      <c r="BA23" s="59"/>
      <c r="BB23" s="59"/>
      <c r="BC23" s="59"/>
      <c r="BD23" s="59"/>
      <c r="BE23" s="59"/>
      <c r="BF23" s="59"/>
      <c r="BG23" s="1572"/>
    </row>
    <row r="24" spans="1:59" s="125" customFormat="1" ht="4.5" customHeight="1">
      <c r="A24" s="59"/>
      <c r="B24" s="323"/>
      <c r="C24" s="1572"/>
      <c r="D24" s="1572"/>
      <c r="E24" s="1572"/>
      <c r="F24" s="1572"/>
      <c r="G24" s="1572"/>
      <c r="H24" s="1572"/>
      <c r="I24" s="1572"/>
      <c r="J24" s="1572"/>
      <c r="K24" s="1572"/>
      <c r="L24" s="1572"/>
      <c r="M24" s="1581"/>
      <c r="N24" s="1572"/>
      <c r="O24" s="59"/>
      <c r="P24" s="1572"/>
      <c r="Q24" s="1572"/>
      <c r="R24" s="1572"/>
      <c r="S24" s="1572"/>
      <c r="T24" s="1572"/>
      <c r="U24" s="59"/>
      <c r="V24" s="1572"/>
      <c r="W24" s="59"/>
      <c r="X24" s="59"/>
      <c r="Y24" s="1572"/>
      <c r="Z24" s="1572"/>
      <c r="AA24" s="1572"/>
      <c r="AB24" s="1572"/>
      <c r="AC24" s="59"/>
      <c r="AD24" s="59"/>
      <c r="AE24" s="59"/>
      <c r="AF24" s="59"/>
      <c r="AG24" s="59"/>
      <c r="AH24" s="59"/>
      <c r="AI24" s="1572"/>
      <c r="AJ24" s="1572"/>
      <c r="AK24" s="1572"/>
      <c r="AL24" s="1572"/>
      <c r="AM24" s="1572"/>
      <c r="AN24" s="324"/>
      <c r="AO24" s="1572"/>
      <c r="AP24" s="126"/>
      <c r="AQ24" s="1572"/>
      <c r="AR24" s="59"/>
      <c r="AS24" s="59"/>
      <c r="AT24" s="1578"/>
      <c r="AU24" s="59"/>
      <c r="AV24" s="59"/>
      <c r="AW24" s="59"/>
      <c r="AX24" s="59"/>
      <c r="AY24" s="59"/>
      <c r="AZ24" s="59"/>
      <c r="BA24" s="59"/>
      <c r="BB24" s="59"/>
      <c r="BC24" s="59"/>
      <c r="BD24" s="59"/>
      <c r="BE24" s="59"/>
      <c r="BF24" s="59"/>
      <c r="BG24" s="1572"/>
    </row>
    <row r="25" spans="1:59" s="125" customFormat="1" ht="20.100000000000001" customHeight="1">
      <c r="A25" s="59"/>
      <c r="B25" s="325" t="s">
        <v>1050</v>
      </c>
      <c r="C25" s="54"/>
      <c r="D25" s="54"/>
      <c r="E25" s="54"/>
      <c r="F25" s="54"/>
      <c r="G25" s="54"/>
      <c r="H25" s="54"/>
      <c r="I25" s="54"/>
      <c r="J25" s="54"/>
      <c r="K25" s="54"/>
      <c r="L25" s="54"/>
      <c r="M25" s="54"/>
      <c r="N25" s="1581" t="s">
        <v>13</v>
      </c>
      <c r="O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",name02,1)),1)),1)))&gt;25,UPPER(LEFT(LEFT(name02,FIND("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",name02,1)),1)),1)),1)+1),1)),UPPER(LEFT(LEFT(name02,FIND("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",name02,1)),1)),1)),1))),UPPER(LEFT(LEFT(name02,FIND("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",name02,1)),1)),1))),UPPER(LEFT(name02,1))),"")</f>
        <v/>
      </c>
      <c r="P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",name02,1)),1)),2,1))),UPPER(MID(name02,2,1))),"")</f>
        <v/>
      </c>
      <c r="Q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",name02,1)),1)),1)),1)+1),3,1)),UPPER(MID(LEFT(name02,FIND("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",name02,1)),1)),1)),3,1))),UPPER(MID(LEFT(name02,FIND("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",name02,1)),1)),3,1))),UPPER(MID(name02,3,1))),"")</f>
        <v/>
      </c>
      <c r="R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",name02,1)),1)),1)),1)+1),4,1)),UPPER(MID(LEFT(name02,FIND("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",name02,1)),1)),1)),4,1))),UPPER(MID(LEFT(name02,FIND("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",name02,1)),1)),4,1))),UPPER(MID(name02,4,1))),"")</f>
        <v/>
      </c>
      <c r="S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",name02,1)),1)),1)),1)+1),5,1)),UPPER(MID(LEFT(name02,FIND("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",name02,1)),1)),1)),5,1))),UPPER(MID(LEFT(name02,FIND("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",name02,1)),1)),5,1))),UPPER(MID(name02,5,1))),"")</f>
        <v/>
      </c>
      <c r="T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",name02,1)),1)),1)),1)+1),6,1)),UPPER(MID(LEFT(name02,FIND("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",name02,1)),1)),1)),6,1))),UPPER(MID(LEFT(name02,FIND("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",name02,1)),1)),6,1))),UPPER(MID(name02,6,1))),"")</f>
        <v/>
      </c>
      <c r="U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",name02,1)),1)),1)),1)+1),7,1)),UPPER(MID(LEFT(name02,FIND("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",name02,1)),1)),1)),7,1))),UPPER(MID(LEFT(name02,FIND("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",name02,1)),1)),7,1))),UPPER(MID(name02,7,1))),"")</f>
        <v/>
      </c>
      <c r="V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",name02,1)),1)),1)),1)+1),8,1)),UPPER(MID(LEFT(name02,FIND("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",name02,1)),1)),1)),8,1))),UPPER(MID(LEFT(name02,FIND("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",name02,1)),1)),8,1))),UPPER(MID(name02,8,1))),"")</f>
        <v/>
      </c>
      <c r="W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",name02,1)),1)),1)),1)+1),9,1)),UPPER(MID(LEFT(name02,FIND("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",name02,1)),1)),1)),9,1))),UPPER(MID(LEFT(name02,FIND("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",name02,1)),1)),9,1))),UPPER(MID(name02,9,1))),"")</f>
        <v/>
      </c>
      <c r="X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",name02,1)),1)),1)),1)+1),10,1)),UPPER(MID(LEFT(name02,FIND("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",name02,1)),1)),1)),10,1))),UPPER(MID(LEFT(name02,FIND("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",name02,1)),1)),10,1))),UPPER(MID(name02,10,1))),"")</f>
        <v/>
      </c>
      <c r="Y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",name02,1)),1)),1)),1)+1),11,1)),UPPER(MID(LEFT(name02,FIND("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",name02,1)),1)),1)),11,1))),UPPER(MID(LEFT(name02,FIND("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",name02,1)),1)),11,1))),UPPER(MID(name02,11,1))),"")</f>
        <v/>
      </c>
      <c r="Z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",name02,1)),1)),1)),1)+1),12,1)),UPPER(MID(LEFT(name02,FIND("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",name02,1)),1)),1)),12,1))),UPPER(MID(LEFT(name02,FIND("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",name02,1)),1)),12,1))),UPPER(MID(name02,12,1))),"")</f>
        <v/>
      </c>
      <c r="AA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",name02,1)),1)),1)),1)+1),13,1)),UPPER(MID(LEFT(name02,FIND("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",name02,1)),1)),1)),13,1))),UPPER(MID(LEFT(name02,FIND("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",name02,1)),1)),13,1))),UPPER(MID(name02,13,1))),"")</f>
        <v/>
      </c>
      <c r="AB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",name02,1)),1)),1)),1)+1),14,1)),UPPER(MID(LEFT(name02,FIND("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",name02,1)),1)),1)),14,1))),UPPER(MID(LEFT(name02,FIND("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",name02,1)),1)),14,1))),UPPER(MID(name02,14,1))),"")</f>
        <v/>
      </c>
      <c r="AC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",name02,1)),1)),1)),1)+1),15,1)),UPPER(MID(LEFT(name02,FIND("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",name02,1)),1)),1)),15,1))),UPPER(MID(LEFT(name02,FIND("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",name02,1)),1)),15,1))),UPPER(MID(name02,15,1))),"")</f>
        <v/>
      </c>
      <c r="AD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",name02,1)),1)),1)),1)+1),16,1)),UPPER(MID(LEFT(name02,FIND("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",name02,1)),1)),1)),16,1))),UPPER(MID(LEFT(name02,FIND("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",name02,1)),1)),16,1))),UPPER(MID(name02,16,1))),"")</f>
        <v/>
      </c>
      <c r="AE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",name02,1)),1)),1)),1)+1),17,1)),UPPER(MID(LEFT(name02,FIND("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",name02,1)),1)),1)),17,1))),UPPER(MID(LEFT(name02,FIND("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",name02,1)),1)),17,1))),UPPER(MID(name02,17,1))),"")</f>
        <v/>
      </c>
      <c r="AF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",name02,1)),1)),1)),1)+1),18,1)),UPPER(MID(LEFT(name02,FIND("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",name02,1)),1)),1)),18,1))),UPPER(MID(LEFT(name02,FIND("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",name02,1)),1)),18,1))),UPPER(MID(name02,18,1))),"")</f>
        <v/>
      </c>
      <c r="AG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",name02,1)),1)),1)),1)+1),19,1)),UPPER(MID(LEFT(name02,FIND("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",name02,1)),1)),1)),19,1))),UPPER(MID(LEFT(name02,FIND("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",name02,1)),1)),19,1))),UPPER(MID(name02,19,1))),"")</f>
        <v/>
      </c>
      <c r="AH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",name02,1)),1)),1)),1)+1),20,1)),UPPER(MID(LEFT(name02,FIND("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",name02,1)),1)),1)),20,1))),UPPER(MID(LEFT(name02,FIND("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",name02,1)),1)),20,1))),UPPER(MID(name02,20,1))),"")</f>
        <v/>
      </c>
      <c r="AI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",name02,1)),1)),1)),1)+1),21,1)),UPPER(MID(LEFT(name02,FIND("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",name02,1)),1)),1)),21,1))),UPPER(MID(LEFT(name02,FIND("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",name02,1)),1)),21,1))),UPPER(MID(name02,21,1))),"")</f>
        <v/>
      </c>
      <c r="AJ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",name02,1)),1)),1)),1)+1),22,1)),UPPER(MID(LEFT(name02,FIND("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",name02,1)),1)),1)),22,1))),UPPER(MID(LEFT(name02,FIND("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",name02,1)),1)),22,1))),UPPER(MID(name02,22,1))),"")</f>
        <v/>
      </c>
      <c r="AK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",name02,1)),1)),1)),1)+1),23,1)),UPPER(MID(LEFT(name02,FIND("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",name02,1)),1)),1)),23,1))),UPPER(MID(LEFT(name02,FIND("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",name02,1)),1)),23,1))),UPPER(MID(name02,23,1))),"")</f>
        <v/>
      </c>
      <c r="AL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",name02,1)),1)),1)),1)+1),24,1)),UPPER(MID(LEFT(name02,FIND("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",name02,1)),1)),1)),24,1))),UPPER(MID(LEFT(name02,FIND("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",name02,1)),1)),24,1))),UPPER(MID(name02,24,1))),"")</f>
        <v/>
      </c>
      <c r="AM25" s="796" t="str">
        <f>IF(AND('GENERAL INFO'!G212="x",'GENERAL INFO'!U212="x"),IF(LEN(name02)&gt;25,IF(LEN(LEFT(name02,FIND("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",name02,1)),1)),1)),1)+1),25,1)),UPPER(MID(LEFT(name02,FIND("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",name02,1)),1)),1)),25,1))),UPPER(MID(LEFT(name02,FIND("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",name02,1)),1)),25,1))),UPPER(MID(name02,25,1))),"")</f>
        <v/>
      </c>
      <c r="AN25" s="1424"/>
      <c r="AO25" s="59"/>
      <c r="AP25" s="126"/>
      <c r="AQ25" s="59"/>
      <c r="AR25" s="59"/>
      <c r="AS25" s="59"/>
      <c r="AT25" s="1578"/>
      <c r="AU25" s="59"/>
      <c r="AV25" s="59"/>
      <c r="AW25" s="59"/>
      <c r="AX25" s="59"/>
      <c r="AY25" s="59"/>
      <c r="AZ25" s="59"/>
      <c r="BA25" s="59"/>
      <c r="BB25" s="59"/>
      <c r="BC25" s="59"/>
      <c r="BD25" s="59"/>
      <c r="BE25" s="59"/>
      <c r="BF25" s="59"/>
      <c r="BG25" s="1572"/>
    </row>
    <row r="26" spans="1:59" s="125" customFormat="1" ht="5.25" customHeight="1">
      <c r="A26" s="59"/>
      <c r="B26" s="325"/>
      <c r="C26" s="1572"/>
      <c r="D26" s="1572"/>
      <c r="E26" s="1572"/>
      <c r="F26" s="1572"/>
      <c r="G26" s="1572"/>
      <c r="H26" s="1572"/>
      <c r="I26" s="1572"/>
      <c r="J26" s="1572"/>
      <c r="K26" s="1572"/>
      <c r="L26" s="1572"/>
      <c r="M26" s="1572"/>
      <c r="N26" s="1581"/>
      <c r="O26" s="1573"/>
      <c r="P26" s="1425"/>
      <c r="Q26" s="1573"/>
      <c r="R26" s="1573"/>
      <c r="S26" s="133"/>
      <c r="T26" s="1425"/>
      <c r="U26" s="1425"/>
      <c r="V26" s="1425"/>
      <c r="W26" s="1425"/>
      <c r="X26" s="1425"/>
      <c r="Y26" s="1425"/>
      <c r="Z26" s="1425"/>
      <c r="AA26" s="1425"/>
      <c r="AB26" s="1425"/>
      <c r="AC26" s="1425"/>
      <c r="AD26" s="1425"/>
      <c r="AE26" s="1425"/>
      <c r="AF26" s="1425"/>
      <c r="AG26" s="1425"/>
      <c r="AH26" s="1425"/>
      <c r="AI26" s="1425"/>
      <c r="AJ26" s="1425"/>
      <c r="AK26" s="1425"/>
      <c r="AL26" s="1425"/>
      <c r="AM26" s="1425"/>
      <c r="AN26" s="1424"/>
      <c r="AO26" s="59"/>
      <c r="AP26" s="126"/>
      <c r="AQ26" s="59"/>
      <c r="AR26" s="59"/>
      <c r="AS26" s="59"/>
      <c r="AT26" s="1578"/>
      <c r="AU26" s="59"/>
      <c r="AV26" s="59"/>
      <c r="AW26" s="59"/>
      <c r="AX26" s="59"/>
      <c r="AY26" s="59"/>
      <c r="AZ26" s="59"/>
      <c r="BA26" s="59"/>
      <c r="BB26" s="59"/>
      <c r="BC26" s="59"/>
      <c r="BD26" s="59"/>
      <c r="BE26" s="59"/>
      <c r="BF26" s="59"/>
      <c r="BG26" s="1572"/>
    </row>
    <row r="27" spans="1:59" s="125" customFormat="1" ht="20.100000000000001" customHeight="1">
      <c r="A27" s="59"/>
      <c r="B27" s="2573" t="s">
        <v>1051</v>
      </c>
      <c r="C27" s="2475"/>
      <c r="D27" s="2475"/>
      <c r="E27" s="2475"/>
      <c r="F27" s="2475"/>
      <c r="G27" s="2475"/>
      <c r="H27" s="2475"/>
      <c r="I27" s="2475"/>
      <c r="J27" s="2475"/>
      <c r="K27" s="2475"/>
      <c r="L27" s="2475"/>
      <c r="M27" s="2475"/>
      <c r="N27" s="1581" t="s">
        <v>13</v>
      </c>
      <c r="O27" s="796" t="str">
        <f>IF(AND('GENERAL INFO'!G212="x",'GENERAL INFO'!U212="x"),LEFT('GENERAL INFO'!G214,1),"")</f>
        <v/>
      </c>
      <c r="P27" s="796" t="str">
        <f>IF(AND('GENERAL INFO'!G212="x",'GENERAL INFO'!U212="x"),MID('GENERAL INFO'!G214,2,1),"")</f>
        <v/>
      </c>
      <c r="Q27" s="1573"/>
      <c r="R27" s="796" t="str">
        <f>IF(AND('GENERAL INFO'!G212="x",'GENERAL INFO'!U212="x"),MID('GENERAL INFO'!G214,3,1),"")</f>
        <v/>
      </c>
      <c r="S27" s="796" t="str">
        <f>IF(AND('GENERAL INFO'!G212="x",'GENERAL INFO'!U212="x"),MID('GENERAL INFO'!G214,4,1),"")</f>
        <v/>
      </c>
      <c r="T27" s="796" t="str">
        <f>IF(AND('GENERAL INFO'!G212="x",'GENERAL INFO'!U212="x"),MID('GENERAL INFO'!G214,5,1),"")</f>
        <v/>
      </c>
      <c r="U27" s="1425"/>
      <c r="V27" s="796" t="str">
        <f>IF(AND('GENERAL INFO'!G212="x",'GENERAL INFO'!U212="x"),MID('GENERAL INFO'!G214,6,1),"")</f>
        <v/>
      </c>
      <c r="W27" s="796" t="str">
        <f>IF(AND('GENERAL INFO'!G212="x",'GENERAL INFO'!U212="x"),MID('GENERAL INFO'!G214,7,1),"")</f>
        <v/>
      </c>
      <c r="X27" s="796" t="str">
        <f>IF(AND('GENERAL INFO'!G212="x",'GENERAL INFO'!U212="x"),MID('GENERAL INFO'!G214,8,1),"")</f>
        <v/>
      </c>
      <c r="Y27" s="1425"/>
      <c r="Z27" s="796" t="str">
        <f>IF(AND('GENERAL INFO'!G212="x",'GENERAL INFO'!U212="x"),MID('GENERAL INFO'!G214,9,1),"")</f>
        <v/>
      </c>
      <c r="AA27" s="1573"/>
      <c r="AB27" s="796" t="str">
        <f>IF(AND('GENERAL INFO'!G212="x",'GENERAL INFO'!U212="x"),MID('GENERAL INFO'!G214,10,1),"")</f>
        <v/>
      </c>
      <c r="AC27" s="796" t="str">
        <f>IF(AND('GENERAL INFO'!G212="x",'GENERAL INFO'!U212="x"),MID('GENERAL INFO'!G214,11,1),"")</f>
        <v/>
      </c>
      <c r="AD27" s="796" t="str">
        <f>IF(AND('GENERAL INFO'!G212="x",'GENERAL INFO'!U212="x"),MID('GENERAL INFO'!G214,12,1),"")</f>
        <v/>
      </c>
      <c r="AE27" s="1425"/>
      <c r="AF27" s="796" t="str">
        <f>IF(AND('GENERAL INFO'!G212="x",'GENERAL INFO'!U212="x"),MID('GENERAL INFO'!G214,13,1),"")</f>
        <v/>
      </c>
      <c r="AG27" s="796" t="str">
        <f>IF(AND('GENERAL INFO'!G212="x",'GENERAL INFO'!U212="x"),MID('GENERAL INFO'!G214,14,1),"")</f>
        <v/>
      </c>
      <c r="AH27" s="796" t="str">
        <f>IF(AND('GENERAL INFO'!G212="x",'GENERAL INFO'!U212="x"),MID('GENERAL INFO'!G214,15,1),"")</f>
        <v/>
      </c>
      <c r="AI27" s="1573"/>
      <c r="AJ27" s="1425"/>
      <c r="AK27" s="1573"/>
      <c r="AL27" s="1573"/>
      <c r="AM27" s="1573"/>
      <c r="AN27" s="1574"/>
      <c r="AO27" s="1572"/>
      <c r="AP27" s="126"/>
      <c r="AQ27" s="59"/>
      <c r="AR27" s="59"/>
      <c r="AS27" s="59"/>
      <c r="AT27" s="1578"/>
      <c r="AU27" s="59"/>
      <c r="AV27" s="59"/>
      <c r="AW27" s="59"/>
      <c r="AX27" s="59"/>
      <c r="AY27" s="59"/>
      <c r="AZ27" s="59"/>
      <c r="BA27" s="59"/>
      <c r="BB27" s="59"/>
      <c r="BC27" s="59"/>
      <c r="BD27" s="59"/>
      <c r="BE27" s="59"/>
      <c r="BF27" s="59"/>
      <c r="BG27" s="1572"/>
    </row>
    <row r="28" spans="1:59" s="125" customFormat="1" ht="6" customHeight="1">
      <c r="A28" s="59"/>
      <c r="B28" s="325"/>
      <c r="C28" s="1572"/>
      <c r="D28" s="1572"/>
      <c r="E28" s="1572"/>
      <c r="F28" s="1572"/>
      <c r="G28" s="1572"/>
      <c r="H28" s="1572"/>
      <c r="I28" s="1572"/>
      <c r="J28" s="1572"/>
      <c r="K28" s="1572"/>
      <c r="L28" s="1572"/>
      <c r="M28" s="1572"/>
      <c r="N28" s="1581"/>
      <c r="O28" s="1425"/>
      <c r="P28" s="1425"/>
      <c r="Q28" s="1425"/>
      <c r="R28" s="1573"/>
      <c r="S28" s="1425"/>
      <c r="T28" s="1425"/>
      <c r="U28" s="1425"/>
      <c r="V28" s="1425"/>
      <c r="W28" s="1425"/>
      <c r="X28" s="1425"/>
      <c r="Y28" s="1425"/>
      <c r="Z28" s="1425"/>
      <c r="AA28" s="1425"/>
      <c r="AB28" s="1573"/>
      <c r="AC28" s="1425"/>
      <c r="AD28" s="1425"/>
      <c r="AE28" s="1425"/>
      <c r="AF28" s="1425"/>
      <c r="AG28" s="1425"/>
      <c r="AH28" s="1425"/>
      <c r="AI28" s="1425"/>
      <c r="AJ28" s="1425"/>
      <c r="AK28" s="1573"/>
      <c r="AL28" s="1573"/>
      <c r="AM28" s="1573"/>
      <c r="AN28" s="1574"/>
      <c r="AO28" s="1572"/>
      <c r="AP28" s="126"/>
      <c r="AQ28" s="59"/>
      <c r="AR28" s="59"/>
      <c r="AS28" s="59"/>
      <c r="AT28" s="1578"/>
      <c r="AU28" s="59"/>
      <c r="AV28" s="59"/>
      <c r="AW28" s="59"/>
      <c r="AX28" s="59"/>
      <c r="AY28" s="59"/>
      <c r="AZ28" s="59"/>
      <c r="BA28" s="59"/>
      <c r="BB28" s="59"/>
      <c r="BC28" s="59"/>
      <c r="BD28" s="59"/>
      <c r="BE28" s="59"/>
      <c r="BF28" s="59"/>
      <c r="BG28" s="1572"/>
    </row>
    <row r="29" spans="1:59" s="125" customFormat="1" ht="20.100000000000001" customHeight="1">
      <c r="A29" s="59"/>
      <c r="B29" s="2573" t="s">
        <v>1052</v>
      </c>
      <c r="C29" s="2475"/>
      <c r="D29" s="2475"/>
      <c r="E29" s="2475"/>
      <c r="F29" s="2475"/>
      <c r="G29" s="2475"/>
      <c r="H29" s="2475"/>
      <c r="I29" s="2475"/>
      <c r="J29" s="2475"/>
      <c r="K29" s="2475"/>
      <c r="L29" s="2475"/>
      <c r="M29" s="2475"/>
      <c r="N29" s="1581" t="s">
        <v>13</v>
      </c>
      <c r="O29" s="796" t="str">
        <f>IF(AND('GENERAL INFO'!G212="x",'GENERAL INFO'!U212="x"),UPPER(LEFT('GENERAL INFO'!G215,1)),"")</f>
        <v/>
      </c>
      <c r="P29" s="796" t="str">
        <f>IF(AND('GENERAL INFO'!G212="x",'GENERAL INFO'!U212="x"),UPPER(MID('GENERAL INFO'!G215,2,1)),"")</f>
        <v/>
      </c>
      <c r="Q29" s="796" t="str">
        <f>IF(AND('GENERAL INFO'!G212="x",'GENERAL INFO'!U212="x"),UPPER(MID('GENERAL INFO'!G215,3,1)),"")</f>
        <v/>
      </c>
      <c r="R29" s="796" t="str">
        <f>IF(AND('GENERAL INFO'!G212="x",'GENERAL INFO'!U212="x"),UPPER(MID('GENERAL INFO'!G215,4,1)),"")</f>
        <v/>
      </c>
      <c r="S29" s="796" t="str">
        <f>IF(AND('GENERAL INFO'!G212="x",'GENERAL INFO'!U212="x"),UPPER(MID('GENERAL INFO'!G215,5,1)),"")</f>
        <v/>
      </c>
      <c r="T29" s="796" t="str">
        <f>IF(AND('GENERAL INFO'!G212="x",'GENERAL INFO'!U212="x"),UPPER(MID('GENERAL INFO'!G215,6,1)),"")</f>
        <v/>
      </c>
      <c r="U29" s="796" t="str">
        <f>IF(AND('GENERAL INFO'!G212="x",'GENERAL INFO'!U212="x"),UPPER(MID('GENERAL INFO'!G215,7,1)),"")</f>
        <v/>
      </c>
      <c r="V29" s="796" t="str">
        <f>IF(AND('GENERAL INFO'!G212="x",'GENERAL INFO'!U212="x"),UPPER(MID('GENERAL INFO'!G215,8,1)),"")</f>
        <v/>
      </c>
      <c r="W29" s="796" t="str">
        <f>IF(AND('GENERAL INFO'!G212="x",'GENERAL INFO'!U212="x"),UPPER(MID('GENERAL INFO'!G215,9,1)),"")</f>
        <v/>
      </c>
      <c r="X29" s="796" t="str">
        <f>IF(AND('GENERAL INFO'!G212="x",'GENERAL INFO'!U212="x"),UPPER(MID('GENERAL INFO'!G215,10,1)),"")</f>
        <v/>
      </c>
      <c r="Y29" s="796" t="str">
        <f>IF(AND('GENERAL INFO'!G212="x",'GENERAL INFO'!U212="x"),UPPER(MID('GENERAL INFO'!G215,11,1)),"")</f>
        <v/>
      </c>
      <c r="Z29" s="796" t="str">
        <f>IF(AND('GENERAL INFO'!G212="x",'GENERAL INFO'!U212="x"),UPPER(MID('GENERAL INFO'!G215,12,1)),"")</f>
        <v/>
      </c>
      <c r="AA29" s="796" t="str">
        <f>IF(AND('GENERAL INFO'!G212="x",'GENERAL INFO'!U212="x"),UPPER(MID('GENERAL INFO'!G215,13,1)),"")</f>
        <v/>
      </c>
      <c r="AB29" s="796" t="str">
        <f>IF(AND('GENERAL INFO'!G212="x",'GENERAL INFO'!U212="x"),UPPER(MID('GENERAL INFO'!G215,14,1)),"")</f>
        <v/>
      </c>
      <c r="AC29" s="796" t="str">
        <f>IF(AND('GENERAL INFO'!G212="x",'GENERAL INFO'!U212="x"),UPPER(MID('GENERAL INFO'!G215,15,1)),"")</f>
        <v/>
      </c>
      <c r="AD29" s="796" t="str">
        <f>IF(AND('GENERAL INFO'!G212="x",'GENERAL INFO'!U212="x"),UPPER(MID('GENERAL INFO'!G215,16,1)),"")</f>
        <v/>
      </c>
      <c r="AE29" s="796" t="str">
        <f>IF(AND('GENERAL INFO'!G212="x",'GENERAL INFO'!U212="x"),UPPER(MID('GENERAL INFO'!G215,17,1)),"")</f>
        <v/>
      </c>
      <c r="AF29" s="796" t="str">
        <f>IF(AND('GENERAL INFO'!G212="x",'GENERAL INFO'!U212="x"),UPPER(MID('GENERAL INFO'!G215,18,1)),"")</f>
        <v/>
      </c>
      <c r="AG29" s="796" t="str">
        <f>IF(AND('GENERAL INFO'!G212="x",'GENERAL INFO'!U212="x"),UPPER(MID('GENERAL INFO'!G215,19,1)),"")</f>
        <v/>
      </c>
      <c r="AH29" s="796" t="str">
        <f>IF(AND('GENERAL INFO'!G212="x",'GENERAL INFO'!U212="x"),UPPER(MID('GENERAL INFO'!G215,20,1)),"")</f>
        <v/>
      </c>
      <c r="AI29" s="796" t="str">
        <f>IF(AND('GENERAL INFO'!G212="x",'GENERAL INFO'!U212="x"),UPPER(MID('GENERAL INFO'!G215,21,1)),"")</f>
        <v/>
      </c>
      <c r="AJ29" s="796" t="str">
        <f>IF(AND('GENERAL INFO'!G212="x",'GENERAL INFO'!U212="x"),UPPER(MID('GENERAL INFO'!G215,22,1)),"")</f>
        <v/>
      </c>
      <c r="AK29" s="796" t="str">
        <f>IF(AND('GENERAL INFO'!G212="x",'GENERAL INFO'!U212="x"),UPPER(MID('GENERAL INFO'!G215,23,1)),"")</f>
        <v/>
      </c>
      <c r="AL29" s="796" t="str">
        <f>IF(AND('GENERAL INFO'!G212="x",'GENERAL INFO'!U212="x"),UPPER(MID('GENERAL INFO'!G215,24,1)),"")</f>
        <v/>
      </c>
      <c r="AM29" s="796" t="str">
        <f>IF(AND('GENERAL INFO'!G212="x",'GENERAL INFO'!U212="x"),UPPER(MID('GENERAL INFO'!G215,25,1)),"")</f>
        <v/>
      </c>
      <c r="AN29" s="1574"/>
      <c r="AO29" s="1572"/>
      <c r="AP29" s="126"/>
      <c r="AQ29" s="59"/>
      <c r="AR29" s="59"/>
      <c r="AS29" s="59"/>
      <c r="AT29" s="1578"/>
      <c r="AU29" s="59"/>
      <c r="AV29" s="59"/>
      <c r="AW29" s="59"/>
      <c r="AX29" s="59"/>
      <c r="AY29" s="59"/>
      <c r="AZ29" s="59"/>
      <c r="BA29" s="59"/>
      <c r="BB29" s="59"/>
      <c r="BC29" s="59"/>
      <c r="BD29" s="59"/>
      <c r="BE29" s="59"/>
      <c r="BF29" s="59"/>
      <c r="BG29" s="1572"/>
    </row>
    <row r="30" spans="1:59" s="125" customFormat="1" ht="4.5" customHeight="1">
      <c r="A30" s="59"/>
      <c r="B30" s="325"/>
      <c r="C30" s="1572"/>
      <c r="D30" s="1572"/>
      <c r="E30" s="1572"/>
      <c r="F30" s="1572"/>
      <c r="G30" s="1572"/>
      <c r="H30" s="1572"/>
      <c r="I30" s="1572"/>
      <c r="J30" s="1572"/>
      <c r="K30" s="1572"/>
      <c r="L30" s="1572"/>
      <c r="M30" s="1572"/>
      <c r="N30" s="1581"/>
      <c r="O30" s="1425"/>
      <c r="P30" s="1425"/>
      <c r="Q30" s="1425"/>
      <c r="R30" s="1573"/>
      <c r="S30" s="1425"/>
      <c r="T30" s="1425"/>
      <c r="U30" s="1425"/>
      <c r="V30" s="1425"/>
      <c r="W30" s="1425"/>
      <c r="X30" s="1425"/>
      <c r="Y30" s="1425"/>
      <c r="Z30" s="1425"/>
      <c r="AA30" s="1425"/>
      <c r="AB30" s="1573"/>
      <c r="AC30" s="1425"/>
      <c r="AD30" s="1425"/>
      <c r="AE30" s="1425"/>
      <c r="AF30" s="1425"/>
      <c r="AG30" s="1425"/>
      <c r="AH30" s="1425"/>
      <c r="AI30" s="1425"/>
      <c r="AJ30" s="1425"/>
      <c r="AK30" s="1425"/>
      <c r="AL30" s="1425"/>
      <c r="AM30" s="1425"/>
      <c r="AN30" s="1424"/>
      <c r="AO30" s="59"/>
      <c r="AP30" s="126"/>
      <c r="AQ30" s="59"/>
      <c r="AR30" s="59"/>
      <c r="AS30" s="59"/>
      <c r="AT30" s="1578"/>
      <c r="AU30" s="59"/>
      <c r="AV30" s="59"/>
      <c r="AW30" s="59"/>
      <c r="AX30" s="59"/>
      <c r="AY30" s="59"/>
      <c r="AZ30" s="59"/>
      <c r="BA30" s="59"/>
      <c r="BB30" s="59"/>
      <c r="BC30" s="59"/>
      <c r="BD30" s="59"/>
      <c r="BE30" s="59"/>
      <c r="BF30" s="59"/>
      <c r="BG30" s="1572"/>
    </row>
    <row r="31" spans="1:59" s="125" customFormat="1" ht="20.100000000000001" customHeight="1">
      <c r="A31" s="59"/>
      <c r="B31" s="2573" t="s">
        <v>1053</v>
      </c>
      <c r="C31" s="2475"/>
      <c r="D31" s="2475"/>
      <c r="E31" s="2475"/>
      <c r="F31" s="2475"/>
      <c r="G31" s="2475"/>
      <c r="H31" s="2475"/>
      <c r="I31" s="2475"/>
      <c r="J31" s="2475"/>
      <c r="K31" s="2475"/>
      <c r="L31" s="2475"/>
      <c r="M31" s="2475"/>
      <c r="N31" s="1581" t="s">
        <v>13</v>
      </c>
      <c r="O31" s="1709" t="str">
        <f>IF(AND('GENERAL INFO'!G212="x",'GENERAL INFO'!U212="x"),LEFT('GENERAL INFO'!G216,1),"")</f>
        <v/>
      </c>
      <c r="P31" s="796" t="str">
        <f>IF(AND('GENERAL INFO'!G212="x",'GENERAL INFO'!U212="x"),MID('GENERAL INFO'!G216,2,1),"")</f>
        <v/>
      </c>
      <c r="Q31" s="1573"/>
      <c r="R31" s="796" t="str">
        <f>IF(AND('GENERAL INFO'!G212="x",'GENERAL INFO'!U212="x"),MID('GENERAL INFO'!G216,3,1),"")</f>
        <v/>
      </c>
      <c r="S31" s="796" t="str">
        <f>IF(AND('GENERAL INFO'!G212="x",'GENERAL INFO'!U212="x"),MID('GENERAL INFO'!G216,4,1),"")</f>
        <v/>
      </c>
      <c r="T31" s="796" t="str">
        <f>IF(AND('GENERAL INFO'!G212="x",'GENERAL INFO'!U212="x"),MID('GENERAL INFO'!G216,5,1),"")</f>
        <v/>
      </c>
      <c r="U31" s="1425"/>
      <c r="V31" s="796" t="str">
        <f>IF(AND('GENERAL INFO'!G212="x",'GENERAL INFO'!U212="x"),MID('GENERAL INFO'!G216,6,1),"")</f>
        <v/>
      </c>
      <c r="W31" s="796" t="str">
        <f>IF(AND('GENERAL INFO'!G212="x",'GENERAL INFO'!U212="x"),MID('GENERAL INFO'!G216,7,1),"")</f>
        <v/>
      </c>
      <c r="X31" s="796" t="str">
        <f>IF(AND('GENERAL INFO'!G212="x",'GENERAL INFO'!U212="x"),MID('GENERAL INFO'!G216,8,1),"")</f>
        <v/>
      </c>
      <c r="Y31" s="1425"/>
      <c r="Z31" s="796" t="str">
        <f>IF(AND('GENERAL INFO'!G212="x",'GENERAL INFO'!U212="x"),MID('GENERAL INFO'!G216,9,1),"")</f>
        <v/>
      </c>
      <c r="AA31" s="1573"/>
      <c r="AB31" s="796" t="str">
        <f>IF(AND('GENERAL INFO'!G212="x",'GENERAL INFO'!U212="x"),MID('GENERAL INFO'!G216,10,1),"")</f>
        <v/>
      </c>
      <c r="AC31" s="796" t="str">
        <f>IF(AND('GENERAL INFO'!G212="x",'GENERAL INFO'!U212="x"),MID('GENERAL INFO'!G216,11,1),"")</f>
        <v/>
      </c>
      <c r="AD31" s="796" t="str">
        <f>IF(AND('GENERAL INFO'!G212="x",'GENERAL INFO'!U212="x"),MID('GENERAL INFO'!G216,12,1),"")</f>
        <v/>
      </c>
      <c r="AE31" s="1425"/>
      <c r="AF31" s="796" t="str">
        <f>IF(AND('GENERAL INFO'!G212="x",'GENERAL INFO'!U212="x"),MID('GENERAL INFO'!G216,13,1),"")</f>
        <v/>
      </c>
      <c r="AG31" s="796" t="str">
        <f>IF(AND('GENERAL INFO'!G212="x",'GENERAL INFO'!U212="x"),MID('GENERAL INFO'!G216,14,1),"")</f>
        <v/>
      </c>
      <c r="AH31" s="796" t="str">
        <f>IF(AND('GENERAL INFO'!G212="x",'GENERAL INFO'!U212="x"),MID('GENERAL INFO'!G216,15,1),"")</f>
        <v/>
      </c>
      <c r="AI31" s="1573"/>
      <c r="AJ31" s="1425"/>
      <c r="AK31" s="1573"/>
      <c r="AL31" s="1573"/>
      <c r="AM31" s="1573"/>
      <c r="AN31" s="1574"/>
      <c r="AO31" s="1572"/>
      <c r="AP31" s="126"/>
      <c r="AQ31" s="59"/>
      <c r="AR31" s="59"/>
      <c r="AS31" s="59"/>
      <c r="AT31" s="1578"/>
      <c r="AU31" s="59"/>
      <c r="AV31" s="59"/>
      <c r="AW31" s="59"/>
      <c r="AX31" s="59"/>
      <c r="AY31" s="59"/>
      <c r="AZ31" s="59"/>
      <c r="BA31" s="59"/>
      <c r="BB31" s="59"/>
      <c r="BC31" s="59"/>
      <c r="BD31" s="59"/>
      <c r="BE31" s="59"/>
      <c r="BF31" s="59"/>
      <c r="BG31" s="1572"/>
    </row>
    <row r="32" spans="1:59" s="125" customFormat="1" ht="4.5" customHeight="1">
      <c r="A32" s="59"/>
      <c r="B32" s="323"/>
      <c r="C32" s="1572"/>
      <c r="D32" s="1572"/>
      <c r="E32" s="1572"/>
      <c r="F32" s="1572"/>
      <c r="G32" s="1572"/>
      <c r="H32" s="1572"/>
      <c r="I32" s="1572"/>
      <c r="J32" s="1572"/>
      <c r="K32" s="1572"/>
      <c r="L32" s="1572"/>
      <c r="M32" s="1572"/>
      <c r="N32" s="1581"/>
      <c r="O32" s="1425"/>
      <c r="P32" s="1573"/>
      <c r="Q32" s="1425"/>
      <c r="R32" s="1573"/>
      <c r="S32" s="1573"/>
      <c r="T32" s="1425"/>
      <c r="U32" s="1425"/>
      <c r="V32" s="1425"/>
      <c r="W32" s="1425"/>
      <c r="X32" s="1425"/>
      <c r="Y32" s="1425"/>
      <c r="Z32" s="1425"/>
      <c r="AA32" s="1425"/>
      <c r="AB32" s="1425"/>
      <c r="AC32" s="1425"/>
      <c r="AD32" s="1425"/>
      <c r="AE32" s="1425"/>
      <c r="AF32" s="1425"/>
      <c r="AG32" s="1425"/>
      <c r="AH32" s="1425"/>
      <c r="AI32" s="1425"/>
      <c r="AJ32" s="1425"/>
      <c r="AK32" s="1425"/>
      <c r="AL32" s="1425"/>
      <c r="AM32" s="1425"/>
      <c r="AN32" s="1424"/>
      <c r="AO32" s="59"/>
      <c r="AP32" s="126"/>
      <c r="AQ32" s="59"/>
      <c r="AR32" s="59"/>
      <c r="AS32" s="59"/>
      <c r="AT32" s="1578"/>
      <c r="AU32" s="59"/>
      <c r="AV32" s="59"/>
      <c r="AW32" s="59"/>
      <c r="AX32" s="59"/>
      <c r="AY32" s="59"/>
      <c r="AZ32" s="59"/>
      <c r="BA32" s="59"/>
      <c r="BB32" s="59"/>
      <c r="BC32" s="59"/>
      <c r="BD32" s="59"/>
      <c r="BE32" s="59"/>
      <c r="BF32" s="59"/>
      <c r="BG32" s="1572"/>
    </row>
    <row r="33" spans="1:59" s="125" customFormat="1" ht="20.100000000000001" customHeight="1">
      <c r="A33" s="59"/>
      <c r="B33" s="326" t="s">
        <v>1054</v>
      </c>
      <c r="C33" s="1572"/>
      <c r="D33" s="1572"/>
      <c r="E33" s="1572"/>
      <c r="F33" s="1572"/>
      <c r="G33" s="1572"/>
      <c r="H33" s="1572"/>
      <c r="I33" s="1572"/>
      <c r="J33" s="1572"/>
      <c r="K33" s="1572"/>
      <c r="L33" s="1572"/>
      <c r="M33" s="1572"/>
      <c r="N33" s="1581" t="s">
        <v>13</v>
      </c>
      <c r="O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",name02,1)),1)),1)))&gt;25,UPPER(LEFT(LEFT(name02,FIND("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",name02,1)),1)),1)),1)+1),1)),UPPER(LEFT(LEFT(name02,FIND("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",name02,1)),1)),1)),1))),UPPER(LEFT(LEFT(name02,FIND("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",name02,1)),1)),1))),UPPER(LEFT(name02,1))),"")</f>
        <v/>
      </c>
      <c r="P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",name02,1)),1)),2,1))),UPPER(MID(name02,2,1))),"")</f>
        <v/>
      </c>
      <c r="Q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",name02,1)),1)),1)),1)+1),3,1)),UPPER(MID(LEFT(name02,FIND("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",name02,1)),1)),1)),3,1))),UPPER(MID(LEFT(name02,FIND("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",name02,1)),1)),3,1))),UPPER(MID(name02,3,1))),"")</f>
        <v/>
      </c>
      <c r="R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",name02,1)),1)),1)),1)+1),4,1)),UPPER(MID(LEFT(name02,FIND("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",name02,1)),1)),1)),4,1))),UPPER(MID(LEFT(name02,FIND("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",name02,1)),1)),4,1))),UPPER(MID(name02,4,1))),"")</f>
        <v/>
      </c>
      <c r="S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",name02,1)),1)),1)),1)+1),5,1)),UPPER(MID(LEFT(name02,FIND("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",name02,1)),1)),1)),5,1))),UPPER(MID(LEFT(name02,FIND("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",name02,1)),1)),5,1))),UPPER(MID(name02,5,1))),"")</f>
        <v/>
      </c>
      <c r="T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",name02,1)),1)),1)),1)+1),6,1)),UPPER(MID(LEFT(name02,FIND("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",name02,1)),1)),1)),6,1))),UPPER(MID(LEFT(name02,FIND("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",name02,1)),1)),6,1))),UPPER(MID(name02,6,1))),"")</f>
        <v/>
      </c>
      <c r="U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",name02,1)),1)),1)),1)+1),7,1)),UPPER(MID(LEFT(name02,FIND("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",name02,1)),1)),1)),7,1))),UPPER(MID(LEFT(name02,FIND("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",name02,1)),1)),7,1))),UPPER(MID(name02,7,1))),"")</f>
        <v/>
      </c>
      <c r="V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",name02,1)),1)),1)),1)+1),8,1)),UPPER(MID(LEFT(name02,FIND("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",name02,1)),1)),1)),8,1))),UPPER(MID(LEFT(name02,FIND("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",name02,1)),1)),8,1))),UPPER(MID(name02,8,1))),"")</f>
        <v/>
      </c>
      <c r="W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",name02,1)),1)),1)),1)+1),9,1)),UPPER(MID(LEFT(name02,FIND("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",name02,1)),1)),1)),9,1))),UPPER(MID(LEFT(name02,FIND("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",name02,1)),1)),9,1))),UPPER(MID(name02,9,1))),"")</f>
        <v/>
      </c>
      <c r="X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",name02,1)),1)),1)),1)+1),10,1)),UPPER(MID(LEFT(name02,FIND("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",name02,1)),1)),1)),10,1))),UPPER(MID(LEFT(name02,FIND("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",name02,1)),1)),10,1))),UPPER(MID(name02,10,1))),"")</f>
        <v/>
      </c>
      <c r="Y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",name02,1)),1)),1)),1)+1),11,1)),UPPER(MID(LEFT(name02,FIND("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",name02,1)),1)),1)),11,1))),UPPER(MID(LEFT(name02,FIND("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",name02,1)),1)),11,1))),UPPER(MID(name02,11,1))),"")</f>
        <v/>
      </c>
      <c r="Z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",name02,1)),1)),1)),1)+1),12,1)),UPPER(MID(LEFT(name02,FIND("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",name02,1)),1)),1)),12,1))),UPPER(MID(LEFT(name02,FIND("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",name02,1)),1)),12,1))),UPPER(MID(name02,12,1))),"")</f>
        <v/>
      </c>
      <c r="AA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",name02,1)),1)),1)),1)+1),13,1)),UPPER(MID(LEFT(name02,FIND("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",name02,1)),1)),1)),13,1))),UPPER(MID(LEFT(name02,FIND("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",name02,1)),1)),13,1))),UPPER(MID(name02,13,1))),"")</f>
        <v/>
      </c>
      <c r="AB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",name02,1)),1)),1)),1)+1),14,1)),UPPER(MID(LEFT(name02,FIND("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",name02,1)),1)),1)),14,1))),UPPER(MID(LEFT(name02,FIND("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",name02,1)),1)),14,1))),UPPER(MID(name02,14,1))),"")</f>
        <v/>
      </c>
      <c r="AC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",name02,1)),1)),1)),1)+1),15,1)),UPPER(MID(LEFT(name02,FIND("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",name02,1)),1)),1)),15,1))),UPPER(MID(LEFT(name02,FIND("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",name02,1)),1)),15,1))),UPPER(MID(name02,15,1))),"")</f>
        <v/>
      </c>
      <c r="AD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",name02,1)),1)),1)),1)+1),16,1)),UPPER(MID(LEFT(name02,FIND("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",name02,1)),1)),1)),16,1))),UPPER(MID(LEFT(name02,FIND("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",name02,1)),1)),16,1))),UPPER(MID(name02,16,1))),"")</f>
        <v/>
      </c>
      <c r="AE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",name02,1)),1)),1)),1)+1),17,1)),UPPER(MID(LEFT(name02,FIND("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",name02,1)),1)),1)),17,1))),UPPER(MID(LEFT(name02,FIND("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",name02,1)),1)),17,1))),UPPER(MID(name02,17,1))),"")</f>
        <v/>
      </c>
      <c r="AF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",name02,1)),1)),1)),1)+1),18,1)),UPPER(MID(LEFT(name02,FIND("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",name02,1)),1)),1)),18,1))),UPPER(MID(LEFT(name02,FIND("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",name02,1)),1)),18,1))),UPPER(MID(name02,18,1))),"")</f>
        <v/>
      </c>
      <c r="AG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",name02,1)),1)),1)),1)+1),19,1)),UPPER(MID(LEFT(name02,FIND("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",name02,1)),1)),1)),19,1))),UPPER(MID(LEFT(name02,FIND("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",name02,1)),1)),19,1))),UPPER(MID(name02,19,1))),"")</f>
        <v/>
      </c>
      <c r="AH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",name02,1)),1)),1)),1)+1),20,1)),UPPER(MID(LEFT(name02,FIND("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",name02,1)),1)),1)),20,1))),UPPER(MID(LEFT(name02,FIND("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",name02,1)),1)),20,1))),UPPER(MID(name02,20,1))),"")</f>
        <v/>
      </c>
      <c r="AI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",name02,1)),1)),1)),1)+1),21,1)),UPPER(MID(LEFT(name02,FIND("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",name02,1)),1)),1)),21,1))),UPPER(MID(LEFT(name02,FIND("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",name02,1)),1)),21,1))),UPPER(MID(name02,21,1))),"")</f>
        <v/>
      </c>
      <c r="AJ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",name02,1)),1)),1)),1)+1),22,1)),UPPER(MID(LEFT(name02,FIND("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",name02,1)),1)),1)),22,1))),UPPER(MID(LEFT(name02,FIND("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",name02,1)),1)),22,1))),UPPER(MID(name02,22,1))),"")</f>
        <v/>
      </c>
      <c r="AK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",name02,1)),1)),1)),1)+1),23,1)),UPPER(MID(LEFT(name02,FIND("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",name02,1)),1)),1)),23,1))),UPPER(MID(LEFT(name02,FIND("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",name02,1)),1)),23,1))),UPPER(MID(name02,23,1))),"")</f>
        <v/>
      </c>
      <c r="AL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",name02,1)),1)),1)),1)+1),24,1)),UPPER(MID(LEFT(name02,FIND("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",name02,1)),1)),1)),24,1))),UPPER(MID(LEFT(name02,FIND("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",name02,1)),1)),24,1))),UPPER(MID(name02,24,1))),"")</f>
        <v/>
      </c>
      <c r="AM33" s="796" t="str">
        <f>IF(AND('GENERAL INFO'!G212="x",'GENERAL INFO'!U212&lt;&gt;"x"),IF(LEN(name02)&gt;25,IF(LEN(LEFT(name02,FIND("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",name02,1)),1)))&gt;25,IF(LEN(LEFT(name02,FIND("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",name02,1)),1)),1)))&gt;25,UPPER(MID(LEFT(name02,FIND("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"&amp;LEFT(RIGHT(RIGHT(MID(name02,FIND("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",name02,1)),1)),1)),1)&amp;" "&amp;MID(RIGHT(RIGHT(MID(name02,FIND("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",name02,1)),1)),1)),1)+1,LEN(RIGHT(RIGHT(MID(name02,FIND("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",name02,1)),1)),1)))-FIND(" ",RIGHT(RIGHT(MID(name02,FIND("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",name02,1)),1)),1)),1)+1),25,1)),UPPER(MID(LEFT(name02,FIND(" ",name02,1))&amp;LEFT(MID(name02,FIND(" ",name02,1)+1,LEN(name02)-FIND(" ",name02,1)),1)&amp;" "&amp;LEFT(RIGHT(MID(name02,FIND(" ",name02,1)+1,LEN(name02)-FIND(" ",name02,1)),LEN(MID(name02,FIND(" ",name02,1)+1,LEN(name02)-FIND(" ",name02,1)))-FIND(" ",MID(name02,FIND(" ",name02,1)+1,LEN(name02)-FIND(" ",name02,1)),1)),1)&amp;" "&amp;RIGHT(RIGHT(MID(name02,FIND(" ",name02,1)+1,LEN(name02)-FIND(" ",name02,1)),LEN(MID(name02,FIND(" ",name02,1)+1,LEN(name02)-FIND(" ",name02,1)))-FIND(" ",MID(name02,FIND(" ",name02,1)+1,LEN(name02)-FIND(" ",name02,1)),1)),LEN(RIGHT(MID(name02,FIND(" ",name02,1)+1,LEN(name02)-FIND(" ",name02,1)),LEN(MID(name02,FIND(" ",name02,1)+1,LEN(name02)-FIND(" ",name02,1)))-FIND(" ",MID(name02,FIND(" ",name02,1)+1,LEN(name02)-FIND(" ",name02,1)),1)))-FIND(" ",RIGHT(MID(name02,FIND(" ",name02,1)+1,LEN(name02)-FIND(" ",name02,1)),LEN(MID(name02,FIND(" ",name02,1)+1,LEN(name02)-FIND(" ",name02,1)))-FIND(" ",MID(name02,FIND(" ",name02,1)+1,LEN(name02)-FIND(" ",name02,1)),1)),1)),25,1))),UPPER(MID(LEFT(name02,FIND(" ",name02,1))&amp;LEFT(MID(name02,FIND(" ",name02,1)+1,LEN(name02)-FIND(" ",name02,1)),1)&amp;" "&amp;RIGHT(MID(name02,FIND(" ",name02,1)+1,LEN(name02)-FIND(" ",name02,1)),LEN(MID(name02,FIND(" ",name02,1)+1,LEN(name02)-FIND(" ",name02,1)))-FIND(" ",MID(name02,FIND(" ",name02,1)+1,LEN(name02)-FIND(" ",name02,1)),1)),25,1))),UPPER(MID(name02,25,1))),"")</f>
        <v/>
      </c>
      <c r="AN33" s="1574"/>
      <c r="AO33" s="1572"/>
      <c r="AP33" s="126"/>
      <c r="AQ33" s="59"/>
      <c r="AR33" s="59"/>
      <c r="AS33" s="59"/>
      <c r="AT33" s="1578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1572"/>
    </row>
    <row r="34" spans="1:59" s="125" customFormat="1" ht="4.5" customHeight="1">
      <c r="A34" s="59"/>
      <c r="B34" s="323"/>
      <c r="C34" s="1572"/>
      <c r="D34" s="1572"/>
      <c r="E34" s="1572"/>
      <c r="F34" s="1572"/>
      <c r="G34" s="1572"/>
      <c r="H34" s="1572"/>
      <c r="I34" s="1572"/>
      <c r="J34" s="1572"/>
      <c r="K34" s="1572"/>
      <c r="L34" s="1572"/>
      <c r="M34" s="1572"/>
      <c r="N34" s="1581"/>
      <c r="O34" s="1573"/>
      <c r="P34" s="1573"/>
      <c r="Q34" s="1573"/>
      <c r="R34" s="1573"/>
      <c r="S34" s="1573"/>
      <c r="T34" s="1573"/>
      <c r="U34" s="1425"/>
      <c r="V34" s="1425"/>
      <c r="W34" s="1425"/>
      <c r="X34" s="1425"/>
      <c r="Y34" s="1425"/>
      <c r="Z34" s="1425"/>
      <c r="AA34" s="1425"/>
      <c r="AB34" s="1425"/>
      <c r="AC34" s="1425"/>
      <c r="AD34" s="1425"/>
      <c r="AE34" s="1425"/>
      <c r="AF34" s="1425"/>
      <c r="AG34" s="1425"/>
      <c r="AH34" s="1425"/>
      <c r="AI34" s="1425"/>
      <c r="AJ34" s="1425"/>
      <c r="AK34" s="1425"/>
      <c r="AL34" s="1425"/>
      <c r="AM34" s="1425"/>
      <c r="AN34" s="1424"/>
      <c r="AO34" s="59"/>
      <c r="AP34" s="126"/>
      <c r="AQ34" s="59"/>
      <c r="AR34" s="59"/>
      <c r="AS34" s="59"/>
      <c r="AT34" s="1578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1572"/>
    </row>
    <row r="35" spans="1:59" s="125" customFormat="1" ht="20.100000000000001" customHeight="1">
      <c r="A35" s="59"/>
      <c r="B35" s="2573" t="s">
        <v>1055</v>
      </c>
      <c r="C35" s="2475"/>
      <c r="D35" s="2475"/>
      <c r="E35" s="2475"/>
      <c r="F35" s="2475"/>
      <c r="G35" s="2475"/>
      <c r="H35" s="2475"/>
      <c r="I35" s="2475"/>
      <c r="J35" s="2475"/>
      <c r="K35" s="2475"/>
      <c r="L35" s="2475"/>
      <c r="M35" s="2475"/>
      <c r="N35" s="1581" t="s">
        <v>13</v>
      </c>
      <c r="O35" s="796" t="str">
        <f>IF(AND('GENERAL INFO'!G212="x",'GENERAL INFO'!U212&lt;&gt;"x"),LEFT('GENERAL INFO'!G214,1),"")</f>
        <v/>
      </c>
      <c r="P35" s="796" t="str">
        <f>IF(AND('GENERAL INFO'!G212="x",'GENERAL INFO'!U212&lt;&gt;"x"),MID('GENERAL INFO'!G214,2,1),"")</f>
        <v/>
      </c>
      <c r="Q35" s="1573"/>
      <c r="R35" s="796" t="str">
        <f>IF(AND('GENERAL INFO'!G212="x",'GENERAL INFO'!U212&lt;&gt;"x"),MID('GENERAL INFO'!G214,3,1),"")</f>
        <v/>
      </c>
      <c r="S35" s="796" t="str">
        <f>IF(AND('GENERAL INFO'!G212="x",'GENERAL INFO'!U212&lt;&gt;"x"),MID('GENERAL INFO'!G214,4,1),"")</f>
        <v/>
      </c>
      <c r="T35" s="796" t="str">
        <f>IF(AND('GENERAL INFO'!G212="x",'GENERAL INFO'!U212&lt;&gt;"x"),MID('GENERAL INFO'!G214,5,1),"")</f>
        <v/>
      </c>
      <c r="U35" s="1425"/>
      <c r="V35" s="796" t="str">
        <f>IF(AND('GENERAL INFO'!G212="x",'GENERAL INFO'!U212&lt;&gt;"x"),MID('GENERAL INFO'!G214,6,1),"")</f>
        <v/>
      </c>
      <c r="W35" s="796" t="str">
        <f>IF(AND('GENERAL INFO'!G212="x",'GENERAL INFO'!U212&lt;&gt;"x"),MID('GENERAL INFO'!G214,7,1),"")</f>
        <v/>
      </c>
      <c r="X35" s="796" t="str">
        <f>IF(AND('GENERAL INFO'!G212="x",'GENERAL INFO'!U212&lt;&gt;"x"),MID('GENERAL INFO'!G214,8,1),"")</f>
        <v/>
      </c>
      <c r="Y35" s="1425"/>
      <c r="Z35" s="796" t="str">
        <f>IF(AND('GENERAL INFO'!G212="x",'GENERAL INFO'!U212&lt;&gt;"x"),MID('GENERAL INFO'!G214,9,1),"")</f>
        <v/>
      </c>
      <c r="AA35" s="1573"/>
      <c r="AB35" s="796" t="str">
        <f>IF(AND('GENERAL INFO'!G212="x",'GENERAL INFO'!U212&lt;&gt;"x"),MID('GENERAL INFO'!G214,10,1),"")</f>
        <v/>
      </c>
      <c r="AC35" s="796" t="str">
        <f>IF(AND('GENERAL INFO'!G212="x",'GENERAL INFO'!U212&lt;&gt;"x"),MID('GENERAL INFO'!G214,11,1),"")</f>
        <v/>
      </c>
      <c r="AD35" s="796" t="str">
        <f>IF(AND('GENERAL INFO'!G212="x",'GENERAL INFO'!U212&lt;&gt;"x"),MID('GENERAL INFO'!G214,12,1),"")</f>
        <v/>
      </c>
      <c r="AE35" s="1425"/>
      <c r="AF35" s="796" t="str">
        <f>IF(AND('GENERAL INFO'!G212="x",'GENERAL INFO'!U212&lt;&gt;"x"),MID('GENERAL INFO'!G214,13,1),"")</f>
        <v/>
      </c>
      <c r="AG35" s="796" t="str">
        <f>IF(AND('GENERAL INFO'!G212="x",'GENERAL INFO'!U212&lt;&gt;"x"),MID('GENERAL INFO'!G214,14,1),"")</f>
        <v/>
      </c>
      <c r="AH35" s="796" t="str">
        <f>IF(AND('GENERAL INFO'!G212="x",'GENERAL INFO'!U212&lt;&gt;"x"),MID('GENERAL INFO'!G214,15,1),"")</f>
        <v/>
      </c>
      <c r="AI35" s="1425"/>
      <c r="AJ35" s="1425"/>
      <c r="AK35" s="1425"/>
      <c r="AL35" s="1425"/>
      <c r="AM35" s="1425"/>
      <c r="AN35" s="1424"/>
      <c r="AO35" s="59"/>
      <c r="AP35" s="126"/>
      <c r="AQ35" s="59"/>
      <c r="AR35" s="59"/>
      <c r="AS35" s="59"/>
      <c r="AT35" s="1578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1572"/>
    </row>
    <row r="36" spans="1:59" s="125" customFormat="1" ht="5.25" customHeight="1">
      <c r="A36" s="59"/>
      <c r="B36" s="323"/>
      <c r="C36" s="1578"/>
      <c r="D36" s="1578"/>
      <c r="E36" s="1578"/>
      <c r="F36" s="1578"/>
      <c r="G36" s="1578"/>
      <c r="H36" s="1578"/>
      <c r="I36" s="1578"/>
      <c r="J36" s="1578"/>
      <c r="K36" s="1578"/>
      <c r="L36" s="1578"/>
      <c r="M36" s="1572"/>
      <c r="N36" s="1581"/>
      <c r="O36" s="1425"/>
      <c r="P36" s="1425"/>
      <c r="Q36" s="1573"/>
      <c r="R36" s="1425"/>
      <c r="S36" s="1425"/>
      <c r="T36" s="1425"/>
      <c r="U36" s="1425"/>
      <c r="V36" s="1425"/>
      <c r="W36" s="1425"/>
      <c r="X36" s="1425"/>
      <c r="Y36" s="1425"/>
      <c r="Z36" s="1425"/>
      <c r="AA36" s="1573"/>
      <c r="AB36" s="1425"/>
      <c r="AC36" s="1425"/>
      <c r="AD36" s="1425"/>
      <c r="AE36" s="1425"/>
      <c r="AF36" s="1425"/>
      <c r="AG36" s="1425"/>
      <c r="AH36" s="1425"/>
      <c r="AI36" s="1425"/>
      <c r="AJ36" s="1425"/>
      <c r="AK36" s="1425"/>
      <c r="AL36" s="1425"/>
      <c r="AM36" s="1425"/>
      <c r="AN36" s="1424"/>
      <c r="AO36" s="59"/>
      <c r="AP36" s="126"/>
      <c r="AQ36" s="59"/>
      <c r="AR36" s="59"/>
      <c r="AS36" s="59"/>
      <c r="AT36" s="1578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1572"/>
    </row>
    <row r="37" spans="1:59" s="131" customFormat="1" ht="20.100000000000001" customHeight="1">
      <c r="A37" s="1573"/>
      <c r="B37" s="325" t="s">
        <v>1056</v>
      </c>
      <c r="C37" s="128"/>
      <c r="D37" s="128"/>
      <c r="E37" s="128"/>
      <c r="F37" s="128"/>
      <c r="G37" s="128"/>
      <c r="H37" s="128"/>
      <c r="I37" s="128"/>
      <c r="J37" s="128"/>
      <c r="K37" s="128"/>
      <c r="L37" s="128"/>
      <c r="M37" s="1573"/>
      <c r="N37" s="129" t="s">
        <v>13</v>
      </c>
      <c r="O37" s="796" t="str">
        <f>IF(AND('GENERAL INFO'!G212="x",'GENERAL INFO'!U212&lt;&gt;"x"),UPPER(LEFT('GENERAL INFO'!G215,1)),"")</f>
        <v/>
      </c>
      <c r="P37" s="796" t="str">
        <f>IF(AND('GENERAL INFO'!G212="x",'GENERAL INFO'!U212&lt;&gt;"x"),UPPER(MID('GENERAL INFO'!G215,2,1)),"")</f>
        <v/>
      </c>
      <c r="Q37" s="796" t="str">
        <f>IF(AND('GENERAL INFO'!G212="x",'GENERAL INFO'!U212&lt;&gt;"x"),UPPER(MID('GENERAL INFO'!G215,3,1)),"")</f>
        <v/>
      </c>
      <c r="R37" s="796" t="str">
        <f>IF(AND('GENERAL INFO'!G212="x",'GENERAL INFO'!U212&lt;&gt;"x"),UPPER(MID('GENERAL INFO'!G215,4,1)),"")</f>
        <v/>
      </c>
      <c r="S37" s="796" t="str">
        <f>IF(AND('GENERAL INFO'!G212="x",'GENERAL INFO'!U212&lt;&gt;"x"),UPPER(MID('GENERAL INFO'!G215,5,1)),"")</f>
        <v/>
      </c>
      <c r="T37" s="796" t="str">
        <f>IF(AND('GENERAL INFO'!G212="x",'GENERAL INFO'!U212&lt;&gt;"x"),UPPER(MID('GENERAL INFO'!G215,6,1)),"")</f>
        <v/>
      </c>
      <c r="U37" s="796" t="str">
        <f>IF(AND('GENERAL INFO'!G212="x",'GENERAL INFO'!U212&lt;&gt;"x"),UPPER(MID('GENERAL INFO'!G215,7,1)),"")</f>
        <v/>
      </c>
      <c r="V37" s="796" t="str">
        <f>IF(AND('GENERAL INFO'!G212="x",'GENERAL INFO'!U212&lt;&gt;"x"),UPPER(MID('GENERAL INFO'!G215,8,1)),"")</f>
        <v/>
      </c>
      <c r="W37" s="796" t="str">
        <f>IF(AND('GENERAL INFO'!G212="x",'GENERAL INFO'!U212&lt;&gt;"x"),UPPER(MID('GENERAL INFO'!G215,9,1)),"")</f>
        <v/>
      </c>
      <c r="X37" s="796" t="str">
        <f>IF(AND('GENERAL INFO'!G212="x",'GENERAL INFO'!U212&lt;&gt;"x"),UPPER(MID('GENERAL INFO'!G215,10,1)),"")</f>
        <v/>
      </c>
      <c r="Y37" s="796" t="str">
        <f>IF(AND('GENERAL INFO'!G212="x",'GENERAL INFO'!U212&lt;&gt;"x"),UPPER(MID('GENERAL INFO'!G215,11,1)),"")</f>
        <v/>
      </c>
      <c r="Z37" s="796" t="str">
        <f>IF(AND('GENERAL INFO'!G212="x",'GENERAL INFO'!U212&lt;&gt;"x"),UPPER(MID('GENERAL INFO'!G215,12,1)),"")</f>
        <v/>
      </c>
      <c r="AA37" s="796" t="str">
        <f>IF(AND('GENERAL INFO'!G212="x",'GENERAL INFO'!U212&lt;&gt;"x"),UPPER(MID('GENERAL INFO'!G215,13,1)),"")</f>
        <v/>
      </c>
      <c r="AB37" s="796" t="str">
        <f>IF(AND('GENERAL INFO'!G212="x",'GENERAL INFO'!U212&lt;&gt;"x"),UPPER(MID('GENERAL INFO'!G215,14,1)),"")</f>
        <v/>
      </c>
      <c r="AC37" s="796" t="str">
        <f>IF(AND('GENERAL INFO'!G212="x",'GENERAL INFO'!U212&lt;&gt;"x"),UPPER(MID('GENERAL INFO'!G215,15,1)),"")</f>
        <v/>
      </c>
      <c r="AD37" s="796" t="str">
        <f>IF(AND('GENERAL INFO'!G212="x",'GENERAL INFO'!U212&lt;&gt;"x"),UPPER(MID('GENERAL INFO'!G215,16,1)),"")</f>
        <v/>
      </c>
      <c r="AE37" s="796" t="str">
        <f>IF(AND('GENERAL INFO'!G212="x",'GENERAL INFO'!U212&lt;&gt;"x"),UPPER(MID('GENERAL INFO'!G215,17,1)),"")</f>
        <v/>
      </c>
      <c r="AF37" s="796" t="str">
        <f>IF(AND('GENERAL INFO'!G212="x",'GENERAL INFO'!U212&lt;&gt;"x"),UPPER(MID('GENERAL INFO'!G215,18,1)),"")</f>
        <v/>
      </c>
      <c r="AG37" s="796" t="str">
        <f>IF(AND('GENERAL INFO'!G212="x",'GENERAL INFO'!U212&lt;&gt;"x"),UPPER(MID('GENERAL INFO'!G215,19,1)),"")</f>
        <v/>
      </c>
      <c r="AH37" s="796" t="str">
        <f>IF(AND('GENERAL INFO'!G212="x",'GENERAL INFO'!U212&lt;&gt;"x"),UPPER(MID('GENERAL INFO'!G215,20,1)),"")</f>
        <v/>
      </c>
      <c r="AI37" s="796" t="str">
        <f>IF(AND('GENERAL INFO'!G212="x",'GENERAL INFO'!U212&lt;&gt;"x"),UPPER(MID('GENERAL INFO'!G215,21,1)),"")</f>
        <v/>
      </c>
      <c r="AJ37" s="796" t="str">
        <f>IF(AND('GENERAL INFO'!G212="x",'GENERAL INFO'!U212&lt;&gt;"x"),UPPER(MID('GENERAL INFO'!G215,22,1)),"")</f>
        <v/>
      </c>
      <c r="AK37" s="796" t="str">
        <f>IF(AND('GENERAL INFO'!G212="x",'GENERAL INFO'!U212&lt;&gt;"x"),UPPER(MID('GENERAL INFO'!G215,23,1)),"")</f>
        <v/>
      </c>
      <c r="AL37" s="796" t="str">
        <f>IF(AND('GENERAL INFO'!G212="x",'GENERAL INFO'!U212&lt;&gt;"x"),UPPER(MID('GENERAL INFO'!G215,24,1)),"")</f>
        <v/>
      </c>
      <c r="AM37" s="796" t="str">
        <f>IF(AND('GENERAL INFO'!G212="x",'GENERAL INFO'!U212&lt;&gt;"x"),UPPER(MID('GENERAL INFO'!G215,25,1)),"")</f>
        <v/>
      </c>
      <c r="AN37" s="1574"/>
      <c r="AO37" s="1572"/>
      <c r="AP37" s="130"/>
      <c r="AQ37" s="130"/>
      <c r="AR37" s="130"/>
      <c r="AS37" s="130"/>
      <c r="AT37" s="130"/>
      <c r="AU37" s="130"/>
      <c r="AV37" s="130"/>
      <c r="AW37" s="130"/>
      <c r="AX37" s="130"/>
      <c r="AY37" s="130"/>
      <c r="AZ37" s="130"/>
      <c r="BA37" s="130"/>
      <c r="BB37" s="130"/>
      <c r="BC37" s="130"/>
      <c r="BD37" s="130"/>
      <c r="BE37" s="130"/>
      <c r="BF37" s="130"/>
      <c r="BG37" s="1573"/>
    </row>
    <row r="38" spans="1:59" s="131" customFormat="1" ht="5.25" customHeight="1">
      <c r="A38" s="1573"/>
      <c r="B38" s="327"/>
      <c r="C38" s="128"/>
      <c r="D38" s="128"/>
      <c r="E38" s="128"/>
      <c r="F38" s="128"/>
      <c r="G38" s="128"/>
      <c r="H38" s="128"/>
      <c r="I38" s="128"/>
      <c r="J38" s="128"/>
      <c r="K38" s="128"/>
      <c r="L38" s="128"/>
      <c r="M38" s="1573"/>
      <c r="N38" s="129"/>
      <c r="O38" s="1425"/>
      <c r="P38" s="1425"/>
      <c r="Q38" s="1573"/>
      <c r="R38" s="1425"/>
      <c r="S38" s="1425"/>
      <c r="T38" s="1425"/>
      <c r="U38" s="1425"/>
      <c r="V38" s="1425"/>
      <c r="W38" s="1425"/>
      <c r="X38" s="1425"/>
      <c r="Y38" s="1425"/>
      <c r="Z38" s="1425"/>
      <c r="AA38" s="1573"/>
      <c r="AB38" s="1425"/>
      <c r="AC38" s="1425"/>
      <c r="AD38" s="1425"/>
      <c r="AE38" s="1425"/>
      <c r="AF38" s="1425"/>
      <c r="AG38" s="1425"/>
      <c r="AH38" s="1425"/>
      <c r="AI38" s="1425"/>
      <c r="AJ38" s="1425"/>
      <c r="AK38" s="1425"/>
      <c r="AL38" s="1425"/>
      <c r="AM38" s="1573"/>
      <c r="AN38" s="1574"/>
      <c r="AO38" s="1572"/>
      <c r="AP38" s="130"/>
      <c r="AQ38" s="130"/>
      <c r="AR38" s="130"/>
      <c r="AS38" s="130"/>
      <c r="AT38" s="130"/>
      <c r="AU38" s="130"/>
      <c r="AV38" s="130"/>
      <c r="AW38" s="130"/>
      <c r="AX38" s="130"/>
      <c r="AY38" s="130"/>
      <c r="AZ38" s="130"/>
      <c r="BA38" s="130"/>
      <c r="BB38" s="130"/>
      <c r="BC38" s="130"/>
      <c r="BD38" s="130"/>
      <c r="BE38" s="130"/>
      <c r="BF38" s="130"/>
      <c r="BG38" s="1573"/>
    </row>
    <row r="39" spans="1:59" s="131" customFormat="1" ht="20.100000000000001" customHeight="1">
      <c r="A39" s="1573"/>
      <c r="B39" s="2573" t="s">
        <v>1057</v>
      </c>
      <c r="C39" s="2475"/>
      <c r="D39" s="2475"/>
      <c r="E39" s="2475"/>
      <c r="F39" s="2475"/>
      <c r="G39" s="2475"/>
      <c r="H39" s="2475"/>
      <c r="I39" s="2475"/>
      <c r="J39" s="2475"/>
      <c r="K39" s="2475"/>
      <c r="L39" s="2475"/>
      <c r="M39" s="2475"/>
      <c r="N39" s="129" t="s">
        <v>13</v>
      </c>
      <c r="O39" s="796" t="str">
        <f>IF(AND('GENERAL INFO'!G212="x",'GENERAL INFO'!U212&lt;&gt;"x"),LEFT('GENERAL INFO'!G216,1),"")</f>
        <v/>
      </c>
      <c r="P39" s="796" t="str">
        <f>IF(AND('GENERAL INFO'!G212="x",'GENERAL INFO'!U212&lt;&gt;"x"),MID('GENERAL INFO'!G216,2,1),"")</f>
        <v/>
      </c>
      <c r="Q39" s="1573"/>
      <c r="R39" s="796" t="str">
        <f>IF(AND('GENERAL INFO'!G212="x",'GENERAL INFO'!U212&lt;&gt;"x"),MID('GENERAL INFO'!G216,3,1),"")</f>
        <v/>
      </c>
      <c r="S39" s="796" t="str">
        <f>IF(AND('GENERAL INFO'!G212="x",'GENERAL INFO'!U212&lt;&gt;"x"),MID('GENERAL INFO'!G216,4,1),"")</f>
        <v/>
      </c>
      <c r="T39" s="796" t="str">
        <f>IF(AND('GENERAL INFO'!G212="x",'GENERAL INFO'!U212&lt;&gt;"x"),MID('GENERAL INFO'!G216,5,1),"")</f>
        <v/>
      </c>
      <c r="U39" s="1425"/>
      <c r="V39" s="796" t="str">
        <f>IF(AND('GENERAL INFO'!G212="x",'GENERAL INFO'!U212&lt;&gt;"x"),MID('GENERAL INFO'!G216,6,1),"")</f>
        <v/>
      </c>
      <c r="W39" s="796" t="str">
        <f>IF(AND('GENERAL INFO'!G212="x",'GENERAL INFO'!U212&lt;&gt;"x"),MID('GENERAL INFO'!G216,7,1),"")</f>
        <v/>
      </c>
      <c r="X39" s="796" t="str">
        <f>IF(AND('GENERAL INFO'!G212="x",'GENERAL INFO'!U212&lt;&gt;"x"),MID('GENERAL INFO'!G216,8,1),"")</f>
        <v/>
      </c>
      <c r="Y39" s="1425"/>
      <c r="Z39" s="796" t="str">
        <f>IF(AND('GENERAL INFO'!G212="x",'GENERAL INFO'!U212&lt;&gt;"x"),MID('GENERAL INFO'!G216,9,1),"")</f>
        <v/>
      </c>
      <c r="AA39" s="1573"/>
      <c r="AB39" s="796" t="str">
        <f>IF(AND('GENERAL INFO'!G212="x",'GENERAL INFO'!U212&lt;&gt;"x"),MID('GENERAL INFO'!G216,10,1),"")</f>
        <v/>
      </c>
      <c r="AC39" s="796" t="str">
        <f>IF(AND('GENERAL INFO'!G212="x",'GENERAL INFO'!U212&lt;&gt;"x"),MID('GENERAL INFO'!G216,11,1),"")</f>
        <v/>
      </c>
      <c r="AD39" s="796" t="str">
        <f>IF(AND('GENERAL INFO'!G212="x",'GENERAL INFO'!U212&lt;&gt;"x"),MID('GENERAL INFO'!G216,12,1),"")</f>
        <v/>
      </c>
      <c r="AE39" s="1425"/>
      <c r="AF39" s="796" t="str">
        <f>IF(AND('GENERAL INFO'!G212="x",'GENERAL INFO'!U212&lt;&gt;"x"),MID('GENERAL INFO'!G216,13,1),"")</f>
        <v/>
      </c>
      <c r="AG39" s="796" t="str">
        <f>IF(AND('GENERAL INFO'!G212="x",'GENERAL INFO'!U212&lt;&gt;"x"),MID('GENERAL INFO'!G216,14,1),"")</f>
        <v/>
      </c>
      <c r="AH39" s="796" t="str">
        <f>IF(AND('GENERAL INFO'!G212="x",'GENERAL INFO'!U212&lt;&gt;"x"),MID('GENERAL INFO'!G216,15,1),"")</f>
        <v/>
      </c>
      <c r="AI39" s="132"/>
      <c r="AJ39" s="132"/>
      <c r="AK39" s="132"/>
      <c r="AL39" s="132"/>
      <c r="AM39" s="132"/>
      <c r="AN39" s="328"/>
      <c r="AO39" s="132"/>
      <c r="AP39" s="130"/>
      <c r="AQ39" s="130"/>
      <c r="AR39" s="130"/>
      <c r="AS39" s="130"/>
      <c r="AT39" s="130"/>
      <c r="AU39" s="130"/>
      <c r="AV39" s="130"/>
      <c r="AW39" s="130"/>
      <c r="AX39" s="130"/>
      <c r="AY39" s="130"/>
      <c r="AZ39" s="130"/>
      <c r="BA39" s="130"/>
      <c r="BB39" s="130"/>
      <c r="BC39" s="130"/>
      <c r="BD39" s="130"/>
      <c r="BE39" s="130"/>
      <c r="BF39" s="130"/>
      <c r="BG39" s="1573"/>
    </row>
    <row r="40" spans="1:59" s="131" customFormat="1" ht="7.5" customHeight="1">
      <c r="A40" s="1573"/>
      <c r="B40" s="329"/>
      <c r="C40" s="330"/>
      <c r="D40" s="330"/>
      <c r="E40" s="330"/>
      <c r="F40" s="330"/>
      <c r="G40" s="330"/>
      <c r="H40" s="330"/>
      <c r="I40" s="330"/>
      <c r="J40" s="330"/>
      <c r="K40" s="330"/>
      <c r="L40" s="330"/>
      <c r="M40" s="330"/>
      <c r="N40" s="331"/>
      <c r="O40" s="331"/>
      <c r="P40" s="331"/>
      <c r="Q40" s="331"/>
      <c r="R40" s="282"/>
      <c r="S40" s="332"/>
      <c r="T40" s="331"/>
      <c r="U40" s="331"/>
      <c r="V40" s="331"/>
      <c r="W40" s="331"/>
      <c r="X40" s="331"/>
      <c r="Y40" s="331"/>
      <c r="Z40" s="331"/>
      <c r="AA40" s="331"/>
      <c r="AB40" s="331"/>
      <c r="AC40" s="331"/>
      <c r="AD40" s="331"/>
      <c r="AE40" s="331"/>
      <c r="AF40" s="333"/>
      <c r="AG40" s="333"/>
      <c r="AH40" s="333"/>
      <c r="AI40" s="333"/>
      <c r="AJ40" s="333"/>
      <c r="AK40" s="333"/>
      <c r="AL40" s="333"/>
      <c r="AM40" s="333"/>
      <c r="AN40" s="334"/>
      <c r="AO40" s="132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130"/>
      <c r="BD40" s="130"/>
      <c r="BE40" s="130"/>
      <c r="BF40" s="130"/>
      <c r="BG40" s="1573"/>
    </row>
    <row r="41" spans="1:59" s="131" customFormat="1">
      <c r="A41" s="1573"/>
      <c r="B41" s="1572"/>
      <c r="C41" s="128"/>
      <c r="D41" s="128"/>
      <c r="E41" s="128"/>
      <c r="F41" s="128"/>
      <c r="G41" s="128"/>
      <c r="H41" s="128"/>
      <c r="I41" s="128"/>
      <c r="J41" s="128"/>
      <c r="K41" s="128"/>
      <c r="L41" s="128"/>
      <c r="M41" s="128"/>
      <c r="N41" s="1573"/>
      <c r="O41" s="1573"/>
      <c r="P41" s="1573"/>
      <c r="Q41" s="1573"/>
      <c r="R41" s="129"/>
      <c r="S41" s="133"/>
      <c r="T41" s="1573"/>
      <c r="U41" s="1573"/>
      <c r="V41" s="1573"/>
      <c r="W41" s="1573"/>
      <c r="X41" s="1573"/>
      <c r="Y41" s="1573"/>
      <c r="Z41" s="1573"/>
      <c r="AA41" s="1573"/>
      <c r="AB41" s="1573"/>
      <c r="AC41" s="2558"/>
      <c r="AD41" s="2558"/>
      <c r="AE41" s="2558"/>
      <c r="AF41" s="2558"/>
      <c r="AG41" s="2558"/>
      <c r="AH41" s="2558"/>
      <c r="AI41" s="2558"/>
      <c r="AJ41" s="2558"/>
      <c r="AK41" s="2558"/>
      <c r="AL41" s="2558"/>
      <c r="AM41" s="2558"/>
      <c r="AN41" s="2558"/>
      <c r="AO41" s="132"/>
      <c r="AP41" s="130"/>
      <c r="AQ41" s="130"/>
      <c r="AR41" s="130"/>
      <c r="AS41" s="130"/>
      <c r="AT41" s="130"/>
      <c r="AU41" s="130"/>
      <c r="AV41" s="130"/>
      <c r="AW41" s="130"/>
      <c r="AX41" s="130"/>
      <c r="AY41" s="130"/>
      <c r="AZ41" s="130"/>
      <c r="BA41" s="130"/>
      <c r="BB41" s="130"/>
      <c r="BC41" s="130"/>
      <c r="BD41" s="130"/>
      <c r="BE41" s="130"/>
      <c r="BF41" s="130"/>
      <c r="BG41" s="1573"/>
    </row>
    <row r="42" spans="1:59" ht="4.5" customHeight="1">
      <c r="A42" s="69"/>
      <c r="B42" s="349"/>
      <c r="C42" s="335"/>
      <c r="D42" s="335"/>
      <c r="E42" s="335"/>
      <c r="F42" s="335"/>
      <c r="G42" s="335"/>
      <c r="H42" s="335"/>
      <c r="I42" s="335"/>
      <c r="J42" s="335"/>
      <c r="K42" s="335"/>
      <c r="L42" s="335"/>
      <c r="M42" s="335"/>
      <c r="N42" s="335"/>
      <c r="O42" s="335"/>
      <c r="P42" s="335"/>
      <c r="Q42" s="335"/>
      <c r="R42" s="335"/>
      <c r="S42" s="335"/>
      <c r="T42" s="335"/>
      <c r="U42" s="335"/>
      <c r="V42" s="335"/>
      <c r="W42" s="335"/>
      <c r="X42" s="335"/>
      <c r="Y42" s="335"/>
      <c r="Z42" s="335"/>
      <c r="AA42" s="336"/>
      <c r="AB42" s="336"/>
      <c r="AC42" s="2559" t="s">
        <v>242</v>
      </c>
      <c r="AD42" s="2559"/>
      <c r="AE42" s="2559"/>
      <c r="AF42" s="2559"/>
      <c r="AG42" s="2559"/>
      <c r="AH42" s="2559"/>
      <c r="AI42" s="2559"/>
      <c r="AJ42" s="2559"/>
      <c r="AK42" s="2559"/>
      <c r="AL42" s="2559"/>
      <c r="AM42" s="2559"/>
      <c r="AN42" s="2560"/>
      <c r="AO42" s="134"/>
      <c r="AP42" s="134"/>
    </row>
    <row r="43" spans="1:59" ht="3" customHeight="1">
      <c r="A43" s="69"/>
      <c r="B43" s="350"/>
      <c r="C43" s="96"/>
      <c r="D43" s="96"/>
      <c r="E43" s="96"/>
      <c r="F43" s="96"/>
      <c r="G43" s="96"/>
      <c r="H43" s="96"/>
      <c r="I43" s="96"/>
      <c r="J43" s="96"/>
      <c r="K43" s="96"/>
      <c r="L43" s="96"/>
      <c r="M43" s="96"/>
      <c r="N43" s="96"/>
      <c r="O43" s="96"/>
      <c r="P43" s="96"/>
      <c r="Q43" s="96"/>
      <c r="R43" s="96"/>
      <c r="S43" s="96"/>
      <c r="T43" s="96"/>
      <c r="U43" s="96"/>
      <c r="V43" s="96"/>
      <c r="W43" s="96"/>
      <c r="X43" s="96"/>
      <c r="Y43" s="96"/>
      <c r="Z43" s="96"/>
      <c r="AA43" s="134"/>
      <c r="AB43" s="134"/>
      <c r="AC43" s="2561"/>
      <c r="AD43" s="2561"/>
      <c r="AE43" s="2561"/>
      <c r="AF43" s="2561"/>
      <c r="AG43" s="2561"/>
      <c r="AH43" s="2561"/>
      <c r="AI43" s="2561"/>
      <c r="AJ43" s="2561"/>
      <c r="AK43" s="2561"/>
      <c r="AL43" s="2561"/>
      <c r="AM43" s="2561"/>
      <c r="AN43" s="2562"/>
      <c r="AO43" s="134"/>
      <c r="AP43" s="134"/>
    </row>
    <row r="44" spans="1:59" ht="8.25" customHeight="1">
      <c r="A44" s="69"/>
      <c r="B44" s="2563" t="s">
        <v>18</v>
      </c>
      <c r="C44" s="169"/>
      <c r="D44" s="2564" t="s">
        <v>1058</v>
      </c>
      <c r="E44" s="2564"/>
      <c r="F44" s="2564"/>
      <c r="G44" s="2564"/>
      <c r="H44" s="2564"/>
      <c r="I44" s="2564"/>
      <c r="J44" s="2564"/>
      <c r="K44" s="2564"/>
      <c r="L44" s="2564"/>
      <c r="M44" s="2564"/>
      <c r="N44" s="2564"/>
      <c r="O44" s="2564"/>
      <c r="P44" s="2564"/>
      <c r="Q44" s="2564"/>
      <c r="R44" s="2564"/>
      <c r="S44" s="2564"/>
      <c r="T44" s="2564"/>
      <c r="U44" s="2564"/>
      <c r="V44" s="2564"/>
      <c r="W44" s="2564"/>
      <c r="X44" s="2564"/>
      <c r="Y44" s="2564"/>
      <c r="Z44" s="1600"/>
      <c r="AA44" s="1601"/>
      <c r="AB44" s="1601"/>
      <c r="AC44" s="2561"/>
      <c r="AD44" s="2561"/>
      <c r="AE44" s="2561"/>
      <c r="AF44" s="2561"/>
      <c r="AG44" s="2561"/>
      <c r="AH44" s="2561"/>
      <c r="AI44" s="2561"/>
      <c r="AJ44" s="2561"/>
      <c r="AK44" s="2561"/>
      <c r="AL44" s="2561"/>
      <c r="AM44" s="2561"/>
      <c r="AN44" s="2562"/>
      <c r="AO44" s="1601"/>
      <c r="AP44" s="1601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</row>
    <row r="45" spans="1:59" ht="18.75" customHeight="1">
      <c r="A45" s="47"/>
      <c r="B45" s="2563"/>
      <c r="C45" s="169"/>
      <c r="D45" s="2564"/>
      <c r="E45" s="2564"/>
      <c r="F45" s="2564"/>
      <c r="G45" s="2564"/>
      <c r="H45" s="2564"/>
      <c r="I45" s="2564"/>
      <c r="J45" s="2564"/>
      <c r="K45" s="2564"/>
      <c r="L45" s="2564"/>
      <c r="M45" s="2564"/>
      <c r="N45" s="2564"/>
      <c r="O45" s="2564"/>
      <c r="P45" s="2564"/>
      <c r="Q45" s="2564"/>
      <c r="R45" s="2564"/>
      <c r="S45" s="2564"/>
      <c r="T45" s="2564"/>
      <c r="U45" s="2564"/>
      <c r="V45" s="2564"/>
      <c r="W45" s="2564"/>
      <c r="X45" s="2564"/>
      <c r="Y45" s="2564"/>
      <c r="Z45" s="135"/>
      <c r="AA45" s="135"/>
      <c r="AB45" s="135"/>
      <c r="AC45" s="136"/>
      <c r="AD45" s="135"/>
      <c r="AE45" s="135"/>
      <c r="AF45" s="135"/>
      <c r="AG45" s="135"/>
      <c r="AH45" s="135"/>
      <c r="AI45" s="135"/>
      <c r="AJ45" s="135"/>
      <c r="AK45" s="135"/>
      <c r="AL45" s="135"/>
      <c r="AM45" s="135"/>
      <c r="AN45" s="337"/>
      <c r="AO45" s="135"/>
      <c r="AP45" s="135"/>
      <c r="AQ45" s="169"/>
      <c r="AR45" s="169"/>
      <c r="AS45" s="169"/>
      <c r="AT45" s="169"/>
      <c r="AU45" s="169"/>
      <c r="AV45" s="169"/>
      <c r="AW45" s="169"/>
      <c r="AX45" s="169"/>
      <c r="AY45" s="169"/>
      <c r="AZ45" s="169"/>
      <c r="BA45" s="169"/>
      <c r="BB45" s="169"/>
    </row>
    <row r="46" spans="1:59" ht="21.75" customHeight="1">
      <c r="A46" s="69"/>
      <c r="B46" s="351"/>
      <c r="D46" s="137" t="s">
        <v>39</v>
      </c>
      <c r="E46" s="2565" t="s">
        <v>1059</v>
      </c>
      <c r="F46" s="2565"/>
      <c r="G46" s="2565"/>
      <c r="H46" s="2565"/>
      <c r="I46" s="2565"/>
      <c r="J46" s="2565"/>
      <c r="K46" s="2565"/>
      <c r="L46" s="2565"/>
      <c r="M46" s="2565"/>
      <c r="N46" s="2565"/>
      <c r="O46" s="2565"/>
      <c r="P46" s="2565"/>
      <c r="Q46" s="2565"/>
      <c r="R46" s="2565"/>
      <c r="S46" s="2565"/>
      <c r="T46" s="2565"/>
      <c r="U46" s="2565"/>
      <c r="V46" s="2565"/>
      <c r="W46" s="2565"/>
      <c r="X46" s="2565"/>
      <c r="Y46" s="2565"/>
      <c r="Z46" s="2565"/>
      <c r="AA46" s="2565"/>
      <c r="AB46" s="138"/>
      <c r="AC46" s="1603" t="s">
        <v>88</v>
      </c>
      <c r="AD46" s="2566">
        <f>'GENERAL INFO'!Q219</f>
        <v>0</v>
      </c>
      <c r="AE46" s="2566"/>
      <c r="AF46" s="2566"/>
      <c r="AG46" s="2566"/>
      <c r="AH46" s="2566"/>
      <c r="AI46" s="2566"/>
      <c r="AJ46" s="2566"/>
      <c r="AK46" s="2566"/>
      <c r="AL46" s="2566"/>
      <c r="AM46" s="2566"/>
      <c r="AN46" s="2566"/>
      <c r="AO46" s="64"/>
      <c r="AP46" s="64"/>
    </row>
    <row r="47" spans="1:59" ht="3.75" customHeight="1">
      <c r="A47" s="47"/>
      <c r="B47" s="352"/>
      <c r="C47" s="35"/>
      <c r="D47" s="69"/>
      <c r="E47" s="1572"/>
      <c r="F47" s="1572"/>
      <c r="G47" s="1572"/>
      <c r="H47" s="1572"/>
      <c r="I47" s="1572"/>
      <c r="J47" s="1572"/>
      <c r="K47" s="1572"/>
      <c r="L47" s="1572"/>
      <c r="M47" s="1572"/>
      <c r="N47" s="1572"/>
      <c r="O47" s="1572"/>
      <c r="P47" s="1572"/>
      <c r="Q47" s="1572"/>
      <c r="R47" s="1572"/>
      <c r="S47" s="1572"/>
      <c r="T47" s="1572"/>
      <c r="U47" s="1572"/>
      <c r="V47" s="1572"/>
      <c r="W47" s="1572"/>
      <c r="X47" s="1572"/>
      <c r="Y47" s="1572"/>
      <c r="Z47" s="1572"/>
      <c r="AA47" s="64"/>
      <c r="AB47" s="64"/>
      <c r="AC47" s="762"/>
      <c r="AD47" s="1785"/>
      <c r="AE47" s="1785"/>
      <c r="AF47" s="1785"/>
      <c r="AG47" s="1785"/>
      <c r="AH47" s="1785"/>
      <c r="AI47" s="1785"/>
      <c r="AJ47" s="1785"/>
      <c r="AK47" s="1785"/>
      <c r="AL47" s="1785"/>
      <c r="AM47" s="1785"/>
      <c r="AN47" s="1786"/>
      <c r="AO47" s="64"/>
      <c r="AP47" s="64"/>
    </row>
    <row r="48" spans="1:59" ht="22.5" customHeight="1">
      <c r="A48" s="69"/>
      <c r="B48" s="353"/>
      <c r="C48" s="347"/>
      <c r="D48" s="137" t="s">
        <v>41</v>
      </c>
      <c r="E48" s="2421" t="s">
        <v>1007</v>
      </c>
      <c r="F48" s="2421"/>
      <c r="G48" s="2421"/>
      <c r="H48" s="2421"/>
      <c r="I48" s="2421"/>
      <c r="J48" s="2421"/>
      <c r="K48" s="2421"/>
      <c r="L48" s="2421"/>
      <c r="M48" s="2421"/>
      <c r="N48" s="2421"/>
      <c r="O48" s="2421"/>
      <c r="P48" s="2421"/>
      <c r="Q48" s="2421"/>
      <c r="R48" s="2421"/>
      <c r="S48" s="2421"/>
      <c r="T48" s="2421"/>
      <c r="U48" s="2421"/>
      <c r="V48" s="2421"/>
      <c r="W48" s="2421"/>
      <c r="X48" s="2421"/>
      <c r="Y48" s="2421"/>
      <c r="Z48" s="2421"/>
      <c r="AA48" s="2421"/>
      <c r="AB48" s="140"/>
      <c r="AC48" s="1603" t="s">
        <v>89</v>
      </c>
      <c r="AD48" s="2566">
        <f>'GENERAL INFO'!Q220</f>
        <v>0</v>
      </c>
      <c r="AE48" s="2566"/>
      <c r="AF48" s="2566"/>
      <c r="AG48" s="2566"/>
      <c r="AH48" s="2566"/>
      <c r="AI48" s="2566"/>
      <c r="AJ48" s="2566"/>
      <c r="AK48" s="2566"/>
      <c r="AL48" s="2566"/>
      <c r="AM48" s="2566"/>
      <c r="AN48" s="2566"/>
      <c r="AO48" s="64"/>
      <c r="AP48" s="64"/>
    </row>
    <row r="49" spans="1:42" ht="3.75" customHeight="1">
      <c r="A49" s="47"/>
      <c r="B49" s="354"/>
      <c r="C49" s="1588"/>
      <c r="D49" s="137"/>
      <c r="E49" s="1572"/>
      <c r="F49" s="1572"/>
      <c r="G49" s="1572"/>
      <c r="H49" s="1572"/>
      <c r="I49" s="1572"/>
      <c r="J49" s="1572"/>
      <c r="K49" s="1572"/>
      <c r="L49" s="1572"/>
      <c r="M49" s="1572"/>
      <c r="N49" s="1572"/>
      <c r="O49" s="1572"/>
      <c r="P49" s="1572"/>
      <c r="Q49" s="1572"/>
      <c r="R49" s="1572"/>
      <c r="S49" s="1588"/>
      <c r="T49" s="1588"/>
      <c r="U49" s="1588"/>
      <c r="V49" s="1588"/>
      <c r="W49" s="1588"/>
      <c r="X49" s="1588"/>
      <c r="Y49" s="1588"/>
      <c r="Z49" s="1572"/>
      <c r="AA49" s="64"/>
      <c r="AB49" s="64"/>
      <c r="AC49" s="762"/>
      <c r="AD49" s="1785"/>
      <c r="AE49" s="1785"/>
      <c r="AF49" s="1785"/>
      <c r="AG49" s="1785"/>
      <c r="AH49" s="1785"/>
      <c r="AI49" s="1785"/>
      <c r="AJ49" s="1785"/>
      <c r="AK49" s="1785"/>
      <c r="AL49" s="1785"/>
      <c r="AM49" s="1785"/>
      <c r="AN49" s="1786"/>
      <c r="AO49" s="64"/>
      <c r="AP49" s="64"/>
    </row>
    <row r="50" spans="1:42" ht="21.75" customHeight="1">
      <c r="A50" s="69"/>
      <c r="B50" s="354"/>
      <c r="C50" s="1588"/>
      <c r="D50" s="137" t="s">
        <v>46</v>
      </c>
      <c r="E50" s="2421" t="s">
        <v>1060</v>
      </c>
      <c r="F50" s="2421"/>
      <c r="G50" s="2421"/>
      <c r="H50" s="2421"/>
      <c r="I50" s="2421"/>
      <c r="J50" s="2421"/>
      <c r="K50" s="2421"/>
      <c r="L50" s="2421"/>
      <c r="M50" s="2421"/>
      <c r="N50" s="2421"/>
      <c r="O50" s="2421"/>
      <c r="P50" s="2421"/>
      <c r="Q50" s="2421"/>
      <c r="R50" s="2421"/>
      <c r="S50" s="2421"/>
      <c r="T50" s="2421"/>
      <c r="U50" s="2421"/>
      <c r="V50" s="2421"/>
      <c r="W50" s="2421"/>
      <c r="X50" s="2421"/>
      <c r="Y50" s="2421"/>
      <c r="Z50" s="2421"/>
      <c r="AA50" s="2421"/>
      <c r="AB50" s="2567"/>
      <c r="AC50" s="1603" t="s">
        <v>90</v>
      </c>
      <c r="AD50" s="2566">
        <f>AD46-AD48</f>
        <v>0</v>
      </c>
      <c r="AE50" s="2566"/>
      <c r="AF50" s="2566"/>
      <c r="AG50" s="2566"/>
      <c r="AH50" s="2566"/>
      <c r="AI50" s="2566"/>
      <c r="AJ50" s="2566"/>
      <c r="AK50" s="2566"/>
      <c r="AL50" s="2566"/>
      <c r="AM50" s="2566"/>
      <c r="AN50" s="2566"/>
      <c r="AO50" s="64"/>
      <c r="AP50" s="64"/>
    </row>
    <row r="51" spans="1:42" ht="3" customHeight="1">
      <c r="A51" s="47"/>
      <c r="B51" s="354"/>
      <c r="C51" s="1588"/>
      <c r="D51" s="137"/>
      <c r="E51" s="1588"/>
      <c r="F51" s="1588"/>
      <c r="G51" s="1588"/>
      <c r="H51" s="1588"/>
      <c r="I51" s="1588"/>
      <c r="J51" s="1588"/>
      <c r="K51" s="1588"/>
      <c r="L51" s="1588"/>
      <c r="M51" s="1588"/>
      <c r="N51" s="1588"/>
      <c r="O51" s="1588"/>
      <c r="P51" s="1588"/>
      <c r="Q51" s="1588"/>
      <c r="R51" s="1588"/>
      <c r="S51" s="1588"/>
      <c r="T51" s="1588"/>
      <c r="U51" s="1572"/>
      <c r="V51" s="1572"/>
      <c r="W51" s="1572"/>
      <c r="X51" s="1572"/>
      <c r="Y51" s="1572"/>
      <c r="Z51" s="1572"/>
      <c r="AA51" s="64"/>
      <c r="AB51" s="64"/>
      <c r="AC51" s="1598"/>
      <c r="AD51" s="1785"/>
      <c r="AE51" s="1785"/>
      <c r="AF51" s="1785"/>
      <c r="AG51" s="1785"/>
      <c r="AH51" s="1785"/>
      <c r="AI51" s="1785"/>
      <c r="AJ51" s="1785"/>
      <c r="AK51" s="1785"/>
      <c r="AL51" s="1785"/>
      <c r="AM51" s="1785"/>
      <c r="AN51" s="1786"/>
      <c r="AO51" s="64"/>
      <c r="AP51" s="64"/>
    </row>
    <row r="52" spans="1:42" ht="22.5" customHeight="1">
      <c r="A52" s="69"/>
      <c r="B52" s="355"/>
      <c r="C52" s="99"/>
      <c r="D52" s="69" t="s">
        <v>47</v>
      </c>
      <c r="E52" s="2427" t="s">
        <v>1322</v>
      </c>
      <c r="F52" s="2427"/>
      <c r="G52" s="2427"/>
      <c r="H52" s="2427"/>
      <c r="I52" s="2427"/>
      <c r="J52" s="2427"/>
      <c r="K52" s="2427"/>
      <c r="L52" s="2427"/>
      <c r="M52" s="2427"/>
      <c r="N52" s="2427"/>
      <c r="O52" s="2427"/>
      <c r="P52" s="2427"/>
      <c r="Q52" s="2427"/>
      <c r="R52" s="2427"/>
      <c r="S52" s="2427"/>
      <c r="T52" s="2427"/>
      <c r="U52" s="2427"/>
      <c r="V52" s="2427"/>
      <c r="W52" s="2427"/>
      <c r="X52" s="2427"/>
      <c r="Y52" s="2427"/>
      <c r="Z52" s="2427"/>
      <c r="AA52" s="2427"/>
      <c r="AB52" s="140"/>
      <c r="AC52" s="1603" t="s">
        <v>91</v>
      </c>
      <c r="AD52" s="2566">
        <f>'GENERAL INFO'!Q221</f>
        <v>0</v>
      </c>
      <c r="AE52" s="2566"/>
      <c r="AF52" s="2566"/>
      <c r="AG52" s="2566"/>
      <c r="AH52" s="2566"/>
      <c r="AI52" s="2566"/>
      <c r="AJ52" s="2566"/>
      <c r="AK52" s="2566"/>
      <c r="AL52" s="2566"/>
      <c r="AM52" s="2566"/>
      <c r="AN52" s="2566"/>
      <c r="AO52" s="64"/>
      <c r="AP52" s="64"/>
    </row>
    <row r="53" spans="1:42" ht="3" customHeight="1">
      <c r="A53" s="47"/>
      <c r="B53" s="356"/>
      <c r="C53" s="35"/>
      <c r="D53" s="69"/>
      <c r="E53" s="1572"/>
      <c r="F53" s="1572"/>
      <c r="G53" s="1572"/>
      <c r="H53" s="1572"/>
      <c r="I53" s="1572"/>
      <c r="J53" s="1572"/>
      <c r="K53" s="1572"/>
      <c r="L53" s="1572"/>
      <c r="M53" s="1572"/>
      <c r="N53" s="1572"/>
      <c r="O53" s="1572"/>
      <c r="P53" s="1572"/>
      <c r="Q53" s="1572"/>
      <c r="R53" s="1572"/>
      <c r="S53" s="1572"/>
      <c r="T53" s="1572"/>
      <c r="U53" s="1572"/>
      <c r="V53" s="1572"/>
      <c r="W53" s="1572"/>
      <c r="X53" s="1572"/>
      <c r="Y53" s="1572"/>
      <c r="Z53" s="1572"/>
      <c r="AA53" s="64"/>
      <c r="AB53" s="64"/>
      <c r="AC53" s="762"/>
      <c r="AD53" s="1785"/>
      <c r="AE53" s="1785"/>
      <c r="AF53" s="1785"/>
      <c r="AG53" s="1785"/>
      <c r="AH53" s="1785"/>
      <c r="AI53" s="1785"/>
      <c r="AJ53" s="1785"/>
      <c r="AK53" s="1785"/>
      <c r="AL53" s="1785"/>
      <c r="AM53" s="1785"/>
      <c r="AN53" s="1786"/>
      <c r="AO53" s="64"/>
      <c r="AP53" s="64"/>
    </row>
    <row r="54" spans="1:42" ht="22.5" customHeight="1">
      <c r="A54" s="69"/>
      <c r="B54" s="355"/>
      <c r="C54" s="160"/>
      <c r="D54" s="69" t="s">
        <v>92</v>
      </c>
      <c r="E54" s="2427" t="s">
        <v>1008</v>
      </c>
      <c r="F54" s="2427"/>
      <c r="G54" s="2427"/>
      <c r="H54" s="2427"/>
      <c r="I54" s="2427"/>
      <c r="J54" s="2427"/>
      <c r="K54" s="2427"/>
      <c r="L54" s="2427"/>
      <c r="M54" s="2427"/>
      <c r="N54" s="2427"/>
      <c r="O54" s="2427"/>
      <c r="P54" s="2427"/>
      <c r="Q54" s="2427"/>
      <c r="R54" s="2427"/>
      <c r="S54" s="2427"/>
      <c r="T54" s="2427"/>
      <c r="U54" s="2427"/>
      <c r="V54" s="2427"/>
      <c r="W54" s="2427"/>
      <c r="X54" s="2427"/>
      <c r="Y54" s="2427"/>
      <c r="Z54" s="2427"/>
      <c r="AA54" s="2427"/>
      <c r="AB54" s="141"/>
      <c r="AC54" s="1599" t="s">
        <v>93</v>
      </c>
      <c r="AD54" s="2566">
        <f>AD50-AD52</f>
        <v>0</v>
      </c>
      <c r="AE54" s="2566"/>
      <c r="AF54" s="2566"/>
      <c r="AG54" s="2566"/>
      <c r="AH54" s="2566"/>
      <c r="AI54" s="2566"/>
      <c r="AJ54" s="2566"/>
      <c r="AK54" s="2566"/>
      <c r="AL54" s="2566"/>
      <c r="AM54" s="2566"/>
      <c r="AN54" s="2566"/>
      <c r="AO54" s="64"/>
      <c r="AP54" s="64"/>
    </row>
    <row r="55" spans="1:42" ht="5.25" customHeight="1">
      <c r="A55" s="69"/>
      <c r="B55" s="357"/>
      <c r="C55" s="275"/>
      <c r="D55" s="341"/>
      <c r="E55" s="342"/>
      <c r="F55" s="342"/>
      <c r="G55" s="342"/>
      <c r="H55" s="342"/>
      <c r="I55" s="342"/>
      <c r="J55" s="342"/>
      <c r="K55" s="342"/>
      <c r="L55" s="342"/>
      <c r="M55" s="342"/>
      <c r="N55" s="342"/>
      <c r="O55" s="342"/>
      <c r="P55" s="342"/>
      <c r="Q55" s="342"/>
      <c r="R55" s="342"/>
      <c r="S55" s="342"/>
      <c r="T55" s="342"/>
      <c r="U55" s="342"/>
      <c r="V55" s="342"/>
      <c r="W55" s="342"/>
      <c r="X55" s="342"/>
      <c r="Y55" s="342"/>
      <c r="Z55" s="289"/>
      <c r="AA55" s="343"/>
      <c r="AB55" s="343"/>
      <c r="AC55" s="1598"/>
      <c r="AD55" s="1787"/>
      <c r="AE55" s="1787"/>
      <c r="AF55" s="1787"/>
      <c r="AG55" s="1787"/>
      <c r="AH55" s="1787"/>
      <c r="AI55" s="1787"/>
      <c r="AJ55" s="1787"/>
      <c r="AK55" s="1787"/>
      <c r="AL55" s="1787"/>
      <c r="AM55" s="1787"/>
      <c r="AN55" s="1788"/>
      <c r="AO55" s="64"/>
      <c r="AP55" s="64"/>
    </row>
    <row r="56" spans="1:42" ht="0.75" customHeight="1">
      <c r="A56" s="69"/>
      <c r="B56" s="355"/>
      <c r="C56" s="160"/>
      <c r="D56" s="69"/>
      <c r="E56" s="142"/>
      <c r="F56" s="142"/>
      <c r="G56" s="142"/>
      <c r="H56" s="142"/>
      <c r="I56" s="142"/>
      <c r="J56" s="142"/>
      <c r="K56" s="142"/>
      <c r="L56" s="142"/>
      <c r="M56" s="142"/>
      <c r="N56" s="142"/>
      <c r="O56" s="142"/>
      <c r="P56" s="142"/>
      <c r="Q56" s="142"/>
      <c r="R56" s="142"/>
      <c r="S56" s="142"/>
      <c r="T56" s="142"/>
      <c r="U56" s="142"/>
      <c r="V56" s="142"/>
      <c r="W56" s="142"/>
      <c r="X56" s="142"/>
      <c r="Y56" s="142"/>
      <c r="Z56" s="1572"/>
      <c r="AA56" s="64"/>
      <c r="AB56" s="64"/>
      <c r="AC56" s="1584"/>
      <c r="AD56" s="1785"/>
      <c r="AE56" s="1785"/>
      <c r="AF56" s="1785"/>
      <c r="AG56" s="1785"/>
      <c r="AH56" s="1785"/>
      <c r="AI56" s="1785"/>
      <c r="AJ56" s="1785"/>
      <c r="AK56" s="1785"/>
      <c r="AL56" s="1785"/>
      <c r="AM56" s="1785"/>
      <c r="AN56" s="1786"/>
      <c r="AO56" s="64"/>
      <c r="AP56" s="64"/>
    </row>
    <row r="57" spans="1:42" ht="3.75" customHeight="1">
      <c r="A57" s="69"/>
      <c r="B57" s="1731"/>
      <c r="C57" s="1732"/>
      <c r="D57" s="1733"/>
      <c r="E57" s="1734"/>
      <c r="F57" s="1734"/>
      <c r="G57" s="1734"/>
      <c r="H57" s="1734"/>
      <c r="I57" s="1734"/>
      <c r="J57" s="1734"/>
      <c r="K57" s="1734"/>
      <c r="L57" s="1734"/>
      <c r="M57" s="1734"/>
      <c r="N57" s="1734"/>
      <c r="O57" s="1734"/>
      <c r="P57" s="1734"/>
      <c r="Q57" s="1734"/>
      <c r="R57" s="1734"/>
      <c r="S57" s="1734"/>
      <c r="T57" s="394"/>
      <c r="U57" s="394"/>
      <c r="V57" s="394"/>
      <c r="W57" s="394"/>
      <c r="X57" s="394"/>
      <c r="Y57" s="394"/>
      <c r="Z57" s="394"/>
      <c r="AA57" s="296"/>
      <c r="AB57" s="284"/>
      <c r="AC57" s="295"/>
      <c r="AD57" s="1789"/>
      <c r="AE57" s="1789"/>
      <c r="AF57" s="1789"/>
      <c r="AG57" s="1789"/>
      <c r="AH57" s="1789"/>
      <c r="AI57" s="1789"/>
      <c r="AJ57" s="1789"/>
      <c r="AK57" s="1789"/>
      <c r="AL57" s="1789"/>
      <c r="AM57" s="1789"/>
      <c r="AN57" s="1790"/>
      <c r="AO57" s="64"/>
      <c r="AP57" s="64"/>
    </row>
    <row r="58" spans="1:42" ht="18" customHeight="1">
      <c r="A58" s="69"/>
      <c r="B58" s="358" t="s">
        <v>19</v>
      </c>
      <c r="C58" s="186"/>
      <c r="D58" s="2568" t="s">
        <v>1009</v>
      </c>
      <c r="E58" s="2568"/>
      <c r="F58" s="2568"/>
      <c r="G58" s="2568"/>
      <c r="H58" s="2568"/>
      <c r="I58" s="2568"/>
      <c r="J58" s="2568"/>
      <c r="K58" s="2568"/>
      <c r="L58" s="2568"/>
      <c r="M58" s="2568"/>
      <c r="N58" s="2568"/>
      <c r="O58" s="2568"/>
      <c r="P58" s="2568"/>
      <c r="Q58" s="2568"/>
      <c r="R58" s="2568"/>
      <c r="S58" s="2568"/>
      <c r="T58" s="2568"/>
      <c r="U58" s="2568"/>
      <c r="V58" s="2568"/>
      <c r="W58" s="2568"/>
      <c r="X58" s="2568"/>
      <c r="Y58" s="2568"/>
      <c r="Z58" s="2568"/>
      <c r="AA58" s="129"/>
      <c r="AB58" s="64"/>
      <c r="AC58" s="206"/>
      <c r="AD58" s="1785"/>
      <c r="AE58" s="1785"/>
      <c r="AF58" s="1785"/>
      <c r="AG58" s="1785"/>
      <c r="AH58" s="1785"/>
      <c r="AI58" s="1785"/>
      <c r="AJ58" s="1785"/>
      <c r="AK58" s="1785"/>
      <c r="AL58" s="1785"/>
      <c r="AM58" s="1785"/>
      <c r="AN58" s="1786"/>
      <c r="AO58" s="64"/>
      <c r="AP58" s="64"/>
    </row>
    <row r="59" spans="1:42" ht="24" customHeight="1">
      <c r="A59" s="69"/>
      <c r="B59" s="355"/>
      <c r="C59" s="35"/>
      <c r="D59" s="69" t="s">
        <v>39</v>
      </c>
      <c r="E59" s="2427" t="s">
        <v>1061</v>
      </c>
      <c r="F59" s="2427"/>
      <c r="G59" s="2427"/>
      <c r="H59" s="2427"/>
      <c r="I59" s="2427"/>
      <c r="J59" s="2427"/>
      <c r="K59" s="2427"/>
      <c r="L59" s="2427"/>
      <c r="M59" s="2427"/>
      <c r="N59" s="2427"/>
      <c r="O59" s="2427"/>
      <c r="P59" s="2427"/>
      <c r="Q59" s="2427"/>
      <c r="R59" s="2427"/>
      <c r="S59" s="2427"/>
      <c r="T59" s="2427"/>
      <c r="U59" s="2427"/>
      <c r="V59" s="2427"/>
      <c r="W59" s="2427"/>
      <c r="X59" s="2427"/>
      <c r="Y59" s="2427"/>
      <c r="Z59" s="2427"/>
      <c r="AA59" s="2427"/>
      <c r="AB59" s="143"/>
      <c r="AC59" s="1695" t="s">
        <v>95</v>
      </c>
      <c r="AD59" s="2566">
        <f>'GENERAL INFO'!Q224</f>
        <v>0</v>
      </c>
      <c r="AE59" s="2566"/>
      <c r="AF59" s="2566"/>
      <c r="AG59" s="2566"/>
      <c r="AH59" s="2566"/>
      <c r="AI59" s="2566"/>
      <c r="AJ59" s="2566"/>
      <c r="AK59" s="2566"/>
      <c r="AL59" s="2566"/>
      <c r="AM59" s="2566"/>
      <c r="AN59" s="2566"/>
      <c r="AO59" s="64"/>
      <c r="AP59" s="64"/>
    </row>
    <row r="60" spans="1:42" ht="2.25" customHeight="1">
      <c r="A60" s="69"/>
      <c r="B60" s="355"/>
      <c r="C60" s="35"/>
      <c r="D60" s="69"/>
      <c r="E60" s="1572"/>
      <c r="F60" s="1572"/>
      <c r="G60" s="1572"/>
      <c r="H60" s="1572"/>
      <c r="I60" s="1572"/>
      <c r="J60" s="1572"/>
      <c r="K60" s="1572"/>
      <c r="L60" s="1572"/>
      <c r="M60" s="1572"/>
      <c r="N60" s="1572"/>
      <c r="O60" s="1572"/>
      <c r="P60" s="1572"/>
      <c r="Q60" s="1572"/>
      <c r="R60" s="1572"/>
      <c r="S60" s="1572"/>
      <c r="T60" s="1572"/>
      <c r="U60" s="1572"/>
      <c r="V60" s="1572"/>
      <c r="W60" s="1572"/>
      <c r="X60" s="1572"/>
      <c r="Y60" s="1572"/>
      <c r="Z60" s="35"/>
      <c r="AA60" s="64"/>
      <c r="AB60" s="64"/>
      <c r="AC60" s="1607"/>
      <c r="AD60" s="1785"/>
      <c r="AE60" s="1785"/>
      <c r="AF60" s="1785"/>
      <c r="AG60" s="1785"/>
      <c r="AH60" s="1785"/>
      <c r="AI60" s="1785"/>
      <c r="AJ60" s="1785"/>
      <c r="AK60" s="1785"/>
      <c r="AL60" s="1785"/>
      <c r="AM60" s="1785"/>
      <c r="AN60" s="1786"/>
      <c r="AO60" s="64"/>
      <c r="AP60" s="64"/>
    </row>
    <row r="61" spans="1:42" ht="26.25" customHeight="1">
      <c r="A61" s="69"/>
      <c r="B61" s="355"/>
      <c r="C61" s="35"/>
      <c r="D61" s="69" t="s">
        <v>41</v>
      </c>
      <c r="E61" s="2427" t="s">
        <v>1062</v>
      </c>
      <c r="F61" s="2427"/>
      <c r="G61" s="2427"/>
      <c r="H61" s="2427"/>
      <c r="I61" s="2427"/>
      <c r="J61" s="2427"/>
      <c r="K61" s="2427"/>
      <c r="L61" s="2427"/>
      <c r="M61" s="2427"/>
      <c r="N61" s="2427"/>
      <c r="O61" s="2427"/>
      <c r="P61" s="2427"/>
      <c r="Q61" s="2427"/>
      <c r="R61" s="2427"/>
      <c r="S61" s="2427"/>
      <c r="T61" s="2427"/>
      <c r="U61" s="2427"/>
      <c r="V61" s="2427"/>
      <c r="W61" s="2427"/>
      <c r="X61" s="2427"/>
      <c r="Y61" s="2427"/>
      <c r="Z61" s="2427"/>
      <c r="AA61" s="2427"/>
      <c r="AB61" s="140"/>
      <c r="AC61" s="1695" t="s">
        <v>96</v>
      </c>
      <c r="AD61" s="2566">
        <f>'GENERAL INFO'!Q225</f>
        <v>0</v>
      </c>
      <c r="AE61" s="2566"/>
      <c r="AF61" s="2566"/>
      <c r="AG61" s="2566"/>
      <c r="AH61" s="2566"/>
      <c r="AI61" s="2566"/>
      <c r="AJ61" s="2566"/>
      <c r="AK61" s="2566"/>
      <c r="AL61" s="2566"/>
      <c r="AM61" s="2566"/>
      <c r="AN61" s="2566"/>
      <c r="AO61" s="64"/>
      <c r="AP61" s="64"/>
    </row>
    <row r="62" spans="1:42" ht="2.25" customHeight="1">
      <c r="A62" s="144"/>
      <c r="B62" s="359"/>
      <c r="C62" s="348"/>
      <c r="D62" s="145"/>
      <c r="E62" s="146"/>
      <c r="F62" s="146"/>
      <c r="G62" s="146"/>
      <c r="H62" s="146"/>
      <c r="I62" s="146"/>
      <c r="J62" s="146"/>
      <c r="K62" s="146"/>
      <c r="L62" s="146"/>
      <c r="M62" s="1572"/>
      <c r="N62" s="1572"/>
      <c r="O62" s="1572"/>
      <c r="P62" s="1572"/>
      <c r="Q62" s="1572"/>
      <c r="R62" s="1572"/>
      <c r="S62" s="1572"/>
      <c r="T62" s="1572"/>
      <c r="U62" s="1572"/>
      <c r="V62" s="1572"/>
      <c r="W62" s="1572"/>
      <c r="X62" s="1572"/>
      <c r="Y62" s="1572"/>
      <c r="Z62" s="64"/>
      <c r="AA62" s="64"/>
      <c r="AB62" s="64"/>
      <c r="AC62" s="1607"/>
      <c r="AD62" s="1785"/>
      <c r="AE62" s="1785"/>
      <c r="AF62" s="1785"/>
      <c r="AG62" s="1785"/>
      <c r="AH62" s="1785"/>
      <c r="AI62" s="1785"/>
      <c r="AJ62" s="1785"/>
      <c r="AK62" s="1785"/>
      <c r="AL62" s="1785"/>
      <c r="AM62" s="1785"/>
      <c r="AN62" s="1786"/>
      <c r="AO62" s="64"/>
      <c r="AP62" s="64"/>
    </row>
    <row r="63" spans="1:42" ht="24" customHeight="1">
      <c r="A63" s="144"/>
      <c r="B63" s="359"/>
      <c r="C63" s="348"/>
      <c r="D63" s="145" t="s">
        <v>46</v>
      </c>
      <c r="E63" s="2569" t="s">
        <v>1063</v>
      </c>
      <c r="F63" s="2569"/>
      <c r="G63" s="2569"/>
      <c r="H63" s="2569"/>
      <c r="I63" s="2569"/>
      <c r="J63" s="2569"/>
      <c r="K63" s="2569"/>
      <c r="L63" s="2569"/>
      <c r="M63" s="2569"/>
      <c r="N63" s="2569"/>
      <c r="O63" s="2569"/>
      <c r="P63" s="2569"/>
      <c r="Q63" s="2569"/>
      <c r="R63" s="2569"/>
      <c r="S63" s="2569"/>
      <c r="T63" s="2569"/>
      <c r="U63" s="2569"/>
      <c r="V63" s="2569"/>
      <c r="W63" s="2569"/>
      <c r="X63" s="2569"/>
      <c r="Y63" s="2569"/>
      <c r="Z63" s="2569"/>
      <c r="AA63" s="2569"/>
      <c r="AB63" s="147"/>
      <c r="AC63" s="1693" t="s">
        <v>97</v>
      </c>
      <c r="AD63" s="2566">
        <f>'GENERAL INFO'!Q226</f>
        <v>0</v>
      </c>
      <c r="AE63" s="2566"/>
      <c r="AF63" s="2566"/>
      <c r="AG63" s="2566"/>
      <c r="AH63" s="2566"/>
      <c r="AI63" s="2566"/>
      <c r="AJ63" s="2566"/>
      <c r="AK63" s="2566"/>
      <c r="AL63" s="2566"/>
      <c r="AM63" s="2566"/>
      <c r="AN63" s="2566"/>
      <c r="AO63" s="64"/>
      <c r="AP63" s="64"/>
    </row>
    <row r="64" spans="1:42" ht="3" customHeight="1">
      <c r="A64" s="144"/>
      <c r="B64" s="359"/>
      <c r="C64" s="348"/>
      <c r="D64" s="145"/>
      <c r="E64" s="1594"/>
      <c r="F64" s="1594"/>
      <c r="G64" s="1594"/>
      <c r="H64" s="1594"/>
      <c r="I64" s="1594"/>
      <c r="J64" s="1594"/>
      <c r="K64" s="1594"/>
      <c r="L64" s="1594"/>
      <c r="M64" s="1594"/>
      <c r="N64" s="1594"/>
      <c r="O64" s="1594"/>
      <c r="P64" s="1594"/>
      <c r="Q64" s="1594"/>
      <c r="R64" s="1594"/>
      <c r="S64" s="1594"/>
      <c r="T64" s="1594"/>
      <c r="U64" s="1594"/>
      <c r="V64" s="1594"/>
      <c r="W64" s="1594"/>
      <c r="X64" s="1594"/>
      <c r="Y64" s="1594"/>
      <c r="Z64" s="64"/>
      <c r="AA64" s="64"/>
      <c r="AB64" s="64"/>
      <c r="AC64" s="1607"/>
      <c r="AD64" s="1785"/>
      <c r="AE64" s="1785"/>
      <c r="AF64" s="1785"/>
      <c r="AG64" s="1785"/>
      <c r="AH64" s="1785"/>
      <c r="AI64" s="1785"/>
      <c r="AJ64" s="1785"/>
      <c r="AK64" s="1785"/>
      <c r="AL64" s="1785"/>
      <c r="AM64" s="1785"/>
      <c r="AN64" s="1786"/>
      <c r="AO64" s="64"/>
      <c r="AP64" s="64"/>
    </row>
    <row r="65" spans="1:42" ht="25.5" customHeight="1">
      <c r="A65" s="47"/>
      <c r="B65" s="360"/>
      <c r="C65" s="160"/>
      <c r="D65" s="69" t="s">
        <v>47</v>
      </c>
      <c r="E65" s="2569" t="s">
        <v>1064</v>
      </c>
      <c r="F65" s="2569"/>
      <c r="G65" s="2569"/>
      <c r="H65" s="2569"/>
      <c r="I65" s="2569"/>
      <c r="J65" s="2569"/>
      <c r="K65" s="2569"/>
      <c r="L65" s="2569"/>
      <c r="M65" s="2569"/>
      <c r="N65" s="2569"/>
      <c r="O65" s="2569"/>
      <c r="P65" s="2569"/>
      <c r="Q65" s="2569"/>
      <c r="R65" s="2569"/>
      <c r="S65" s="2569"/>
      <c r="T65" s="2569"/>
      <c r="U65" s="2569"/>
      <c r="V65" s="2569"/>
      <c r="W65" s="2569"/>
      <c r="X65" s="2569"/>
      <c r="Y65" s="2569"/>
      <c r="Z65" s="2569"/>
      <c r="AA65" s="2569"/>
      <c r="AB65" s="148"/>
      <c r="AC65" s="1693" t="s">
        <v>98</v>
      </c>
      <c r="AD65" s="2570">
        <f>'GENERAL INFO'!Q227</f>
        <v>0</v>
      </c>
      <c r="AE65" s="2570"/>
      <c r="AF65" s="2570"/>
      <c r="AG65" s="2570"/>
      <c r="AH65" s="2570"/>
      <c r="AI65" s="2570"/>
      <c r="AJ65" s="2570"/>
      <c r="AK65" s="2570"/>
      <c r="AL65" s="2570"/>
      <c r="AM65" s="2570"/>
      <c r="AN65" s="2570"/>
      <c r="AO65" s="64"/>
      <c r="AP65" s="64"/>
    </row>
    <row r="66" spans="1:42" ht="3" customHeight="1">
      <c r="A66" s="47"/>
      <c r="B66" s="361"/>
      <c r="C66" s="160"/>
      <c r="D66" s="69"/>
      <c r="E66" s="149"/>
      <c r="F66" s="149"/>
      <c r="G66" s="149"/>
      <c r="H66" s="149"/>
      <c r="I66" s="149"/>
      <c r="J66" s="149"/>
      <c r="K66" s="149"/>
      <c r="L66" s="149"/>
      <c r="M66" s="149"/>
      <c r="N66" s="149"/>
      <c r="O66" s="149"/>
      <c r="P66" s="149"/>
      <c r="Q66" s="149"/>
      <c r="R66" s="149"/>
      <c r="S66" s="149"/>
      <c r="T66" s="149"/>
      <c r="U66" s="149"/>
      <c r="V66" s="149"/>
      <c r="W66" s="149"/>
      <c r="X66" s="149"/>
      <c r="Y66" s="149"/>
      <c r="Z66" s="35"/>
      <c r="AA66" s="64"/>
      <c r="AB66" s="64"/>
      <c r="AC66" s="1607"/>
      <c r="AD66" s="1785"/>
      <c r="AE66" s="1785"/>
      <c r="AF66" s="1785"/>
      <c r="AG66" s="1785"/>
      <c r="AH66" s="1785"/>
      <c r="AI66" s="1785"/>
      <c r="AJ66" s="1785"/>
      <c r="AK66" s="1785"/>
      <c r="AL66" s="1785"/>
      <c r="AM66" s="1785"/>
      <c r="AN66" s="1786"/>
      <c r="AO66" s="64"/>
      <c r="AP66" s="64"/>
    </row>
    <row r="67" spans="1:42" ht="21.75" customHeight="1">
      <c r="A67" s="47"/>
      <c r="B67" s="360"/>
      <c r="C67" s="160"/>
      <c r="D67" s="69" t="s">
        <v>92</v>
      </c>
      <c r="E67" s="2427" t="s">
        <v>1065</v>
      </c>
      <c r="F67" s="2427"/>
      <c r="G67" s="2427"/>
      <c r="H67" s="2427"/>
      <c r="I67" s="2427"/>
      <c r="J67" s="2427"/>
      <c r="K67" s="2427"/>
      <c r="L67" s="2427"/>
      <c r="M67" s="2427"/>
      <c r="N67" s="2427"/>
      <c r="O67" s="2427"/>
      <c r="P67" s="2427"/>
      <c r="Q67" s="2427"/>
      <c r="R67" s="2427"/>
      <c r="S67" s="2427"/>
      <c r="T67" s="2427"/>
      <c r="U67" s="2427"/>
      <c r="V67" s="2427"/>
      <c r="W67" s="2427"/>
      <c r="X67" s="2427"/>
      <c r="Y67" s="2427"/>
      <c r="Z67" s="2427"/>
      <c r="AA67" s="2571"/>
      <c r="AB67" s="139"/>
      <c r="AC67" s="1691" t="s">
        <v>99</v>
      </c>
      <c r="AD67" s="2566">
        <f>'GENERAL INFO'!Q228</f>
        <v>0</v>
      </c>
      <c r="AE67" s="2566"/>
      <c r="AF67" s="2566"/>
      <c r="AG67" s="2566"/>
      <c r="AH67" s="2566"/>
      <c r="AI67" s="2566"/>
      <c r="AJ67" s="2566"/>
      <c r="AK67" s="2566"/>
      <c r="AL67" s="2566"/>
      <c r="AM67" s="2566"/>
      <c r="AN67" s="2566"/>
      <c r="AO67" s="64"/>
      <c r="AP67" s="64"/>
    </row>
    <row r="68" spans="1:42" ht="3" customHeight="1">
      <c r="A68" s="47"/>
      <c r="B68" s="361"/>
      <c r="C68" s="160"/>
      <c r="D68" s="69"/>
      <c r="E68" s="149"/>
      <c r="F68" s="149"/>
      <c r="G68" s="149"/>
      <c r="H68" s="149"/>
      <c r="I68" s="149"/>
      <c r="J68" s="149"/>
      <c r="K68" s="149"/>
      <c r="L68" s="149"/>
      <c r="M68" s="149"/>
      <c r="N68" s="149"/>
      <c r="O68" s="149"/>
      <c r="P68" s="149"/>
      <c r="Q68" s="149"/>
      <c r="R68" s="149"/>
      <c r="S68" s="149"/>
      <c r="T68" s="149"/>
      <c r="U68" s="149"/>
      <c r="V68" s="149"/>
      <c r="W68" s="149"/>
      <c r="X68" s="149"/>
      <c r="Y68" s="149"/>
      <c r="Z68" s="35"/>
      <c r="AA68" s="64"/>
      <c r="AB68" s="64"/>
      <c r="AC68" s="1607"/>
      <c r="AD68" s="1785"/>
      <c r="AE68" s="1785"/>
      <c r="AF68" s="1785"/>
      <c r="AG68" s="1785"/>
      <c r="AH68" s="1785"/>
      <c r="AI68" s="1785"/>
      <c r="AJ68" s="1785"/>
      <c r="AK68" s="1785"/>
      <c r="AL68" s="1785"/>
      <c r="AM68" s="1785"/>
      <c r="AN68" s="1786"/>
      <c r="AO68" s="64"/>
      <c r="AP68" s="64"/>
    </row>
    <row r="69" spans="1:42" ht="22.5" customHeight="1">
      <c r="A69" s="47"/>
      <c r="B69" s="360"/>
      <c r="C69" s="9"/>
      <c r="D69" s="69" t="s">
        <v>100</v>
      </c>
      <c r="E69" s="2427" t="s">
        <v>1010</v>
      </c>
      <c r="F69" s="2427"/>
      <c r="G69" s="2427"/>
      <c r="H69" s="2427"/>
      <c r="I69" s="2427"/>
      <c r="J69" s="2427"/>
      <c r="K69" s="2427"/>
      <c r="L69" s="2427"/>
      <c r="M69" s="2427"/>
      <c r="N69" s="2427"/>
      <c r="O69" s="2427"/>
      <c r="P69" s="2427"/>
      <c r="Q69" s="2427"/>
      <c r="R69" s="2427"/>
      <c r="S69" s="2427"/>
      <c r="T69" s="2427"/>
      <c r="U69" s="2427"/>
      <c r="V69" s="2427"/>
      <c r="W69" s="2427"/>
      <c r="X69" s="2427"/>
      <c r="Y69" s="2427"/>
      <c r="Z69" s="2571"/>
      <c r="AA69" s="2571"/>
      <c r="AB69" s="150"/>
      <c r="AC69" s="1695" t="s">
        <v>101</v>
      </c>
      <c r="AD69" s="2566">
        <f>'GENERAL INFO'!Q229</f>
        <v>0</v>
      </c>
      <c r="AE69" s="2566"/>
      <c r="AF69" s="2566"/>
      <c r="AG69" s="2566"/>
      <c r="AH69" s="2566"/>
      <c r="AI69" s="2566"/>
      <c r="AJ69" s="2566"/>
      <c r="AK69" s="2566"/>
      <c r="AL69" s="2566"/>
      <c r="AM69" s="2566"/>
      <c r="AN69" s="2566"/>
      <c r="AO69" s="64"/>
      <c r="AP69" s="64"/>
    </row>
    <row r="70" spans="1:42" ht="2.25" customHeight="1">
      <c r="A70" s="47"/>
      <c r="B70" s="361"/>
      <c r="C70" s="160"/>
      <c r="D70" s="69"/>
      <c r="E70" s="149"/>
      <c r="F70" s="149"/>
      <c r="G70" s="149"/>
      <c r="H70" s="149"/>
      <c r="I70" s="149"/>
      <c r="J70" s="149"/>
      <c r="K70" s="149"/>
      <c r="L70" s="149"/>
      <c r="M70" s="149"/>
      <c r="N70" s="149"/>
      <c r="O70" s="149"/>
      <c r="P70" s="149"/>
      <c r="Q70" s="149"/>
      <c r="R70" s="149"/>
      <c r="S70" s="149"/>
      <c r="T70" s="149"/>
      <c r="U70" s="149"/>
      <c r="V70" s="149"/>
      <c r="W70" s="149"/>
      <c r="X70" s="149"/>
      <c r="Y70" s="149"/>
      <c r="Z70" s="35"/>
      <c r="AA70" s="64"/>
      <c r="AB70" s="64"/>
      <c r="AC70" s="1607"/>
      <c r="AD70" s="1785"/>
      <c r="AE70" s="1785"/>
      <c r="AF70" s="1785"/>
      <c r="AG70" s="1785"/>
      <c r="AH70" s="1785"/>
      <c r="AI70" s="1785"/>
      <c r="AJ70" s="1785"/>
      <c r="AK70" s="1785"/>
      <c r="AL70" s="1785"/>
      <c r="AM70" s="1785"/>
      <c r="AN70" s="1786"/>
      <c r="AO70" s="64"/>
      <c r="AP70" s="64"/>
    </row>
    <row r="71" spans="1:42" ht="22.5" customHeight="1">
      <c r="A71" s="47"/>
      <c r="B71" s="360"/>
      <c r="C71" s="160"/>
      <c r="D71" s="69" t="s">
        <v>102</v>
      </c>
      <c r="E71" s="2427" t="s">
        <v>1018</v>
      </c>
      <c r="F71" s="2427"/>
      <c r="G71" s="2427"/>
      <c r="H71" s="2427"/>
      <c r="I71" s="2427"/>
      <c r="J71" s="2427"/>
      <c r="K71" s="2427"/>
      <c r="L71" s="2427"/>
      <c r="M71" s="2427"/>
      <c r="N71" s="2427"/>
      <c r="O71" s="2427"/>
      <c r="P71" s="2427"/>
      <c r="Q71" s="2427"/>
      <c r="R71" s="2427"/>
      <c r="S71" s="2427"/>
      <c r="T71" s="2427"/>
      <c r="U71" s="2427"/>
      <c r="V71" s="2427"/>
      <c r="W71" s="2427"/>
      <c r="X71" s="2427"/>
      <c r="Y71" s="2427"/>
      <c r="Z71" s="2571"/>
      <c r="AA71" s="2571"/>
      <c r="AB71" s="139"/>
      <c r="AC71" s="1691" t="s">
        <v>103</v>
      </c>
      <c r="AD71" s="2566">
        <f>'GENERAL INFO'!Q230</f>
        <v>0</v>
      </c>
      <c r="AE71" s="2566"/>
      <c r="AF71" s="2566"/>
      <c r="AG71" s="2566"/>
      <c r="AH71" s="2566"/>
      <c r="AI71" s="2566"/>
      <c r="AJ71" s="2566"/>
      <c r="AK71" s="2566"/>
      <c r="AL71" s="2566"/>
      <c r="AM71" s="2566"/>
      <c r="AN71" s="2566"/>
      <c r="AO71" s="64"/>
      <c r="AP71" s="64"/>
    </row>
    <row r="72" spans="1:42" ht="2.25" customHeight="1">
      <c r="A72" s="47"/>
      <c r="B72" s="360"/>
      <c r="C72" s="160"/>
      <c r="D72" s="69"/>
      <c r="E72" s="149"/>
      <c r="F72" s="149"/>
      <c r="G72" s="149"/>
      <c r="H72" s="149"/>
      <c r="I72" s="149"/>
      <c r="J72" s="149"/>
      <c r="K72" s="149"/>
      <c r="L72" s="149"/>
      <c r="M72" s="149"/>
      <c r="N72" s="149"/>
      <c r="O72" s="149"/>
      <c r="P72" s="149"/>
      <c r="Q72" s="149"/>
      <c r="R72" s="149"/>
      <c r="S72" s="149"/>
      <c r="T72" s="149"/>
      <c r="U72" s="149"/>
      <c r="V72" s="149"/>
      <c r="W72" s="149"/>
      <c r="X72" s="149"/>
      <c r="Y72" s="149"/>
      <c r="Z72" s="35"/>
      <c r="AA72" s="64"/>
      <c r="AB72" s="64"/>
      <c r="AC72" s="1607"/>
      <c r="AD72" s="1785"/>
      <c r="AE72" s="1785"/>
      <c r="AF72" s="1785"/>
      <c r="AG72" s="1785"/>
      <c r="AH72" s="1785"/>
      <c r="AI72" s="1785"/>
      <c r="AJ72" s="1785"/>
      <c r="AK72" s="1785"/>
      <c r="AL72" s="1785"/>
      <c r="AM72" s="1785"/>
      <c r="AN72" s="1786"/>
      <c r="AO72" s="64"/>
      <c r="AP72" s="64"/>
    </row>
    <row r="73" spans="1:42" ht="21.75" customHeight="1">
      <c r="A73" s="47"/>
      <c r="B73" s="362"/>
      <c r="D73" s="69" t="s">
        <v>104</v>
      </c>
      <c r="E73" s="2427" t="s">
        <v>1066</v>
      </c>
      <c r="F73" s="2427"/>
      <c r="G73" s="2427"/>
      <c r="H73" s="2427"/>
      <c r="I73" s="2427"/>
      <c r="J73" s="2427"/>
      <c r="K73" s="2427"/>
      <c r="L73" s="2427"/>
      <c r="M73" s="2427"/>
      <c r="N73" s="2427"/>
      <c r="O73" s="2427"/>
      <c r="P73" s="2427"/>
      <c r="Q73" s="2427"/>
      <c r="R73" s="2427"/>
      <c r="S73" s="2427"/>
      <c r="T73" s="2427"/>
      <c r="U73" s="2427"/>
      <c r="V73" s="2427"/>
      <c r="W73" s="2427"/>
      <c r="X73" s="2427"/>
      <c r="Y73" s="2427"/>
      <c r="Z73" s="2571"/>
      <c r="AA73" s="2571"/>
      <c r="AB73" s="151"/>
      <c r="AC73" s="1691" t="s">
        <v>105</v>
      </c>
      <c r="AD73" s="2566">
        <f>'GENERAL INFO'!Q231</f>
        <v>0</v>
      </c>
      <c r="AE73" s="2566"/>
      <c r="AF73" s="2566"/>
      <c r="AG73" s="2566"/>
      <c r="AH73" s="2566"/>
      <c r="AI73" s="2566"/>
      <c r="AJ73" s="2566"/>
      <c r="AK73" s="2566"/>
      <c r="AL73" s="2566"/>
      <c r="AM73" s="2566"/>
      <c r="AN73" s="2566"/>
      <c r="AO73" s="65"/>
      <c r="AP73" s="65"/>
    </row>
    <row r="74" spans="1:42" ht="3" customHeight="1">
      <c r="A74" s="47"/>
      <c r="B74" s="362"/>
      <c r="D74" s="69"/>
      <c r="E74" s="1572"/>
      <c r="F74" s="1572"/>
      <c r="G74" s="1572"/>
      <c r="H74" s="1572"/>
      <c r="I74" s="1572"/>
      <c r="J74" s="1572"/>
      <c r="K74" s="1572"/>
      <c r="L74" s="1572"/>
      <c r="M74" s="1572"/>
      <c r="N74" s="1572"/>
      <c r="O74" s="1572"/>
      <c r="P74" s="1572"/>
      <c r="Q74" s="1572"/>
      <c r="R74" s="1572"/>
      <c r="S74" s="1572"/>
      <c r="T74" s="1572"/>
      <c r="U74" s="1572"/>
      <c r="V74" s="1572"/>
      <c r="W74" s="1572"/>
      <c r="X74" s="1572"/>
      <c r="Y74" s="1572"/>
      <c r="Z74" s="65"/>
      <c r="AA74" s="64"/>
      <c r="AB74" s="65"/>
      <c r="AC74" s="1607"/>
      <c r="AD74" s="1777"/>
      <c r="AE74" s="1777"/>
      <c r="AF74" s="1777"/>
      <c r="AG74" s="1777"/>
      <c r="AH74" s="1777"/>
      <c r="AI74" s="1777"/>
      <c r="AJ74" s="1777"/>
      <c r="AK74" s="1777"/>
      <c r="AL74" s="1777"/>
      <c r="AM74" s="1777"/>
      <c r="AN74" s="1778"/>
      <c r="AO74" s="65"/>
      <c r="AP74" s="65"/>
    </row>
    <row r="75" spans="1:42" ht="24.75" customHeight="1">
      <c r="A75" s="69"/>
      <c r="B75" s="355"/>
      <c r="C75" s="9"/>
      <c r="D75" s="69" t="s">
        <v>106</v>
      </c>
      <c r="E75" s="2421" t="s">
        <v>1067</v>
      </c>
      <c r="F75" s="2421"/>
      <c r="G75" s="2421"/>
      <c r="H75" s="2421"/>
      <c r="I75" s="2421"/>
      <c r="J75" s="2421"/>
      <c r="K75" s="2421"/>
      <c r="L75" s="2421"/>
      <c r="M75" s="2421"/>
      <c r="N75" s="2421"/>
      <c r="O75" s="2421"/>
      <c r="P75" s="2421"/>
      <c r="Q75" s="2421"/>
      <c r="R75" s="2421"/>
      <c r="S75" s="2421"/>
      <c r="T75" s="2421"/>
      <c r="U75" s="2421"/>
      <c r="V75" s="2421"/>
      <c r="W75" s="2421"/>
      <c r="X75" s="2421"/>
      <c r="Y75" s="2421"/>
      <c r="Z75" s="2421"/>
      <c r="AA75" s="2421"/>
      <c r="AB75" s="140"/>
      <c r="AC75" s="1695" t="s">
        <v>107</v>
      </c>
      <c r="AD75" s="2566">
        <f>'GENERAL INFO'!Q232</f>
        <v>0</v>
      </c>
      <c r="AE75" s="2566"/>
      <c r="AF75" s="2566"/>
      <c r="AG75" s="2566"/>
      <c r="AH75" s="2566"/>
      <c r="AI75" s="2566"/>
      <c r="AJ75" s="2566"/>
      <c r="AK75" s="2566"/>
      <c r="AL75" s="2566"/>
      <c r="AM75" s="2566"/>
      <c r="AN75" s="2566"/>
      <c r="AO75" s="35"/>
      <c r="AP75" s="35"/>
    </row>
    <row r="76" spans="1:42" ht="2.25" customHeight="1">
      <c r="A76" s="69"/>
      <c r="B76" s="361"/>
      <c r="C76" s="160"/>
      <c r="D76" s="69"/>
      <c r="E76" s="149"/>
      <c r="F76" s="149"/>
      <c r="G76" s="149"/>
      <c r="H76" s="149"/>
      <c r="I76" s="149"/>
      <c r="J76" s="149"/>
      <c r="K76" s="149"/>
      <c r="L76" s="149"/>
      <c r="M76" s="149"/>
      <c r="N76" s="149"/>
      <c r="O76" s="149"/>
      <c r="P76" s="149"/>
      <c r="Q76" s="149"/>
      <c r="R76" s="149"/>
      <c r="S76" s="149"/>
      <c r="T76" s="149"/>
      <c r="U76" s="149"/>
      <c r="V76" s="149"/>
      <c r="W76" s="149"/>
      <c r="X76" s="1572"/>
      <c r="Y76" s="1572"/>
      <c r="Z76" s="35"/>
      <c r="AA76" s="64"/>
      <c r="AB76" s="35"/>
      <c r="AC76" s="1604"/>
      <c r="AD76" s="1791"/>
      <c r="AE76" s="1791"/>
      <c r="AF76" s="1791"/>
      <c r="AG76" s="1791"/>
      <c r="AH76" s="1791"/>
      <c r="AI76" s="1791"/>
      <c r="AJ76" s="1791"/>
      <c r="AK76" s="1791"/>
      <c r="AL76" s="1791"/>
      <c r="AM76" s="1791"/>
      <c r="AN76" s="1792"/>
      <c r="AO76" s="35"/>
      <c r="AP76" s="35"/>
    </row>
    <row r="77" spans="1:42" ht="23.25" customHeight="1">
      <c r="A77" s="69"/>
      <c r="B77" s="355"/>
      <c r="C77" s="1577"/>
      <c r="D77" s="69" t="s">
        <v>108</v>
      </c>
      <c r="E77" s="2572" t="s">
        <v>1068</v>
      </c>
      <c r="F77" s="2572"/>
      <c r="G77" s="2572"/>
      <c r="H77" s="2572"/>
      <c r="I77" s="2572"/>
      <c r="J77" s="2572"/>
      <c r="K77" s="2572"/>
      <c r="L77" s="2572"/>
      <c r="M77" s="2572"/>
      <c r="N77" s="2572"/>
      <c r="O77" s="2572"/>
      <c r="P77" s="2572"/>
      <c r="Q77" s="2572"/>
      <c r="R77" s="2572"/>
      <c r="S77" s="2572"/>
      <c r="T77" s="2572"/>
      <c r="U77" s="2572"/>
      <c r="V77" s="2572"/>
      <c r="W77" s="2572"/>
      <c r="X77" s="2572"/>
      <c r="Y77" s="2572"/>
      <c r="Z77" s="2572"/>
      <c r="AA77" s="2572"/>
      <c r="AB77" s="152"/>
      <c r="AC77" s="1693" t="s">
        <v>109</v>
      </c>
      <c r="AD77" s="2566">
        <f>'GENERAL INFO'!Q233</f>
        <v>0</v>
      </c>
      <c r="AE77" s="2566"/>
      <c r="AF77" s="2566"/>
      <c r="AG77" s="2566"/>
      <c r="AH77" s="2566"/>
      <c r="AI77" s="2566"/>
      <c r="AJ77" s="2566"/>
      <c r="AK77" s="2566"/>
      <c r="AL77" s="2566"/>
      <c r="AM77" s="2566"/>
      <c r="AN77" s="2566"/>
      <c r="AO77" s="35"/>
      <c r="AP77" s="35"/>
    </row>
    <row r="78" spans="1:42" ht="3.75" customHeight="1">
      <c r="A78" s="69"/>
      <c r="B78" s="355"/>
      <c r="C78" s="1577"/>
      <c r="D78" s="69"/>
      <c r="E78" s="1594"/>
      <c r="F78" s="1594"/>
      <c r="G78" s="1594"/>
      <c r="H78" s="1594"/>
      <c r="I78" s="1594"/>
      <c r="J78" s="1594"/>
      <c r="K78" s="1594"/>
      <c r="L78" s="1594"/>
      <c r="M78" s="1594"/>
      <c r="N78" s="1594"/>
      <c r="O78" s="1594"/>
      <c r="P78" s="1594"/>
      <c r="Q78" s="1594"/>
      <c r="R78" s="1594"/>
      <c r="S78" s="1594"/>
      <c r="T78" s="1594"/>
      <c r="U78" s="1594"/>
      <c r="V78" s="1594"/>
      <c r="W78" s="1594"/>
      <c r="X78" s="1594"/>
      <c r="Y78" s="1594"/>
      <c r="Z78" s="153"/>
      <c r="AA78" s="64"/>
      <c r="AB78" s="153"/>
      <c r="AC78" s="216"/>
      <c r="AD78" s="1793"/>
      <c r="AE78" s="1793"/>
      <c r="AF78" s="1793"/>
      <c r="AG78" s="1793"/>
      <c r="AH78" s="1793"/>
      <c r="AI78" s="1793"/>
      <c r="AJ78" s="1793"/>
      <c r="AK78" s="1793"/>
      <c r="AL78" s="1791"/>
      <c r="AM78" s="1791"/>
      <c r="AN78" s="1792"/>
      <c r="AO78" s="35"/>
      <c r="AP78" s="35"/>
    </row>
    <row r="79" spans="1:42" ht="22.5" customHeight="1">
      <c r="A79" s="35"/>
      <c r="B79" s="360"/>
      <c r="C79" s="9"/>
      <c r="D79" s="69" t="s">
        <v>110</v>
      </c>
      <c r="E79" s="2569" t="s">
        <v>1012</v>
      </c>
      <c r="F79" s="2569"/>
      <c r="G79" s="2569"/>
      <c r="H79" s="2569"/>
      <c r="I79" s="2569"/>
      <c r="J79" s="2569"/>
      <c r="K79" s="2569"/>
      <c r="L79" s="2569"/>
      <c r="M79" s="2569"/>
      <c r="N79" s="2569"/>
      <c r="O79" s="2569"/>
      <c r="P79" s="2569"/>
      <c r="Q79" s="2569"/>
      <c r="R79" s="2569"/>
      <c r="S79" s="2569"/>
      <c r="T79" s="2569"/>
      <c r="U79" s="2569"/>
      <c r="V79" s="2569"/>
      <c r="W79" s="2569"/>
      <c r="X79" s="2569"/>
      <c r="Y79" s="2569"/>
      <c r="Z79" s="2569"/>
      <c r="AA79" s="2571"/>
      <c r="AB79" s="154"/>
      <c r="AC79" s="1691" t="s">
        <v>111</v>
      </c>
      <c r="AD79" s="2566">
        <f>'GENERAL INFO'!Q234</f>
        <v>0</v>
      </c>
      <c r="AE79" s="2566"/>
      <c r="AF79" s="2566"/>
      <c r="AG79" s="2566"/>
      <c r="AH79" s="2566"/>
      <c r="AI79" s="2566"/>
      <c r="AJ79" s="2566"/>
      <c r="AK79" s="2566"/>
      <c r="AL79" s="2566"/>
      <c r="AM79" s="2566"/>
      <c r="AN79" s="2566"/>
      <c r="AO79" s="35"/>
      <c r="AP79" s="35"/>
    </row>
    <row r="80" spans="1:42" ht="3.75" customHeight="1">
      <c r="A80" s="35"/>
      <c r="B80" s="361"/>
      <c r="C80" s="160"/>
      <c r="D80" s="69"/>
      <c r="E80" s="149"/>
      <c r="F80" s="149"/>
      <c r="G80" s="149"/>
      <c r="H80" s="149"/>
      <c r="I80" s="149"/>
      <c r="J80" s="149"/>
      <c r="K80" s="149"/>
      <c r="L80" s="149"/>
      <c r="M80" s="149"/>
      <c r="N80" s="149"/>
      <c r="O80" s="149"/>
      <c r="P80" s="149"/>
      <c r="Q80" s="149"/>
      <c r="R80" s="149"/>
      <c r="S80" s="149"/>
      <c r="T80" s="149"/>
      <c r="U80" s="149"/>
      <c r="V80" s="149"/>
      <c r="W80" s="149"/>
      <c r="X80" s="1572"/>
      <c r="Y80" s="1572"/>
      <c r="Z80" s="35"/>
      <c r="AA80" s="64"/>
      <c r="AB80" s="35"/>
      <c r="AC80" s="1607"/>
      <c r="AD80" s="1791"/>
      <c r="AE80" s="1791"/>
      <c r="AF80" s="1791"/>
      <c r="AG80" s="1791"/>
      <c r="AH80" s="1791"/>
      <c r="AI80" s="1791"/>
      <c r="AJ80" s="1791"/>
      <c r="AK80" s="1791"/>
      <c r="AL80" s="1791"/>
      <c r="AM80" s="1791"/>
      <c r="AN80" s="1792"/>
      <c r="AO80" s="35"/>
      <c r="AP80" s="35"/>
    </row>
    <row r="81" spans="1:42" ht="21" customHeight="1">
      <c r="A81" s="69"/>
      <c r="B81" s="355"/>
      <c r="C81" s="160"/>
      <c r="D81" s="69" t="s">
        <v>112</v>
      </c>
      <c r="E81" s="2427" t="s">
        <v>1011</v>
      </c>
      <c r="F81" s="2427"/>
      <c r="G81" s="2427"/>
      <c r="H81" s="2427"/>
      <c r="I81" s="2427"/>
      <c r="J81" s="2427"/>
      <c r="K81" s="2427"/>
      <c r="L81" s="2427"/>
      <c r="M81" s="2427"/>
      <c r="N81" s="2427"/>
      <c r="O81" s="2427"/>
      <c r="P81" s="2427"/>
      <c r="Q81" s="2427"/>
      <c r="R81" s="2427"/>
      <c r="S81" s="2427"/>
      <c r="T81" s="2427"/>
      <c r="U81" s="2427"/>
      <c r="V81" s="2427"/>
      <c r="W81" s="2427"/>
      <c r="X81" s="2427"/>
      <c r="Y81" s="2427"/>
      <c r="Z81" s="2571"/>
      <c r="AA81" s="2571"/>
      <c r="AB81" s="150"/>
      <c r="AC81" s="1694" t="s">
        <v>113</v>
      </c>
      <c r="AD81" s="2566">
        <f>SUM(AD59:AN79)</f>
        <v>0</v>
      </c>
      <c r="AE81" s="2566"/>
      <c r="AF81" s="2566"/>
      <c r="AG81" s="2566"/>
      <c r="AH81" s="2566"/>
      <c r="AI81" s="2566"/>
      <c r="AJ81" s="2566"/>
      <c r="AK81" s="2566"/>
      <c r="AL81" s="2566"/>
      <c r="AM81" s="2566"/>
      <c r="AN81" s="2566"/>
      <c r="AO81" s="35"/>
      <c r="AP81" s="35"/>
    </row>
    <row r="82" spans="1:42" ht="5.25" customHeight="1">
      <c r="A82" s="69"/>
      <c r="B82" s="355"/>
      <c r="C82" s="160"/>
      <c r="D82" s="69"/>
      <c r="E82" s="1579"/>
      <c r="F82" s="1579"/>
      <c r="G82" s="1579"/>
      <c r="H82" s="1579"/>
      <c r="I82" s="1579"/>
      <c r="J82" s="1579"/>
      <c r="K82" s="1579"/>
      <c r="L82" s="1579"/>
      <c r="M82" s="1579"/>
      <c r="N82" s="1579"/>
      <c r="O82" s="1579"/>
      <c r="P82" s="1579"/>
      <c r="Q82" s="1579"/>
      <c r="R82" s="1579"/>
      <c r="S82" s="1579"/>
      <c r="T82" s="1579"/>
      <c r="U82" s="1579"/>
      <c r="V82" s="1579"/>
      <c r="W82" s="1579"/>
      <c r="X82" s="1579"/>
      <c r="Y82" s="1579"/>
      <c r="Z82" s="155"/>
      <c r="AA82" s="64"/>
      <c r="AB82" s="155"/>
      <c r="AC82" s="1692"/>
      <c r="AD82" s="2566"/>
      <c r="AE82" s="2566"/>
      <c r="AF82" s="2566"/>
      <c r="AG82" s="2566"/>
      <c r="AH82" s="2566"/>
      <c r="AI82" s="2566"/>
      <c r="AJ82" s="2566"/>
      <c r="AK82" s="2566"/>
      <c r="AL82" s="2566"/>
      <c r="AM82" s="2566"/>
      <c r="AN82" s="2566"/>
      <c r="AO82" s="35"/>
      <c r="AP82" s="35"/>
    </row>
    <row r="83" spans="1:42" ht="3.75" customHeight="1">
      <c r="A83" s="156"/>
      <c r="B83" s="363"/>
      <c r="C83" s="344"/>
      <c r="D83" s="344"/>
      <c r="E83" s="344"/>
      <c r="F83" s="344"/>
      <c r="G83" s="257"/>
      <c r="H83" s="257"/>
      <c r="I83" s="257"/>
      <c r="J83" s="257"/>
      <c r="K83" s="257"/>
      <c r="L83" s="257"/>
      <c r="M83" s="257"/>
      <c r="N83" s="257"/>
      <c r="O83" s="257"/>
      <c r="P83" s="257"/>
      <c r="Q83" s="257"/>
      <c r="R83" s="257"/>
      <c r="S83" s="257"/>
      <c r="T83" s="257"/>
      <c r="U83" s="257"/>
      <c r="V83" s="257"/>
      <c r="W83" s="257"/>
      <c r="X83" s="257"/>
      <c r="Y83" s="257"/>
      <c r="Z83" s="257"/>
      <c r="AA83" s="345"/>
      <c r="AB83" s="257"/>
      <c r="AC83" s="346"/>
      <c r="AD83" s="1794"/>
      <c r="AE83" s="1794"/>
      <c r="AF83" s="1794"/>
      <c r="AG83" s="1794"/>
      <c r="AH83" s="1794"/>
      <c r="AI83" s="1794"/>
      <c r="AJ83" s="1794"/>
      <c r="AK83" s="1794"/>
      <c r="AL83" s="1794"/>
      <c r="AM83" s="1794"/>
      <c r="AN83" s="1795"/>
      <c r="AO83" s="65"/>
      <c r="AP83" s="65"/>
    </row>
    <row r="84" spans="1:42" ht="7.5" customHeight="1">
      <c r="A84" s="69"/>
      <c r="B84" s="2575" t="s">
        <v>20</v>
      </c>
      <c r="C84" s="186"/>
      <c r="D84" s="2568" t="s">
        <v>1017</v>
      </c>
      <c r="E84" s="2568"/>
      <c r="F84" s="2568"/>
      <c r="G84" s="2568"/>
      <c r="H84" s="2568"/>
      <c r="I84" s="2568"/>
      <c r="J84" s="2568"/>
      <c r="K84" s="2568"/>
      <c r="L84" s="2568"/>
      <c r="M84" s="2568"/>
      <c r="N84" s="2568"/>
      <c r="O84" s="2568"/>
      <c r="P84" s="2568"/>
      <c r="Q84" s="2568"/>
      <c r="R84" s="2568"/>
      <c r="S84" s="2568"/>
      <c r="T84" s="2568"/>
      <c r="U84" s="2568"/>
      <c r="V84" s="2568"/>
      <c r="W84" s="2568"/>
      <c r="X84" s="35"/>
      <c r="Y84" s="35"/>
      <c r="Z84" s="35"/>
      <c r="AA84" s="66"/>
      <c r="AB84" s="35"/>
      <c r="AC84" s="54"/>
      <c r="AD84" s="1791"/>
      <c r="AE84" s="1791"/>
      <c r="AF84" s="1791"/>
      <c r="AG84" s="1791"/>
      <c r="AH84" s="1777"/>
      <c r="AI84" s="1777"/>
      <c r="AJ84" s="1777"/>
      <c r="AK84" s="1777"/>
      <c r="AL84" s="1777"/>
      <c r="AM84" s="1777"/>
      <c r="AN84" s="1778"/>
      <c r="AO84" s="65"/>
      <c r="AP84" s="65"/>
    </row>
    <row r="85" spans="1:42" ht="12" customHeight="1">
      <c r="A85" s="35"/>
      <c r="B85" s="2575"/>
      <c r="C85" s="186"/>
      <c r="D85" s="2568"/>
      <c r="E85" s="2568"/>
      <c r="F85" s="2568"/>
      <c r="G85" s="2568"/>
      <c r="H85" s="2568"/>
      <c r="I85" s="2568"/>
      <c r="J85" s="2568"/>
      <c r="K85" s="2568"/>
      <c r="L85" s="2568"/>
      <c r="M85" s="2568"/>
      <c r="N85" s="2568"/>
      <c r="O85" s="2568"/>
      <c r="P85" s="2568"/>
      <c r="Q85" s="2568"/>
      <c r="R85" s="2568"/>
      <c r="S85" s="2568"/>
      <c r="T85" s="2568"/>
      <c r="U85" s="2568"/>
      <c r="V85" s="2568"/>
      <c r="W85" s="2568"/>
      <c r="X85" s="35"/>
      <c r="Y85" s="35"/>
      <c r="Z85" s="35"/>
      <c r="AA85" s="129"/>
      <c r="AB85" s="35"/>
      <c r="AC85" s="54"/>
      <c r="AD85" s="1791"/>
      <c r="AE85" s="1791"/>
      <c r="AF85" s="1791"/>
      <c r="AG85" s="1791"/>
      <c r="AH85" s="1791"/>
      <c r="AI85" s="1791"/>
      <c r="AJ85" s="1791"/>
      <c r="AK85" s="1791"/>
      <c r="AL85" s="1791"/>
      <c r="AM85" s="1791"/>
      <c r="AN85" s="1792"/>
      <c r="AO85" s="35"/>
      <c r="AP85" s="35"/>
    </row>
    <row r="86" spans="1:42" ht="24" customHeight="1">
      <c r="A86" s="35"/>
      <c r="B86" s="364"/>
      <c r="C86" s="1605"/>
      <c r="D86" s="69" t="s">
        <v>39</v>
      </c>
      <c r="E86" s="2427" t="s">
        <v>1070</v>
      </c>
      <c r="F86" s="2427"/>
      <c r="G86" s="2427"/>
      <c r="H86" s="2427"/>
      <c r="I86" s="2427"/>
      <c r="J86" s="2427"/>
      <c r="K86" s="2427"/>
      <c r="L86" s="2427"/>
      <c r="M86" s="2427"/>
      <c r="N86" s="2427"/>
      <c r="O86" s="2427"/>
      <c r="P86" s="2427"/>
      <c r="Q86" s="2427"/>
      <c r="R86" s="2427"/>
      <c r="S86" s="2427"/>
      <c r="T86" s="2427"/>
      <c r="U86" s="2427"/>
      <c r="V86" s="2427"/>
      <c r="W86" s="2427"/>
      <c r="X86" s="2427"/>
      <c r="Y86" s="2427"/>
      <c r="Z86" s="2427"/>
      <c r="AA86" s="2427"/>
      <c r="AB86" s="140"/>
      <c r="AC86" s="215" t="s">
        <v>115</v>
      </c>
      <c r="AD86" s="2566">
        <f>'GENERAL INFO'!Q237</f>
        <v>0</v>
      </c>
      <c r="AE86" s="2566"/>
      <c r="AF86" s="2566"/>
      <c r="AG86" s="2566"/>
      <c r="AH86" s="2566"/>
      <c r="AI86" s="2566"/>
      <c r="AJ86" s="2566"/>
      <c r="AK86" s="2566"/>
      <c r="AL86" s="2566"/>
      <c r="AM86" s="2566"/>
      <c r="AN86" s="2566"/>
      <c r="AO86" s="35"/>
      <c r="AP86" s="35"/>
    </row>
    <row r="87" spans="1:42" ht="3.75" customHeight="1">
      <c r="A87" s="35"/>
      <c r="B87" s="364"/>
      <c r="C87" s="1605"/>
      <c r="D87" s="157"/>
      <c r="E87" s="158"/>
      <c r="F87" s="158"/>
      <c r="G87" s="158"/>
      <c r="H87" s="158"/>
      <c r="I87" s="158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72"/>
      <c r="Y87" s="1572"/>
      <c r="Z87" s="35"/>
      <c r="AA87" s="64"/>
      <c r="AB87" s="35"/>
      <c r="AC87" s="1584"/>
      <c r="AD87" s="1791"/>
      <c r="AE87" s="1791"/>
      <c r="AF87" s="1791"/>
      <c r="AG87" s="1791"/>
      <c r="AH87" s="1791"/>
      <c r="AI87" s="1791"/>
      <c r="AJ87" s="1791"/>
      <c r="AK87" s="1791"/>
      <c r="AL87" s="1791"/>
      <c r="AM87" s="1791"/>
      <c r="AN87" s="1792"/>
      <c r="AO87" s="35"/>
      <c r="AP87" s="35"/>
    </row>
    <row r="88" spans="1:42" ht="24.75" customHeight="1">
      <c r="A88" s="35"/>
      <c r="B88" s="364"/>
      <c r="C88" s="1605"/>
      <c r="D88" s="69" t="s">
        <v>41</v>
      </c>
      <c r="E88" s="2427" t="s">
        <v>1069</v>
      </c>
      <c r="F88" s="2427"/>
      <c r="G88" s="2427"/>
      <c r="H88" s="2427"/>
      <c r="I88" s="2427"/>
      <c r="J88" s="2427"/>
      <c r="K88" s="2427"/>
      <c r="L88" s="2427"/>
      <c r="M88" s="2427"/>
      <c r="N88" s="2427"/>
      <c r="O88" s="2427"/>
      <c r="P88" s="2427"/>
      <c r="Q88" s="2427"/>
      <c r="R88" s="2427"/>
      <c r="S88" s="2427"/>
      <c r="T88" s="2427"/>
      <c r="U88" s="2427"/>
      <c r="V88" s="2427"/>
      <c r="W88" s="2427"/>
      <c r="X88" s="2427"/>
      <c r="Y88" s="2427"/>
      <c r="Z88" s="2427"/>
      <c r="AA88" s="2571"/>
      <c r="AB88" s="1574"/>
      <c r="AC88" s="1603" t="s">
        <v>116</v>
      </c>
      <c r="AD88" s="2566">
        <f>'GENERAL INFO'!Q238</f>
        <v>0</v>
      </c>
      <c r="AE88" s="2566"/>
      <c r="AF88" s="2566"/>
      <c r="AG88" s="2566"/>
      <c r="AH88" s="2566"/>
      <c r="AI88" s="2566"/>
      <c r="AJ88" s="2566"/>
      <c r="AK88" s="2566"/>
      <c r="AL88" s="2566"/>
      <c r="AM88" s="2566"/>
      <c r="AN88" s="2566"/>
      <c r="AO88" s="35"/>
      <c r="AP88" s="35"/>
    </row>
    <row r="89" spans="1:42" ht="3.75" customHeight="1">
      <c r="A89" s="35"/>
      <c r="B89" s="364"/>
      <c r="C89" s="1605"/>
      <c r="D89" s="157"/>
      <c r="E89" s="158"/>
      <c r="F89" s="158"/>
      <c r="G89" s="158"/>
      <c r="H89" s="158"/>
      <c r="I89" s="158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72"/>
      <c r="Y89" s="1572"/>
      <c r="Z89" s="35"/>
      <c r="AA89" s="64"/>
      <c r="AB89" s="35"/>
      <c r="AC89" s="1584"/>
      <c r="AD89" s="1791"/>
      <c r="AE89" s="1791"/>
      <c r="AF89" s="1791"/>
      <c r="AG89" s="1791"/>
      <c r="AH89" s="1791"/>
      <c r="AI89" s="1791"/>
      <c r="AJ89" s="1791"/>
      <c r="AK89" s="1791"/>
      <c r="AL89" s="1791"/>
      <c r="AM89" s="1791"/>
      <c r="AN89" s="1792"/>
      <c r="AO89" s="35"/>
      <c r="AP89" s="35"/>
    </row>
    <row r="90" spans="1:42" ht="22.5" customHeight="1">
      <c r="A90" s="35"/>
      <c r="B90" s="364"/>
      <c r="C90" s="1605"/>
      <c r="D90" s="157" t="s">
        <v>46</v>
      </c>
      <c r="E90" s="2569" t="s">
        <v>1016</v>
      </c>
      <c r="F90" s="2569"/>
      <c r="G90" s="2569"/>
      <c r="H90" s="2569"/>
      <c r="I90" s="2569"/>
      <c r="J90" s="2569"/>
      <c r="K90" s="2569"/>
      <c r="L90" s="2569"/>
      <c r="M90" s="2569"/>
      <c r="N90" s="2569"/>
      <c r="O90" s="2569"/>
      <c r="P90" s="2569"/>
      <c r="Q90" s="2569"/>
      <c r="R90" s="2569"/>
      <c r="S90" s="2569"/>
      <c r="T90" s="2569"/>
      <c r="U90" s="2569"/>
      <c r="V90" s="2569"/>
      <c r="W90" s="2569"/>
      <c r="X90" s="2569"/>
      <c r="Y90" s="2569"/>
      <c r="Z90" s="2571"/>
      <c r="AA90" s="2571"/>
      <c r="AB90" s="150"/>
      <c r="AC90" s="215" t="s">
        <v>117</v>
      </c>
      <c r="AD90" s="2566">
        <f>'GENERAL INFO'!Q239</f>
        <v>0</v>
      </c>
      <c r="AE90" s="2566"/>
      <c r="AF90" s="2566"/>
      <c r="AG90" s="2566"/>
      <c r="AH90" s="2566"/>
      <c r="AI90" s="2566"/>
      <c r="AJ90" s="2566"/>
      <c r="AK90" s="2566"/>
      <c r="AL90" s="2566"/>
      <c r="AM90" s="2566"/>
      <c r="AN90" s="2566"/>
      <c r="AO90" s="35"/>
      <c r="AP90" s="35"/>
    </row>
    <row r="91" spans="1:42" ht="3.75" customHeight="1">
      <c r="A91" s="35"/>
      <c r="B91" s="364"/>
      <c r="C91" s="1605"/>
      <c r="D91" s="157"/>
      <c r="E91" s="159"/>
      <c r="F91" s="159"/>
      <c r="G91" s="159"/>
      <c r="H91" s="159"/>
      <c r="I91" s="159"/>
      <c r="J91" s="159"/>
      <c r="K91" s="159"/>
      <c r="L91" s="159"/>
      <c r="M91" s="159"/>
      <c r="N91" s="159"/>
      <c r="O91" s="159"/>
      <c r="P91" s="159"/>
      <c r="Q91" s="158"/>
      <c r="R91" s="158"/>
      <c r="S91" s="158"/>
      <c r="T91" s="158"/>
      <c r="U91" s="158"/>
      <c r="V91" s="158"/>
      <c r="W91" s="158"/>
      <c r="X91" s="1572"/>
      <c r="Y91" s="1572"/>
      <c r="Z91" s="35"/>
      <c r="AA91" s="64"/>
      <c r="AB91" s="35"/>
      <c r="AC91" s="1584"/>
      <c r="AD91" s="1791"/>
      <c r="AE91" s="1791"/>
      <c r="AF91" s="1791"/>
      <c r="AG91" s="1791"/>
      <c r="AH91" s="1791"/>
      <c r="AI91" s="1791"/>
      <c r="AJ91" s="1791"/>
      <c r="AK91" s="1791"/>
      <c r="AL91" s="1791"/>
      <c r="AM91" s="1791"/>
      <c r="AN91" s="1792"/>
      <c r="AO91" s="35"/>
      <c r="AP91" s="35"/>
    </row>
    <row r="92" spans="1:42" ht="21.75" customHeight="1">
      <c r="A92" s="160"/>
      <c r="B92" s="351"/>
      <c r="C92" s="65"/>
      <c r="D92" s="69" t="s">
        <v>47</v>
      </c>
      <c r="E92" s="2427" t="s">
        <v>1015</v>
      </c>
      <c r="F92" s="2427"/>
      <c r="G92" s="2427"/>
      <c r="H92" s="2427"/>
      <c r="I92" s="2427"/>
      <c r="J92" s="2427"/>
      <c r="K92" s="2427"/>
      <c r="L92" s="2427"/>
      <c r="M92" s="2427"/>
      <c r="N92" s="2427"/>
      <c r="O92" s="2427"/>
      <c r="P92" s="2427"/>
      <c r="Q92" s="2427"/>
      <c r="R92" s="2427"/>
      <c r="S92" s="2427"/>
      <c r="T92" s="2427"/>
      <c r="U92" s="2427"/>
      <c r="V92" s="2427"/>
      <c r="W92" s="2427"/>
      <c r="X92" s="2427"/>
      <c r="Y92" s="2427"/>
      <c r="Z92" s="2571"/>
      <c r="AA92" s="2571"/>
      <c r="AB92" s="1580"/>
      <c r="AC92" s="217" t="s">
        <v>118</v>
      </c>
      <c r="AD92" s="2566">
        <f>SUM(AD86:AN90)</f>
        <v>0</v>
      </c>
      <c r="AE92" s="2566"/>
      <c r="AF92" s="2566"/>
      <c r="AG92" s="2566"/>
      <c r="AH92" s="2566"/>
      <c r="AI92" s="2566"/>
      <c r="AJ92" s="2566"/>
      <c r="AK92" s="2566"/>
      <c r="AL92" s="2566"/>
      <c r="AM92" s="2566"/>
      <c r="AN92" s="2566"/>
      <c r="AO92" s="35"/>
      <c r="AP92" s="35"/>
    </row>
    <row r="93" spans="1:42" ht="3" customHeight="1">
      <c r="A93" s="65"/>
      <c r="B93" s="375"/>
      <c r="C93" s="285"/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285"/>
      <c r="S93" s="285"/>
      <c r="T93" s="285"/>
      <c r="U93" s="285"/>
      <c r="V93" s="285"/>
      <c r="W93" s="285"/>
      <c r="X93" s="285"/>
      <c r="Y93" s="285"/>
      <c r="Z93" s="285"/>
      <c r="AA93" s="284"/>
      <c r="AB93" s="285"/>
      <c r="AC93" s="773"/>
      <c r="AD93" s="1777"/>
      <c r="AE93" s="1777"/>
      <c r="AF93" s="1777"/>
      <c r="AG93" s="1777"/>
      <c r="AH93" s="1777"/>
      <c r="AI93" s="1777"/>
      <c r="AJ93" s="1777"/>
      <c r="AK93" s="1777"/>
      <c r="AL93" s="1777"/>
      <c r="AM93" s="1777"/>
      <c r="AN93" s="1778"/>
      <c r="AO93" s="16"/>
      <c r="AP93" s="16"/>
    </row>
    <row r="94" spans="1:42" ht="4.5" customHeight="1">
      <c r="A94" s="65"/>
      <c r="B94" s="374"/>
      <c r="C94" s="186"/>
      <c r="D94" s="64"/>
      <c r="E94" s="137"/>
      <c r="F94" s="137"/>
      <c r="G94" s="137"/>
      <c r="H94" s="137"/>
      <c r="I94" s="137"/>
      <c r="J94" s="137"/>
      <c r="K94" s="137"/>
      <c r="L94" s="137"/>
      <c r="M94" s="137"/>
      <c r="N94" s="137"/>
      <c r="O94" s="137"/>
      <c r="P94" s="137"/>
      <c r="Q94" s="137"/>
      <c r="R94" s="137"/>
      <c r="S94" s="137"/>
      <c r="T94" s="137"/>
      <c r="U94" s="137"/>
      <c r="V94" s="137"/>
      <c r="W94" s="137"/>
      <c r="X94" s="137"/>
      <c r="Y94" s="137"/>
      <c r="Z94" s="137"/>
      <c r="AA94" s="137"/>
      <c r="AB94" s="137"/>
      <c r="AC94" s="64"/>
      <c r="AD94" s="1796"/>
      <c r="AE94" s="1796"/>
      <c r="AF94" s="1796"/>
      <c r="AG94" s="1796"/>
      <c r="AH94" s="1796"/>
      <c r="AI94" s="1796"/>
      <c r="AJ94" s="1796"/>
      <c r="AK94" s="1777"/>
      <c r="AL94" s="1777"/>
      <c r="AM94" s="1777"/>
      <c r="AN94" s="1778"/>
      <c r="AO94" s="16"/>
      <c r="AP94" s="16"/>
    </row>
    <row r="95" spans="1:42" ht="21" customHeight="1">
      <c r="A95" s="65"/>
      <c r="B95" s="358">
        <v>4</v>
      </c>
      <c r="C95" s="186"/>
      <c r="D95" s="2574" t="s">
        <v>1014</v>
      </c>
      <c r="E95" s="2574"/>
      <c r="F95" s="2574"/>
      <c r="G95" s="2574"/>
      <c r="H95" s="2574"/>
      <c r="I95" s="2574"/>
      <c r="J95" s="2574"/>
      <c r="K95" s="2574"/>
      <c r="L95" s="2574"/>
      <c r="M95" s="2574"/>
      <c r="N95" s="2574"/>
      <c r="O95" s="2574"/>
      <c r="P95" s="2574"/>
      <c r="Q95" s="2574"/>
      <c r="R95" s="2574"/>
      <c r="S95" s="2574"/>
      <c r="T95" s="2574"/>
      <c r="U95" s="2574"/>
      <c r="V95" s="2574"/>
      <c r="W95" s="2574"/>
      <c r="X95" s="2574"/>
      <c r="Y95" s="2574"/>
      <c r="Z95" s="2574"/>
      <c r="AA95" s="2574"/>
      <c r="AB95" s="161"/>
      <c r="AC95" s="1603">
        <v>4</v>
      </c>
      <c r="AD95" s="2566">
        <f>AD54+AD81-AD92</f>
        <v>0</v>
      </c>
      <c r="AE95" s="2566"/>
      <c r="AF95" s="2566"/>
      <c r="AG95" s="2566"/>
      <c r="AH95" s="2566"/>
      <c r="AI95" s="2566"/>
      <c r="AJ95" s="2566"/>
      <c r="AK95" s="2566"/>
      <c r="AL95" s="2566"/>
      <c r="AM95" s="2566"/>
      <c r="AN95" s="2566"/>
      <c r="AO95" s="16"/>
      <c r="AP95" s="16"/>
    </row>
    <row r="96" spans="1:42" ht="3.75" customHeight="1">
      <c r="A96" s="160"/>
      <c r="B96" s="365"/>
      <c r="C96" s="257"/>
      <c r="D96" s="338"/>
      <c r="E96" s="338"/>
      <c r="F96" s="338"/>
      <c r="G96" s="338"/>
      <c r="H96" s="338"/>
      <c r="I96" s="338"/>
      <c r="J96" s="338"/>
      <c r="K96" s="338"/>
      <c r="L96" s="338"/>
      <c r="M96" s="338"/>
      <c r="N96" s="338"/>
      <c r="O96" s="338"/>
      <c r="P96" s="338"/>
      <c r="Q96" s="338"/>
      <c r="R96" s="338"/>
      <c r="S96" s="338"/>
      <c r="T96" s="338"/>
      <c r="U96" s="338"/>
      <c r="V96" s="338"/>
      <c r="W96" s="338"/>
      <c r="X96" s="338"/>
      <c r="Y96" s="338"/>
      <c r="Z96" s="338"/>
      <c r="AA96" s="338"/>
      <c r="AB96" s="338"/>
      <c r="AC96" s="338"/>
      <c r="AD96" s="338"/>
      <c r="AE96" s="338"/>
      <c r="AF96" s="338"/>
      <c r="AG96" s="338"/>
      <c r="AH96" s="338"/>
      <c r="AI96" s="338"/>
      <c r="AJ96" s="338"/>
      <c r="AK96" s="339"/>
      <c r="AL96" s="339"/>
      <c r="AM96" s="339"/>
      <c r="AN96" s="340"/>
      <c r="AO96" s="16"/>
      <c r="AP96" s="16"/>
    </row>
    <row r="97" spans="1:42" ht="6" customHeight="1">
      <c r="A97" s="160"/>
      <c r="B97" s="65"/>
      <c r="C97" s="65"/>
      <c r="D97" s="162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6"/>
      <c r="AL97" s="16"/>
      <c r="AM97" s="16"/>
      <c r="AN97" s="16"/>
      <c r="AO97" s="16"/>
      <c r="AP97" s="16"/>
    </row>
    <row r="98" spans="1:42" ht="9.75" customHeight="1">
      <c r="A98" s="160"/>
      <c r="B98" s="380"/>
      <c r="C98" s="9"/>
      <c r="D98" s="62"/>
      <c r="E98" s="62"/>
      <c r="F98" s="162"/>
      <c r="G98" s="162"/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8" t="s">
        <v>1013</v>
      </c>
      <c r="AA98" s="8"/>
      <c r="AB98" s="8"/>
      <c r="AC98" s="8"/>
      <c r="AD98" s="8"/>
      <c r="AE98" s="8"/>
      <c r="AF98" s="8"/>
      <c r="AG98" s="8"/>
      <c r="AH98" s="8"/>
      <c r="AI98" s="8"/>
      <c r="AJ98" s="8"/>
      <c r="AK98" s="8"/>
      <c r="AL98" s="8"/>
      <c r="AN98" s="16"/>
      <c r="AO98" s="16"/>
      <c r="AP98" s="16"/>
    </row>
    <row r="99" spans="1:42" ht="6" customHeight="1">
      <c r="A99" s="160"/>
      <c r="B99" s="65"/>
      <c r="C99" s="65"/>
      <c r="D99" s="162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6"/>
      <c r="AL99" s="16"/>
      <c r="AM99" s="16"/>
      <c r="AN99" s="16"/>
      <c r="AO99" s="16"/>
      <c r="AP99" s="16"/>
    </row>
    <row r="100" spans="1:42" ht="12.75" customHeight="1">
      <c r="A100" s="163"/>
      <c r="B100" s="64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65"/>
      <c r="W100" s="65"/>
      <c r="X100" s="65"/>
      <c r="Y100" s="65"/>
      <c r="Z100" s="65"/>
      <c r="AA100" s="65"/>
      <c r="AB100" s="65"/>
      <c r="AC100" s="65"/>
      <c r="AD100" s="65"/>
      <c r="AE100" s="65"/>
      <c r="AF100" s="65"/>
      <c r="AG100" s="65"/>
      <c r="AH100" s="65"/>
      <c r="AI100" s="65"/>
      <c r="AJ100" s="65"/>
      <c r="AK100" s="65"/>
      <c r="AL100" s="65"/>
      <c r="AM100" s="65"/>
      <c r="AN100" s="163"/>
      <c r="AP100" s="164"/>
    </row>
    <row r="101" spans="1:42" ht="12" customHeight="1"/>
    <row r="102" spans="1:42" ht="11.25" customHeight="1">
      <c r="D102" s="2576"/>
      <c r="E102" s="2576"/>
      <c r="F102" s="2576"/>
      <c r="G102" s="2576"/>
      <c r="H102" s="2576"/>
      <c r="AA102" s="381"/>
    </row>
    <row r="103" spans="1:42" ht="12" customHeight="1">
      <c r="D103" s="2576"/>
      <c r="E103" s="2576"/>
      <c r="F103" s="2576"/>
      <c r="G103" s="2576"/>
      <c r="H103" s="2576"/>
    </row>
    <row r="104" spans="1:42" ht="12.75" customHeight="1"/>
    <row r="105" spans="1:42" ht="12.75" customHeight="1"/>
    <row r="106" spans="1:42" ht="8.25" customHeight="1"/>
    <row r="107" spans="1:42" ht="12.75" customHeight="1"/>
    <row r="108" spans="1:42" ht="15" customHeight="1"/>
    <row r="109" spans="1:42" ht="15" customHeight="1"/>
    <row r="110" spans="1:42" ht="15" customHeight="1"/>
    <row r="111" spans="1:42" ht="15" customHeight="1"/>
    <row r="112" spans="1:4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20.25" customHeight="1"/>
    <row r="317" ht="20.25" customHeight="1"/>
    <row r="318" ht="20.25" customHeight="1"/>
    <row r="319" ht="20.25" customHeight="1"/>
    <row r="320" ht="20.25" customHeight="1"/>
    <row r="321" ht="20.25" customHeight="1"/>
    <row r="322" ht="20.25" customHeight="1"/>
    <row r="323" ht="20.25" customHeight="1"/>
    <row r="324" ht="20.25" customHeight="1"/>
    <row r="325" ht="20.25" customHeight="1"/>
    <row r="326" ht="20.25" customHeight="1"/>
    <row r="327" ht="20.25" customHeight="1"/>
    <row r="328" ht="20.25" customHeight="1"/>
    <row r="329" ht="20.25" customHeight="1"/>
    <row r="330" ht="20.25" customHeight="1"/>
    <row r="331" ht="20.25" customHeight="1"/>
    <row r="332" ht="20.25" customHeight="1"/>
    <row r="333" ht="20.25" customHeight="1"/>
    <row r="334" ht="20.25" customHeight="1"/>
    <row r="335" ht="20.25" customHeight="1"/>
    <row r="336" ht="20.25" customHeight="1"/>
    <row r="337" ht="20.25" customHeight="1"/>
    <row r="338" ht="20.25" customHeight="1"/>
    <row r="339" ht="20.25" customHeight="1"/>
    <row r="340" ht="20.25" customHeight="1"/>
    <row r="341" ht="20.25" customHeight="1"/>
    <row r="342" ht="20.25" customHeight="1"/>
    <row r="343" ht="20.25" customHeight="1"/>
    <row r="344" ht="20.25" customHeight="1"/>
    <row r="345" ht="20.25" customHeight="1"/>
    <row r="346" ht="20.25" customHeight="1"/>
    <row r="347" ht="20.25" customHeight="1"/>
    <row r="348" ht="20.25" customHeight="1"/>
    <row r="349" ht="20.25" customHeight="1"/>
    <row r="350" ht="20.25" customHeight="1"/>
    <row r="351" ht="20.25" customHeight="1"/>
    <row r="352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20.25" customHeight="1"/>
    <row r="360" ht="20.25" customHeight="1"/>
    <row r="361" ht="20.25" customHeight="1"/>
    <row r="362" ht="20.25" customHeight="1"/>
    <row r="363" ht="20.25" customHeight="1"/>
    <row r="364" ht="20.25" customHeight="1"/>
    <row r="365" ht="20.25" customHeight="1"/>
    <row r="366" ht="20.25" customHeight="1"/>
    <row r="367" ht="20.25" customHeight="1"/>
    <row r="368" ht="20.25" customHeight="1"/>
    <row r="369" ht="20.25" customHeight="1"/>
    <row r="370" ht="20.25" customHeight="1"/>
    <row r="371" ht="20.25" customHeight="1"/>
    <row r="372" ht="20.25" customHeight="1"/>
    <row r="373" ht="20.25" customHeight="1"/>
    <row r="374" ht="20.25" customHeight="1"/>
    <row r="375" ht="20.25" customHeight="1"/>
    <row r="376" ht="20.25" customHeight="1"/>
    <row r="377" ht="20.25" customHeight="1"/>
    <row r="378" ht="20.25" customHeight="1"/>
    <row r="379" ht="20.25" customHeight="1"/>
    <row r="380" ht="20.25" customHeight="1"/>
    <row r="381" ht="20.25" customHeight="1"/>
    <row r="382" ht="20.25" customHeight="1"/>
    <row r="383" ht="20.25" customHeight="1"/>
    <row r="384" ht="20.25" customHeight="1"/>
    <row r="385" ht="20.25" customHeight="1"/>
    <row r="386" ht="20.25" customHeight="1"/>
    <row r="387" ht="20.25" customHeight="1"/>
    <row r="388" ht="20.25" customHeight="1"/>
    <row r="389" ht="20.25" customHeight="1"/>
    <row r="390" ht="20.25" customHeight="1"/>
    <row r="391" ht="20.25" customHeight="1"/>
    <row r="392" ht="20.25" customHeight="1"/>
    <row r="393" ht="20.25" customHeight="1"/>
    <row r="394" ht="20.25" customHeight="1"/>
    <row r="395" ht="20.25" customHeight="1"/>
    <row r="396" ht="20.25" customHeight="1"/>
    <row r="397" ht="20.25" customHeight="1"/>
    <row r="398" ht="20.25" customHeight="1"/>
    <row r="399" ht="20.25" customHeight="1"/>
    <row r="400" ht="20.25" customHeight="1"/>
    <row r="401" ht="20.25" customHeight="1"/>
    <row r="402" ht="20.25" customHeight="1"/>
    <row r="403" ht="20.25" customHeight="1"/>
    <row r="404" ht="20.25" customHeight="1"/>
    <row r="405" ht="20.25" customHeight="1"/>
    <row r="406" ht="20.25" customHeight="1"/>
    <row r="407" ht="20.25" customHeight="1"/>
    <row r="408" ht="20.25" customHeight="1"/>
    <row r="409" ht="20.25" customHeight="1"/>
    <row r="410" ht="20.25" customHeight="1"/>
    <row r="411" ht="20.25" customHeight="1"/>
    <row r="412" ht="20.25" customHeight="1"/>
    <row r="413" ht="20.25" customHeight="1"/>
    <row r="414" ht="20.25" customHeight="1"/>
    <row r="415" ht="20.25" customHeight="1"/>
    <row r="416" ht="20.25" customHeight="1"/>
    <row r="417" ht="20.25" customHeight="1"/>
    <row r="418" ht="20.25" customHeight="1"/>
    <row r="419" ht="20.25" customHeight="1"/>
    <row r="420" ht="20.25" customHeight="1"/>
    <row r="421" ht="20.25" customHeight="1"/>
    <row r="422" ht="20.25" customHeight="1"/>
    <row r="423" ht="20.25" customHeight="1"/>
    <row r="424" ht="20.25" customHeight="1"/>
    <row r="425" ht="20.25" customHeight="1"/>
    <row r="426" ht="20.25" customHeight="1"/>
    <row r="427" ht="20.25" customHeight="1"/>
    <row r="428" ht="20.25" customHeight="1"/>
    <row r="429" ht="20.25" customHeight="1"/>
    <row r="430" ht="20.25" customHeight="1"/>
    <row r="431" ht="20.25" customHeight="1"/>
    <row r="432" ht="20.25" customHeight="1"/>
    <row r="433" ht="20.25" customHeight="1"/>
    <row r="434" ht="20.25" customHeight="1"/>
    <row r="435" ht="20.25" customHeight="1"/>
    <row r="436" ht="20.25" customHeight="1"/>
    <row r="437" ht="20.25" customHeight="1"/>
    <row r="438" ht="20.25" customHeight="1"/>
    <row r="439" ht="20.25" customHeight="1"/>
    <row r="440" ht="20.25" customHeight="1"/>
    <row r="441" ht="20.25" customHeight="1"/>
    <row r="442" ht="20.25" customHeight="1"/>
    <row r="443" ht="20.25" customHeight="1"/>
    <row r="444" ht="20.25" customHeight="1"/>
    <row r="445" ht="20.25" customHeight="1"/>
    <row r="446" ht="20.25" customHeight="1"/>
    <row r="447" ht="20.25" customHeight="1"/>
    <row r="448" ht="20.25" customHeight="1"/>
    <row r="449" ht="20.25" customHeight="1"/>
    <row r="450" ht="20.25" customHeight="1"/>
    <row r="451" ht="20.25" customHeight="1"/>
    <row r="452" ht="20.25" customHeight="1"/>
    <row r="453" ht="20.25" customHeight="1"/>
    <row r="454" ht="20.25" customHeight="1"/>
    <row r="455" ht="20.25" customHeight="1"/>
    <row r="456" ht="20.25" customHeight="1"/>
    <row r="457" ht="20.25" customHeight="1"/>
    <row r="458" ht="20.25" customHeight="1"/>
    <row r="459" ht="20.25" customHeight="1"/>
    <row r="460" ht="20.25" customHeight="1"/>
    <row r="461" ht="20.25" customHeight="1"/>
    <row r="462" ht="20.25" customHeight="1"/>
    <row r="463" ht="20.25" customHeight="1"/>
    <row r="464" ht="20.25" customHeight="1"/>
    <row r="465" ht="20.25" customHeight="1"/>
    <row r="466" ht="20.25" customHeight="1"/>
    <row r="467" ht="20.25" customHeight="1"/>
    <row r="468" ht="20.25" customHeight="1"/>
    <row r="469" ht="20.25" customHeight="1"/>
  </sheetData>
  <mergeCells count="83">
    <mergeCell ref="AD95:AN95"/>
    <mergeCell ref="D102:H103"/>
    <mergeCell ref="E88:AA88"/>
    <mergeCell ref="AD88:AN88"/>
    <mergeCell ref="E90:AA90"/>
    <mergeCell ref="AD90:AN90"/>
    <mergeCell ref="E92:AA92"/>
    <mergeCell ref="AD92:AN92"/>
    <mergeCell ref="B11:E11"/>
    <mergeCell ref="G11:Q11"/>
    <mergeCell ref="B29:M29"/>
    <mergeCell ref="B35:M35"/>
    <mergeCell ref="D95:AA95"/>
    <mergeCell ref="E81:AA81"/>
    <mergeCell ref="B84:B85"/>
    <mergeCell ref="D84:W85"/>
    <mergeCell ref="E86:AA86"/>
    <mergeCell ref="B23:M23"/>
    <mergeCell ref="U23:X23"/>
    <mergeCell ref="B31:M31"/>
    <mergeCell ref="B39:M39"/>
    <mergeCell ref="B27:M27"/>
    <mergeCell ref="E69:AA69"/>
    <mergeCell ref="E63:AA63"/>
    <mergeCell ref="AD86:AN86"/>
    <mergeCell ref="E75:AA75"/>
    <mergeCell ref="AD75:AN75"/>
    <mergeCell ref="E77:AA77"/>
    <mergeCell ref="AD77:AN77"/>
    <mergeCell ref="E79:AA79"/>
    <mergeCell ref="AD79:AN79"/>
    <mergeCell ref="AD81:AN82"/>
    <mergeCell ref="AD69:AN69"/>
    <mergeCell ref="E71:AA71"/>
    <mergeCell ref="AD71:AN71"/>
    <mergeCell ref="E73:AA73"/>
    <mergeCell ref="AD73:AN73"/>
    <mergeCell ref="AD63:AN63"/>
    <mergeCell ref="E65:AA65"/>
    <mergeCell ref="AD65:AN65"/>
    <mergeCell ref="E67:AA67"/>
    <mergeCell ref="AD67:AN67"/>
    <mergeCell ref="E61:AA61"/>
    <mergeCell ref="AD61:AN61"/>
    <mergeCell ref="E48:AA48"/>
    <mergeCell ref="AD48:AN48"/>
    <mergeCell ref="E50:AB50"/>
    <mergeCell ref="AD50:AN50"/>
    <mergeCell ref="E52:AA52"/>
    <mergeCell ref="AD52:AN52"/>
    <mergeCell ref="E54:AA54"/>
    <mergeCell ref="AD54:AN54"/>
    <mergeCell ref="D58:Z58"/>
    <mergeCell ref="E59:AA59"/>
    <mergeCell ref="AD59:AN59"/>
    <mergeCell ref="AC41:AN41"/>
    <mergeCell ref="AC42:AN44"/>
    <mergeCell ref="B44:B45"/>
    <mergeCell ref="D44:Y45"/>
    <mergeCell ref="E46:AA46"/>
    <mergeCell ref="AD46:AN46"/>
    <mergeCell ref="AD11:AG11"/>
    <mergeCell ref="AI11:AN11"/>
    <mergeCell ref="B19:E19"/>
    <mergeCell ref="G20:Y20"/>
    <mergeCell ref="AJ3:AK4"/>
    <mergeCell ref="AL3:AM4"/>
    <mergeCell ref="D4:H6"/>
    <mergeCell ref="I4:AD5"/>
    <mergeCell ref="J6:AD9"/>
    <mergeCell ref="B7:H7"/>
    <mergeCell ref="AF7:AG7"/>
    <mergeCell ref="AH7:AI7"/>
    <mergeCell ref="AK7:AL7"/>
    <mergeCell ref="AM7:AN7"/>
    <mergeCell ref="B3:C6"/>
    <mergeCell ref="D3:H3"/>
    <mergeCell ref="J3:AD3"/>
    <mergeCell ref="AE3:AE9"/>
    <mergeCell ref="AF3:AG4"/>
    <mergeCell ref="AH3:AI4"/>
    <mergeCell ref="B8:H8"/>
    <mergeCell ref="B9:H9"/>
  </mergeCells>
  <printOptions horizontalCentered="1"/>
  <pageMargins left="0.11811023622047245" right="0.11811023622047245" top="0.39370078740157483" bottom="0.19685039370078741" header="7.874015748031496E-2" footer="7.874015748031496E-2"/>
  <pageSetup paperSize="5" scale="75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9" tint="0.39997558519241921"/>
  </sheetPr>
  <dimension ref="A1:BD408"/>
  <sheetViews>
    <sheetView showGridLines="0" view="pageBreakPreview" topLeftCell="A43" workbookViewId="0">
      <selection activeCell="R26" sqref="R26:U26"/>
    </sheetView>
  </sheetViews>
  <sheetFormatPr defaultColWidth="9.140625" defaultRowHeight="12.75"/>
  <cols>
    <col min="1" max="1" width="2.85546875" style="64" customWidth="1"/>
    <col min="2" max="2" width="3.85546875" style="102" customWidth="1"/>
    <col min="3" max="3" width="5.140625" style="102" customWidth="1"/>
    <col min="4" max="4" width="3.28515625" style="102" customWidth="1"/>
    <col min="5" max="5" width="3.5703125" style="102" customWidth="1"/>
    <col min="6" max="6" width="3" style="102" customWidth="1"/>
    <col min="7" max="7" width="2.85546875" style="102" customWidth="1"/>
    <col min="8" max="8" width="5.42578125" style="102" customWidth="1"/>
    <col min="9" max="9" width="1.5703125" style="102" customWidth="1"/>
    <col min="10" max="10" width="1.140625" style="102" customWidth="1"/>
    <col min="11" max="11" width="1" style="102" customWidth="1"/>
    <col min="12" max="33" width="3.7109375" style="102" customWidth="1"/>
    <col min="34" max="34" width="4.85546875" style="102" customWidth="1"/>
    <col min="35" max="38" width="3.7109375" style="102" customWidth="1"/>
    <col min="39" max="39" width="4.28515625" style="102" customWidth="1"/>
    <col min="40" max="40" width="1" style="102" customWidth="1"/>
    <col min="41" max="41" width="1.85546875" style="102" customWidth="1"/>
    <col min="42" max="94" width="2.85546875" style="102" customWidth="1"/>
    <col min="95" max="188" width="3.85546875" style="102" customWidth="1"/>
    <col min="189" max="16384" width="9.140625" style="102"/>
  </cols>
  <sheetData>
    <row r="1" spans="1:39" ht="12.75" customHeight="1">
      <c r="A1" s="103"/>
      <c r="B1" s="10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64"/>
      <c r="AM1" s="165"/>
    </row>
    <row r="2" spans="1:39" ht="5.25" customHeight="1">
      <c r="A2" s="106"/>
      <c r="B2" s="10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64"/>
      <c r="AM2" s="104"/>
    </row>
    <row r="3" spans="1:39" ht="15" customHeight="1">
      <c r="B3" s="2596" t="s">
        <v>758</v>
      </c>
      <c r="C3" s="2597" t="s">
        <v>147</v>
      </c>
      <c r="D3" s="2597"/>
      <c r="E3" s="2597"/>
      <c r="F3" s="2597"/>
      <c r="G3" s="2597"/>
      <c r="H3" s="2598"/>
      <c r="I3" s="2599" t="s">
        <v>1115</v>
      </c>
      <c r="J3" s="2600"/>
      <c r="K3" s="2600"/>
      <c r="L3" s="2600"/>
      <c r="M3" s="2600"/>
      <c r="N3" s="2600"/>
      <c r="O3" s="2600"/>
      <c r="P3" s="2600"/>
      <c r="Q3" s="2600"/>
      <c r="R3" s="2600"/>
      <c r="S3" s="2600"/>
      <c r="T3" s="2600"/>
      <c r="U3" s="2600"/>
      <c r="V3" s="2600"/>
      <c r="W3" s="2600"/>
      <c r="X3" s="2600"/>
      <c r="Y3" s="2600"/>
      <c r="Z3" s="2600"/>
      <c r="AA3" s="2600"/>
      <c r="AB3" s="2600"/>
      <c r="AC3" s="2601"/>
      <c r="AD3" s="2602" t="s">
        <v>762</v>
      </c>
      <c r="AE3" s="2507">
        <f>'FE-1770-I-hal 2'!AD3</f>
        <v>0</v>
      </c>
      <c r="AF3" s="2507"/>
      <c r="AG3" s="2507">
        <f>'FE-1770-I-hal 2'!AF3</f>
        <v>0</v>
      </c>
      <c r="AH3" s="2507"/>
      <c r="AI3" s="2507">
        <f>'FE-1770-I-hal 2'!AH3</f>
        <v>0</v>
      </c>
      <c r="AJ3" s="2507"/>
      <c r="AK3" s="2507">
        <f>'FE-1770-I-hal 2'!AJ3</f>
        <v>0</v>
      </c>
      <c r="AL3" s="2507"/>
      <c r="AM3" s="408"/>
    </row>
    <row r="4" spans="1:39" ht="13.5" customHeight="1">
      <c r="B4" s="2596"/>
      <c r="C4" s="2597"/>
      <c r="D4" s="2597"/>
      <c r="E4" s="2597"/>
      <c r="F4" s="2597"/>
      <c r="G4" s="2597"/>
      <c r="H4" s="2598"/>
      <c r="I4" s="2585" t="s">
        <v>1071</v>
      </c>
      <c r="J4" s="2586"/>
      <c r="K4" s="2586"/>
      <c r="L4" s="2586"/>
      <c r="M4" s="2586"/>
      <c r="N4" s="2586"/>
      <c r="O4" s="2586"/>
      <c r="P4" s="2586"/>
      <c r="Q4" s="2586"/>
      <c r="R4" s="2586"/>
      <c r="S4" s="2586"/>
      <c r="T4" s="2586"/>
      <c r="U4" s="2586"/>
      <c r="V4" s="2586"/>
      <c r="W4" s="2586"/>
      <c r="X4" s="2586"/>
      <c r="Y4" s="2586"/>
      <c r="Z4" s="2586"/>
      <c r="AA4" s="2586"/>
      <c r="AB4" s="2586"/>
      <c r="AC4" s="2587"/>
      <c r="AD4" s="2602"/>
      <c r="AE4" s="2507"/>
      <c r="AF4" s="2507"/>
      <c r="AG4" s="2507"/>
      <c r="AH4" s="2507"/>
      <c r="AI4" s="2507"/>
      <c r="AJ4" s="2507"/>
      <c r="AK4" s="2507"/>
      <c r="AL4" s="2507"/>
      <c r="AM4" s="408"/>
    </row>
    <row r="5" spans="1:39" ht="13.5" customHeight="1" thickBot="1">
      <c r="B5" s="2596"/>
      <c r="C5" s="2597"/>
      <c r="D5" s="2597"/>
      <c r="E5" s="2597"/>
      <c r="F5" s="2597"/>
      <c r="G5" s="2597"/>
      <c r="H5" s="2598"/>
      <c r="I5" s="2588"/>
      <c r="J5" s="2589"/>
      <c r="K5" s="2589"/>
      <c r="L5" s="2589"/>
      <c r="M5" s="2589"/>
      <c r="N5" s="2589"/>
      <c r="O5" s="2589"/>
      <c r="P5" s="2589"/>
      <c r="Q5" s="2589"/>
      <c r="R5" s="2589"/>
      <c r="S5" s="2589"/>
      <c r="T5" s="2589"/>
      <c r="U5" s="2589"/>
      <c r="V5" s="2589"/>
      <c r="W5" s="2589"/>
      <c r="X5" s="2589"/>
      <c r="Y5" s="2589"/>
      <c r="Z5" s="2589"/>
      <c r="AA5" s="2589"/>
      <c r="AB5" s="2589"/>
      <c r="AC5" s="2590"/>
      <c r="AD5" s="2602"/>
      <c r="AE5" s="483"/>
      <c r="AF5" s="483"/>
      <c r="AG5" s="483"/>
      <c r="AH5" s="483"/>
      <c r="AI5" s="408"/>
      <c r="AJ5" s="408"/>
      <c r="AK5" s="408"/>
      <c r="AL5" s="408"/>
      <c r="AM5" s="408"/>
    </row>
    <row r="6" spans="1:39" ht="20.25" customHeight="1">
      <c r="B6" s="2596"/>
      <c r="C6" s="2597"/>
      <c r="D6" s="2597"/>
      <c r="E6" s="2597"/>
      <c r="F6" s="2597"/>
      <c r="G6" s="2597"/>
      <c r="H6" s="2598"/>
      <c r="I6" s="484"/>
      <c r="J6" s="23"/>
      <c r="K6" s="485"/>
      <c r="L6" s="2548" t="s">
        <v>1116</v>
      </c>
      <c r="M6" s="2548"/>
      <c r="N6" s="2548"/>
      <c r="O6" s="2548"/>
      <c r="P6" s="2548"/>
      <c r="Q6" s="2548"/>
      <c r="R6" s="2548"/>
      <c r="S6" s="2548"/>
      <c r="T6" s="2548"/>
      <c r="U6" s="2548"/>
      <c r="V6" s="2548"/>
      <c r="W6" s="2548"/>
      <c r="X6" s="2548"/>
      <c r="Y6" s="2548"/>
      <c r="Z6" s="2548"/>
      <c r="AA6" s="2548"/>
      <c r="AB6" s="2548"/>
      <c r="AC6" s="486"/>
      <c r="AD6" s="2602"/>
      <c r="AE6" s="1698" t="str">
        <f>'FE-1770-I-hal 2'!AD7</f>
        <v>0</v>
      </c>
      <c r="AF6" s="1698" t="str">
        <f>'FE-1770-I-hal 2'!AE7</f>
        <v>1</v>
      </c>
      <c r="AG6" s="1698" t="str">
        <f>'FE-1770-I-hal 2'!AF7</f>
        <v>0</v>
      </c>
      <c r="AH6" s="1698" t="str">
        <f>'FE-1770-I-hal 2'!AG7</f>
        <v>0</v>
      </c>
      <c r="AI6" s="748" t="s">
        <v>999</v>
      </c>
      <c r="AJ6" s="1698" t="str">
        <f>'FE-1770-I-hal 2'!AI7</f>
        <v>0</v>
      </c>
      <c r="AK6" s="1698" t="str">
        <f>'FE-1770-I-hal 2'!AJ7</f>
        <v>1</v>
      </c>
      <c r="AL6" s="1698" t="str">
        <f>'FE-1770-I-hal 2'!AK7</f>
        <v>0</v>
      </c>
      <c r="AM6" s="1698" t="str">
        <f>'FE-1770-I-hal 2'!AL7</f>
        <v>0</v>
      </c>
    </row>
    <row r="7" spans="1:39" ht="4.5" customHeight="1">
      <c r="B7" s="2596"/>
      <c r="C7" s="487"/>
      <c r="D7" s="487"/>
      <c r="E7" s="487"/>
      <c r="F7" s="487"/>
      <c r="G7" s="487"/>
      <c r="H7" s="488"/>
      <c r="I7" s="489"/>
      <c r="J7" s="490"/>
      <c r="K7" s="490"/>
      <c r="L7" s="2550"/>
      <c r="M7" s="2550"/>
      <c r="N7" s="2550"/>
      <c r="O7" s="2550"/>
      <c r="P7" s="2550"/>
      <c r="Q7" s="2550"/>
      <c r="R7" s="2550"/>
      <c r="S7" s="2550"/>
      <c r="T7" s="2550"/>
      <c r="U7" s="2550"/>
      <c r="V7" s="2550"/>
      <c r="W7" s="2550"/>
      <c r="X7" s="2550"/>
      <c r="Y7" s="2550"/>
      <c r="Z7" s="2550"/>
      <c r="AA7" s="2550"/>
      <c r="AB7" s="2550"/>
      <c r="AC7" s="491"/>
      <c r="AD7" s="2602"/>
      <c r="AE7" s="492"/>
      <c r="AF7" s="492"/>
      <c r="AG7" s="493"/>
      <c r="AH7" s="494"/>
      <c r="AI7" s="495"/>
      <c r="AJ7" s="493"/>
      <c r="AK7" s="494"/>
      <c r="AL7" s="493"/>
      <c r="AM7" s="494"/>
    </row>
    <row r="8" spans="1:39" ht="12.75" customHeight="1">
      <c r="B8" s="2500" t="s">
        <v>759</v>
      </c>
      <c r="C8" s="2500"/>
      <c r="D8" s="2500"/>
      <c r="E8" s="2500"/>
      <c r="F8" s="2500"/>
      <c r="G8" s="2500"/>
      <c r="H8" s="2501"/>
      <c r="I8" s="489"/>
      <c r="J8" s="490"/>
      <c r="K8" s="490"/>
      <c r="L8" s="2550"/>
      <c r="M8" s="2550"/>
      <c r="N8" s="2550"/>
      <c r="O8" s="2550"/>
      <c r="P8" s="2550"/>
      <c r="Q8" s="2550"/>
      <c r="R8" s="2550"/>
      <c r="S8" s="2550"/>
      <c r="T8" s="2550"/>
      <c r="U8" s="2550"/>
      <c r="V8" s="2550"/>
      <c r="W8" s="2550"/>
      <c r="X8" s="2550"/>
      <c r="Y8" s="2550"/>
      <c r="Z8" s="2550"/>
      <c r="AA8" s="2550"/>
      <c r="AB8" s="2550"/>
      <c r="AC8" s="491"/>
      <c r="AD8" s="2602"/>
      <c r="AE8" s="2591" t="s">
        <v>764</v>
      </c>
      <c r="AF8" s="2591"/>
      <c r="AG8" s="2592" t="s">
        <v>763</v>
      </c>
      <c r="AH8" s="2593"/>
      <c r="AI8" s="496"/>
      <c r="AJ8" s="2592" t="s">
        <v>764</v>
      </c>
      <c r="AK8" s="2593"/>
      <c r="AL8" s="2592" t="s">
        <v>763</v>
      </c>
      <c r="AM8" s="2593"/>
    </row>
    <row r="9" spans="1:39" ht="18" customHeight="1">
      <c r="B9" s="2594" t="s">
        <v>1073</v>
      </c>
      <c r="C9" s="2594"/>
      <c r="D9" s="2594"/>
      <c r="E9" s="2594"/>
      <c r="F9" s="2594"/>
      <c r="G9" s="2594"/>
      <c r="H9" s="2595"/>
      <c r="I9" s="489"/>
      <c r="J9" s="490"/>
      <c r="K9" s="490"/>
      <c r="L9" s="2550"/>
      <c r="M9" s="2550"/>
      <c r="N9" s="2550"/>
      <c r="O9" s="2550"/>
      <c r="P9" s="2550"/>
      <c r="Q9" s="2550"/>
      <c r="R9" s="2550"/>
      <c r="S9" s="2550"/>
      <c r="T9" s="2550"/>
      <c r="U9" s="2550"/>
      <c r="V9" s="2550"/>
      <c r="W9" s="2550"/>
      <c r="X9" s="2550"/>
      <c r="Y9" s="2550"/>
      <c r="Z9" s="2550"/>
      <c r="AA9" s="2550"/>
      <c r="AB9" s="2550"/>
      <c r="AC9" s="491"/>
      <c r="AD9" s="2602"/>
      <c r="AE9" s="792" t="str">
        <f>IF('FE-1770-I-hal 2'!AD9="x","x","")</f>
        <v/>
      </c>
      <c r="AF9" s="385" t="s">
        <v>1025</v>
      </c>
      <c r="AG9" s="446"/>
      <c r="AH9" s="745"/>
      <c r="AI9" s="1620" t="str">
        <f>IF('FE-1770-I-hal 2'!AH9="x","x","")</f>
        <v/>
      </c>
      <c r="AJ9" s="167" t="s">
        <v>1029</v>
      </c>
      <c r="AK9" s="498"/>
      <c r="AL9" s="446"/>
      <c r="AM9" s="446"/>
    </row>
    <row r="10" spans="1:39" ht="3.75" customHeight="1" thickBot="1">
      <c r="B10" s="499"/>
      <c r="C10" s="500"/>
      <c r="D10" s="501"/>
      <c r="E10" s="501"/>
      <c r="F10" s="501"/>
      <c r="G10" s="502"/>
      <c r="H10" s="503"/>
      <c r="I10" s="504"/>
      <c r="J10" s="505"/>
      <c r="K10" s="505"/>
      <c r="L10" s="505"/>
      <c r="M10" s="505"/>
      <c r="N10" s="505"/>
      <c r="O10" s="505"/>
      <c r="P10" s="505"/>
      <c r="Q10" s="505"/>
      <c r="R10" s="505"/>
      <c r="S10" s="505"/>
      <c r="T10" s="505"/>
      <c r="U10" s="505"/>
      <c r="V10" s="505"/>
      <c r="W10" s="505"/>
      <c r="X10" s="505"/>
      <c r="Y10" s="505"/>
      <c r="Z10" s="505"/>
      <c r="AA10" s="505"/>
      <c r="AB10" s="505"/>
      <c r="AC10" s="506"/>
      <c r="AD10" s="507"/>
      <c r="AE10" s="500"/>
      <c r="AF10" s="500"/>
      <c r="AG10" s="500"/>
      <c r="AH10" s="500"/>
      <c r="AI10" s="508"/>
      <c r="AJ10" s="500"/>
      <c r="AK10" s="500"/>
      <c r="AL10" s="500"/>
      <c r="AM10" s="500"/>
    </row>
    <row r="11" spans="1:39" ht="2.25" customHeight="1">
      <c r="B11" s="419"/>
      <c r="C11" s="106"/>
      <c r="D11" s="408"/>
      <c r="E11" s="408"/>
      <c r="F11" s="408"/>
      <c r="G11" s="777"/>
      <c r="H11" s="509"/>
      <c r="I11" s="759"/>
      <c r="J11" s="759"/>
      <c r="K11" s="759"/>
      <c r="L11" s="759"/>
      <c r="M11" s="759"/>
      <c r="N11" s="759"/>
      <c r="O11" s="759"/>
      <c r="P11" s="759"/>
      <c r="Q11" s="759"/>
      <c r="R11" s="759"/>
      <c r="S11" s="759"/>
      <c r="T11" s="759"/>
      <c r="U11" s="759"/>
      <c r="V11" s="759"/>
      <c r="W11" s="759"/>
      <c r="X11" s="759"/>
      <c r="Y11" s="759"/>
      <c r="Z11" s="759"/>
      <c r="AA11" s="759"/>
      <c r="AB11" s="759"/>
      <c r="AC11" s="759"/>
      <c r="AD11" s="419"/>
      <c r="AE11" s="106"/>
      <c r="AF11" s="106"/>
      <c r="AG11" s="106"/>
      <c r="AH11" s="106"/>
      <c r="AI11" s="420"/>
      <c r="AJ11" s="106"/>
      <c r="AK11" s="106"/>
      <c r="AL11" s="106"/>
      <c r="AM11" s="106"/>
    </row>
    <row r="12" spans="1:39" s="30" customFormat="1" ht="18" customHeight="1">
      <c r="A12" s="29"/>
      <c r="B12" s="1240" t="s">
        <v>1075</v>
      </c>
      <c r="C12" s="752"/>
      <c r="D12" s="777" t="s">
        <v>6</v>
      </c>
      <c r="E12" s="2381" t="s">
        <v>824</v>
      </c>
      <c r="F12" s="2381"/>
      <c r="G12" s="2381"/>
      <c r="H12" s="2381"/>
      <c r="I12" s="2381"/>
      <c r="J12" s="2381"/>
      <c r="K12" s="2381"/>
      <c r="L12" s="2381"/>
      <c r="M12" s="2381"/>
      <c r="N12" s="2381"/>
      <c r="O12" s="2381"/>
      <c r="P12" s="777" t="s">
        <v>6</v>
      </c>
      <c r="Q12" s="91" t="s">
        <v>1117</v>
      </c>
      <c r="S12" s="437"/>
      <c r="T12" s="437"/>
      <c r="U12" s="437"/>
      <c r="V12" s="437"/>
      <c r="W12" s="437"/>
      <c r="X12" s="437"/>
      <c r="Y12" s="437"/>
      <c r="Z12" s="437"/>
      <c r="AA12" s="777" t="s">
        <v>6</v>
      </c>
      <c r="AB12" s="2503" t="s">
        <v>1119</v>
      </c>
      <c r="AC12" s="2503"/>
      <c r="AD12" s="2503"/>
      <c r="AE12" s="2611"/>
      <c r="AF12" s="34"/>
      <c r="AG12" s="2505" t="s">
        <v>826</v>
      </c>
      <c r="AH12" s="2503"/>
      <c r="AI12" s="2503"/>
      <c r="AJ12" s="2503"/>
      <c r="AK12" s="2503"/>
      <c r="AL12" s="436"/>
      <c r="AM12" s="436"/>
    </row>
    <row r="13" spans="1:39" ht="2.25" customHeight="1" thickBot="1">
      <c r="B13" s="64"/>
      <c r="D13" s="749"/>
      <c r="E13" s="749"/>
      <c r="F13" s="749"/>
      <c r="G13" s="749"/>
      <c r="H13" s="749"/>
      <c r="I13" s="749"/>
      <c r="J13" s="64"/>
      <c r="K13" s="64"/>
      <c r="L13" s="64"/>
      <c r="M13" s="64"/>
      <c r="N13" s="64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6"/>
      <c r="AA13" s="118"/>
      <c r="AB13" s="118"/>
      <c r="AC13" s="64"/>
      <c r="AD13" s="17"/>
      <c r="AE13" s="37"/>
      <c r="AF13" s="10"/>
      <c r="AG13" s="10"/>
      <c r="AH13" s="10"/>
      <c r="AI13" s="10"/>
      <c r="AJ13" s="33"/>
      <c r="AK13" s="33"/>
      <c r="AL13" s="33"/>
      <c r="AM13" s="33"/>
    </row>
    <row r="14" spans="1:39" ht="5.25" customHeight="1">
      <c r="B14" s="304"/>
      <c r="C14" s="236"/>
      <c r="D14" s="236"/>
      <c r="E14" s="236"/>
      <c r="F14" s="305"/>
      <c r="G14" s="305"/>
      <c r="H14" s="305"/>
      <c r="I14" s="305"/>
      <c r="J14" s="114"/>
      <c r="K14" s="114"/>
      <c r="L14" s="114"/>
      <c r="M14" s="114"/>
      <c r="N14" s="114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26"/>
      <c r="AA14" s="116"/>
      <c r="AB14" s="116"/>
      <c r="AC14" s="114"/>
      <c r="AD14" s="18"/>
      <c r="AE14" s="238"/>
      <c r="AF14" s="28"/>
      <c r="AG14" s="28"/>
      <c r="AH14" s="28"/>
      <c r="AI14" s="28"/>
      <c r="AJ14" s="28"/>
      <c r="AK14" s="28"/>
      <c r="AL14" s="28"/>
      <c r="AM14" s="239"/>
    </row>
    <row r="15" spans="1:39" ht="20.100000000000001" customHeight="1">
      <c r="B15" s="368" t="s">
        <v>392</v>
      </c>
      <c r="C15" s="127"/>
      <c r="D15" s="127"/>
      <c r="E15" s="127"/>
      <c r="F15" s="54"/>
      <c r="G15" s="54"/>
      <c r="H15" s="42" t="s">
        <v>13</v>
      </c>
      <c r="I15" s="54"/>
      <c r="J15" s="64"/>
      <c r="K15" s="64"/>
      <c r="L15" s="1423" t="str">
        <f>'FE-1770-I-hal 2'!K16</f>
        <v/>
      </c>
      <c r="M15" s="1423" t="str">
        <f>'FE-1770-I-hal 2'!L16</f>
        <v/>
      </c>
      <c r="N15" s="1426"/>
      <c r="O15" s="1423" t="str">
        <f>'FE-1770-I-hal 2'!N16</f>
        <v/>
      </c>
      <c r="P15" s="1423" t="str">
        <f>'FE-1770-I-hal 2'!O16</f>
        <v/>
      </c>
      <c r="Q15" s="1423" t="str">
        <f>'FE-1770-I-hal 2'!P16</f>
        <v/>
      </c>
      <c r="R15" s="119"/>
      <c r="S15" s="1423" t="str">
        <f>'FE-1770-I-hal 2'!R16</f>
        <v/>
      </c>
      <c r="T15" s="1423" t="str">
        <f>'FE-1770-I-hal 2'!S16</f>
        <v/>
      </c>
      <c r="U15" s="1423" t="str">
        <f>'FE-1770-I-hal 2'!T16</f>
        <v/>
      </c>
      <c r="V15" s="119"/>
      <c r="W15" s="1423" t="str">
        <f>'FE-1770-I-hal 2'!V16</f>
        <v/>
      </c>
      <c r="X15" s="119"/>
      <c r="Y15" s="1423" t="str">
        <f>'FE-1770-I-hal 2'!X16</f>
        <v/>
      </c>
      <c r="Z15" s="1423" t="str">
        <f>'FE-1770-I-hal 2'!Y16</f>
        <v/>
      </c>
      <c r="AA15" s="1423" t="str">
        <f>'FE-1770-I-hal 2'!Z16</f>
        <v/>
      </c>
      <c r="AB15" s="119"/>
      <c r="AC15" s="1423" t="str">
        <f>'FE-1770-I-hal 2'!AB16</f>
        <v/>
      </c>
      <c r="AD15" s="1423" t="str">
        <f>'FE-1770-I-hal 2'!AC16</f>
        <v/>
      </c>
      <c r="AE15" s="1423" t="str">
        <f>'FE-1770-I-hal 2'!AD16</f>
        <v/>
      </c>
      <c r="AF15" s="64"/>
      <c r="AG15" s="119"/>
      <c r="AH15" s="119"/>
      <c r="AI15" s="119"/>
      <c r="AJ15" s="119"/>
      <c r="AK15" s="119"/>
      <c r="AL15" s="119"/>
      <c r="AM15" s="307"/>
    </row>
    <row r="16" spans="1:39" ht="5.25" customHeight="1">
      <c r="B16" s="367"/>
      <c r="C16" s="127"/>
      <c r="D16" s="127"/>
      <c r="E16" s="127"/>
      <c r="F16" s="54"/>
      <c r="G16" s="54"/>
      <c r="H16" s="54"/>
      <c r="I16" s="54"/>
      <c r="J16" s="184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307"/>
    </row>
    <row r="17" spans="1:51" ht="20.100000000000001" customHeight="1">
      <c r="B17" s="368" t="s">
        <v>765</v>
      </c>
      <c r="C17" s="127"/>
      <c r="D17" s="127"/>
      <c r="E17" s="127"/>
      <c r="F17" s="54"/>
      <c r="G17" s="54"/>
      <c r="H17" s="45" t="s">
        <v>13</v>
      </c>
      <c r="I17" s="54"/>
      <c r="J17" s="64"/>
      <c r="K17" s="64"/>
      <c r="L17" s="1707" t="str">
        <f>'FE-1770-I-hal 2'!K18</f>
        <v/>
      </c>
      <c r="M17" s="1708"/>
      <c r="N17" s="1708"/>
      <c r="O17" s="1708"/>
      <c r="P17" s="1708"/>
      <c r="Q17" s="1708"/>
      <c r="R17" s="1708"/>
      <c r="S17" s="1708"/>
      <c r="T17" s="1708"/>
      <c r="U17" s="1708"/>
      <c r="V17" s="1708"/>
      <c r="W17" s="1708"/>
      <c r="X17" s="1708"/>
      <c r="Y17" s="1708"/>
      <c r="Z17" s="1708"/>
      <c r="AA17" s="1708"/>
      <c r="AB17" s="1708"/>
      <c r="AC17" s="1708"/>
      <c r="AD17" s="1708"/>
      <c r="AE17" s="1708"/>
      <c r="AF17" s="1708"/>
      <c r="AG17" s="1708"/>
      <c r="AH17" s="1708"/>
      <c r="AI17" s="1708"/>
      <c r="AJ17" s="1708"/>
      <c r="AK17" s="1708"/>
      <c r="AL17" s="119"/>
      <c r="AM17" s="307"/>
    </row>
    <row r="18" spans="1:51" ht="6.75" customHeight="1" thickBot="1">
      <c r="B18" s="309"/>
      <c r="C18" s="310"/>
      <c r="D18" s="310"/>
      <c r="E18" s="310"/>
      <c r="F18" s="311"/>
      <c r="G18" s="312"/>
      <c r="H18" s="312"/>
      <c r="I18" s="312"/>
      <c r="J18" s="313"/>
      <c r="K18" s="113"/>
      <c r="L18" s="113"/>
      <c r="M18" s="113"/>
      <c r="N18" s="113"/>
      <c r="O18" s="315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316"/>
    </row>
    <row r="19" spans="1:51" ht="12" customHeight="1">
      <c r="G19" s="35"/>
      <c r="M19" s="104"/>
      <c r="N19" s="104"/>
      <c r="O19" s="618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20"/>
      <c r="AB19" s="106"/>
      <c r="AC19" s="106"/>
      <c r="AD19" s="106"/>
      <c r="AE19" s="106"/>
      <c r="AF19" s="106"/>
      <c r="AG19" s="106"/>
      <c r="AH19" s="106"/>
      <c r="AI19" s="106"/>
      <c r="AJ19" s="106"/>
      <c r="AK19" s="106"/>
      <c r="AL19" s="106"/>
      <c r="AM19" s="64"/>
    </row>
    <row r="20" spans="1:51" s="402" customFormat="1" ht="27.75" customHeight="1">
      <c r="A20" s="47"/>
      <c r="B20" s="1241" t="s">
        <v>1120</v>
      </c>
      <c r="E20" s="2574" t="s">
        <v>1121</v>
      </c>
      <c r="F20" s="2574"/>
      <c r="G20" s="2574"/>
      <c r="H20" s="2574"/>
      <c r="I20" s="2574"/>
      <c r="J20" s="2574"/>
      <c r="K20" s="2574"/>
      <c r="L20" s="2574"/>
      <c r="M20" s="2574"/>
      <c r="N20" s="2574"/>
      <c r="O20" s="2574"/>
      <c r="P20" s="2574"/>
      <c r="Q20" s="2574"/>
      <c r="R20" s="2574"/>
      <c r="S20" s="2574"/>
      <c r="T20" s="2574"/>
      <c r="U20" s="2574"/>
      <c r="V20" s="2574"/>
      <c r="W20" s="2574"/>
      <c r="X20" s="2574"/>
      <c r="Y20" s="2574"/>
      <c r="Z20" s="2574"/>
      <c r="AA20" s="2574"/>
      <c r="AB20" s="2574"/>
      <c r="AC20" s="2574"/>
      <c r="AD20" s="2574"/>
      <c r="AE20" s="2574"/>
      <c r="AF20" s="2574"/>
      <c r="AG20" s="2574"/>
      <c r="AH20" s="2574"/>
      <c r="AI20" s="2574"/>
      <c r="AJ20" s="2574"/>
      <c r="AK20" s="2574"/>
      <c r="AL20" s="2574"/>
      <c r="AM20" s="2574"/>
      <c r="AN20" s="185"/>
      <c r="AO20" s="185"/>
      <c r="AP20" s="185"/>
      <c r="AQ20" s="185"/>
      <c r="AR20" s="185"/>
      <c r="AS20" s="185"/>
      <c r="AT20" s="185"/>
      <c r="AU20" s="185"/>
      <c r="AV20" s="185"/>
    </row>
    <row r="21" spans="1:51" s="64" customFormat="1" ht="9" customHeight="1">
      <c r="A21" s="47"/>
      <c r="B21" s="775"/>
      <c r="C21" s="775"/>
      <c r="D21" s="169"/>
      <c r="E21" s="169"/>
      <c r="F21" s="169"/>
      <c r="G21" s="169"/>
      <c r="H21" s="169"/>
      <c r="I21" s="169"/>
      <c r="J21" s="169"/>
      <c r="K21" s="169"/>
      <c r="L21" s="169"/>
      <c r="M21" s="169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</row>
    <row r="22" spans="1:51" s="64" customFormat="1" ht="36.75" customHeight="1">
      <c r="A22" s="47"/>
      <c r="B22" s="2577" t="s">
        <v>151</v>
      </c>
      <c r="C22" s="2579" t="s">
        <v>1122</v>
      </c>
      <c r="D22" s="2580"/>
      <c r="E22" s="2580"/>
      <c r="F22" s="2580"/>
      <c r="G22" s="2580"/>
      <c r="H22" s="2580"/>
      <c r="I22" s="2580"/>
      <c r="J22" s="2580"/>
      <c r="K22" s="2581"/>
      <c r="L22" s="2580" t="s">
        <v>1123</v>
      </c>
      <c r="M22" s="2580"/>
      <c r="N22" s="2580"/>
      <c r="O22" s="2580"/>
      <c r="P22" s="2580"/>
      <c r="Q22" s="2580"/>
      <c r="R22" s="2579" t="s">
        <v>1124</v>
      </c>
      <c r="S22" s="2580"/>
      <c r="T22" s="2580"/>
      <c r="U22" s="2580"/>
      <c r="V22" s="2580"/>
      <c r="W22" s="2580"/>
      <c r="X22" s="2580"/>
      <c r="Y22" s="2581"/>
      <c r="Z22" s="2580" t="s">
        <v>1128</v>
      </c>
      <c r="AA22" s="2580"/>
      <c r="AB22" s="2580"/>
      <c r="AC22" s="2580"/>
      <c r="AD22" s="2580"/>
      <c r="AE22" s="2580"/>
      <c r="AF22" s="2579" t="s">
        <v>1127</v>
      </c>
      <c r="AG22" s="2580"/>
      <c r="AH22" s="2580"/>
      <c r="AI22" s="2580"/>
      <c r="AJ22" s="2580"/>
      <c r="AK22" s="2580"/>
      <c r="AL22" s="2580"/>
      <c r="AM22" s="2581"/>
      <c r="AN22" s="169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</row>
    <row r="23" spans="1:51" s="64" customFormat="1" ht="14.25" customHeight="1">
      <c r="A23" s="47"/>
      <c r="B23" s="2578"/>
      <c r="C23" s="2582"/>
      <c r="D23" s="2583"/>
      <c r="E23" s="2583"/>
      <c r="F23" s="2583"/>
      <c r="G23" s="2583"/>
      <c r="H23" s="2583"/>
      <c r="I23" s="2583"/>
      <c r="J23" s="2583"/>
      <c r="K23" s="2584"/>
      <c r="L23" s="2583"/>
      <c r="M23" s="2583"/>
      <c r="N23" s="2583"/>
      <c r="O23" s="2583"/>
      <c r="P23" s="2583"/>
      <c r="Q23" s="2583"/>
      <c r="R23" s="2603" t="s">
        <v>1125</v>
      </c>
      <c r="S23" s="2604"/>
      <c r="T23" s="2604"/>
      <c r="U23" s="2604"/>
      <c r="V23" s="2579" t="s">
        <v>1126</v>
      </c>
      <c r="W23" s="2580"/>
      <c r="X23" s="2580"/>
      <c r="Y23" s="2581"/>
      <c r="Z23" s="2583"/>
      <c r="AA23" s="2583"/>
      <c r="AB23" s="2583"/>
      <c r="AC23" s="2583"/>
      <c r="AD23" s="2583"/>
      <c r="AE23" s="2583"/>
      <c r="AF23" s="2582"/>
      <c r="AG23" s="2583"/>
      <c r="AH23" s="2583"/>
      <c r="AI23" s="2583"/>
      <c r="AJ23" s="2583"/>
      <c r="AK23" s="2583"/>
      <c r="AL23" s="2583"/>
      <c r="AM23" s="2584"/>
      <c r="AN23" s="169"/>
      <c r="AO23" s="169"/>
      <c r="AP23" s="169"/>
      <c r="AQ23" s="169"/>
      <c r="AR23" s="169"/>
      <c r="AS23" s="169"/>
      <c r="AT23" s="169"/>
      <c r="AU23" s="169"/>
      <c r="AV23" s="169"/>
      <c r="AW23" s="169"/>
      <c r="AX23" s="169"/>
      <c r="AY23" s="169"/>
    </row>
    <row r="24" spans="1:51" ht="12.75" customHeight="1">
      <c r="A24" s="69"/>
      <c r="B24" s="770" t="s">
        <v>128</v>
      </c>
      <c r="C24" s="2605" t="s">
        <v>129</v>
      </c>
      <c r="D24" s="2606"/>
      <c r="E24" s="2606"/>
      <c r="F24" s="2606"/>
      <c r="G24" s="2606"/>
      <c r="H24" s="2606"/>
      <c r="I24" s="2606"/>
      <c r="J24" s="2606"/>
      <c r="K24" s="2607"/>
      <c r="L24" s="2608" t="s">
        <v>130</v>
      </c>
      <c r="M24" s="2608"/>
      <c r="N24" s="2608"/>
      <c r="O24" s="2608"/>
      <c r="P24" s="2608"/>
      <c r="Q24" s="771"/>
      <c r="R24" s="2605" t="s">
        <v>131</v>
      </c>
      <c r="S24" s="2609"/>
      <c r="T24" s="2609"/>
      <c r="U24" s="2609"/>
      <c r="V24" s="2605" t="s">
        <v>132</v>
      </c>
      <c r="W24" s="2609"/>
      <c r="X24" s="2609"/>
      <c r="Y24" s="2610"/>
      <c r="Z24" s="2609" t="s">
        <v>153</v>
      </c>
      <c r="AA24" s="2606"/>
      <c r="AB24" s="2606"/>
      <c r="AC24" s="2606"/>
      <c r="AD24" s="2606"/>
      <c r="AE24" s="2606"/>
      <c r="AF24" s="2605" t="s">
        <v>234</v>
      </c>
      <c r="AG24" s="2606"/>
      <c r="AH24" s="2606"/>
      <c r="AI24" s="2606"/>
      <c r="AJ24" s="2606"/>
      <c r="AK24" s="2606"/>
      <c r="AL24" s="2606"/>
      <c r="AM24" s="2607"/>
    </row>
    <row r="25" spans="1:51" ht="45" customHeight="1">
      <c r="A25" s="133"/>
      <c r="B25" s="1723">
        <v>1</v>
      </c>
      <c r="C25" s="2612" t="str">
        <f>IF(_art24&gt;0,"Please refer to separate attachment",employer1)</f>
        <v>-</v>
      </c>
      <c r="D25" s="2612"/>
      <c r="E25" s="2612"/>
      <c r="F25" s="2612"/>
      <c r="G25" s="2612"/>
      <c r="H25" s="2612"/>
      <c r="I25" s="2612"/>
      <c r="J25" s="2612"/>
      <c r="K25" s="2612"/>
      <c r="L25" s="2613" t="str">
        <f>IF(_art24&gt;0,"-",IF(emp_taxID1="-","-",LEFT(emp_taxID1,2)&amp;"."&amp;MID(emp_taxID1,3,3)&amp;"."&amp;MID(emp_taxID1,6,3)&amp;"."&amp;MID(emp_taxID1,9,1)&amp;"-"&amp;MID(emp_taxID1,10,3)&amp;"."&amp;MID(emp_taxID1,13,3)))</f>
        <v>-</v>
      </c>
      <c r="M25" s="2613"/>
      <c r="N25" s="2613"/>
      <c r="O25" s="2613"/>
      <c r="P25" s="2613"/>
      <c r="Q25" s="2613"/>
      <c r="R25" s="2613" t="str">
        <f>IF(_art24&gt;0,"-",IF('GENERAL INFO'!G133="-","-",LEFT('GENERAL INFO'!G133,1)&amp;"."&amp;MID('GENERAL INFO'!G133,2,1)&amp;"-"&amp;MID('GENERAL INFO'!G133,3,2)&amp;"."&amp;MID('GENERAL INFO'!G133,5,2)&amp;"-"&amp;MID('GENERAL INFO'!G133,7,7)))</f>
        <v>-</v>
      </c>
      <c r="S25" s="2613"/>
      <c r="T25" s="2613"/>
      <c r="U25" s="2613"/>
      <c r="V25" s="2613" t="str">
        <f>IF(AND(OR('GENERAL INFO'!K6="X",'GENERAL INFO'!K7=""),'GENERAL INFO'!K9=""),IF(_art24&gt;0,"-",'GENERAL INFO'!G134),"-")</f>
        <v>-</v>
      </c>
      <c r="W25" s="2613"/>
      <c r="X25" s="2613"/>
      <c r="Y25" s="2613"/>
      <c r="Z25" s="2613" t="str">
        <f>IF(_art24&gt;0,"24",IF('GENERAL INFO'!V153&gt;0,"21","-"))</f>
        <v>-</v>
      </c>
      <c r="AA25" s="2613"/>
      <c r="AB25" s="2613"/>
      <c r="AC25" s="2613"/>
      <c r="AD25" s="2613"/>
      <c r="AE25" s="2613"/>
      <c r="AF25" s="2566">
        <f>IF(_art24&gt;0,_art24,'GENERAL INFO'!V155)</f>
        <v>0</v>
      </c>
      <c r="AG25" s="2566"/>
      <c r="AH25" s="2566"/>
      <c r="AI25" s="2566"/>
      <c r="AJ25" s="2566"/>
      <c r="AK25" s="2566"/>
      <c r="AL25" s="2566"/>
      <c r="AM25" s="2566"/>
    </row>
    <row r="26" spans="1:51" ht="45" customHeight="1">
      <c r="A26" s="133"/>
      <c r="B26" s="1735">
        <v>2</v>
      </c>
      <c r="C26" s="2612" t="str">
        <f>IF(Z25="24",employer1,IF(employer2="-","-",employer2))</f>
        <v>-</v>
      </c>
      <c r="D26" s="2612"/>
      <c r="E26" s="2612"/>
      <c r="F26" s="2612"/>
      <c r="G26" s="2612"/>
      <c r="H26" s="2612"/>
      <c r="I26" s="2612"/>
      <c r="J26" s="2612"/>
      <c r="K26" s="2612"/>
      <c r="L26" s="2613" t="str">
        <f>IF(Z25="24",LEFT(emp_taxID1,2)&amp;"."&amp;MID(emp_taxID1,3,3)&amp;"."&amp;MID(emp_taxID1,6,3)&amp;"."&amp;MID(emp_taxID1,9,1)&amp;"-"&amp;MID(emp_taxID1,10,3)&amp;"."&amp;MID(emp_taxID1,13,3),IF(emp_taxID2="-","-",LEFT(emp_taxID2,2)&amp;"."&amp;MID(emp_taxID2,3,3)&amp;"."&amp;MID(emp_taxID2,6,3)&amp;"."&amp;MID(emp_taxID2,9,1)&amp;"-"&amp;MID(emp_taxID2,10,3)&amp;"."&amp;MID(emp_taxID2,13,3)))</f>
        <v>-</v>
      </c>
      <c r="M26" s="2613"/>
      <c r="N26" s="2613"/>
      <c r="O26" s="2613"/>
      <c r="P26" s="2613"/>
      <c r="Q26" s="2613"/>
      <c r="R26" s="2612" t="str">
        <f>IF(Z25="24",LEFT('GENERAL INFO'!G133,1)&amp;"."&amp;MID('GENERAL INFO'!G133,2,1)&amp;"-"&amp;MID('GENERAL INFO'!G133,3,2)&amp;"."&amp;MID('GENERAL INFO'!G133,5,2)&amp;"-"&amp;MID('GENERAL INFO'!G133,7,7),IF('GENERAL INFO'!L133="-","-",LEFT('GENERAL INFO'!L133,1)&amp;"."&amp;MID('GENERAL INFO'!L133,2,1)&amp;"-"&amp;MID('GENERAL INFO'!L133,3,2)&amp;"."&amp;MID('GENERAL INFO'!L133,5,2)&amp;"-"&amp;MID('GENERAL INFO'!L133,7,7)))</f>
        <v>-</v>
      </c>
      <c r="S26" s="2612"/>
      <c r="T26" s="2612"/>
      <c r="U26" s="2612"/>
      <c r="V26" s="2614" t="str">
        <f>IF(Z25="24",'GENERAL INFO'!G134,IF(C26="-","-",'GENERAL INFO'!L134))</f>
        <v>-</v>
      </c>
      <c r="W26" s="2614"/>
      <c r="X26" s="2614"/>
      <c r="Y26" s="2614"/>
      <c r="Z26" s="2613" t="str">
        <f>IF(AF26&gt;0,"21","-")</f>
        <v>-</v>
      </c>
      <c r="AA26" s="2613"/>
      <c r="AB26" s="2613"/>
      <c r="AC26" s="2613"/>
      <c r="AD26" s="2613"/>
      <c r="AE26" s="2613"/>
      <c r="AF26" s="2566">
        <f>IF(Z25="24",'GENERAL INFO'!G155,'GENERAL INFO'!L155)</f>
        <v>0</v>
      </c>
      <c r="AG26" s="2566"/>
      <c r="AH26" s="2566"/>
      <c r="AI26" s="2566"/>
      <c r="AJ26" s="2566"/>
      <c r="AK26" s="2566"/>
      <c r="AL26" s="2566"/>
      <c r="AM26" s="2566"/>
    </row>
    <row r="27" spans="1:51" ht="45" customHeight="1">
      <c r="A27" s="133"/>
      <c r="B27" s="1735">
        <v>3</v>
      </c>
      <c r="C27" s="2612" t="str">
        <f>IF(C26=employer2,employer3,IF(C26=employer1,employer2,"-"))</f>
        <v>-</v>
      </c>
      <c r="D27" s="2612"/>
      <c r="E27" s="2612"/>
      <c r="F27" s="2612"/>
      <c r="G27" s="2612"/>
      <c r="H27" s="2612"/>
      <c r="I27" s="2612"/>
      <c r="J27" s="2612"/>
      <c r="K27" s="2612"/>
      <c r="L27" s="2612" t="str">
        <f>IF(C26=employer1,IF(emp_taxID2 = "-","-",LEFT(emp_taxID2,2)&amp;"."&amp;MID(emp_taxID2,3,3)&amp;"."&amp;MID(emp_taxID2,6,3)&amp;"."&amp;MID(emp_taxID2,9,1)&amp;"-"&amp;MID(emp_taxID2,10,3)&amp;"."&amp;MID(emp_taxID2,13,3)),IF(emp_taxID3="-","-",LEFT(emp_taxID3,2)&amp;"."&amp;MID(emp_taxID3,3,3)&amp;"."&amp;MID(emp_taxID3,6,3)&amp;"."&amp;MID(emp_taxID3,9,1)&amp;"-"&amp;MID(emp_taxID3,10,3)&amp;"."&amp;MID(emp_taxID3,13,3)))</f>
        <v>-</v>
      </c>
      <c r="M27" s="2612"/>
      <c r="N27" s="2612"/>
      <c r="O27" s="2612"/>
      <c r="P27" s="2612"/>
      <c r="Q27" s="2612"/>
      <c r="R27" s="2612" t="str">
        <f>IF(LEFT(R26,1)&amp;MID(R26,3,1)&amp;MID(R26,5,2)&amp;MID(R26,8,2)&amp;MID(R26,11,7)='GENERAL INFO'!G133,IF('GENERAL INFO'!L133="-","-",LEFT('GENERAL INFO'!L133,1)&amp;"."&amp;MID('GENERAL INFO'!L133,2,1)&amp;"-"&amp;MID('GENERAL INFO'!L133,3,2)&amp;"."&amp;MID('GENERAL INFO'!L133,5,2)&amp;"-"&amp;MID('GENERAL INFO'!L133,7,7)),IF('GENERAL INFO'!Q133="-","-",LEFT('GENERAL INFO'!Q133,1)&amp;"."&amp;MID('GENERAL INFO'!Q133,2,1)&amp;"-"&amp;MID('GENERAL INFO'!Q133,3,2)&amp;"."&amp;MID('GENERAL INFO'!Q133,5,2)&amp;"-"&amp;MID('GENERAL INFO'!Q133,7,7)))</f>
        <v>-</v>
      </c>
      <c r="S27" s="2612"/>
      <c r="T27" s="2612"/>
      <c r="U27" s="2612"/>
      <c r="V27" s="2615" t="str">
        <f>IF(C26=employer1,'GENERAL INFO'!L134,'GENERAL INFO'!Q134)</f>
        <v>-</v>
      </c>
      <c r="W27" s="2615"/>
      <c r="X27" s="2615"/>
      <c r="Y27" s="2615"/>
      <c r="Z27" s="2613" t="str">
        <f>IF(C27="-","-","21")</f>
        <v>-</v>
      </c>
      <c r="AA27" s="2613"/>
      <c r="AB27" s="2613"/>
      <c r="AC27" s="2613"/>
      <c r="AD27" s="2613"/>
      <c r="AE27" s="2613"/>
      <c r="AF27" s="2566">
        <f>IF(AF26='GENERAL INFO'!G155,'GENERAL INFO'!L155,'GENERAL INFO'!Q155)</f>
        <v>0</v>
      </c>
      <c r="AG27" s="2566"/>
      <c r="AH27" s="2566"/>
      <c r="AI27" s="2566"/>
      <c r="AJ27" s="2566"/>
      <c r="AK27" s="2566"/>
      <c r="AL27" s="2566"/>
      <c r="AM27" s="2566"/>
    </row>
    <row r="28" spans="1:51" ht="45" customHeight="1">
      <c r="A28" s="133"/>
      <c r="B28" s="1723">
        <v>4</v>
      </c>
      <c r="C28" s="2612" t="str">
        <f>IF(C27=employer3,"-",employer3)</f>
        <v>-</v>
      </c>
      <c r="D28" s="2612"/>
      <c r="E28" s="2612"/>
      <c r="F28" s="2612"/>
      <c r="G28" s="2612"/>
      <c r="H28" s="2612"/>
      <c r="I28" s="2612"/>
      <c r="J28" s="2612"/>
      <c r="K28" s="2612"/>
      <c r="L28" s="2613" t="str">
        <f>IF(C27=employer3,"-",LEFT(emp_taxID3,2)&amp;"."&amp;MID(emp_taxID3,3,3)&amp;"."&amp;MID(emp_taxID3,6,3)&amp;"."&amp;MID(emp_taxID3,9,1)&amp;"-"&amp;MID(emp_taxID3,10,3)&amp;"."&amp;MID(emp_taxID3,13,3))</f>
        <v>-</v>
      </c>
      <c r="M28" s="2613"/>
      <c r="N28" s="2613"/>
      <c r="O28" s="2613"/>
      <c r="P28" s="2613"/>
      <c r="Q28" s="2613"/>
      <c r="R28" s="2613" t="str">
        <f>IF(C27=employer3,"-",LEFT('GENERAL INFO'!Q133,1)&amp;"."&amp;MID('GENERAL INFO'!Q133,2,1)&amp;"-"&amp;MID('GENERAL INFO'!Q133,3,2)&amp;"."&amp;MID('GENERAL INFO'!Q133,5,2)&amp;"-"&amp;MID('GENERAL INFO'!Q133,7,7))</f>
        <v>-</v>
      </c>
      <c r="S28" s="2613"/>
      <c r="T28" s="2613"/>
      <c r="U28" s="2613"/>
      <c r="V28" s="2615" t="str">
        <f>IF(C27=employer3,"-",'GENERAL INFO'!Q134)</f>
        <v>-</v>
      </c>
      <c r="W28" s="2615"/>
      <c r="X28" s="2615"/>
      <c r="Y28" s="2615"/>
      <c r="Z28" s="2613" t="str">
        <f>IF(C28="-","-","21")</f>
        <v>-</v>
      </c>
      <c r="AA28" s="2613"/>
      <c r="AB28" s="2613"/>
      <c r="AC28" s="2613"/>
      <c r="AD28" s="2613"/>
      <c r="AE28" s="2613"/>
      <c r="AF28" s="2566">
        <f>IF(AF27='GENERAL INFO'!Q155,'GENERAL INFO'!Q155,0)</f>
        <v>0</v>
      </c>
      <c r="AG28" s="2566"/>
      <c r="AH28" s="2566"/>
      <c r="AI28" s="2566"/>
      <c r="AJ28" s="2566"/>
      <c r="AK28" s="2566"/>
      <c r="AL28" s="2566"/>
      <c r="AM28" s="2566"/>
      <c r="AN28" s="64"/>
    </row>
    <row r="29" spans="1:51" ht="45" customHeight="1">
      <c r="A29" s="133"/>
      <c r="B29" s="1723">
        <v>5</v>
      </c>
      <c r="C29" s="2616" t="s">
        <v>69</v>
      </c>
      <c r="D29" s="2616"/>
      <c r="E29" s="2616"/>
      <c r="F29" s="2616"/>
      <c r="G29" s="2616"/>
      <c r="H29" s="2616"/>
      <c r="I29" s="2616"/>
      <c r="J29" s="2616"/>
      <c r="K29" s="2616"/>
      <c r="L29" s="2619" t="s">
        <v>69</v>
      </c>
      <c r="M29" s="2619"/>
      <c r="N29" s="2619"/>
      <c r="O29" s="2619"/>
      <c r="P29" s="2619"/>
      <c r="Q29" s="2619"/>
      <c r="R29" s="2620" t="s">
        <v>69</v>
      </c>
      <c r="S29" s="2620"/>
      <c r="T29" s="2620"/>
      <c r="U29" s="2620"/>
      <c r="V29" s="2621" t="s">
        <v>69</v>
      </c>
      <c r="W29" s="2621"/>
      <c r="X29" s="2621"/>
      <c r="Y29" s="2621"/>
      <c r="Z29" s="2620" t="s">
        <v>69</v>
      </c>
      <c r="AA29" s="2620"/>
      <c r="AB29" s="2620"/>
      <c r="AC29" s="2620"/>
      <c r="AD29" s="2620"/>
      <c r="AE29" s="2620"/>
      <c r="AF29" s="2618">
        <v>0</v>
      </c>
      <c r="AG29" s="2618"/>
      <c r="AH29" s="2618"/>
      <c r="AI29" s="2618"/>
      <c r="AJ29" s="2618"/>
      <c r="AK29" s="2618"/>
      <c r="AL29" s="2618"/>
      <c r="AM29" s="2618"/>
    </row>
    <row r="30" spans="1:51" ht="45" customHeight="1">
      <c r="A30" s="133"/>
      <c r="B30" s="1723">
        <v>6</v>
      </c>
      <c r="C30" s="2616" t="s">
        <v>69</v>
      </c>
      <c r="D30" s="2616"/>
      <c r="E30" s="2616"/>
      <c r="F30" s="2616"/>
      <c r="G30" s="2616"/>
      <c r="H30" s="2616"/>
      <c r="I30" s="2616"/>
      <c r="J30" s="2616"/>
      <c r="K30" s="2616"/>
      <c r="L30" s="2616" t="s">
        <v>69</v>
      </c>
      <c r="M30" s="2616"/>
      <c r="N30" s="2616"/>
      <c r="O30" s="2616"/>
      <c r="P30" s="2616"/>
      <c r="Q30" s="2616"/>
      <c r="R30" s="2616" t="s">
        <v>69</v>
      </c>
      <c r="S30" s="2616"/>
      <c r="T30" s="2616"/>
      <c r="U30" s="2616"/>
      <c r="V30" s="2617" t="s">
        <v>69</v>
      </c>
      <c r="W30" s="2617"/>
      <c r="X30" s="2617"/>
      <c r="Y30" s="2617"/>
      <c r="Z30" s="2616" t="s">
        <v>69</v>
      </c>
      <c r="AA30" s="2616"/>
      <c r="AB30" s="2616"/>
      <c r="AC30" s="2616"/>
      <c r="AD30" s="2616"/>
      <c r="AE30" s="2616"/>
      <c r="AF30" s="2618">
        <v>0</v>
      </c>
      <c r="AG30" s="2618"/>
      <c r="AH30" s="2618"/>
      <c r="AI30" s="2618"/>
      <c r="AJ30" s="2618"/>
      <c r="AK30" s="2618"/>
      <c r="AL30" s="2618"/>
      <c r="AM30" s="2618"/>
    </row>
    <row r="31" spans="1:51" ht="45" customHeight="1">
      <c r="A31" s="133"/>
      <c r="B31" s="1723">
        <v>7</v>
      </c>
      <c r="C31" s="2616" t="s">
        <v>69</v>
      </c>
      <c r="D31" s="2616"/>
      <c r="E31" s="2616"/>
      <c r="F31" s="2616"/>
      <c r="G31" s="2616"/>
      <c r="H31" s="2616"/>
      <c r="I31" s="2616"/>
      <c r="J31" s="2616"/>
      <c r="K31" s="2616"/>
      <c r="L31" s="2616" t="s">
        <v>69</v>
      </c>
      <c r="M31" s="2616"/>
      <c r="N31" s="2616"/>
      <c r="O31" s="2616"/>
      <c r="P31" s="2616"/>
      <c r="Q31" s="2616"/>
      <c r="R31" s="2616" t="s">
        <v>69</v>
      </c>
      <c r="S31" s="2616"/>
      <c r="T31" s="2616"/>
      <c r="U31" s="2616"/>
      <c r="V31" s="2617" t="s">
        <v>69</v>
      </c>
      <c r="W31" s="2617"/>
      <c r="X31" s="2617"/>
      <c r="Y31" s="2617"/>
      <c r="Z31" s="2620" t="s">
        <v>69</v>
      </c>
      <c r="AA31" s="2620"/>
      <c r="AB31" s="2620"/>
      <c r="AC31" s="2620"/>
      <c r="AD31" s="2620"/>
      <c r="AE31" s="2620"/>
      <c r="AF31" s="2622">
        <v>0</v>
      </c>
      <c r="AG31" s="2622"/>
      <c r="AH31" s="2622"/>
      <c r="AI31" s="2622"/>
      <c r="AJ31" s="2622"/>
      <c r="AK31" s="2622"/>
      <c r="AL31" s="2622"/>
      <c r="AM31" s="2622"/>
    </row>
    <row r="32" spans="1:51" ht="45" customHeight="1">
      <c r="A32" s="133"/>
      <c r="B32" s="1723">
        <v>8</v>
      </c>
      <c r="C32" s="2616" t="s">
        <v>69</v>
      </c>
      <c r="D32" s="2616"/>
      <c r="E32" s="2616"/>
      <c r="F32" s="2616"/>
      <c r="G32" s="2616"/>
      <c r="H32" s="2616"/>
      <c r="I32" s="2616"/>
      <c r="J32" s="2616"/>
      <c r="K32" s="2616"/>
      <c r="L32" s="2616" t="s">
        <v>69</v>
      </c>
      <c r="M32" s="2616"/>
      <c r="N32" s="2616"/>
      <c r="O32" s="2616"/>
      <c r="P32" s="2616"/>
      <c r="Q32" s="2616"/>
      <c r="R32" s="2616" t="s">
        <v>69</v>
      </c>
      <c r="S32" s="2616"/>
      <c r="T32" s="2616"/>
      <c r="U32" s="2616"/>
      <c r="V32" s="2617" t="s">
        <v>69</v>
      </c>
      <c r="W32" s="2617"/>
      <c r="X32" s="2617"/>
      <c r="Y32" s="2617"/>
      <c r="Z32" s="2620" t="s">
        <v>69</v>
      </c>
      <c r="AA32" s="2620"/>
      <c r="AB32" s="2620"/>
      <c r="AC32" s="2620"/>
      <c r="AD32" s="2620"/>
      <c r="AE32" s="2620"/>
      <c r="AF32" s="2622">
        <v>0</v>
      </c>
      <c r="AG32" s="2622"/>
      <c r="AH32" s="2622"/>
      <c r="AI32" s="2622"/>
      <c r="AJ32" s="2622"/>
      <c r="AK32" s="2622"/>
      <c r="AL32" s="2622"/>
      <c r="AM32" s="2622"/>
    </row>
    <row r="33" spans="1:56" ht="45" customHeight="1">
      <c r="A33" s="133"/>
      <c r="B33" s="1723">
        <v>9</v>
      </c>
      <c r="C33" s="2616" t="s">
        <v>69</v>
      </c>
      <c r="D33" s="2616"/>
      <c r="E33" s="2616"/>
      <c r="F33" s="2616"/>
      <c r="G33" s="2616"/>
      <c r="H33" s="2616"/>
      <c r="I33" s="2616"/>
      <c r="J33" s="2616"/>
      <c r="K33" s="2616"/>
      <c r="L33" s="2616" t="s">
        <v>69</v>
      </c>
      <c r="M33" s="2616"/>
      <c r="N33" s="2616"/>
      <c r="O33" s="2616"/>
      <c r="P33" s="2616"/>
      <c r="Q33" s="2616"/>
      <c r="R33" s="2616" t="s">
        <v>69</v>
      </c>
      <c r="S33" s="2616"/>
      <c r="T33" s="2616"/>
      <c r="U33" s="2616"/>
      <c r="V33" s="2617" t="s">
        <v>69</v>
      </c>
      <c r="W33" s="2617"/>
      <c r="X33" s="2617"/>
      <c r="Y33" s="2617"/>
      <c r="Z33" s="2620" t="s">
        <v>69</v>
      </c>
      <c r="AA33" s="2620"/>
      <c r="AB33" s="2620"/>
      <c r="AC33" s="2620"/>
      <c r="AD33" s="2620"/>
      <c r="AE33" s="2620"/>
      <c r="AF33" s="2622">
        <v>0</v>
      </c>
      <c r="AG33" s="2622"/>
      <c r="AH33" s="2622"/>
      <c r="AI33" s="2622"/>
      <c r="AJ33" s="2622"/>
      <c r="AK33" s="2622"/>
      <c r="AL33" s="2622"/>
      <c r="AM33" s="2622"/>
    </row>
    <row r="34" spans="1:56" ht="45" customHeight="1">
      <c r="A34" s="133"/>
      <c r="B34" s="1723">
        <v>10</v>
      </c>
      <c r="C34" s="2616" t="s">
        <v>69</v>
      </c>
      <c r="D34" s="2616"/>
      <c r="E34" s="2616"/>
      <c r="F34" s="2616"/>
      <c r="G34" s="2616"/>
      <c r="H34" s="2616"/>
      <c r="I34" s="2616"/>
      <c r="J34" s="2616"/>
      <c r="K34" s="2616"/>
      <c r="L34" s="2616" t="s">
        <v>69</v>
      </c>
      <c r="M34" s="2616"/>
      <c r="N34" s="2616"/>
      <c r="O34" s="2616"/>
      <c r="P34" s="2616"/>
      <c r="Q34" s="2616"/>
      <c r="R34" s="2616" t="s">
        <v>69</v>
      </c>
      <c r="S34" s="2616"/>
      <c r="T34" s="2616"/>
      <c r="U34" s="2616"/>
      <c r="V34" s="2617" t="s">
        <v>69</v>
      </c>
      <c r="W34" s="2617"/>
      <c r="X34" s="2617"/>
      <c r="Y34" s="2617"/>
      <c r="Z34" s="2620" t="s">
        <v>69</v>
      </c>
      <c r="AA34" s="2620"/>
      <c r="AB34" s="2620"/>
      <c r="AC34" s="2620"/>
      <c r="AD34" s="2620"/>
      <c r="AE34" s="2620"/>
      <c r="AF34" s="2622">
        <v>0</v>
      </c>
      <c r="AG34" s="2622"/>
      <c r="AH34" s="2622"/>
      <c r="AI34" s="2622"/>
      <c r="AJ34" s="2622"/>
      <c r="AK34" s="2622"/>
      <c r="AL34" s="2622"/>
      <c r="AM34" s="2622"/>
    </row>
    <row r="35" spans="1:56" ht="45" customHeight="1">
      <c r="A35" s="133"/>
      <c r="B35" s="1723">
        <v>11</v>
      </c>
      <c r="C35" s="2616" t="s">
        <v>69</v>
      </c>
      <c r="D35" s="2616"/>
      <c r="E35" s="2616"/>
      <c r="F35" s="2616"/>
      <c r="G35" s="2616"/>
      <c r="H35" s="2616"/>
      <c r="I35" s="2616"/>
      <c r="J35" s="2616"/>
      <c r="K35" s="2616"/>
      <c r="L35" s="2616" t="s">
        <v>69</v>
      </c>
      <c r="M35" s="2616"/>
      <c r="N35" s="2616"/>
      <c r="O35" s="2616"/>
      <c r="P35" s="2616"/>
      <c r="Q35" s="2616"/>
      <c r="R35" s="2616" t="s">
        <v>69</v>
      </c>
      <c r="S35" s="2616"/>
      <c r="T35" s="2616"/>
      <c r="U35" s="2616"/>
      <c r="V35" s="2617" t="s">
        <v>69</v>
      </c>
      <c r="W35" s="2617"/>
      <c r="X35" s="2617"/>
      <c r="Y35" s="2617"/>
      <c r="Z35" s="2620" t="s">
        <v>69</v>
      </c>
      <c r="AA35" s="2620"/>
      <c r="AB35" s="2620"/>
      <c r="AC35" s="2620"/>
      <c r="AD35" s="2620"/>
      <c r="AE35" s="2620"/>
      <c r="AF35" s="2622">
        <v>0</v>
      </c>
      <c r="AG35" s="2622"/>
      <c r="AH35" s="2622"/>
      <c r="AI35" s="2622"/>
      <c r="AJ35" s="2622"/>
      <c r="AK35" s="2622"/>
      <c r="AL35" s="2622"/>
      <c r="AM35" s="2622"/>
    </row>
    <row r="36" spans="1:56" ht="45" customHeight="1">
      <c r="A36" s="133"/>
      <c r="B36" s="1723">
        <v>12</v>
      </c>
      <c r="C36" s="2616" t="s">
        <v>69</v>
      </c>
      <c r="D36" s="2616"/>
      <c r="E36" s="2616"/>
      <c r="F36" s="2616"/>
      <c r="G36" s="2616"/>
      <c r="H36" s="2616"/>
      <c r="I36" s="2616"/>
      <c r="J36" s="2616"/>
      <c r="K36" s="2616"/>
      <c r="L36" s="2616" t="s">
        <v>69</v>
      </c>
      <c r="M36" s="2616"/>
      <c r="N36" s="2616"/>
      <c r="O36" s="2616"/>
      <c r="P36" s="2616"/>
      <c r="Q36" s="2616"/>
      <c r="R36" s="2616" t="s">
        <v>69</v>
      </c>
      <c r="S36" s="2616"/>
      <c r="T36" s="2616"/>
      <c r="U36" s="2616"/>
      <c r="V36" s="2617" t="s">
        <v>69</v>
      </c>
      <c r="W36" s="2617"/>
      <c r="X36" s="2617"/>
      <c r="Y36" s="2617"/>
      <c r="Z36" s="2620" t="s">
        <v>69</v>
      </c>
      <c r="AA36" s="2620"/>
      <c r="AB36" s="2620"/>
      <c r="AC36" s="2620"/>
      <c r="AD36" s="2620"/>
      <c r="AE36" s="2620"/>
      <c r="AF36" s="2622">
        <v>0</v>
      </c>
      <c r="AG36" s="2622"/>
      <c r="AH36" s="2622"/>
      <c r="AI36" s="2622"/>
      <c r="AJ36" s="2622"/>
      <c r="AK36" s="2622"/>
      <c r="AL36" s="2622"/>
      <c r="AM36" s="2622"/>
    </row>
    <row r="37" spans="1:56" ht="45" customHeight="1">
      <c r="A37" s="133"/>
      <c r="B37" s="1735">
        <v>13</v>
      </c>
      <c r="C37" s="2616" t="s">
        <v>69</v>
      </c>
      <c r="D37" s="2616"/>
      <c r="E37" s="2616"/>
      <c r="F37" s="2616"/>
      <c r="G37" s="2616"/>
      <c r="H37" s="2616"/>
      <c r="I37" s="2616"/>
      <c r="J37" s="2616"/>
      <c r="K37" s="2616"/>
      <c r="L37" s="2616" t="s">
        <v>69</v>
      </c>
      <c r="M37" s="2616"/>
      <c r="N37" s="2616"/>
      <c r="O37" s="2616"/>
      <c r="P37" s="2616"/>
      <c r="Q37" s="2616"/>
      <c r="R37" s="2616" t="s">
        <v>69</v>
      </c>
      <c r="S37" s="2616"/>
      <c r="T37" s="2616"/>
      <c r="U37" s="2616"/>
      <c r="V37" s="2617" t="s">
        <v>69</v>
      </c>
      <c r="W37" s="2617"/>
      <c r="X37" s="2617"/>
      <c r="Y37" s="2617"/>
      <c r="Z37" s="2616" t="s">
        <v>69</v>
      </c>
      <c r="AA37" s="2616"/>
      <c r="AB37" s="2616"/>
      <c r="AC37" s="2616"/>
      <c r="AD37" s="2616"/>
      <c r="AE37" s="2616"/>
      <c r="AF37" s="2618">
        <v>0</v>
      </c>
      <c r="AG37" s="2618"/>
      <c r="AH37" s="2618"/>
      <c r="AI37" s="2618"/>
      <c r="AJ37" s="2618"/>
      <c r="AK37" s="2618"/>
      <c r="AL37" s="2618"/>
      <c r="AM37" s="2618"/>
    </row>
    <row r="38" spans="1:56" ht="45" customHeight="1">
      <c r="A38" s="133"/>
      <c r="B38" s="1735">
        <v>14</v>
      </c>
      <c r="C38" s="2616" t="s">
        <v>69</v>
      </c>
      <c r="D38" s="2616"/>
      <c r="E38" s="2616"/>
      <c r="F38" s="2616"/>
      <c r="G38" s="2616"/>
      <c r="H38" s="2616"/>
      <c r="I38" s="2616"/>
      <c r="J38" s="2616"/>
      <c r="K38" s="2616"/>
      <c r="L38" s="2616" t="s">
        <v>69</v>
      </c>
      <c r="M38" s="2616"/>
      <c r="N38" s="2616"/>
      <c r="O38" s="2616"/>
      <c r="P38" s="2616"/>
      <c r="Q38" s="2616"/>
      <c r="R38" s="2616" t="s">
        <v>69</v>
      </c>
      <c r="S38" s="2616"/>
      <c r="T38" s="2616"/>
      <c r="U38" s="2616"/>
      <c r="V38" s="2617" t="s">
        <v>69</v>
      </c>
      <c r="W38" s="2617"/>
      <c r="X38" s="2617"/>
      <c r="Y38" s="2617"/>
      <c r="Z38" s="2616" t="s">
        <v>69</v>
      </c>
      <c r="AA38" s="2616"/>
      <c r="AB38" s="2616"/>
      <c r="AC38" s="2616"/>
      <c r="AD38" s="2616"/>
      <c r="AE38" s="2616"/>
      <c r="AF38" s="2618">
        <v>0</v>
      </c>
      <c r="AG38" s="2618"/>
      <c r="AH38" s="2618"/>
      <c r="AI38" s="2618"/>
      <c r="AJ38" s="2618"/>
      <c r="AK38" s="2618"/>
      <c r="AL38" s="2618"/>
      <c r="AM38" s="2618"/>
    </row>
    <row r="39" spans="1:56" ht="45" customHeight="1">
      <c r="A39" s="209"/>
      <c r="B39" s="1736" t="s">
        <v>1129</v>
      </c>
      <c r="C39" s="2616" t="s">
        <v>69</v>
      </c>
      <c r="D39" s="2616"/>
      <c r="E39" s="2616"/>
      <c r="F39" s="2616"/>
      <c r="G39" s="2616"/>
      <c r="H39" s="2616"/>
      <c r="I39" s="2616"/>
      <c r="J39" s="2616"/>
      <c r="K39" s="2616"/>
      <c r="L39" s="2616" t="s">
        <v>69</v>
      </c>
      <c r="M39" s="2616"/>
      <c r="N39" s="2616"/>
      <c r="O39" s="2616"/>
      <c r="P39" s="2616"/>
      <c r="Q39" s="2616"/>
      <c r="R39" s="2616" t="s">
        <v>69</v>
      </c>
      <c r="S39" s="2616"/>
      <c r="T39" s="2616"/>
      <c r="U39" s="2616"/>
      <c r="V39" s="2617" t="s">
        <v>69</v>
      </c>
      <c r="W39" s="2617"/>
      <c r="X39" s="2617"/>
      <c r="Y39" s="2617"/>
      <c r="Z39" s="2620" t="s">
        <v>69</v>
      </c>
      <c r="AA39" s="2620"/>
      <c r="AB39" s="2620"/>
      <c r="AC39" s="2620"/>
      <c r="AD39" s="2620"/>
      <c r="AE39" s="2620"/>
      <c r="AF39" s="2618">
        <v>0</v>
      </c>
      <c r="AG39" s="2618"/>
      <c r="AH39" s="2618"/>
      <c r="AI39" s="2618"/>
      <c r="AJ39" s="2618"/>
      <c r="AK39" s="2618"/>
      <c r="AL39" s="2618"/>
      <c r="AM39" s="2618"/>
    </row>
    <row r="40" spans="1:56" ht="45" customHeight="1">
      <c r="A40" s="69"/>
      <c r="B40" s="764"/>
      <c r="C40" s="2625" t="s">
        <v>1130</v>
      </c>
      <c r="D40" s="2626"/>
      <c r="E40" s="2626"/>
      <c r="F40" s="2626"/>
      <c r="G40" s="2626"/>
      <c r="H40" s="2626"/>
      <c r="I40" s="2626"/>
      <c r="J40" s="2626"/>
      <c r="K40" s="2626"/>
      <c r="L40" s="2626"/>
      <c r="M40" s="2626"/>
      <c r="N40" s="2626"/>
      <c r="O40" s="2626"/>
      <c r="P40" s="2626"/>
      <c r="Q40" s="2626"/>
      <c r="R40" s="2626"/>
      <c r="S40" s="2626"/>
      <c r="T40" s="2626"/>
      <c r="U40" s="2626"/>
      <c r="V40" s="2626"/>
      <c r="W40" s="2626"/>
      <c r="X40" s="2626"/>
      <c r="Y40" s="2626"/>
      <c r="Z40" s="2626"/>
      <c r="AA40" s="2626"/>
      <c r="AB40" s="2626"/>
      <c r="AC40" s="2626"/>
      <c r="AD40" s="2627" t="s">
        <v>1131</v>
      </c>
      <c r="AE40" s="2628"/>
      <c r="AF40" s="2629">
        <f>SUM(AF25:AM39)</f>
        <v>0</v>
      </c>
      <c r="AG40" s="2630"/>
      <c r="AH40" s="2630"/>
      <c r="AI40" s="2630"/>
      <c r="AJ40" s="2630"/>
      <c r="AK40" s="2630"/>
      <c r="AL40" s="2630"/>
      <c r="AM40" s="2631"/>
    </row>
    <row r="41" spans="1:56" ht="5.25" customHeight="1">
      <c r="A41" s="35"/>
      <c r="B41" s="186"/>
      <c r="C41" s="186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68"/>
      <c r="X41" s="68"/>
      <c r="Y41" s="68"/>
      <c r="Z41" s="129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</row>
    <row r="42" spans="1:56" ht="12.75" customHeight="1">
      <c r="A42" s="35"/>
      <c r="B42" s="775"/>
      <c r="C42" s="775"/>
      <c r="D42" s="179"/>
      <c r="E42" s="180"/>
      <c r="F42" s="180"/>
      <c r="G42" s="180"/>
      <c r="H42" s="180"/>
      <c r="I42" s="180"/>
      <c r="J42" s="180"/>
      <c r="K42" s="180"/>
      <c r="L42" s="180"/>
      <c r="M42" s="180"/>
      <c r="N42" s="180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2632" t="s">
        <v>1132</v>
      </c>
      <c r="AB42" s="2632"/>
      <c r="AC42" s="2632"/>
      <c r="AD42" s="2632"/>
      <c r="AE42" s="2632"/>
      <c r="AF42" s="2632"/>
      <c r="AG42" s="2632"/>
      <c r="AH42" s="2632"/>
      <c r="AI42" s="2632"/>
      <c r="AJ42" s="2632"/>
      <c r="AK42" s="2632"/>
      <c r="AL42" s="2632"/>
      <c r="AM42" s="2632"/>
    </row>
    <row r="43" spans="1:56" s="64" customFormat="1" ht="6" customHeight="1"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205"/>
      <c r="AB43" s="205"/>
      <c r="AC43" s="205"/>
      <c r="AD43" s="205"/>
      <c r="AE43" s="205"/>
      <c r="AF43" s="205"/>
      <c r="AG43" s="205"/>
      <c r="AH43" s="205"/>
      <c r="AI43" s="205"/>
      <c r="AJ43" s="205"/>
      <c r="AK43" s="205"/>
      <c r="AL43" s="205"/>
      <c r="AM43" s="205"/>
      <c r="AN43" s="102"/>
      <c r="AO43" s="102"/>
      <c r="AP43" s="102"/>
      <c r="AQ43" s="102"/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/>
      <c r="BD43" s="102"/>
    </row>
    <row r="44" spans="1:56" s="64" customFormat="1" ht="15" customHeight="1">
      <c r="B44" s="102"/>
      <c r="C44" s="187" t="s">
        <v>156</v>
      </c>
      <c r="D44" s="188" t="s">
        <v>69</v>
      </c>
      <c r="E44" s="2475" t="s">
        <v>157</v>
      </c>
      <c r="F44" s="2475"/>
      <c r="G44" s="52" t="s">
        <v>158</v>
      </c>
      <c r="H44" s="2475" t="s">
        <v>1133</v>
      </c>
      <c r="I44" s="2475"/>
      <c r="J44" s="2475"/>
      <c r="K44" s="2475"/>
      <c r="L44" s="2475"/>
      <c r="M44" s="2475"/>
      <c r="N44" s="2475"/>
      <c r="O44" s="2475"/>
      <c r="P44" s="2475"/>
      <c r="Q44" s="2475"/>
      <c r="R44" s="2475"/>
      <c r="S44" s="2475"/>
      <c r="T44" s="2475"/>
      <c r="U44" s="750"/>
      <c r="V44" s="754"/>
      <c r="W44" s="754"/>
      <c r="X44" s="754"/>
      <c r="Y44" s="755"/>
      <c r="Z44" s="60"/>
      <c r="AA44" s="755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102"/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/>
    </row>
    <row r="45" spans="1:56" s="64" customFormat="1" ht="15" customHeight="1">
      <c r="B45" s="102"/>
      <c r="C45" s="88"/>
      <c r="D45" s="188" t="s">
        <v>69</v>
      </c>
      <c r="E45" s="54" t="s">
        <v>1134</v>
      </c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62"/>
      <c r="Z45" s="62"/>
      <c r="AA45" s="6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102"/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</row>
    <row r="46" spans="1:56" s="64" customFormat="1" ht="12.75" customHeight="1">
      <c r="B46" s="102"/>
      <c r="C46" s="88"/>
      <c r="D46" s="188" t="s">
        <v>69</v>
      </c>
      <c r="E46" s="219" t="s">
        <v>1135</v>
      </c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62"/>
      <c r="Z46" s="62"/>
      <c r="AA46" s="6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102"/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</row>
    <row r="47" spans="1:56" s="64" customFormat="1" ht="12.75" customHeight="1">
      <c r="B47" s="102"/>
      <c r="C47" s="88"/>
      <c r="D47" s="188"/>
      <c r="E47" s="54" t="s">
        <v>1136</v>
      </c>
      <c r="F47" s="127"/>
      <c r="G47" s="127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102"/>
      <c r="AV47" s="102"/>
      <c r="AW47" s="102"/>
      <c r="AX47" s="102"/>
      <c r="AY47" s="102"/>
      <c r="AZ47" s="102"/>
      <c r="BA47" s="102"/>
      <c r="BB47" s="102"/>
      <c r="BC47" s="102"/>
      <c r="BD47" s="102"/>
    </row>
    <row r="48" spans="1:56" s="64" customFormat="1" ht="16.5" customHeight="1"/>
    <row r="49" spans="1:56" s="64" customFormat="1" ht="18.75" customHeight="1">
      <c r="B49" s="2624" t="s">
        <v>1111</v>
      </c>
      <c r="C49" s="2624"/>
      <c r="D49" s="2624"/>
      <c r="E49" s="2624"/>
      <c r="F49" s="2624"/>
      <c r="G49" s="2624"/>
      <c r="H49" s="2624"/>
      <c r="I49" s="2624"/>
      <c r="J49" s="2624"/>
      <c r="K49" s="2624"/>
      <c r="L49" s="2624"/>
      <c r="M49" s="2624"/>
      <c r="N49" s="2624"/>
      <c r="O49" s="2624"/>
      <c r="P49" s="2624"/>
      <c r="Q49" s="2624"/>
      <c r="R49" s="2624"/>
      <c r="S49" s="2624"/>
      <c r="T49" s="2624"/>
      <c r="U49" s="2624"/>
      <c r="V49" s="2624"/>
      <c r="W49" s="2624"/>
      <c r="X49" s="2624"/>
      <c r="Y49" s="2624"/>
      <c r="Z49" s="2624"/>
      <c r="AA49" s="2624"/>
      <c r="AB49" s="2623" t="s">
        <v>1112</v>
      </c>
      <c r="AC49" s="2623"/>
      <c r="AD49" s="2623"/>
      <c r="AE49" s="1710">
        <v>1</v>
      </c>
      <c r="AF49" s="63" t="s">
        <v>1113</v>
      </c>
      <c r="AG49" s="1710">
        <v>1</v>
      </c>
      <c r="AH49" s="48" t="s">
        <v>1137</v>
      </c>
      <c r="AI49" s="48"/>
      <c r="AJ49" s="48"/>
      <c r="AL49" s="189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102"/>
      <c r="AX49" s="102"/>
      <c r="AY49" s="102"/>
      <c r="AZ49" s="102"/>
      <c r="BA49" s="102"/>
      <c r="BB49" s="102"/>
      <c r="BC49" s="102"/>
      <c r="BD49" s="102"/>
    </row>
    <row r="50" spans="1:56" s="64" customFormat="1" ht="12.75" customHeight="1">
      <c r="B50" s="102"/>
      <c r="C50" s="88"/>
      <c r="D50" s="188"/>
      <c r="E50" s="54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62"/>
      <c r="Z50" s="62"/>
      <c r="AA50" s="6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2"/>
      <c r="BA50" s="102"/>
      <c r="BB50" s="102"/>
      <c r="BC50" s="102"/>
      <c r="BD50" s="102"/>
    </row>
    <row r="51" spans="1:56" s="64" customFormat="1" ht="12.75" customHeight="1">
      <c r="A51" s="163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65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2"/>
      <c r="BA51" s="102"/>
      <c r="BB51" s="102"/>
      <c r="BC51" s="102"/>
      <c r="BD51" s="102"/>
    </row>
    <row r="52" spans="1:56" s="64" customFormat="1" ht="15" customHeight="1"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2"/>
      <c r="BA52" s="102"/>
      <c r="BB52" s="102"/>
      <c r="BC52" s="102"/>
      <c r="BD52" s="102"/>
    </row>
    <row r="53" spans="1:56" s="64" customFormat="1" ht="15" customHeight="1"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102"/>
      <c r="BB53" s="102"/>
      <c r="BC53" s="102"/>
      <c r="BD53" s="102"/>
    </row>
    <row r="54" spans="1:56" s="64" customFormat="1" ht="15" customHeight="1"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102"/>
      <c r="BC54" s="102"/>
      <c r="BD54" s="102"/>
    </row>
    <row r="55" spans="1:56" s="64" customFormat="1" ht="15" customHeight="1"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102"/>
      <c r="BD55" s="102"/>
    </row>
    <row r="56" spans="1:56" s="64" customFormat="1" ht="15" customHeight="1"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102"/>
    </row>
    <row r="57" spans="1:56" s="64" customFormat="1" ht="15" customHeight="1"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</row>
    <row r="58" spans="1:56" s="64" customFormat="1" ht="15" customHeight="1"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</row>
    <row r="59" spans="1:56" s="64" customFormat="1" ht="15" customHeight="1"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</row>
    <row r="60" spans="1:56" s="64" customFormat="1" ht="15" customHeight="1"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</row>
    <row r="61" spans="1:56" s="64" customFormat="1" ht="15" customHeight="1"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</row>
    <row r="62" spans="1:56" s="64" customFormat="1" ht="15" customHeight="1"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</row>
    <row r="63" spans="1:56" s="64" customFormat="1" ht="15" customHeight="1"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</row>
    <row r="64" spans="1:56" s="64" customFormat="1" ht="15" customHeight="1"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</row>
    <row r="65" spans="2:56" s="64" customFormat="1" ht="15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</row>
    <row r="66" spans="2:56" s="64" customFormat="1" ht="1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</row>
    <row r="67" spans="2:56" s="64" customFormat="1" ht="1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X67" s="102"/>
      <c r="AY67" s="102"/>
      <c r="AZ67" s="102"/>
      <c r="BA67" s="102"/>
      <c r="BB67" s="102"/>
      <c r="BC67" s="102"/>
      <c r="BD67" s="102"/>
    </row>
    <row r="68" spans="2:56" s="64" customFormat="1" ht="1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X68" s="102"/>
      <c r="AY68" s="102"/>
      <c r="AZ68" s="102"/>
      <c r="BA68" s="102"/>
      <c r="BB68" s="102"/>
      <c r="BC68" s="102"/>
      <c r="BD68" s="102"/>
    </row>
    <row r="69" spans="2:56" s="64" customFormat="1" ht="1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X69" s="102"/>
      <c r="AY69" s="102"/>
      <c r="AZ69" s="102"/>
      <c r="BA69" s="102"/>
      <c r="BB69" s="102"/>
      <c r="BC69" s="102"/>
      <c r="BD69" s="102"/>
    </row>
    <row r="70" spans="2:56" s="64" customFormat="1" ht="15" customHeight="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X70" s="102"/>
      <c r="AY70" s="102"/>
      <c r="AZ70" s="102"/>
      <c r="BA70" s="102"/>
      <c r="BB70" s="102"/>
      <c r="BC70" s="102"/>
      <c r="BD70" s="102"/>
    </row>
    <row r="71" spans="2:56" s="64" customFormat="1" ht="15" customHeight="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X71" s="102"/>
      <c r="AY71" s="102"/>
      <c r="AZ71" s="102"/>
      <c r="BA71" s="102"/>
      <c r="BB71" s="102"/>
      <c r="BC71" s="102"/>
      <c r="BD71" s="102"/>
    </row>
    <row r="72" spans="2:56" s="64" customFormat="1" ht="15" customHeight="1"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X72" s="102"/>
      <c r="AY72" s="102"/>
      <c r="AZ72" s="102"/>
      <c r="BA72" s="102"/>
      <c r="BB72" s="102"/>
      <c r="BC72" s="102"/>
      <c r="BD72" s="102"/>
    </row>
    <row r="73" spans="2:56" s="64" customFormat="1" ht="15" customHeight="1"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X73" s="102"/>
      <c r="AY73" s="102"/>
      <c r="AZ73" s="102"/>
      <c r="BA73" s="102"/>
      <c r="BB73" s="102"/>
      <c r="BC73" s="102"/>
      <c r="BD73" s="102"/>
    </row>
    <row r="74" spans="2:56" s="64" customFormat="1" ht="15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2"/>
      <c r="BA74" s="102"/>
      <c r="BB74" s="102"/>
      <c r="BC74" s="102"/>
      <c r="BD74" s="102"/>
    </row>
    <row r="75" spans="2:56" s="64" customFormat="1" ht="1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  <c r="BD75" s="102"/>
    </row>
    <row r="76" spans="2:56" s="64" customFormat="1" ht="1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  <c r="BD76" s="102"/>
    </row>
    <row r="77" spans="2:56" s="64" customFormat="1" ht="1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</row>
    <row r="78" spans="2:56" s="64" customFormat="1" ht="1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</row>
    <row r="79" spans="2:56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</row>
    <row r="80" spans="2:56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</row>
    <row r="81" spans="2:56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</row>
    <row r="82" spans="2:56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</row>
    <row r="83" spans="2:56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</row>
    <row r="84" spans="2:56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</row>
    <row r="85" spans="2:56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</row>
    <row r="86" spans="2:56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</row>
    <row r="87" spans="2:56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</row>
    <row r="88" spans="2:56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</row>
    <row r="89" spans="2:56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</row>
    <row r="90" spans="2:56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</row>
    <row r="91" spans="2:56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</row>
    <row r="92" spans="2:56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</row>
    <row r="93" spans="2:56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</row>
    <row r="94" spans="2:56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</row>
    <row r="95" spans="2:56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</row>
    <row r="96" spans="2:56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</row>
    <row r="97" spans="2:56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</row>
    <row r="98" spans="2:56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</row>
    <row r="99" spans="2:56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</row>
    <row r="100" spans="2:56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</row>
    <row r="101" spans="2:56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</row>
    <row r="102" spans="2:56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</row>
    <row r="103" spans="2:56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</row>
    <row r="104" spans="2:56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</row>
    <row r="105" spans="2:56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</row>
    <row r="106" spans="2:56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</row>
    <row r="107" spans="2:56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</row>
    <row r="108" spans="2:56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</row>
    <row r="109" spans="2:56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</row>
    <row r="110" spans="2:56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</row>
    <row r="111" spans="2:56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</row>
    <row r="112" spans="2:56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</row>
    <row r="113" spans="2:56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</row>
    <row r="114" spans="2:56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</row>
    <row r="115" spans="2:56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</row>
    <row r="116" spans="2:56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</row>
    <row r="117" spans="2:56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</row>
    <row r="118" spans="2:56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</row>
    <row r="119" spans="2:56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</row>
    <row r="120" spans="2:56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</row>
    <row r="121" spans="2:56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  <c r="BD121" s="102"/>
    </row>
    <row r="122" spans="2:56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</row>
    <row r="123" spans="2:56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</row>
    <row r="124" spans="2:56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</row>
    <row r="125" spans="2:56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</row>
    <row r="126" spans="2:56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</row>
    <row r="127" spans="2:56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</row>
    <row r="128" spans="2:56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</row>
    <row r="129" spans="2:56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</row>
    <row r="130" spans="2:56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</row>
    <row r="131" spans="2:56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</row>
    <row r="132" spans="2:56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</row>
    <row r="133" spans="2:56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</row>
    <row r="134" spans="2:56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</row>
    <row r="135" spans="2:56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</row>
    <row r="136" spans="2:56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</row>
    <row r="137" spans="2:56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</row>
    <row r="138" spans="2:56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</row>
    <row r="139" spans="2:56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</row>
    <row r="140" spans="2:56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</row>
    <row r="141" spans="2:56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</row>
    <row r="142" spans="2:56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</row>
    <row r="143" spans="2:56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  <c r="BD143" s="102"/>
    </row>
    <row r="144" spans="2:56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  <c r="BD144" s="102"/>
    </row>
    <row r="145" spans="2:56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</row>
    <row r="146" spans="2:56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</row>
    <row r="147" spans="2:56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</row>
    <row r="148" spans="2:56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</row>
    <row r="149" spans="2:56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</row>
    <row r="150" spans="2:56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  <c r="BD150" s="102"/>
    </row>
    <row r="151" spans="2:56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  <c r="BD151" s="102"/>
    </row>
    <row r="152" spans="2:56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2"/>
      <c r="BA152" s="102"/>
      <c r="BB152" s="102"/>
      <c r="BC152" s="102"/>
      <c r="BD152" s="102"/>
    </row>
    <row r="153" spans="2:56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  <c r="BD153" s="102"/>
    </row>
    <row r="154" spans="2:56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2"/>
      <c r="BA154" s="102"/>
      <c r="BB154" s="102"/>
      <c r="BC154" s="102"/>
      <c r="BD154" s="102"/>
    </row>
    <row r="155" spans="2:56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2"/>
      <c r="BA155" s="102"/>
      <c r="BB155" s="102"/>
      <c r="BC155" s="102"/>
      <c r="BD155" s="102"/>
    </row>
    <row r="156" spans="2:56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2"/>
      <c r="BA156" s="102"/>
      <c r="BB156" s="102"/>
      <c r="BC156" s="102"/>
      <c r="BD156" s="102"/>
    </row>
    <row r="157" spans="2:56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  <c r="BD157" s="102"/>
    </row>
    <row r="158" spans="2:56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</row>
    <row r="159" spans="2:56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  <c r="BD159" s="102"/>
    </row>
    <row r="160" spans="2:56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2"/>
      <c r="BA160" s="102"/>
      <c r="BB160" s="102"/>
      <c r="BC160" s="102"/>
      <c r="BD160" s="102"/>
    </row>
    <row r="161" spans="2:56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2"/>
      <c r="BA161" s="102"/>
      <c r="BB161" s="102"/>
      <c r="BC161" s="102"/>
      <c r="BD161" s="102"/>
    </row>
    <row r="162" spans="2:56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  <c r="BD162" s="102"/>
    </row>
    <row r="163" spans="2:56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2"/>
      <c r="BA163" s="102"/>
      <c r="BB163" s="102"/>
      <c r="BC163" s="102"/>
      <c r="BD163" s="102"/>
    </row>
    <row r="164" spans="2:56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</row>
    <row r="165" spans="2:56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2"/>
      <c r="BA165" s="102"/>
      <c r="BB165" s="102"/>
      <c r="BC165" s="102"/>
      <c r="BD165" s="102"/>
    </row>
    <row r="166" spans="2:56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2"/>
      <c r="BA166" s="102"/>
      <c r="BB166" s="102"/>
      <c r="BC166" s="102"/>
      <c r="BD166" s="102"/>
    </row>
    <row r="167" spans="2:56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  <c r="BA167" s="102"/>
      <c r="BB167" s="102"/>
      <c r="BC167" s="102"/>
      <c r="BD167" s="102"/>
    </row>
    <row r="168" spans="2:56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2"/>
      <c r="BA168" s="102"/>
      <c r="BB168" s="102"/>
      <c r="BC168" s="102"/>
      <c r="BD168" s="102"/>
    </row>
    <row r="169" spans="2:56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2"/>
      <c r="BA169" s="102"/>
      <c r="BB169" s="102"/>
      <c r="BC169" s="102"/>
      <c r="BD169" s="102"/>
    </row>
    <row r="170" spans="2:56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2"/>
      <c r="BA170" s="102"/>
      <c r="BB170" s="102"/>
      <c r="BC170" s="102"/>
      <c r="BD170" s="102"/>
    </row>
    <row r="171" spans="2:56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  <c r="BD171" s="102"/>
    </row>
    <row r="172" spans="2:56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</row>
    <row r="173" spans="2:56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</row>
    <row r="174" spans="2:56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2"/>
      <c r="BA174" s="102"/>
      <c r="BB174" s="102"/>
      <c r="BC174" s="102"/>
      <c r="BD174" s="102"/>
    </row>
    <row r="175" spans="2:56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</row>
    <row r="176" spans="2:56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2"/>
      <c r="BA176" s="102"/>
      <c r="BB176" s="102"/>
      <c r="BC176" s="102"/>
      <c r="BD176" s="102"/>
    </row>
    <row r="177" spans="2:56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2"/>
      <c r="BA177" s="102"/>
      <c r="BB177" s="102"/>
      <c r="BC177" s="102"/>
      <c r="BD177" s="102"/>
    </row>
    <row r="178" spans="2:56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2"/>
      <c r="BA178" s="102"/>
      <c r="BB178" s="102"/>
      <c r="BC178" s="102"/>
      <c r="BD178" s="102"/>
    </row>
    <row r="179" spans="2:56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2"/>
      <c r="BA179" s="102"/>
      <c r="BB179" s="102"/>
      <c r="BC179" s="102"/>
      <c r="BD179" s="102"/>
    </row>
    <row r="180" spans="2:56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2"/>
      <c r="BA180" s="102"/>
      <c r="BB180" s="102"/>
      <c r="BC180" s="102"/>
      <c r="BD180" s="102"/>
    </row>
    <row r="181" spans="2:56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2"/>
      <c r="BA181" s="102"/>
      <c r="BB181" s="102"/>
      <c r="BC181" s="102"/>
      <c r="BD181" s="102"/>
    </row>
    <row r="182" spans="2:56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2"/>
      <c r="BA182" s="102"/>
      <c r="BB182" s="102"/>
      <c r="BC182" s="102"/>
      <c r="BD182" s="102"/>
    </row>
    <row r="183" spans="2:56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2"/>
      <c r="BA183" s="102"/>
      <c r="BB183" s="102"/>
      <c r="BC183" s="102"/>
      <c r="BD183" s="102"/>
    </row>
    <row r="184" spans="2:56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2"/>
      <c r="BA184" s="102"/>
      <c r="BB184" s="102"/>
      <c r="BC184" s="102"/>
      <c r="BD184" s="102"/>
    </row>
    <row r="185" spans="2:56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2"/>
      <c r="BA185" s="102"/>
      <c r="BB185" s="102"/>
      <c r="BC185" s="102"/>
      <c r="BD185" s="102"/>
    </row>
    <row r="186" spans="2:56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2"/>
      <c r="BA186" s="102"/>
      <c r="BB186" s="102"/>
      <c r="BC186" s="102"/>
      <c r="BD186" s="102"/>
    </row>
    <row r="187" spans="2:56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2"/>
      <c r="BA187" s="102"/>
      <c r="BB187" s="102"/>
      <c r="BC187" s="102"/>
      <c r="BD187" s="102"/>
    </row>
    <row r="188" spans="2:56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2"/>
      <c r="BA188" s="102"/>
      <c r="BB188" s="102"/>
      <c r="BC188" s="102"/>
      <c r="BD188" s="102"/>
    </row>
    <row r="189" spans="2:56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2"/>
      <c r="BA189" s="102"/>
      <c r="BB189" s="102"/>
      <c r="BC189" s="102"/>
      <c r="BD189" s="102"/>
    </row>
    <row r="190" spans="2:56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  <c r="BD190" s="102"/>
    </row>
    <row r="191" spans="2:56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</row>
    <row r="192" spans="2:56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  <c r="BD192" s="102"/>
    </row>
    <row r="193" spans="2:56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  <c r="BD193" s="102"/>
    </row>
    <row r="194" spans="2:56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  <c r="BD194" s="102"/>
    </row>
    <row r="195" spans="2:56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</row>
    <row r="196" spans="2:56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  <c r="BD196" s="102"/>
    </row>
    <row r="197" spans="2:56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</row>
    <row r="198" spans="2:56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</row>
    <row r="199" spans="2:56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  <c r="BD199" s="102"/>
    </row>
    <row r="200" spans="2:56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  <c r="BD200" s="102"/>
    </row>
    <row r="201" spans="2:56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  <c r="BD201" s="102"/>
    </row>
    <row r="202" spans="2:56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  <c r="BD202" s="102"/>
    </row>
    <row r="203" spans="2:56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  <c r="BD203" s="102"/>
    </row>
    <row r="204" spans="2:56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  <c r="BD204" s="102"/>
    </row>
    <row r="205" spans="2:56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  <c r="BD205" s="102"/>
    </row>
    <row r="206" spans="2:56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  <c r="BD206" s="102"/>
    </row>
    <row r="207" spans="2:56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  <c r="BD207" s="102"/>
    </row>
    <row r="208" spans="2:56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  <c r="BD208" s="102"/>
    </row>
    <row r="209" spans="2:56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  <c r="BD209" s="102"/>
    </row>
    <row r="210" spans="2:56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  <c r="BD210" s="102"/>
    </row>
    <row r="211" spans="2:56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  <c r="BD211" s="102"/>
    </row>
    <row r="212" spans="2:56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  <c r="BD212" s="102"/>
    </row>
    <row r="213" spans="2:56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  <c r="BD213" s="102"/>
    </row>
    <row r="214" spans="2:56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  <c r="BD214" s="102"/>
    </row>
    <row r="215" spans="2:56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  <c r="BD215" s="102"/>
    </row>
    <row r="216" spans="2:56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  <c r="BD216" s="102"/>
    </row>
    <row r="217" spans="2:56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  <c r="BD217" s="102"/>
    </row>
    <row r="218" spans="2:56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  <c r="BD218" s="102"/>
    </row>
    <row r="219" spans="2:56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</row>
    <row r="220" spans="2:56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</row>
    <row r="221" spans="2:56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</row>
    <row r="222" spans="2:56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  <c r="BD222" s="102"/>
    </row>
    <row r="223" spans="2:56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  <c r="BD223" s="102"/>
    </row>
    <row r="224" spans="2:56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  <c r="BD224" s="102"/>
    </row>
    <row r="225" spans="2:56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  <c r="BD225" s="102"/>
    </row>
    <row r="226" spans="2:56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  <c r="BD226" s="102"/>
    </row>
    <row r="227" spans="2:56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</row>
    <row r="228" spans="2:56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  <c r="BD228" s="102"/>
    </row>
    <row r="229" spans="2:56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</row>
    <row r="230" spans="2:56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</row>
    <row r="231" spans="2:56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</row>
    <row r="232" spans="2:56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  <c r="BD232" s="102"/>
    </row>
    <row r="233" spans="2:56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  <c r="BD233" s="102"/>
    </row>
    <row r="234" spans="2:56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</row>
    <row r="235" spans="2:56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/>
    </row>
    <row r="236" spans="2:56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/>
    </row>
    <row r="237" spans="2:56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  <c r="BD237" s="102"/>
    </row>
    <row r="238" spans="2:56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  <c r="BD238" s="102"/>
    </row>
    <row r="239" spans="2:56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  <c r="BD239" s="102"/>
    </row>
    <row r="240" spans="2:56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  <c r="BD240" s="102"/>
    </row>
    <row r="241" spans="2:56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  <c r="BD241" s="102"/>
    </row>
    <row r="242" spans="2:56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  <c r="BD242" s="102"/>
    </row>
    <row r="243" spans="2:56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</row>
    <row r="244" spans="2:56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</row>
    <row r="245" spans="2:56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</row>
    <row r="246" spans="2:56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  <c r="BD246" s="102"/>
    </row>
    <row r="247" spans="2:56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  <c r="BD247" s="102"/>
    </row>
    <row r="248" spans="2:56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  <c r="BD248" s="102"/>
    </row>
    <row r="249" spans="2:56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  <c r="BD249" s="102"/>
    </row>
    <row r="250" spans="2:56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  <c r="BD250" s="102"/>
    </row>
    <row r="251" spans="2:56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  <c r="BD251" s="102"/>
    </row>
    <row r="252" spans="2:56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  <c r="BD252" s="102"/>
    </row>
    <row r="253" spans="2:56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  <c r="BD253" s="102"/>
    </row>
    <row r="254" spans="2:56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  <c r="BD254" s="102"/>
    </row>
    <row r="255" spans="2:56" s="64" customFormat="1" ht="20.2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  <c r="BD255" s="102"/>
    </row>
    <row r="256" spans="2:56" s="64" customFormat="1" ht="20.2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  <c r="BD256" s="102"/>
    </row>
    <row r="257" spans="2:56" s="64" customFormat="1" ht="20.2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  <c r="BD257" s="102"/>
    </row>
    <row r="258" spans="2:56" s="64" customFormat="1" ht="20.2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  <c r="BD258" s="102"/>
    </row>
    <row r="259" spans="2:56" s="64" customFormat="1" ht="20.2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  <c r="BD259" s="102"/>
    </row>
    <row r="260" spans="2:56" s="64" customFormat="1" ht="20.2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  <c r="BD260" s="102"/>
    </row>
    <row r="261" spans="2:56" s="64" customFormat="1" ht="20.2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  <c r="BD261" s="102"/>
    </row>
    <row r="262" spans="2:56" s="64" customFormat="1" ht="20.2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  <c r="BD262" s="102"/>
    </row>
    <row r="263" spans="2:56" s="64" customFormat="1" ht="20.2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2"/>
      <c r="BA263" s="102"/>
      <c r="BB263" s="102"/>
      <c r="BC263" s="102"/>
      <c r="BD263" s="102"/>
    </row>
    <row r="264" spans="2:56" s="64" customFormat="1" ht="20.2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2"/>
      <c r="BA264" s="102"/>
      <c r="BB264" s="102"/>
      <c r="BC264" s="102"/>
      <c r="BD264" s="102"/>
    </row>
    <row r="265" spans="2:56" s="64" customFormat="1" ht="20.2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  <c r="BD265" s="102"/>
    </row>
    <row r="266" spans="2:56" s="64" customFormat="1" ht="20.2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  <c r="BD266" s="102"/>
    </row>
    <row r="267" spans="2:56" s="64" customFormat="1" ht="20.2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  <c r="BD267" s="102"/>
    </row>
    <row r="268" spans="2:56" s="64" customFormat="1" ht="20.2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2"/>
      <c r="BA268" s="102"/>
      <c r="BB268" s="102"/>
      <c r="BC268" s="102"/>
      <c r="BD268" s="102"/>
    </row>
    <row r="269" spans="2:56" s="64" customFormat="1" ht="20.2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2"/>
      <c r="BA269" s="102"/>
      <c r="BB269" s="102"/>
      <c r="BC269" s="102"/>
      <c r="BD269" s="102"/>
    </row>
    <row r="270" spans="2:56" s="64" customFormat="1" ht="20.2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2"/>
      <c r="BA270" s="102"/>
      <c r="BB270" s="102"/>
      <c r="BC270" s="102"/>
      <c r="BD270" s="102"/>
    </row>
    <row r="271" spans="2:56" s="64" customFormat="1" ht="20.2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2"/>
      <c r="BA271" s="102"/>
      <c r="BB271" s="102"/>
      <c r="BC271" s="102"/>
      <c r="BD271" s="102"/>
    </row>
    <row r="272" spans="2:56" s="64" customFormat="1" ht="20.2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2"/>
      <c r="BA272" s="102"/>
      <c r="BB272" s="102"/>
      <c r="BC272" s="102"/>
      <c r="BD272" s="102"/>
    </row>
    <row r="273" spans="2:56" s="64" customFormat="1" ht="20.2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2"/>
      <c r="BA273" s="102"/>
      <c r="BB273" s="102"/>
      <c r="BC273" s="102"/>
      <c r="BD273" s="102"/>
    </row>
    <row r="274" spans="2:56" s="64" customFormat="1" ht="20.2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2"/>
      <c r="BA274" s="102"/>
      <c r="BB274" s="102"/>
      <c r="BC274" s="102"/>
      <c r="BD274" s="102"/>
    </row>
    <row r="275" spans="2:56" s="64" customFormat="1" ht="20.2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2"/>
      <c r="BA275" s="102"/>
      <c r="BB275" s="102"/>
      <c r="BC275" s="102"/>
      <c r="BD275" s="102"/>
    </row>
    <row r="276" spans="2:56" s="64" customFormat="1" ht="20.2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2"/>
      <c r="BA276" s="102"/>
      <c r="BB276" s="102"/>
      <c r="BC276" s="102"/>
      <c r="BD276" s="102"/>
    </row>
    <row r="277" spans="2:56" s="64" customFormat="1" ht="20.2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2"/>
      <c r="BA277" s="102"/>
      <c r="BB277" s="102"/>
      <c r="BC277" s="102"/>
      <c r="BD277" s="102"/>
    </row>
    <row r="278" spans="2:56" s="64" customFormat="1" ht="20.2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2"/>
      <c r="BA278" s="102"/>
      <c r="BB278" s="102"/>
      <c r="BC278" s="102"/>
      <c r="BD278" s="102"/>
    </row>
    <row r="279" spans="2:56" s="64" customFormat="1" ht="20.2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2"/>
      <c r="BA279" s="102"/>
      <c r="BB279" s="102"/>
      <c r="BC279" s="102"/>
      <c r="BD279" s="102"/>
    </row>
    <row r="280" spans="2:56" s="64" customFormat="1" ht="20.2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2"/>
      <c r="BA280" s="102"/>
      <c r="BB280" s="102"/>
      <c r="BC280" s="102"/>
      <c r="BD280" s="102"/>
    </row>
    <row r="281" spans="2:56" s="64" customFormat="1" ht="20.2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2"/>
      <c r="BA281" s="102"/>
      <c r="BB281" s="102"/>
      <c r="BC281" s="102"/>
      <c r="BD281" s="102"/>
    </row>
    <row r="282" spans="2:56" s="64" customFormat="1" ht="20.2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2"/>
      <c r="BA282" s="102"/>
      <c r="BB282" s="102"/>
      <c r="BC282" s="102"/>
      <c r="BD282" s="102"/>
    </row>
    <row r="283" spans="2:56" s="64" customFormat="1" ht="20.2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2"/>
      <c r="BA283" s="102"/>
      <c r="BB283" s="102"/>
      <c r="BC283" s="102"/>
      <c r="BD283" s="102"/>
    </row>
    <row r="284" spans="2:56" s="64" customFormat="1" ht="20.2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2"/>
      <c r="BA284" s="102"/>
      <c r="BB284" s="102"/>
      <c r="BC284" s="102"/>
      <c r="BD284" s="102"/>
    </row>
    <row r="285" spans="2:56" s="64" customFormat="1" ht="20.2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2"/>
      <c r="BA285" s="102"/>
      <c r="BB285" s="102"/>
      <c r="BC285" s="102"/>
      <c r="BD285" s="102"/>
    </row>
    <row r="286" spans="2:56" s="64" customFormat="1" ht="20.2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2"/>
      <c r="BA286" s="102"/>
      <c r="BB286" s="102"/>
      <c r="BC286" s="102"/>
      <c r="BD286" s="102"/>
    </row>
    <row r="287" spans="2:56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2"/>
      <c r="BA287" s="102"/>
      <c r="BB287" s="102"/>
      <c r="BC287" s="102"/>
      <c r="BD287" s="102"/>
    </row>
    <row r="288" spans="2:56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2"/>
      <c r="BA288" s="102"/>
      <c r="BB288" s="102"/>
      <c r="BC288" s="102"/>
      <c r="BD288" s="102"/>
    </row>
    <row r="289" spans="2:56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2"/>
      <c r="BA289" s="102"/>
      <c r="BB289" s="102"/>
      <c r="BC289" s="102"/>
      <c r="BD289" s="102"/>
    </row>
    <row r="290" spans="2:56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2"/>
      <c r="BA290" s="102"/>
      <c r="BB290" s="102"/>
      <c r="BC290" s="102"/>
      <c r="BD290" s="102"/>
    </row>
    <row r="291" spans="2:56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2"/>
      <c r="BA291" s="102"/>
      <c r="BB291" s="102"/>
      <c r="BC291" s="102"/>
      <c r="BD291" s="102"/>
    </row>
    <row r="292" spans="2:56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2"/>
      <c r="BA292" s="102"/>
      <c r="BB292" s="102"/>
      <c r="BC292" s="102"/>
      <c r="BD292" s="102"/>
    </row>
    <row r="293" spans="2:56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2"/>
      <c r="BA293" s="102"/>
      <c r="BB293" s="102"/>
      <c r="BC293" s="102"/>
      <c r="BD293" s="102"/>
    </row>
    <row r="294" spans="2:56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2"/>
      <c r="BA294" s="102"/>
      <c r="BB294" s="102"/>
      <c r="BC294" s="102"/>
      <c r="BD294" s="102"/>
    </row>
    <row r="295" spans="2:56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2"/>
      <c r="BA295" s="102"/>
      <c r="BB295" s="102"/>
      <c r="BC295" s="102"/>
      <c r="BD295" s="102"/>
    </row>
    <row r="296" spans="2:56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2"/>
      <c r="BA296" s="102"/>
      <c r="BB296" s="102"/>
      <c r="BC296" s="102"/>
      <c r="BD296" s="102"/>
    </row>
    <row r="297" spans="2:56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2"/>
      <c r="BA297" s="102"/>
      <c r="BB297" s="102"/>
      <c r="BC297" s="102"/>
      <c r="BD297" s="102"/>
    </row>
    <row r="298" spans="2:56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2"/>
      <c r="BA298" s="102"/>
      <c r="BB298" s="102"/>
      <c r="BC298" s="102"/>
      <c r="BD298" s="102"/>
    </row>
    <row r="299" spans="2:56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2"/>
      <c r="BA299" s="102"/>
      <c r="BB299" s="102"/>
      <c r="BC299" s="102"/>
      <c r="BD299" s="102"/>
    </row>
    <row r="300" spans="2:56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2"/>
      <c r="BA300" s="102"/>
      <c r="BB300" s="102"/>
      <c r="BC300" s="102"/>
      <c r="BD300" s="102"/>
    </row>
    <row r="301" spans="2:56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  <c r="BD301" s="102"/>
    </row>
    <row r="302" spans="2:56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  <c r="BD302" s="102"/>
    </row>
    <row r="303" spans="2:56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2"/>
      <c r="BA303" s="102"/>
      <c r="BB303" s="102"/>
      <c r="BC303" s="102"/>
      <c r="BD303" s="102"/>
    </row>
    <row r="304" spans="2:56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2"/>
      <c r="BA304" s="102"/>
      <c r="BB304" s="102"/>
      <c r="BC304" s="102"/>
      <c r="BD304" s="102"/>
    </row>
    <row r="305" spans="2:56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2"/>
      <c r="BA305" s="102"/>
      <c r="BB305" s="102"/>
      <c r="BC305" s="102"/>
      <c r="BD305" s="102"/>
    </row>
    <row r="306" spans="2:56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2"/>
      <c r="BA306" s="102"/>
      <c r="BB306" s="102"/>
      <c r="BC306" s="102"/>
      <c r="BD306" s="102"/>
    </row>
    <row r="307" spans="2:56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2"/>
      <c r="BA307" s="102"/>
      <c r="BB307" s="102"/>
      <c r="BC307" s="102"/>
      <c r="BD307" s="102"/>
    </row>
    <row r="308" spans="2:56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2"/>
      <c r="BA308" s="102"/>
      <c r="BB308" s="102"/>
      <c r="BC308" s="102"/>
      <c r="BD308" s="102"/>
    </row>
    <row r="309" spans="2:56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2"/>
      <c r="BA309" s="102"/>
      <c r="BB309" s="102"/>
      <c r="BC309" s="102"/>
      <c r="BD309" s="102"/>
    </row>
    <row r="310" spans="2:56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2"/>
      <c r="BA310" s="102"/>
      <c r="BB310" s="102"/>
      <c r="BC310" s="102"/>
      <c r="BD310" s="102"/>
    </row>
    <row r="311" spans="2:56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2"/>
      <c r="BA311" s="102"/>
      <c r="BB311" s="102"/>
      <c r="BC311" s="102"/>
      <c r="BD311" s="102"/>
    </row>
    <row r="312" spans="2:56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2"/>
      <c r="BA312" s="102"/>
      <c r="BB312" s="102"/>
      <c r="BC312" s="102"/>
      <c r="BD312" s="102"/>
    </row>
    <row r="313" spans="2:56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2"/>
      <c r="BA313" s="102"/>
      <c r="BB313" s="102"/>
      <c r="BC313" s="102"/>
      <c r="BD313" s="102"/>
    </row>
    <row r="314" spans="2:56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2"/>
      <c r="BA314" s="102"/>
      <c r="BB314" s="102"/>
      <c r="BC314" s="102"/>
      <c r="BD314" s="102"/>
    </row>
    <row r="315" spans="2:56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2"/>
      <c r="BA315" s="102"/>
      <c r="BB315" s="102"/>
      <c r="BC315" s="102"/>
      <c r="BD315" s="102"/>
    </row>
    <row r="316" spans="2:56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2"/>
      <c r="BA316" s="102"/>
      <c r="BB316" s="102"/>
      <c r="BC316" s="102"/>
      <c r="BD316" s="102"/>
    </row>
    <row r="317" spans="2:56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2"/>
      <c r="BA317" s="102"/>
      <c r="BB317" s="102"/>
      <c r="BC317" s="102"/>
      <c r="BD317" s="102"/>
    </row>
    <row r="318" spans="2:56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2"/>
      <c r="BA318" s="102"/>
      <c r="BB318" s="102"/>
      <c r="BC318" s="102"/>
      <c r="BD318" s="102"/>
    </row>
    <row r="319" spans="2:56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2"/>
      <c r="BA319" s="102"/>
      <c r="BB319" s="102"/>
      <c r="BC319" s="102"/>
      <c r="BD319" s="102"/>
    </row>
    <row r="320" spans="2:56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2"/>
      <c r="BA320" s="102"/>
      <c r="BB320" s="102"/>
      <c r="BC320" s="102"/>
      <c r="BD320" s="102"/>
    </row>
    <row r="321" spans="2:56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2"/>
      <c r="BA321" s="102"/>
      <c r="BB321" s="102"/>
      <c r="BC321" s="102"/>
      <c r="BD321" s="102"/>
    </row>
    <row r="322" spans="2:56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2"/>
      <c r="BA322" s="102"/>
      <c r="BB322" s="102"/>
      <c r="BC322" s="102"/>
      <c r="BD322" s="102"/>
    </row>
    <row r="323" spans="2:56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2"/>
      <c r="BA323" s="102"/>
      <c r="BB323" s="102"/>
      <c r="BC323" s="102"/>
      <c r="BD323" s="102"/>
    </row>
    <row r="324" spans="2:56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2"/>
      <c r="BA324" s="102"/>
      <c r="BB324" s="102"/>
      <c r="BC324" s="102"/>
      <c r="BD324" s="102"/>
    </row>
    <row r="325" spans="2:56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2"/>
      <c r="BA325" s="102"/>
      <c r="BB325" s="102"/>
      <c r="BC325" s="102"/>
      <c r="BD325" s="102"/>
    </row>
    <row r="326" spans="2:56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2"/>
      <c r="BA326" s="102"/>
      <c r="BB326" s="102"/>
      <c r="BC326" s="102"/>
      <c r="BD326" s="102"/>
    </row>
    <row r="327" spans="2:56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2"/>
      <c r="BA327" s="102"/>
      <c r="BB327" s="102"/>
      <c r="BC327" s="102"/>
      <c r="BD327" s="102"/>
    </row>
    <row r="328" spans="2:56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2"/>
      <c r="BA328" s="102"/>
      <c r="BB328" s="102"/>
      <c r="BC328" s="102"/>
      <c r="BD328" s="102"/>
    </row>
    <row r="329" spans="2:56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2"/>
      <c r="BA329" s="102"/>
      <c r="BB329" s="102"/>
      <c r="BC329" s="102"/>
      <c r="BD329" s="102"/>
    </row>
    <row r="330" spans="2:56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2"/>
      <c r="BA330" s="102"/>
      <c r="BB330" s="102"/>
      <c r="BC330" s="102"/>
      <c r="BD330" s="102"/>
    </row>
    <row r="331" spans="2:56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2"/>
      <c r="BA331" s="102"/>
      <c r="BB331" s="102"/>
      <c r="BC331" s="102"/>
      <c r="BD331" s="102"/>
    </row>
    <row r="332" spans="2:56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2"/>
      <c r="BA332" s="102"/>
      <c r="BB332" s="102"/>
      <c r="BC332" s="102"/>
      <c r="BD332" s="102"/>
    </row>
    <row r="333" spans="2:56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2"/>
      <c r="BA333" s="102"/>
      <c r="BB333" s="102"/>
      <c r="BC333" s="102"/>
      <c r="BD333" s="102"/>
    </row>
    <row r="334" spans="2:56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2"/>
      <c r="BA334" s="102"/>
      <c r="BB334" s="102"/>
      <c r="BC334" s="102"/>
      <c r="BD334" s="102"/>
    </row>
    <row r="335" spans="2:56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2"/>
      <c r="BA335" s="102"/>
      <c r="BB335" s="102"/>
      <c r="BC335" s="102"/>
      <c r="BD335" s="102"/>
    </row>
    <row r="336" spans="2:56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2"/>
      <c r="BA336" s="102"/>
      <c r="BB336" s="102"/>
      <c r="BC336" s="102"/>
      <c r="BD336" s="102"/>
    </row>
    <row r="337" spans="2:56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  <c r="BD337" s="102"/>
    </row>
    <row r="338" spans="2:56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  <c r="BD338" s="102"/>
    </row>
    <row r="339" spans="2:56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2"/>
      <c r="BA339" s="102"/>
      <c r="BB339" s="102"/>
      <c r="BC339" s="102"/>
      <c r="BD339" s="102"/>
    </row>
    <row r="340" spans="2:56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2"/>
      <c r="BA340" s="102"/>
      <c r="BB340" s="102"/>
      <c r="BC340" s="102"/>
      <c r="BD340" s="102"/>
    </row>
    <row r="341" spans="2:56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2"/>
      <c r="BA341" s="102"/>
      <c r="BB341" s="102"/>
      <c r="BC341" s="102"/>
      <c r="BD341" s="102"/>
    </row>
    <row r="342" spans="2:56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2"/>
      <c r="BA342" s="102"/>
      <c r="BB342" s="102"/>
      <c r="BC342" s="102"/>
      <c r="BD342" s="102"/>
    </row>
    <row r="343" spans="2:56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2"/>
      <c r="BA343" s="102"/>
      <c r="BB343" s="102"/>
      <c r="BC343" s="102"/>
      <c r="BD343" s="102"/>
    </row>
    <row r="344" spans="2:56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2"/>
      <c r="BA344" s="102"/>
      <c r="BB344" s="102"/>
      <c r="BC344" s="102"/>
      <c r="BD344" s="102"/>
    </row>
    <row r="345" spans="2:56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2"/>
      <c r="BA345" s="102"/>
      <c r="BB345" s="102"/>
      <c r="BC345" s="102"/>
      <c r="BD345" s="102"/>
    </row>
    <row r="346" spans="2:56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2"/>
      <c r="BA346" s="102"/>
      <c r="BB346" s="102"/>
      <c r="BC346" s="102"/>
      <c r="BD346" s="102"/>
    </row>
    <row r="347" spans="2:56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2"/>
      <c r="BA347" s="102"/>
      <c r="BB347" s="102"/>
      <c r="BC347" s="102"/>
      <c r="BD347" s="102"/>
    </row>
    <row r="348" spans="2:56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2"/>
      <c r="BA348" s="102"/>
      <c r="BB348" s="102"/>
      <c r="BC348" s="102"/>
      <c r="BD348" s="102"/>
    </row>
    <row r="349" spans="2:56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2"/>
      <c r="BA349" s="102"/>
      <c r="BB349" s="102"/>
      <c r="BC349" s="102"/>
      <c r="BD349" s="102"/>
    </row>
    <row r="350" spans="2:56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2"/>
      <c r="BA350" s="102"/>
      <c r="BB350" s="102"/>
      <c r="BC350" s="102"/>
      <c r="BD350" s="102"/>
    </row>
    <row r="351" spans="2:56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2"/>
      <c r="BA351" s="102"/>
      <c r="BB351" s="102"/>
      <c r="BC351" s="102"/>
      <c r="BD351" s="102"/>
    </row>
    <row r="352" spans="2:56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2"/>
      <c r="BA352" s="102"/>
      <c r="BB352" s="102"/>
      <c r="BC352" s="102"/>
      <c r="BD352" s="102"/>
    </row>
    <row r="353" spans="2:56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2"/>
      <c r="BA353" s="102"/>
      <c r="BB353" s="102"/>
      <c r="BC353" s="102"/>
      <c r="BD353" s="102"/>
    </row>
    <row r="354" spans="2:56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2"/>
      <c r="BA354" s="102"/>
      <c r="BB354" s="102"/>
      <c r="BC354" s="102"/>
      <c r="BD354" s="102"/>
    </row>
    <row r="355" spans="2:56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2"/>
      <c r="BA355" s="102"/>
      <c r="BB355" s="102"/>
      <c r="BC355" s="102"/>
      <c r="BD355" s="102"/>
    </row>
    <row r="356" spans="2:56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2"/>
      <c r="BA356" s="102"/>
      <c r="BB356" s="102"/>
      <c r="BC356" s="102"/>
      <c r="BD356" s="102"/>
    </row>
    <row r="357" spans="2:56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2"/>
      <c r="BA357" s="102"/>
      <c r="BB357" s="102"/>
      <c r="BC357" s="102"/>
      <c r="BD357" s="102"/>
    </row>
    <row r="358" spans="2:56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2"/>
      <c r="BA358" s="102"/>
      <c r="BB358" s="102"/>
      <c r="BC358" s="102"/>
      <c r="BD358" s="102"/>
    </row>
    <row r="359" spans="2:56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2"/>
      <c r="BA359" s="102"/>
      <c r="BB359" s="102"/>
      <c r="BC359" s="102"/>
      <c r="BD359" s="102"/>
    </row>
    <row r="360" spans="2:56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2"/>
      <c r="BA360" s="102"/>
      <c r="BB360" s="102"/>
      <c r="BC360" s="102"/>
      <c r="BD360" s="102"/>
    </row>
    <row r="361" spans="2:56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2"/>
      <c r="BA361" s="102"/>
      <c r="BB361" s="102"/>
      <c r="BC361" s="102"/>
      <c r="BD361" s="102"/>
    </row>
    <row r="362" spans="2:56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2"/>
      <c r="BA362" s="102"/>
      <c r="BB362" s="102"/>
      <c r="BC362" s="102"/>
      <c r="BD362" s="102"/>
    </row>
    <row r="363" spans="2:56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2"/>
      <c r="BA363" s="102"/>
      <c r="BB363" s="102"/>
      <c r="BC363" s="102"/>
      <c r="BD363" s="102"/>
    </row>
    <row r="364" spans="2:56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2"/>
      <c r="BA364" s="102"/>
      <c r="BB364" s="102"/>
      <c r="BC364" s="102"/>
      <c r="BD364" s="102"/>
    </row>
    <row r="365" spans="2:56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2"/>
      <c r="BA365" s="102"/>
      <c r="BB365" s="102"/>
      <c r="BC365" s="102"/>
      <c r="BD365" s="102"/>
    </row>
    <row r="366" spans="2:56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2"/>
      <c r="BA366" s="102"/>
      <c r="BB366" s="102"/>
      <c r="BC366" s="102"/>
      <c r="BD366" s="102"/>
    </row>
    <row r="367" spans="2:56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2"/>
      <c r="BA367" s="102"/>
      <c r="BB367" s="102"/>
      <c r="BC367" s="102"/>
      <c r="BD367" s="102"/>
    </row>
    <row r="368" spans="2:56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2"/>
      <c r="BA368" s="102"/>
      <c r="BB368" s="102"/>
      <c r="BC368" s="102"/>
      <c r="BD368" s="102"/>
    </row>
    <row r="369" spans="2:56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2"/>
      <c r="BA369" s="102"/>
      <c r="BB369" s="102"/>
      <c r="BC369" s="102"/>
      <c r="BD369" s="102"/>
    </row>
    <row r="370" spans="2:56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2"/>
      <c r="BA370" s="102"/>
      <c r="BB370" s="102"/>
      <c r="BC370" s="102"/>
      <c r="BD370" s="102"/>
    </row>
    <row r="371" spans="2:56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2"/>
      <c r="BA371" s="102"/>
      <c r="BB371" s="102"/>
      <c r="BC371" s="102"/>
      <c r="BD371" s="102"/>
    </row>
    <row r="372" spans="2:56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2"/>
      <c r="BA372" s="102"/>
      <c r="BB372" s="102"/>
      <c r="BC372" s="102"/>
      <c r="BD372" s="102"/>
    </row>
    <row r="373" spans="2:56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2"/>
      <c r="BA373" s="102"/>
      <c r="BB373" s="102"/>
      <c r="BC373" s="102"/>
      <c r="BD373" s="102"/>
    </row>
    <row r="374" spans="2:56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2"/>
      <c r="BA374" s="102"/>
      <c r="BB374" s="102"/>
      <c r="BC374" s="102"/>
      <c r="BD374" s="102"/>
    </row>
    <row r="375" spans="2:56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2"/>
      <c r="BA375" s="102"/>
      <c r="BB375" s="102"/>
      <c r="BC375" s="102"/>
      <c r="BD375" s="102"/>
    </row>
    <row r="376" spans="2:56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2"/>
      <c r="BA376" s="102"/>
      <c r="BB376" s="102"/>
      <c r="BC376" s="102"/>
      <c r="BD376" s="102"/>
    </row>
    <row r="377" spans="2:56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2"/>
      <c r="BA377" s="102"/>
      <c r="BB377" s="102"/>
      <c r="BC377" s="102"/>
      <c r="BD377" s="102"/>
    </row>
    <row r="378" spans="2:56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2"/>
      <c r="BA378" s="102"/>
      <c r="BB378" s="102"/>
      <c r="BC378" s="102"/>
      <c r="BD378" s="102"/>
    </row>
    <row r="379" spans="2:56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2"/>
      <c r="BA379" s="102"/>
      <c r="BB379" s="102"/>
      <c r="BC379" s="102"/>
      <c r="BD379" s="102"/>
    </row>
    <row r="380" spans="2:56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2"/>
      <c r="BA380" s="102"/>
      <c r="BB380" s="102"/>
      <c r="BC380" s="102"/>
      <c r="BD380" s="102"/>
    </row>
    <row r="381" spans="2:56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2"/>
      <c r="BA381" s="102"/>
      <c r="BB381" s="102"/>
      <c r="BC381" s="102"/>
      <c r="BD381" s="102"/>
    </row>
    <row r="382" spans="2:56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2"/>
      <c r="BA382" s="102"/>
      <c r="BB382" s="102"/>
      <c r="BC382" s="102"/>
      <c r="BD382" s="102"/>
    </row>
    <row r="383" spans="2:56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2"/>
      <c r="BA383" s="102"/>
      <c r="BB383" s="102"/>
      <c r="BC383" s="102"/>
      <c r="BD383" s="102"/>
    </row>
    <row r="384" spans="2:56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2"/>
      <c r="BA384" s="102"/>
      <c r="BB384" s="102"/>
      <c r="BC384" s="102"/>
      <c r="BD384" s="102"/>
    </row>
    <row r="385" spans="2:56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2"/>
      <c r="BA385" s="102"/>
      <c r="BB385" s="102"/>
      <c r="BC385" s="102"/>
      <c r="BD385" s="102"/>
    </row>
    <row r="386" spans="2:56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2"/>
      <c r="BA386" s="102"/>
      <c r="BB386" s="102"/>
      <c r="BC386" s="102"/>
      <c r="BD386" s="102"/>
    </row>
    <row r="387" spans="2:56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2"/>
      <c r="BA387" s="102"/>
      <c r="BB387" s="102"/>
      <c r="BC387" s="102"/>
      <c r="BD387" s="102"/>
    </row>
    <row r="388" spans="2:56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2"/>
      <c r="BA388" s="102"/>
      <c r="BB388" s="102"/>
      <c r="BC388" s="102"/>
      <c r="BD388" s="102"/>
    </row>
    <row r="389" spans="2:56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2"/>
      <c r="BA389" s="102"/>
      <c r="BB389" s="102"/>
      <c r="BC389" s="102"/>
      <c r="BD389" s="102"/>
    </row>
    <row r="390" spans="2:56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2"/>
      <c r="BA390" s="102"/>
      <c r="BB390" s="102"/>
      <c r="BC390" s="102"/>
      <c r="BD390" s="102"/>
    </row>
    <row r="391" spans="2:56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2"/>
      <c r="BA391" s="102"/>
      <c r="BB391" s="102"/>
      <c r="BC391" s="102"/>
      <c r="BD391" s="102"/>
    </row>
    <row r="392" spans="2:56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2"/>
      <c r="BA392" s="102"/>
      <c r="BB392" s="102"/>
      <c r="BC392" s="102"/>
      <c r="BD392" s="102"/>
    </row>
    <row r="393" spans="2:56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2"/>
      <c r="BA393" s="102"/>
      <c r="BB393" s="102"/>
      <c r="BC393" s="102"/>
      <c r="BD393" s="102"/>
    </row>
    <row r="394" spans="2:56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2"/>
      <c r="BA394" s="102"/>
      <c r="BB394" s="102"/>
      <c r="BC394" s="102"/>
      <c r="BD394" s="102"/>
    </row>
    <row r="395" spans="2:56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2"/>
      <c r="BA395" s="102"/>
      <c r="BB395" s="102"/>
      <c r="BC395" s="102"/>
      <c r="BD395" s="102"/>
    </row>
    <row r="396" spans="2:56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2"/>
      <c r="BA396" s="102"/>
      <c r="BB396" s="102"/>
      <c r="BC396" s="102"/>
      <c r="BD396" s="102"/>
    </row>
    <row r="397" spans="2:56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2"/>
      <c r="BA397" s="102"/>
      <c r="BB397" s="102"/>
      <c r="BC397" s="102"/>
      <c r="BD397" s="102"/>
    </row>
    <row r="398" spans="2:56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2"/>
      <c r="BA398" s="102"/>
      <c r="BB398" s="102"/>
      <c r="BC398" s="102"/>
      <c r="BD398" s="102"/>
    </row>
    <row r="399" spans="2:56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2"/>
      <c r="BA399" s="102"/>
      <c r="BB399" s="102"/>
      <c r="BC399" s="102"/>
      <c r="BD399" s="102"/>
    </row>
    <row r="400" spans="2:56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2"/>
      <c r="BA400" s="102"/>
      <c r="BB400" s="102"/>
      <c r="BC400" s="102"/>
      <c r="BD400" s="102"/>
    </row>
    <row r="401" spans="2:56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2"/>
      <c r="BA401" s="102"/>
      <c r="BB401" s="102"/>
      <c r="BC401" s="102"/>
      <c r="BD401" s="102"/>
    </row>
    <row r="402" spans="2:56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2"/>
      <c r="BA402" s="102"/>
      <c r="BB402" s="102"/>
      <c r="BC402" s="102"/>
      <c r="BD402" s="102"/>
    </row>
    <row r="403" spans="2:56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2"/>
      <c r="BA403" s="102"/>
      <c r="BB403" s="102"/>
      <c r="BC403" s="102"/>
      <c r="BD403" s="102"/>
    </row>
    <row r="404" spans="2:56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2"/>
      <c r="BA404" s="102"/>
      <c r="BB404" s="102"/>
      <c r="BC404" s="102"/>
      <c r="BD404" s="102"/>
    </row>
    <row r="405" spans="2:56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2"/>
      <c r="BA405" s="102"/>
      <c r="BB405" s="102"/>
      <c r="BC405" s="102"/>
      <c r="BD405" s="102"/>
    </row>
    <row r="406" spans="2:56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2"/>
      <c r="BA406" s="102"/>
      <c r="BB406" s="102"/>
      <c r="BC406" s="102"/>
      <c r="BD406" s="102"/>
    </row>
    <row r="407" spans="2:56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2"/>
      <c r="BA407" s="102"/>
      <c r="BB407" s="102"/>
      <c r="BC407" s="102"/>
      <c r="BD407" s="102"/>
    </row>
    <row r="408" spans="2:56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2"/>
      <c r="BA408" s="102"/>
      <c r="BB408" s="102"/>
      <c r="BC408" s="102"/>
      <c r="BD408" s="102"/>
    </row>
  </sheetData>
  <mergeCells count="132">
    <mergeCell ref="AB49:AD49"/>
    <mergeCell ref="B49:AA49"/>
    <mergeCell ref="C40:AC40"/>
    <mergeCell ref="AD40:AE40"/>
    <mergeCell ref="AF40:AM40"/>
    <mergeCell ref="AA42:AM42"/>
    <mergeCell ref="E44:F44"/>
    <mergeCell ref="H44:T44"/>
    <mergeCell ref="C39:K39"/>
    <mergeCell ref="L39:Q39"/>
    <mergeCell ref="R39:U39"/>
    <mergeCell ref="V39:Y39"/>
    <mergeCell ref="Z39:AE39"/>
    <mergeCell ref="AF39:AM39"/>
    <mergeCell ref="C38:K38"/>
    <mergeCell ref="L38:Q38"/>
    <mergeCell ref="R38:U38"/>
    <mergeCell ref="V38:Y38"/>
    <mergeCell ref="Z38:AE38"/>
    <mergeCell ref="AF38:AM38"/>
    <mergeCell ref="C37:K37"/>
    <mergeCell ref="L37:Q37"/>
    <mergeCell ref="R37:U37"/>
    <mergeCell ref="V37:Y37"/>
    <mergeCell ref="Z37:AE37"/>
    <mergeCell ref="AF37:AM37"/>
    <mergeCell ref="C36:K36"/>
    <mergeCell ref="L36:Q36"/>
    <mergeCell ref="R36:U36"/>
    <mergeCell ref="V36:Y36"/>
    <mergeCell ref="Z36:AE36"/>
    <mergeCell ref="AF36:AM36"/>
    <mergeCell ref="C35:K35"/>
    <mergeCell ref="L35:Q35"/>
    <mergeCell ref="R35:U35"/>
    <mergeCell ref="V35:Y35"/>
    <mergeCell ref="Z35:AE35"/>
    <mergeCell ref="AF35:AM35"/>
    <mergeCell ref="C34:K34"/>
    <mergeCell ref="L34:Q34"/>
    <mergeCell ref="R34:U34"/>
    <mergeCell ref="V34:Y34"/>
    <mergeCell ref="Z34:AE34"/>
    <mergeCell ref="AF34:AM34"/>
    <mergeCell ref="C33:K33"/>
    <mergeCell ref="L33:Q33"/>
    <mergeCell ref="R33:U33"/>
    <mergeCell ref="V33:Y33"/>
    <mergeCell ref="Z33:AE33"/>
    <mergeCell ref="AF33:AM33"/>
    <mergeCell ref="C32:K32"/>
    <mergeCell ref="L32:Q32"/>
    <mergeCell ref="R32:U32"/>
    <mergeCell ref="V32:Y32"/>
    <mergeCell ref="Z32:AE32"/>
    <mergeCell ref="AF32:AM32"/>
    <mergeCell ref="C31:K31"/>
    <mergeCell ref="L31:Q31"/>
    <mergeCell ref="R31:U31"/>
    <mergeCell ref="V31:Y31"/>
    <mergeCell ref="Z31:AE31"/>
    <mergeCell ref="AF31:AM31"/>
    <mergeCell ref="C30:K30"/>
    <mergeCell ref="L30:Q30"/>
    <mergeCell ref="R30:U30"/>
    <mergeCell ref="V30:Y30"/>
    <mergeCell ref="Z30:AE30"/>
    <mergeCell ref="AF30:AM30"/>
    <mergeCell ref="C29:K29"/>
    <mergeCell ref="L29:Q29"/>
    <mergeCell ref="R29:U29"/>
    <mergeCell ref="V29:Y29"/>
    <mergeCell ref="Z29:AE29"/>
    <mergeCell ref="AF29:AM29"/>
    <mergeCell ref="C28:K28"/>
    <mergeCell ref="L28:Q28"/>
    <mergeCell ref="R28:U28"/>
    <mergeCell ref="V28:Y28"/>
    <mergeCell ref="Z28:AE28"/>
    <mergeCell ref="AF28:AM28"/>
    <mergeCell ref="C27:K27"/>
    <mergeCell ref="L27:Q27"/>
    <mergeCell ref="R27:U27"/>
    <mergeCell ref="V27:Y27"/>
    <mergeCell ref="Z27:AE27"/>
    <mergeCell ref="AF27:AM27"/>
    <mergeCell ref="C24:K24"/>
    <mergeCell ref="L24:P24"/>
    <mergeCell ref="R24:U24"/>
    <mergeCell ref="V24:Y24"/>
    <mergeCell ref="E12:O12"/>
    <mergeCell ref="AB12:AE12"/>
    <mergeCell ref="AG12:AK12"/>
    <mergeCell ref="E20:AM20"/>
    <mergeCell ref="C26:K26"/>
    <mergeCell ref="L26:Q26"/>
    <mergeCell ref="R26:U26"/>
    <mergeCell ref="V26:Y26"/>
    <mergeCell ref="Z26:AE26"/>
    <mergeCell ref="AF26:AM26"/>
    <mergeCell ref="Z24:AE24"/>
    <mergeCell ref="AF24:AM24"/>
    <mergeCell ref="C25:K25"/>
    <mergeCell ref="L25:Q25"/>
    <mergeCell ref="R25:U25"/>
    <mergeCell ref="V25:Y25"/>
    <mergeCell ref="Z25:AE25"/>
    <mergeCell ref="AF25:AM25"/>
    <mergeCell ref="B22:B23"/>
    <mergeCell ref="C22:K23"/>
    <mergeCell ref="L22:Q23"/>
    <mergeCell ref="R22:Y22"/>
    <mergeCell ref="Z22:AE23"/>
    <mergeCell ref="AF22:AM23"/>
    <mergeCell ref="AI3:AJ4"/>
    <mergeCell ref="AK3:AL4"/>
    <mergeCell ref="I4:AC5"/>
    <mergeCell ref="L6:AB9"/>
    <mergeCell ref="B8:H8"/>
    <mergeCell ref="AE8:AF8"/>
    <mergeCell ref="AG8:AH8"/>
    <mergeCell ref="AJ8:AK8"/>
    <mergeCell ref="AL8:AM8"/>
    <mergeCell ref="B9:H9"/>
    <mergeCell ref="B3:B7"/>
    <mergeCell ref="C3:H6"/>
    <mergeCell ref="I3:AC3"/>
    <mergeCell ref="AD3:AD9"/>
    <mergeCell ref="AE3:AF4"/>
    <mergeCell ref="AG3:AH4"/>
    <mergeCell ref="R23:U23"/>
    <mergeCell ref="V23:Y23"/>
  </mergeCells>
  <printOptions horizontalCentered="1"/>
  <pageMargins left="0.11811023622047245" right="0.11811023622047245" top="0.39370078740157483" bottom="0.19685039370078741" header="0" footer="0"/>
  <pageSetup paperSize="5" scale="75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9" tint="0.39997558519241921"/>
  </sheetPr>
  <dimension ref="A1:BC440"/>
  <sheetViews>
    <sheetView showGridLines="0" view="pageBreakPreview" topLeftCell="A70" zoomScaleSheetLayoutView="100" workbookViewId="0">
      <selection activeCell="Z58" sqref="Z58:AL64"/>
    </sheetView>
  </sheetViews>
  <sheetFormatPr defaultColWidth="9.140625" defaultRowHeight="12.75"/>
  <cols>
    <col min="1" max="1" width="3.7109375" style="64" customWidth="1"/>
    <col min="2" max="2" width="3" style="102" customWidth="1"/>
    <col min="3" max="3" width="5" style="102" customWidth="1"/>
    <col min="4" max="4" width="3.7109375" style="102" customWidth="1"/>
    <col min="5" max="5" width="3.28515625" style="102" customWidth="1"/>
    <col min="6" max="6" width="3" style="102" customWidth="1"/>
    <col min="7" max="7" width="2.85546875" style="102" customWidth="1"/>
    <col min="8" max="8" width="5.7109375" style="102" customWidth="1"/>
    <col min="9" max="9" width="0.42578125" style="102" hidden="1" customWidth="1"/>
    <col min="10" max="10" width="8.140625" style="102" customWidth="1"/>
    <col min="11" max="27" width="3.7109375" style="102" customWidth="1"/>
    <col min="28" max="28" width="3.85546875" style="102" customWidth="1"/>
    <col min="29" max="30" width="3.7109375" style="102" customWidth="1"/>
    <col min="31" max="31" width="4" style="102" customWidth="1"/>
    <col min="32" max="32" width="4.28515625" style="102" customWidth="1"/>
    <col min="33" max="33" width="4.42578125" style="102" customWidth="1"/>
    <col min="34" max="36" width="3.7109375" style="102" customWidth="1"/>
    <col min="37" max="37" width="3.5703125" style="102" customWidth="1"/>
    <col min="38" max="38" width="4" style="102" customWidth="1"/>
    <col min="39" max="39" width="1.28515625" style="102" customWidth="1"/>
    <col min="40" max="93" width="2.85546875" style="102" customWidth="1"/>
    <col min="94" max="187" width="3.85546875" style="102" customWidth="1"/>
    <col min="188" max="16384" width="9.140625" style="102"/>
  </cols>
  <sheetData>
    <row r="1" spans="1:38" ht="12.75" customHeight="1">
      <c r="A1" s="103"/>
      <c r="B1" s="10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64"/>
      <c r="AL1" s="165"/>
    </row>
    <row r="2" spans="1:38" ht="5.25" customHeight="1">
      <c r="A2" s="106"/>
      <c r="B2" s="10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64"/>
      <c r="AL2" s="104"/>
    </row>
    <row r="3" spans="1:38" ht="15" customHeight="1">
      <c r="B3" s="2637" t="s">
        <v>758</v>
      </c>
      <c r="C3" s="2556" t="s">
        <v>1020</v>
      </c>
      <c r="D3" s="2556"/>
      <c r="E3" s="2556"/>
      <c r="F3" s="2556"/>
      <c r="G3" s="2556"/>
      <c r="H3" s="2557"/>
      <c r="I3" s="2599" t="s">
        <v>997</v>
      </c>
      <c r="J3" s="2600"/>
      <c r="K3" s="2600"/>
      <c r="L3" s="2600"/>
      <c r="M3" s="2600"/>
      <c r="N3" s="2600"/>
      <c r="O3" s="2600"/>
      <c r="P3" s="2600"/>
      <c r="Q3" s="2600"/>
      <c r="R3" s="2600"/>
      <c r="S3" s="2600"/>
      <c r="T3" s="2600"/>
      <c r="U3" s="2600"/>
      <c r="V3" s="2600"/>
      <c r="W3" s="2600"/>
      <c r="X3" s="2600"/>
      <c r="Y3" s="2600"/>
      <c r="Z3" s="2600"/>
      <c r="AA3" s="2600"/>
      <c r="AB3" s="2601"/>
      <c r="AC3" s="2638" t="s">
        <v>762</v>
      </c>
      <c r="AD3" s="2507">
        <f>'FE-1770-I-hal 1'!AF3</f>
        <v>0</v>
      </c>
      <c r="AE3" s="2507"/>
      <c r="AF3" s="2507">
        <f>'FE-1770-I-hal 1'!AH3</f>
        <v>0</v>
      </c>
      <c r="AG3" s="2507"/>
      <c r="AH3" s="2507">
        <f>'FE-1770-I-hal 1'!AJ3</f>
        <v>0</v>
      </c>
      <c r="AI3" s="2507"/>
      <c r="AJ3" s="2507">
        <f>'FE-1770-I-hal 1'!AL3</f>
        <v>0</v>
      </c>
      <c r="AK3" s="2507"/>
      <c r="AL3" s="408"/>
    </row>
    <row r="4" spans="1:38" ht="21" customHeight="1">
      <c r="B4" s="2637"/>
      <c r="C4" s="2633" t="s">
        <v>120</v>
      </c>
      <c r="D4" s="2633"/>
      <c r="E4" s="2633"/>
      <c r="F4" s="2633"/>
      <c r="G4" s="2633"/>
      <c r="H4" s="2634"/>
      <c r="I4" s="2511" t="s">
        <v>1071</v>
      </c>
      <c r="J4" s="2512"/>
      <c r="K4" s="2512"/>
      <c r="L4" s="2512"/>
      <c r="M4" s="2512"/>
      <c r="N4" s="2512"/>
      <c r="O4" s="2512"/>
      <c r="P4" s="2512"/>
      <c r="Q4" s="2512"/>
      <c r="R4" s="2512"/>
      <c r="S4" s="2512"/>
      <c r="T4" s="2512"/>
      <c r="U4" s="2512"/>
      <c r="V4" s="2512"/>
      <c r="W4" s="2512"/>
      <c r="X4" s="2512"/>
      <c r="Y4" s="2512"/>
      <c r="Z4" s="2512"/>
      <c r="AA4" s="2512"/>
      <c r="AB4" s="2513"/>
      <c r="AC4" s="2638"/>
      <c r="AD4" s="2507"/>
      <c r="AE4" s="2507"/>
      <c r="AF4" s="2507"/>
      <c r="AG4" s="2507"/>
      <c r="AH4" s="2507"/>
      <c r="AI4" s="2507"/>
      <c r="AJ4" s="2507"/>
      <c r="AK4" s="2507"/>
      <c r="AL4" s="408"/>
    </row>
    <row r="5" spans="1:38" ht="15" customHeight="1" thickBot="1">
      <c r="B5" s="2637"/>
      <c r="C5" s="2633"/>
      <c r="D5" s="2633"/>
      <c r="E5" s="2633"/>
      <c r="F5" s="2633"/>
      <c r="G5" s="2633"/>
      <c r="H5" s="2634"/>
      <c r="I5" s="2514"/>
      <c r="J5" s="2515"/>
      <c r="K5" s="2515"/>
      <c r="L5" s="2515"/>
      <c r="M5" s="2515"/>
      <c r="N5" s="2515"/>
      <c r="O5" s="2515"/>
      <c r="P5" s="2515"/>
      <c r="Q5" s="2515"/>
      <c r="R5" s="2515"/>
      <c r="S5" s="2515"/>
      <c r="T5" s="2515"/>
      <c r="U5" s="2515"/>
      <c r="V5" s="2515"/>
      <c r="W5" s="2515"/>
      <c r="X5" s="2515"/>
      <c r="Y5" s="2515"/>
      <c r="Z5" s="2515"/>
      <c r="AA5" s="2515"/>
      <c r="AB5" s="2516"/>
      <c r="AC5" s="2638"/>
      <c r="AD5" s="104"/>
      <c r="AE5" s="104"/>
      <c r="AF5" s="104"/>
      <c r="AG5" s="104"/>
      <c r="AH5" s="408"/>
      <c r="AI5" s="104"/>
      <c r="AJ5" s="104"/>
      <c r="AK5" s="104"/>
      <c r="AL5" s="104"/>
    </row>
    <row r="6" spans="1:38" ht="5.0999999999999996" customHeight="1">
      <c r="B6" s="2637"/>
      <c r="C6" s="2633"/>
      <c r="D6" s="2633"/>
      <c r="E6" s="2633"/>
      <c r="F6" s="2633"/>
      <c r="G6" s="2633"/>
      <c r="H6" s="2634"/>
      <c r="I6" s="746"/>
      <c r="J6" s="474"/>
      <c r="K6" s="1237"/>
      <c r="L6" s="1237"/>
      <c r="M6" s="1237"/>
      <c r="N6" s="1237"/>
      <c r="O6" s="1237"/>
      <c r="P6" s="1237"/>
      <c r="Q6" s="1237"/>
      <c r="R6" s="1237"/>
      <c r="S6" s="1237"/>
      <c r="T6" s="1237"/>
      <c r="U6" s="1237"/>
      <c r="V6" s="1237"/>
      <c r="W6" s="1237"/>
      <c r="X6" s="1237"/>
      <c r="Y6" s="1237"/>
      <c r="Z6" s="1237"/>
      <c r="AA6" s="1237"/>
      <c r="AB6" s="1238"/>
      <c r="AC6" s="2638"/>
      <c r="AD6" s="104"/>
      <c r="AE6" s="104"/>
      <c r="AF6" s="104"/>
      <c r="AG6" s="104"/>
      <c r="AH6" s="408"/>
      <c r="AI6" s="104"/>
      <c r="AJ6" s="104"/>
      <c r="AK6" s="104"/>
      <c r="AL6" s="104"/>
    </row>
    <row r="7" spans="1:38" s="380" customFormat="1" ht="19.5" customHeight="1">
      <c r="A7" s="9"/>
      <c r="B7" s="2637"/>
      <c r="C7" s="2633"/>
      <c r="D7" s="2633"/>
      <c r="E7" s="2633"/>
      <c r="F7" s="2633"/>
      <c r="G7" s="2633"/>
      <c r="H7" s="2634"/>
      <c r="I7" s="751"/>
      <c r="J7" s="1236" t="s">
        <v>6</v>
      </c>
      <c r="K7" s="385" t="s">
        <v>1072</v>
      </c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  <c r="AA7" s="385"/>
      <c r="AB7" s="1239"/>
      <c r="AC7" s="2638"/>
      <c r="AD7" s="1698" t="str">
        <f>'FE-1770-I-hal 1'!AF6</f>
        <v>0</v>
      </c>
      <c r="AE7" s="1698" t="str">
        <f>'FE-1770-I-hal 1'!AG6</f>
        <v>1</v>
      </c>
      <c r="AF7" s="1698" t="str">
        <f>'FE-1770-I-hal 1'!AH6</f>
        <v>0</v>
      </c>
      <c r="AG7" s="1698" t="str">
        <f>'FE-1770-I-hal 1'!AI6</f>
        <v>0</v>
      </c>
      <c r="AH7" s="748" t="s">
        <v>999</v>
      </c>
      <c r="AI7" s="1698" t="str">
        <f>'FE-1770-I-hal 1'!AK6</f>
        <v>0</v>
      </c>
      <c r="AJ7" s="1698" t="str">
        <f>'FE-1770-I-hal 1'!AL6</f>
        <v>1</v>
      </c>
      <c r="AK7" s="1698" t="str">
        <f>'FE-1770-I-hal 1'!AM6</f>
        <v>0</v>
      </c>
      <c r="AL7" s="1698" t="str">
        <f>'FE-1770-I-hal 1'!AN6</f>
        <v>0</v>
      </c>
    </row>
    <row r="8" spans="1:38" ht="17.25" customHeight="1">
      <c r="B8" s="2531" t="s">
        <v>759</v>
      </c>
      <c r="C8" s="2531"/>
      <c r="D8" s="2531"/>
      <c r="E8" s="2531"/>
      <c r="F8" s="2531"/>
      <c r="G8" s="2531"/>
      <c r="H8" s="2532"/>
      <c r="I8" s="104"/>
      <c r="J8" s="475" t="s">
        <v>6</v>
      </c>
      <c r="K8" s="2521" t="s">
        <v>1021</v>
      </c>
      <c r="L8" s="2521"/>
      <c r="M8" s="2521"/>
      <c r="N8" s="2521"/>
      <c r="O8" s="2521"/>
      <c r="P8" s="2521"/>
      <c r="Q8" s="2521"/>
      <c r="R8" s="2521"/>
      <c r="S8" s="2521"/>
      <c r="T8" s="2521"/>
      <c r="U8" s="2521"/>
      <c r="V8" s="2521"/>
      <c r="W8" s="2521"/>
      <c r="X8" s="2521"/>
      <c r="Y8" s="2521"/>
      <c r="Z8" s="2521"/>
      <c r="AA8" s="2521"/>
      <c r="AB8" s="2635"/>
      <c r="AC8" s="2638"/>
      <c r="AD8" s="2526" t="s">
        <v>764</v>
      </c>
      <c r="AE8" s="2526"/>
      <c r="AF8" s="2527" t="s">
        <v>763</v>
      </c>
      <c r="AG8" s="2636"/>
      <c r="AH8" s="415"/>
      <c r="AI8" s="2527" t="s">
        <v>764</v>
      </c>
      <c r="AJ8" s="2636"/>
      <c r="AK8" s="2527" t="s">
        <v>763</v>
      </c>
      <c r="AL8" s="2636"/>
    </row>
    <row r="9" spans="1:38" ht="18.75" customHeight="1">
      <c r="B9" s="2648" t="s">
        <v>1074</v>
      </c>
      <c r="C9" s="2648"/>
      <c r="D9" s="2648"/>
      <c r="E9" s="2648"/>
      <c r="F9" s="2648"/>
      <c r="G9" s="2648"/>
      <c r="H9" s="2649"/>
      <c r="I9" s="104"/>
      <c r="J9" s="476" t="s">
        <v>6</v>
      </c>
      <c r="K9" s="385" t="s">
        <v>1022</v>
      </c>
      <c r="L9" s="409"/>
      <c r="M9" s="409"/>
      <c r="N9" s="409"/>
      <c r="O9" s="409"/>
      <c r="P9" s="409"/>
      <c r="Q9" s="409"/>
      <c r="R9" s="409"/>
      <c r="S9" s="409"/>
      <c r="T9" s="409"/>
      <c r="U9" s="409"/>
      <c r="V9" s="409"/>
      <c r="W9" s="409"/>
      <c r="X9" s="409"/>
      <c r="Y9" s="409"/>
      <c r="Z9" s="409"/>
      <c r="AA9" s="409"/>
      <c r="AB9" s="477"/>
      <c r="AC9" s="2638"/>
      <c r="AD9" s="792" t="str">
        <f>IF('FE-1770-I-hal 1'!AF8="x","x","")</f>
        <v/>
      </c>
      <c r="AE9" s="478" t="s">
        <v>1025</v>
      </c>
      <c r="AF9" s="104"/>
      <c r="AG9" s="104"/>
      <c r="AH9" s="792" t="str">
        <f>IF('FE-1770-I-hal 1'!AJ8="x","x","")</f>
        <v/>
      </c>
      <c r="AI9" s="478" t="s">
        <v>1029</v>
      </c>
      <c r="AJ9" s="104"/>
      <c r="AK9" s="104"/>
      <c r="AL9" s="104"/>
    </row>
    <row r="10" spans="1:38" ht="3.75" customHeight="1">
      <c r="C10" s="62"/>
      <c r="D10" s="62"/>
      <c r="E10" s="62"/>
      <c r="F10" s="62"/>
      <c r="G10" s="62"/>
      <c r="H10" s="225"/>
      <c r="I10" s="104"/>
      <c r="J10" s="104"/>
      <c r="K10" s="104"/>
      <c r="L10" s="479"/>
      <c r="M10" s="479"/>
      <c r="N10" s="479"/>
      <c r="O10" s="479"/>
      <c r="P10" s="479"/>
      <c r="Q10" s="479"/>
      <c r="R10" s="479"/>
      <c r="S10" s="479"/>
      <c r="T10" s="479"/>
      <c r="U10" s="479"/>
      <c r="V10" s="479"/>
      <c r="W10" s="479"/>
      <c r="X10" s="479"/>
      <c r="Y10" s="479"/>
      <c r="Z10" s="479"/>
      <c r="AA10" s="479"/>
      <c r="AB10" s="480"/>
      <c r="AC10" s="2638"/>
      <c r="AD10" s="104"/>
      <c r="AE10" s="104"/>
      <c r="AF10" s="618"/>
      <c r="AG10" s="104"/>
      <c r="AH10" s="104"/>
      <c r="AI10" s="104"/>
      <c r="AJ10" s="472"/>
      <c r="AK10" s="618"/>
      <c r="AL10" s="618"/>
    </row>
    <row r="11" spans="1:38" ht="3" customHeight="1" thickBot="1">
      <c r="B11" s="112"/>
      <c r="C11" s="113"/>
      <c r="D11" s="12"/>
      <c r="E11" s="12"/>
      <c r="F11" s="12"/>
      <c r="G11" s="13"/>
      <c r="H11" s="14"/>
      <c r="I11" s="473"/>
      <c r="J11" s="481"/>
      <c r="K11" s="481"/>
      <c r="L11" s="481"/>
      <c r="M11" s="481"/>
      <c r="N11" s="481"/>
      <c r="O11" s="481"/>
      <c r="P11" s="481"/>
      <c r="Q11" s="481"/>
      <c r="R11" s="481"/>
      <c r="S11" s="481"/>
      <c r="T11" s="481"/>
      <c r="U11" s="481"/>
      <c r="V11" s="481"/>
      <c r="W11" s="481"/>
      <c r="X11" s="481"/>
      <c r="Y11" s="481"/>
      <c r="Z11" s="481"/>
      <c r="AA11" s="481"/>
      <c r="AB11" s="482"/>
      <c r="AC11" s="2639"/>
      <c r="AD11" s="104"/>
      <c r="AE11" s="104"/>
      <c r="AF11" s="104"/>
      <c r="AG11" s="104"/>
      <c r="AH11" s="420"/>
      <c r="AI11" s="104"/>
      <c r="AJ11" s="104"/>
      <c r="AK11" s="104"/>
      <c r="AL11" s="104"/>
    </row>
    <row r="12" spans="1:38" ht="3.75" customHeight="1">
      <c r="B12" s="18"/>
      <c r="C12" s="114"/>
      <c r="D12" s="20"/>
      <c r="E12" s="20"/>
      <c r="F12" s="20"/>
      <c r="G12" s="21"/>
      <c r="H12" s="22"/>
      <c r="I12" s="23"/>
      <c r="J12" s="115"/>
      <c r="K12" s="115"/>
      <c r="L12" s="115"/>
      <c r="M12" s="115"/>
      <c r="N12" s="115"/>
      <c r="O12" s="115"/>
      <c r="P12" s="115"/>
      <c r="Q12" s="115"/>
      <c r="R12" s="115"/>
      <c r="S12" s="114"/>
      <c r="T12" s="114"/>
      <c r="U12" s="115"/>
      <c r="V12" s="115"/>
      <c r="W12" s="115"/>
      <c r="X12" s="115"/>
      <c r="Y12" s="26"/>
      <c r="Z12" s="116"/>
      <c r="AA12" s="116"/>
      <c r="AB12" s="114"/>
      <c r="AC12" s="18"/>
      <c r="AD12" s="114"/>
      <c r="AE12" s="114"/>
      <c r="AF12" s="114"/>
      <c r="AG12" s="114"/>
      <c r="AH12" s="28"/>
      <c r="AI12" s="114"/>
      <c r="AJ12" s="114"/>
      <c r="AK12" s="114"/>
      <c r="AL12" s="114"/>
    </row>
    <row r="13" spans="1:38" s="30" customFormat="1" ht="15" customHeight="1">
      <c r="A13" s="29"/>
      <c r="B13" s="167" t="s">
        <v>1075</v>
      </c>
      <c r="C13" s="167"/>
      <c r="D13" s="167"/>
      <c r="E13" s="777" t="s">
        <v>6</v>
      </c>
      <c r="F13" s="2537" t="s">
        <v>824</v>
      </c>
      <c r="G13" s="2537"/>
      <c r="H13" s="2537"/>
      <c r="I13" s="2537"/>
      <c r="J13" s="2537"/>
      <c r="K13" s="2537"/>
      <c r="L13" s="2537"/>
      <c r="M13" s="2537"/>
      <c r="N13" s="2537"/>
      <c r="O13" s="2537"/>
      <c r="P13" s="777" t="s">
        <v>6</v>
      </c>
      <c r="Q13" s="32" t="s">
        <v>825</v>
      </c>
      <c r="T13" s="33"/>
      <c r="U13" s="33"/>
      <c r="V13" s="33"/>
      <c r="W13" s="33"/>
      <c r="X13" s="33"/>
      <c r="Y13" s="29"/>
      <c r="AA13" s="777" t="s">
        <v>6</v>
      </c>
      <c r="AB13" s="2537" t="s">
        <v>1118</v>
      </c>
      <c r="AC13" s="2537"/>
      <c r="AD13" s="2537"/>
      <c r="AE13" s="2650"/>
      <c r="AF13" s="34"/>
      <c r="AG13" s="2537" t="s">
        <v>826</v>
      </c>
      <c r="AH13" s="2537"/>
      <c r="AI13" s="2537"/>
      <c r="AJ13" s="2537"/>
      <c r="AK13" s="2537"/>
      <c r="AL13" s="2537"/>
    </row>
    <row r="14" spans="1:38" ht="4.5" customHeight="1" thickBot="1">
      <c r="B14" s="64"/>
      <c r="C14" s="64"/>
      <c r="D14" s="749"/>
      <c r="E14" s="749"/>
      <c r="F14" s="749"/>
      <c r="G14" s="749"/>
      <c r="H14" s="749"/>
      <c r="I14" s="749"/>
      <c r="J14" s="64"/>
      <c r="K14" s="64"/>
      <c r="L14" s="64"/>
      <c r="M14" s="64"/>
      <c r="N14" s="64"/>
      <c r="O14" s="117"/>
      <c r="P14" s="117"/>
      <c r="Q14" s="117"/>
      <c r="R14" s="117"/>
      <c r="S14" s="117"/>
      <c r="T14" s="117"/>
      <c r="U14" s="117"/>
      <c r="V14" s="117"/>
      <c r="W14" s="117"/>
      <c r="X14" s="117"/>
      <c r="Y14" s="16"/>
      <c r="Z14" s="118"/>
      <c r="AA14" s="118"/>
      <c r="AB14" s="64"/>
      <c r="AC14" s="17"/>
      <c r="AD14" s="37"/>
      <c r="AE14" s="10"/>
      <c r="AF14" s="10"/>
      <c r="AG14" s="10"/>
      <c r="AH14" s="10"/>
      <c r="AI14" s="33"/>
      <c r="AJ14" s="33"/>
      <c r="AK14" s="33"/>
      <c r="AL14" s="33"/>
    </row>
    <row r="15" spans="1:38" ht="6.75" customHeight="1">
      <c r="B15" s="304"/>
      <c r="C15" s="236"/>
      <c r="D15" s="236"/>
      <c r="E15" s="236"/>
      <c r="F15" s="305"/>
      <c r="G15" s="305"/>
      <c r="H15" s="305"/>
      <c r="I15" s="305"/>
      <c r="J15" s="114"/>
      <c r="K15" s="114"/>
      <c r="L15" s="114"/>
      <c r="M15" s="114"/>
      <c r="N15" s="114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26"/>
      <c r="Z15" s="116"/>
      <c r="AA15" s="116"/>
      <c r="AB15" s="114"/>
      <c r="AC15" s="18"/>
      <c r="AD15" s="238"/>
      <c r="AE15" s="28"/>
      <c r="AF15" s="28"/>
      <c r="AG15" s="28"/>
      <c r="AH15" s="28"/>
      <c r="AI15" s="28"/>
      <c r="AJ15" s="28"/>
      <c r="AK15" s="28"/>
      <c r="AL15" s="239"/>
    </row>
    <row r="16" spans="1:38" ht="20.100000000000001" customHeight="1">
      <c r="B16" s="366" t="s">
        <v>392</v>
      </c>
      <c r="C16" s="127"/>
      <c r="D16" s="127"/>
      <c r="E16" s="127"/>
      <c r="F16" s="54"/>
      <c r="G16" s="54"/>
      <c r="H16" s="42" t="s">
        <v>13</v>
      </c>
      <c r="I16" s="41"/>
      <c r="J16" s="64"/>
      <c r="K16" s="1423" t="str">
        <f>'FE-1770-I-hal 1'!N14</f>
        <v/>
      </c>
      <c r="L16" s="1423" t="str">
        <f>'FE-1770-I-hal 1'!O14</f>
        <v/>
      </c>
      <c r="M16" s="387"/>
      <c r="N16" s="1423" t="str">
        <f>'FE-1770-I-hal 1'!Q14</f>
        <v/>
      </c>
      <c r="O16" s="1423" t="str">
        <f>'FE-1770-I-hal 1'!R14</f>
        <v/>
      </c>
      <c r="P16" s="1423" t="str">
        <f>'FE-1770-I-hal 1'!S14</f>
        <v/>
      </c>
      <c r="Q16" s="64"/>
      <c r="R16" s="1423" t="str">
        <f>'FE-1770-I-hal 1'!U14</f>
        <v/>
      </c>
      <c r="S16" s="1423" t="str">
        <f>'FE-1770-I-hal 1'!V14</f>
        <v/>
      </c>
      <c r="T16" s="1423" t="str">
        <f>'FE-1770-I-hal 1'!W14</f>
        <v/>
      </c>
      <c r="U16" s="64"/>
      <c r="V16" s="1423" t="str">
        <f>'FE-1770-I-hal 1'!Y14</f>
        <v/>
      </c>
      <c r="W16" s="106"/>
      <c r="X16" s="1423" t="str">
        <f>'FE-1770-I-hal 1'!AA14</f>
        <v/>
      </c>
      <c r="Y16" s="1423" t="str">
        <f>'FE-1770-I-hal 1'!AB14</f>
        <v/>
      </c>
      <c r="Z16" s="1423" t="str">
        <f>'FE-1770-I-hal 1'!AC14</f>
        <v/>
      </c>
      <c r="AA16" s="64"/>
      <c r="AB16" s="1423" t="str">
        <f>'FE-1770-I-hal 1'!AE14</f>
        <v/>
      </c>
      <c r="AC16" s="1423" t="str">
        <f>'FE-1770-I-hal 1'!AF14</f>
        <v/>
      </c>
      <c r="AD16" s="1423" t="str">
        <f>'FE-1770-I-hal 1'!AG14</f>
        <v/>
      </c>
      <c r="AE16" s="64"/>
      <c r="AF16" s="64"/>
      <c r="AG16" s="64"/>
      <c r="AH16" s="106"/>
      <c r="AI16" s="64"/>
      <c r="AJ16" s="64"/>
      <c r="AK16" s="64"/>
      <c r="AL16" s="307"/>
    </row>
    <row r="17" spans="1:50" ht="6" customHeight="1">
      <c r="B17" s="367"/>
      <c r="C17" s="127"/>
      <c r="D17" s="127"/>
      <c r="E17" s="127"/>
      <c r="F17" s="54"/>
      <c r="G17" s="54"/>
      <c r="H17" s="54"/>
      <c r="I17" s="35"/>
      <c r="J17" s="9"/>
      <c r="K17" s="64"/>
      <c r="L17" s="64"/>
      <c r="M17" s="106"/>
      <c r="N17" s="106"/>
      <c r="O17" s="64"/>
      <c r="P17" s="106"/>
      <c r="Q17" s="106"/>
      <c r="R17" s="106"/>
      <c r="S17" s="106"/>
      <c r="T17" s="106"/>
      <c r="U17" s="106"/>
      <c r="V17" s="106"/>
      <c r="W17" s="106"/>
      <c r="X17" s="106"/>
      <c r="Y17" s="106"/>
      <c r="Z17" s="106"/>
      <c r="AA17" s="106"/>
      <c r="AB17" s="106"/>
      <c r="AC17" s="106"/>
      <c r="AD17" s="106"/>
      <c r="AE17" s="106"/>
      <c r="AF17" s="106"/>
      <c r="AG17" s="106"/>
      <c r="AH17" s="106"/>
      <c r="AI17" s="106"/>
      <c r="AJ17" s="106"/>
      <c r="AK17" s="64"/>
      <c r="AL17" s="307"/>
    </row>
    <row r="18" spans="1:50" ht="20.100000000000001" customHeight="1">
      <c r="B18" s="366" t="s">
        <v>765</v>
      </c>
      <c r="C18" s="127"/>
      <c r="D18" s="127"/>
      <c r="E18" s="127"/>
      <c r="F18" s="54"/>
      <c r="G18" s="54"/>
      <c r="H18" s="45" t="s">
        <v>13</v>
      </c>
      <c r="I18" s="35"/>
      <c r="J18" s="64"/>
      <c r="K18" s="1699" t="str">
        <f>'FE-1770-I-hal 1'!N16</f>
        <v/>
      </c>
      <c r="L18" s="1711"/>
      <c r="M18" s="1711"/>
      <c r="N18" s="1711"/>
      <c r="O18" s="1711"/>
      <c r="P18" s="1711"/>
      <c r="Q18" s="1711"/>
      <c r="R18" s="1711"/>
      <c r="S18" s="1711"/>
      <c r="T18" s="1711"/>
      <c r="U18" s="1711"/>
      <c r="V18" s="1711"/>
      <c r="W18" s="1711"/>
      <c r="X18" s="1711"/>
      <c r="Y18" s="1711"/>
      <c r="Z18" s="1711"/>
      <c r="AA18" s="1711"/>
      <c r="AB18" s="1711"/>
      <c r="AC18" s="1711"/>
      <c r="AD18" s="1711"/>
      <c r="AE18" s="1711"/>
      <c r="AF18" s="1711"/>
      <c r="AG18" s="1711"/>
      <c r="AH18" s="1711"/>
      <c r="AI18" s="1711"/>
      <c r="AJ18" s="119"/>
      <c r="AK18" s="119"/>
      <c r="AL18" s="307"/>
    </row>
    <row r="19" spans="1:50" ht="8.25" customHeight="1" thickBot="1">
      <c r="B19" s="309"/>
      <c r="C19" s="310"/>
      <c r="D19" s="310"/>
      <c r="E19" s="310"/>
      <c r="F19" s="311"/>
      <c r="G19" s="312"/>
      <c r="H19" s="312"/>
      <c r="I19" s="312"/>
      <c r="J19" s="313"/>
      <c r="K19" s="113"/>
      <c r="L19" s="113"/>
      <c r="M19" s="113"/>
      <c r="N19" s="113"/>
      <c r="O19" s="315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316"/>
    </row>
    <row r="20" spans="1:50" ht="8.25" customHeight="1">
      <c r="G20" s="35"/>
      <c r="M20" s="104"/>
      <c r="N20" s="104"/>
      <c r="O20" s="618"/>
      <c r="P20" s="104"/>
      <c r="Q20" s="104"/>
      <c r="R20" s="104"/>
      <c r="S20" s="104"/>
      <c r="T20" s="104"/>
      <c r="U20" s="104"/>
      <c r="V20" s="104"/>
      <c r="W20" s="104"/>
      <c r="X20" s="104"/>
      <c r="Y20" s="104"/>
      <c r="Z20" s="120"/>
      <c r="AA20" s="106"/>
      <c r="AB20" s="106"/>
      <c r="AC20" s="106"/>
      <c r="AD20" s="106"/>
      <c r="AE20" s="106"/>
      <c r="AF20" s="106"/>
      <c r="AG20" s="106"/>
      <c r="AH20" s="106"/>
      <c r="AI20" s="106"/>
      <c r="AJ20" s="106"/>
      <c r="AK20" s="106"/>
      <c r="AL20" s="64"/>
    </row>
    <row r="21" spans="1:50" s="402" customFormat="1" ht="16.5" customHeight="1">
      <c r="A21" s="47"/>
      <c r="B21" s="121" t="s">
        <v>1076</v>
      </c>
      <c r="E21" s="121" t="s">
        <v>1077</v>
      </c>
      <c r="F21" s="122"/>
      <c r="G21" s="122"/>
      <c r="H21" s="122"/>
      <c r="I21" s="122"/>
      <c r="J21" s="122"/>
      <c r="K21" s="122"/>
      <c r="L21" s="122"/>
      <c r="M21" s="122"/>
      <c r="N21" s="122"/>
      <c r="O21" s="122"/>
      <c r="P21" s="122"/>
      <c r="Q21" s="122"/>
      <c r="R21" s="122"/>
      <c r="S21" s="122"/>
      <c r="T21" s="122"/>
      <c r="U21" s="122"/>
      <c r="V21" s="122"/>
      <c r="W21" s="122"/>
      <c r="X21" s="122"/>
      <c r="Y21" s="122"/>
      <c r="Z21" s="122"/>
      <c r="AA21" s="122"/>
      <c r="AB21" s="122"/>
      <c r="AC21" s="122"/>
      <c r="AD21" s="122"/>
      <c r="AE21" s="122"/>
      <c r="AF21" s="122"/>
      <c r="AG21" s="122"/>
      <c r="AH21" s="122"/>
      <c r="AI21" s="122"/>
      <c r="AJ21" s="122"/>
      <c r="AK21" s="122"/>
      <c r="AL21" s="122"/>
    </row>
    <row r="22" spans="1:50" s="402" customFormat="1" ht="15" customHeight="1">
      <c r="A22" s="47"/>
      <c r="E22" s="2539" t="s">
        <v>1078</v>
      </c>
      <c r="F22" s="2539"/>
      <c r="G22" s="2539"/>
      <c r="H22" s="2539"/>
      <c r="I22" s="2539"/>
      <c r="J22" s="2539"/>
      <c r="K22" s="2539"/>
      <c r="L22" s="2539"/>
      <c r="M22" s="2539"/>
      <c r="N22" s="2539"/>
      <c r="O22" s="2539"/>
      <c r="P22" s="2539"/>
      <c r="Q22" s="2539"/>
      <c r="R22" s="2539"/>
      <c r="S22" s="2539"/>
      <c r="T22" s="2539"/>
      <c r="U22" s="2539"/>
      <c r="V22" s="2539"/>
      <c r="W22" s="2539"/>
      <c r="X22" s="2539"/>
      <c r="Y22" s="2539"/>
      <c r="Z22" s="2539"/>
      <c r="AA22" s="2539"/>
      <c r="AB22" s="2539"/>
      <c r="AC22" s="2539"/>
      <c r="AD22" s="124"/>
      <c r="AE22" s="124"/>
      <c r="AF22" s="124"/>
      <c r="AG22" s="124"/>
      <c r="AH22" s="124"/>
      <c r="AI22" s="124"/>
      <c r="AJ22" s="124"/>
      <c r="AK22" s="124"/>
      <c r="AL22" s="124"/>
    </row>
    <row r="23" spans="1:50" ht="6.95" customHeight="1">
      <c r="A23" s="69"/>
      <c r="B23" s="2640"/>
      <c r="C23" s="2640"/>
      <c r="D23" s="2640"/>
      <c r="E23" s="2640"/>
      <c r="F23" s="2640"/>
      <c r="G23" s="2640"/>
      <c r="H23" s="2640"/>
      <c r="I23" s="2640"/>
      <c r="J23" s="2640"/>
      <c r="K23" s="2640"/>
      <c r="L23" s="2640"/>
      <c r="M23" s="2640"/>
      <c r="N23" s="2640"/>
      <c r="O23" s="2640"/>
      <c r="P23" s="2640"/>
      <c r="Q23" s="2640"/>
      <c r="R23" s="2640"/>
      <c r="S23" s="2640"/>
      <c r="T23" s="2640"/>
      <c r="U23" s="2640"/>
      <c r="V23" s="2640"/>
      <c r="W23" s="2640"/>
      <c r="X23" s="2640"/>
      <c r="Y23" s="2641"/>
      <c r="Z23" s="2641"/>
      <c r="AA23" s="2641"/>
      <c r="AB23" s="2641"/>
      <c r="AC23" s="2641"/>
      <c r="AD23" s="2641"/>
      <c r="AE23" s="2641"/>
      <c r="AF23" s="2641"/>
      <c r="AG23" s="2641"/>
      <c r="AH23" s="2641"/>
      <c r="AI23" s="2641"/>
      <c r="AJ23" s="2641"/>
      <c r="AK23" s="2641"/>
      <c r="AL23" s="2641"/>
    </row>
    <row r="24" spans="1:50" ht="35.25" customHeight="1">
      <c r="A24" s="47"/>
      <c r="B24" s="2642" t="s">
        <v>123</v>
      </c>
      <c r="C24" s="2643"/>
      <c r="D24" s="2644" t="s">
        <v>1079</v>
      </c>
      <c r="E24" s="2645"/>
      <c r="F24" s="2645"/>
      <c r="G24" s="2645"/>
      <c r="H24" s="2645"/>
      <c r="I24" s="2645"/>
      <c r="J24" s="2645"/>
      <c r="K24" s="2645"/>
      <c r="L24" s="2645"/>
      <c r="M24" s="2645"/>
      <c r="N24" s="2646"/>
      <c r="O24" s="2644" t="s">
        <v>1080</v>
      </c>
      <c r="P24" s="2645"/>
      <c r="Q24" s="2645"/>
      <c r="R24" s="2645"/>
      <c r="S24" s="2645"/>
      <c r="T24" s="2645"/>
      <c r="U24" s="2645"/>
      <c r="V24" s="2646"/>
      <c r="W24" s="2644" t="s">
        <v>1081</v>
      </c>
      <c r="X24" s="2645"/>
      <c r="Y24" s="2646"/>
      <c r="Z24" s="2643" t="s">
        <v>1082</v>
      </c>
      <c r="AA24" s="2643"/>
      <c r="AB24" s="2643"/>
      <c r="AC24" s="2643"/>
      <c r="AD24" s="2643"/>
      <c r="AE24" s="2643"/>
      <c r="AF24" s="2643"/>
      <c r="AG24" s="2643"/>
      <c r="AH24" s="2643"/>
      <c r="AI24" s="2643"/>
      <c r="AJ24" s="2643"/>
      <c r="AK24" s="2643"/>
      <c r="AL24" s="2647"/>
      <c r="AM24" s="169"/>
      <c r="AN24" s="169"/>
      <c r="AO24" s="169"/>
      <c r="AP24" s="169"/>
      <c r="AQ24" s="169"/>
      <c r="AR24" s="169"/>
      <c r="AS24" s="169"/>
      <c r="AT24" s="169"/>
      <c r="AU24" s="169"/>
      <c r="AV24" s="169"/>
      <c r="AW24" s="169"/>
      <c r="AX24" s="169"/>
    </row>
    <row r="25" spans="1:50" ht="13.5" customHeight="1">
      <c r="A25" s="69"/>
      <c r="B25" s="2651" t="s">
        <v>128</v>
      </c>
      <c r="C25" s="2652"/>
      <c r="D25" s="2651" t="s">
        <v>129</v>
      </c>
      <c r="E25" s="2608"/>
      <c r="F25" s="2608"/>
      <c r="G25" s="2608"/>
      <c r="H25" s="2608"/>
      <c r="I25" s="2608"/>
      <c r="J25" s="2608"/>
      <c r="K25" s="2608"/>
      <c r="L25" s="2608"/>
      <c r="M25" s="2608"/>
      <c r="N25" s="2653"/>
      <c r="O25" s="2651" t="s">
        <v>130</v>
      </c>
      <c r="P25" s="2608"/>
      <c r="Q25" s="2608"/>
      <c r="R25" s="2608"/>
      <c r="S25" s="2608"/>
      <c r="T25" s="2608"/>
      <c r="U25" s="2608"/>
      <c r="V25" s="2653"/>
      <c r="W25" s="2651" t="s">
        <v>131</v>
      </c>
      <c r="X25" s="2608"/>
      <c r="Y25" s="2653"/>
      <c r="Z25" s="2608" t="s">
        <v>132</v>
      </c>
      <c r="AA25" s="2608"/>
      <c r="AB25" s="2608"/>
      <c r="AC25" s="2608"/>
      <c r="AD25" s="2608"/>
      <c r="AE25" s="2608"/>
      <c r="AF25" s="2608"/>
      <c r="AG25" s="2608"/>
      <c r="AH25" s="2608"/>
      <c r="AI25" s="2608"/>
      <c r="AJ25" s="2608"/>
      <c r="AK25" s="2608"/>
      <c r="AL25" s="2653"/>
    </row>
    <row r="26" spans="1:50" ht="36.75" customHeight="1">
      <c r="A26" s="47"/>
      <c r="B26" s="2624">
        <v>1</v>
      </c>
      <c r="C26" s="2624"/>
      <c r="D26" s="2654" t="s">
        <v>1083</v>
      </c>
      <c r="E26" s="2654"/>
      <c r="F26" s="2654"/>
      <c r="G26" s="2654"/>
      <c r="H26" s="2654"/>
      <c r="I26" s="2654"/>
      <c r="J26" s="2654"/>
      <c r="K26" s="2654"/>
      <c r="L26" s="2654"/>
      <c r="M26" s="2654"/>
      <c r="N26" s="2654"/>
      <c r="O26" s="2566">
        <f>'GENERAL INFO'!L245</f>
        <v>0</v>
      </c>
      <c r="P26" s="2566"/>
      <c r="Q26" s="2566"/>
      <c r="R26" s="2566"/>
      <c r="S26" s="2566"/>
      <c r="T26" s="2566"/>
      <c r="U26" s="2566"/>
      <c r="V26" s="2566"/>
      <c r="W26" s="2655">
        <f>'GENERAL INFO'!Q245</f>
        <v>0</v>
      </c>
      <c r="X26" s="2655"/>
      <c r="Y26" s="2655"/>
      <c r="Z26" s="2566">
        <f>O26*W26</f>
        <v>0</v>
      </c>
      <c r="AA26" s="2566"/>
      <c r="AB26" s="2566"/>
      <c r="AC26" s="2566"/>
      <c r="AD26" s="2566"/>
      <c r="AE26" s="2566"/>
      <c r="AF26" s="2566"/>
      <c r="AG26" s="2566"/>
      <c r="AH26" s="2566"/>
      <c r="AI26" s="2566"/>
      <c r="AJ26" s="2566"/>
      <c r="AK26" s="2566"/>
      <c r="AL26" s="2566"/>
    </row>
    <row r="27" spans="1:50" ht="36.75" customHeight="1">
      <c r="A27" s="69"/>
      <c r="B27" s="2656">
        <v>2</v>
      </c>
      <c r="C27" s="2656"/>
      <c r="D27" s="2657" t="s">
        <v>1084</v>
      </c>
      <c r="E27" s="2657"/>
      <c r="F27" s="2657"/>
      <c r="G27" s="2657"/>
      <c r="H27" s="2657"/>
      <c r="I27" s="2657"/>
      <c r="J27" s="2657"/>
      <c r="K27" s="2657"/>
      <c r="L27" s="2657"/>
      <c r="M27" s="2657"/>
      <c r="N27" s="2657"/>
      <c r="O27" s="2566">
        <f>'GENERAL INFO'!L246</f>
        <v>0</v>
      </c>
      <c r="P27" s="2566"/>
      <c r="Q27" s="2566"/>
      <c r="R27" s="2566"/>
      <c r="S27" s="2566"/>
      <c r="T27" s="2566"/>
      <c r="U27" s="2566"/>
      <c r="V27" s="2566"/>
      <c r="W27" s="2655">
        <f>'GENERAL INFO'!Q246</f>
        <v>0</v>
      </c>
      <c r="X27" s="2655"/>
      <c r="Y27" s="2655"/>
      <c r="Z27" s="2566">
        <f>O27*W27</f>
        <v>0</v>
      </c>
      <c r="AA27" s="2566"/>
      <c r="AB27" s="2566"/>
      <c r="AC27" s="2566"/>
      <c r="AD27" s="2566"/>
      <c r="AE27" s="2566"/>
      <c r="AF27" s="2566"/>
      <c r="AG27" s="2566"/>
      <c r="AH27" s="2566"/>
      <c r="AI27" s="2566"/>
      <c r="AJ27" s="2566"/>
      <c r="AK27" s="2566"/>
      <c r="AL27" s="2566"/>
    </row>
    <row r="28" spans="1:50" ht="35.25" customHeight="1">
      <c r="A28" s="47"/>
      <c r="B28" s="2656">
        <v>3</v>
      </c>
      <c r="C28" s="2656"/>
      <c r="D28" s="2658" t="s">
        <v>1085</v>
      </c>
      <c r="E28" s="2658"/>
      <c r="F28" s="2658"/>
      <c r="G28" s="2658"/>
      <c r="H28" s="2658"/>
      <c r="I28" s="2658"/>
      <c r="J28" s="2658"/>
      <c r="K28" s="2658"/>
      <c r="L28" s="2658"/>
      <c r="M28" s="2658"/>
      <c r="N28" s="2658"/>
      <c r="O28" s="2566">
        <f>'GENERAL INFO'!L247</f>
        <v>0</v>
      </c>
      <c r="P28" s="2566"/>
      <c r="Q28" s="2566"/>
      <c r="R28" s="2566"/>
      <c r="S28" s="2566"/>
      <c r="T28" s="2566"/>
      <c r="U28" s="2566"/>
      <c r="V28" s="2566"/>
      <c r="W28" s="2655">
        <f>'GENERAL INFO'!Q247</f>
        <v>0</v>
      </c>
      <c r="X28" s="2655"/>
      <c r="Y28" s="2655"/>
      <c r="Z28" s="2566">
        <f t="shared" ref="Z28:Z29" si="0">O28*W28</f>
        <v>0</v>
      </c>
      <c r="AA28" s="2566"/>
      <c r="AB28" s="2566"/>
      <c r="AC28" s="2566"/>
      <c r="AD28" s="2566"/>
      <c r="AE28" s="2566"/>
      <c r="AF28" s="2566"/>
      <c r="AG28" s="2566"/>
      <c r="AH28" s="2566"/>
      <c r="AI28" s="2566"/>
      <c r="AJ28" s="2566"/>
      <c r="AK28" s="2566"/>
      <c r="AL28" s="2566"/>
    </row>
    <row r="29" spans="1:50" ht="36" customHeight="1">
      <c r="A29" s="69"/>
      <c r="B29" s="2656">
        <v>4</v>
      </c>
      <c r="C29" s="2656"/>
      <c r="D29" s="2657" t="s">
        <v>1086</v>
      </c>
      <c r="E29" s="2657"/>
      <c r="F29" s="2657"/>
      <c r="G29" s="2657"/>
      <c r="H29" s="2657"/>
      <c r="I29" s="2657"/>
      <c r="J29" s="2657"/>
      <c r="K29" s="2657"/>
      <c r="L29" s="2657"/>
      <c r="M29" s="2657"/>
      <c r="N29" s="2657"/>
      <c r="O29" s="2566">
        <f>'GENERAL INFO'!L248</f>
        <v>0</v>
      </c>
      <c r="P29" s="2566"/>
      <c r="Q29" s="2566"/>
      <c r="R29" s="2566"/>
      <c r="S29" s="2566"/>
      <c r="T29" s="2566"/>
      <c r="U29" s="2566"/>
      <c r="V29" s="2566"/>
      <c r="W29" s="2655">
        <f>'GENERAL INFO'!Q248</f>
        <v>0</v>
      </c>
      <c r="X29" s="2655"/>
      <c r="Y29" s="2655"/>
      <c r="Z29" s="2566">
        <f t="shared" si="0"/>
        <v>0</v>
      </c>
      <c r="AA29" s="2566"/>
      <c r="AB29" s="2566"/>
      <c r="AC29" s="2566"/>
      <c r="AD29" s="2566"/>
      <c r="AE29" s="2566"/>
      <c r="AF29" s="2566"/>
      <c r="AG29" s="2566"/>
      <c r="AH29" s="2566"/>
      <c r="AI29" s="2566"/>
      <c r="AJ29" s="2566"/>
      <c r="AK29" s="2566"/>
      <c r="AL29" s="2566"/>
    </row>
    <row r="30" spans="1:50" ht="36" customHeight="1">
      <c r="A30" s="47"/>
      <c r="B30" s="2656">
        <v>5</v>
      </c>
      <c r="C30" s="2656"/>
      <c r="D30" s="2657" t="s">
        <v>1087</v>
      </c>
      <c r="E30" s="2657"/>
      <c r="F30" s="2657"/>
      <c r="G30" s="2657"/>
      <c r="H30" s="2657"/>
      <c r="I30" s="2657"/>
      <c r="J30" s="2657"/>
      <c r="K30" s="2657"/>
      <c r="L30" s="2657"/>
      <c r="M30" s="2657"/>
      <c r="N30" s="2657"/>
      <c r="O30" s="2566">
        <f>'GENERAL INFO'!L249</f>
        <v>0</v>
      </c>
      <c r="P30" s="2566"/>
      <c r="Q30" s="2566"/>
      <c r="R30" s="2566"/>
      <c r="S30" s="2566"/>
      <c r="T30" s="2566"/>
      <c r="U30" s="2566"/>
      <c r="V30" s="2566"/>
      <c r="W30" s="2655">
        <f>'GENERAL INFO'!Q249</f>
        <v>0</v>
      </c>
      <c r="X30" s="2655"/>
      <c r="Y30" s="2655"/>
      <c r="Z30" s="2566">
        <f>O30*W30</f>
        <v>0</v>
      </c>
      <c r="AA30" s="2566"/>
      <c r="AB30" s="2566"/>
      <c r="AC30" s="2566"/>
      <c r="AD30" s="2566"/>
      <c r="AE30" s="2566"/>
      <c r="AF30" s="2566"/>
      <c r="AG30" s="2566"/>
      <c r="AH30" s="2566"/>
      <c r="AI30" s="2566"/>
      <c r="AJ30" s="2566"/>
      <c r="AK30" s="2566"/>
      <c r="AL30" s="2566"/>
    </row>
    <row r="31" spans="1:50" ht="32.25" customHeight="1">
      <c r="A31" s="47"/>
      <c r="B31" s="2627" t="s">
        <v>1088</v>
      </c>
      <c r="C31" s="2662"/>
      <c r="D31" s="2662"/>
      <c r="E31" s="2662"/>
      <c r="F31" s="2662"/>
      <c r="G31" s="2662"/>
      <c r="H31" s="2662"/>
      <c r="I31" s="2662"/>
      <c r="J31" s="2662"/>
      <c r="K31" s="2662"/>
      <c r="L31" s="2662"/>
      <c r="M31" s="2662"/>
      <c r="N31" s="2628"/>
      <c r="O31" s="2663"/>
      <c r="P31" s="2662"/>
      <c r="Q31" s="2662"/>
      <c r="R31" s="2662"/>
      <c r="S31" s="2662"/>
      <c r="T31" s="2662"/>
      <c r="U31" s="2662"/>
      <c r="V31" s="2628"/>
      <c r="W31" s="388"/>
      <c r="X31" s="2664" t="s">
        <v>1089</v>
      </c>
      <c r="Y31" s="2665"/>
      <c r="Z31" s="2666">
        <f>SUM(Z26:AL30)</f>
        <v>0</v>
      </c>
      <c r="AA31" s="2667"/>
      <c r="AB31" s="2667"/>
      <c r="AC31" s="2667"/>
      <c r="AD31" s="2667"/>
      <c r="AE31" s="2667"/>
      <c r="AF31" s="2667"/>
      <c r="AG31" s="2667"/>
      <c r="AH31" s="2667"/>
      <c r="AI31" s="2667"/>
      <c r="AJ31" s="2667"/>
      <c r="AK31" s="2667"/>
      <c r="AL31" s="2668"/>
      <c r="AM31" s="64"/>
    </row>
    <row r="32" spans="1:50" ht="3" customHeight="1">
      <c r="A32" s="69"/>
      <c r="B32" s="755"/>
      <c r="C32" s="160"/>
      <c r="D32" s="166"/>
      <c r="E32" s="170"/>
      <c r="F32" s="170"/>
      <c r="G32" s="170"/>
      <c r="H32" s="170"/>
      <c r="I32" s="170"/>
      <c r="J32" s="170"/>
      <c r="K32" s="170"/>
      <c r="L32" s="170"/>
      <c r="M32" s="170"/>
      <c r="N32" s="170"/>
      <c r="O32" s="170"/>
      <c r="P32" s="170"/>
      <c r="Q32" s="170"/>
      <c r="R32" s="54"/>
      <c r="S32" s="54"/>
      <c r="T32" s="54"/>
      <c r="U32" s="54"/>
      <c r="V32" s="54"/>
      <c r="W32" s="54"/>
      <c r="X32" s="54"/>
      <c r="Y32" s="129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</row>
    <row r="33" spans="1:50" ht="15" customHeight="1">
      <c r="A33" s="69"/>
      <c r="B33" s="755"/>
      <c r="C33" s="160"/>
      <c r="D33" s="166"/>
      <c r="E33" s="170"/>
      <c r="F33" s="170"/>
      <c r="G33" s="170"/>
      <c r="H33" s="170"/>
      <c r="I33" s="170"/>
      <c r="J33" s="170"/>
      <c r="K33" s="170"/>
      <c r="L33" s="170"/>
      <c r="M33" s="170"/>
      <c r="N33" s="170"/>
      <c r="O33" s="170"/>
      <c r="P33" s="170"/>
      <c r="Q33" s="170"/>
      <c r="R33" s="54"/>
      <c r="S33" s="54"/>
      <c r="T33" s="54"/>
      <c r="U33" s="54"/>
      <c r="V33" s="54"/>
      <c r="W33" s="54"/>
      <c r="X33" s="54"/>
      <c r="Y33" s="129"/>
      <c r="Z33" s="171" t="s">
        <v>1090</v>
      </c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</row>
    <row r="34" spans="1:50" ht="14.25" customHeight="1">
      <c r="A34" s="69"/>
      <c r="B34" s="55" t="s">
        <v>1091</v>
      </c>
      <c r="C34" s="172"/>
      <c r="D34" s="166"/>
      <c r="E34" s="173" t="s">
        <v>1092</v>
      </c>
      <c r="G34" s="174"/>
      <c r="H34" s="174"/>
      <c r="I34" s="174"/>
      <c r="J34" s="174"/>
      <c r="K34" s="174"/>
      <c r="L34" s="174"/>
      <c r="M34" s="174"/>
      <c r="N34" s="174"/>
      <c r="O34" s="174"/>
      <c r="P34" s="175"/>
      <c r="Q34" s="175"/>
      <c r="R34" s="54"/>
      <c r="S34" s="54"/>
      <c r="T34" s="54"/>
      <c r="U34" s="54"/>
      <c r="V34" s="54"/>
      <c r="W34" s="54"/>
      <c r="X34" s="54"/>
      <c r="Y34" s="129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</row>
    <row r="35" spans="1:50" ht="17.25" customHeight="1">
      <c r="A35" s="69"/>
      <c r="B35" s="176"/>
      <c r="C35" s="172"/>
      <c r="D35" s="166"/>
      <c r="E35" s="173" t="s">
        <v>1093</v>
      </c>
      <c r="G35" s="174"/>
      <c r="H35" s="174"/>
      <c r="I35" s="174"/>
      <c r="J35" s="174"/>
      <c r="K35" s="174"/>
      <c r="L35" s="174"/>
      <c r="M35" s="174"/>
      <c r="N35" s="174"/>
      <c r="O35" s="174"/>
      <c r="P35" s="175"/>
      <c r="Q35" s="175"/>
      <c r="R35" s="54"/>
      <c r="S35" s="54"/>
      <c r="T35" s="54"/>
      <c r="U35" s="54"/>
      <c r="V35" s="54"/>
      <c r="W35" s="54"/>
      <c r="X35" s="54"/>
      <c r="Y35" s="129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</row>
    <row r="36" spans="1:50" ht="30" customHeight="1">
      <c r="A36" s="47"/>
      <c r="B36" s="2579" t="s">
        <v>123</v>
      </c>
      <c r="C36" s="2581"/>
      <c r="D36" s="2579" t="s">
        <v>1094</v>
      </c>
      <c r="E36" s="2580"/>
      <c r="F36" s="2580"/>
      <c r="G36" s="2580"/>
      <c r="H36" s="2580"/>
      <c r="I36" s="2580"/>
      <c r="J36" s="2580"/>
      <c r="K36" s="2580"/>
      <c r="L36" s="2580"/>
      <c r="M36" s="2580"/>
      <c r="N36" s="2581"/>
      <c r="O36" s="2579" t="s">
        <v>480</v>
      </c>
      <c r="P36" s="2580"/>
      <c r="Q36" s="2580"/>
      <c r="R36" s="2580"/>
      <c r="S36" s="2580"/>
      <c r="T36" s="2580"/>
      <c r="U36" s="2580"/>
      <c r="V36" s="2581"/>
      <c r="W36" s="2579" t="s">
        <v>1095</v>
      </c>
      <c r="X36" s="2580"/>
      <c r="Y36" s="2580"/>
      <c r="Z36" s="2580"/>
      <c r="AA36" s="2580"/>
      <c r="AB36" s="2580"/>
      <c r="AC36" s="2580"/>
      <c r="AD36" s="2581"/>
      <c r="AE36" s="2579" t="s">
        <v>485</v>
      </c>
      <c r="AF36" s="2643"/>
      <c r="AG36" s="2643"/>
      <c r="AH36" s="2643"/>
      <c r="AI36" s="2643"/>
      <c r="AJ36" s="2643"/>
      <c r="AK36" s="2643"/>
      <c r="AL36" s="2647"/>
      <c r="AM36" s="169"/>
      <c r="AN36" s="169"/>
      <c r="AO36" s="169"/>
      <c r="AP36" s="169"/>
      <c r="AQ36" s="169"/>
      <c r="AR36" s="169"/>
      <c r="AS36" s="169"/>
      <c r="AT36" s="169"/>
      <c r="AU36" s="169"/>
      <c r="AV36" s="169"/>
      <c r="AW36" s="169"/>
      <c r="AX36" s="169"/>
    </row>
    <row r="37" spans="1:50" ht="13.5" customHeight="1">
      <c r="A37" s="47"/>
      <c r="B37" s="2659"/>
      <c r="C37" s="2661"/>
      <c r="D37" s="2659"/>
      <c r="E37" s="2660"/>
      <c r="F37" s="2660"/>
      <c r="G37" s="2660"/>
      <c r="H37" s="2660"/>
      <c r="I37" s="2660"/>
      <c r="J37" s="2660"/>
      <c r="K37" s="2660"/>
      <c r="L37" s="2660"/>
      <c r="M37" s="2660"/>
      <c r="N37" s="2661"/>
      <c r="O37" s="2659" t="s">
        <v>172</v>
      </c>
      <c r="P37" s="2660"/>
      <c r="Q37" s="2660"/>
      <c r="R37" s="2660"/>
      <c r="S37" s="2660"/>
      <c r="T37" s="2660"/>
      <c r="U37" s="2660"/>
      <c r="V37" s="2661"/>
      <c r="W37" s="2659" t="s">
        <v>172</v>
      </c>
      <c r="X37" s="2660"/>
      <c r="Y37" s="2660"/>
      <c r="Z37" s="2660"/>
      <c r="AA37" s="2660"/>
      <c r="AB37" s="2660"/>
      <c r="AC37" s="2660"/>
      <c r="AD37" s="2661"/>
      <c r="AE37" s="2659" t="s">
        <v>172</v>
      </c>
      <c r="AF37" s="2660"/>
      <c r="AG37" s="2660"/>
      <c r="AH37" s="2660"/>
      <c r="AI37" s="2660"/>
      <c r="AJ37" s="2660"/>
      <c r="AK37" s="2660"/>
      <c r="AL37" s="2661"/>
      <c r="AM37" s="169"/>
      <c r="AN37" s="169"/>
      <c r="AO37" s="169"/>
      <c r="AP37" s="169"/>
      <c r="AQ37" s="169"/>
      <c r="AR37" s="169"/>
      <c r="AS37" s="169"/>
      <c r="AT37" s="169"/>
      <c r="AU37" s="169"/>
      <c r="AV37" s="169"/>
      <c r="AW37" s="169"/>
      <c r="AX37" s="169"/>
    </row>
    <row r="38" spans="1:50" ht="13.5" customHeight="1">
      <c r="A38" s="69"/>
      <c r="B38" s="2651" t="s">
        <v>128</v>
      </c>
      <c r="C38" s="2652"/>
      <c r="D38" s="2651" t="s">
        <v>129</v>
      </c>
      <c r="E38" s="2608"/>
      <c r="F38" s="2608"/>
      <c r="G38" s="2608"/>
      <c r="H38" s="2608"/>
      <c r="I38" s="2608"/>
      <c r="J38" s="2608"/>
      <c r="K38" s="2608"/>
      <c r="L38" s="2608"/>
      <c r="M38" s="2608"/>
      <c r="N38" s="2653"/>
      <c r="O38" s="2651" t="s">
        <v>130</v>
      </c>
      <c r="P38" s="2608"/>
      <c r="Q38" s="2608"/>
      <c r="R38" s="2608"/>
      <c r="S38" s="2608"/>
      <c r="T38" s="2608"/>
      <c r="U38" s="2608"/>
      <c r="V38" s="2653"/>
      <c r="W38" s="2651" t="s">
        <v>131</v>
      </c>
      <c r="X38" s="2608"/>
      <c r="Y38" s="2608"/>
      <c r="Z38" s="2608"/>
      <c r="AA38" s="2608"/>
      <c r="AB38" s="2608"/>
      <c r="AC38" s="2608"/>
      <c r="AD38" s="2653"/>
      <c r="AE38" s="2651" t="s">
        <v>132</v>
      </c>
      <c r="AF38" s="2608"/>
      <c r="AG38" s="2608"/>
      <c r="AH38" s="2608"/>
      <c r="AI38" s="2608"/>
      <c r="AJ38" s="2608"/>
      <c r="AK38" s="2608"/>
      <c r="AL38" s="2653"/>
    </row>
    <row r="39" spans="1:50" ht="13.5" customHeight="1">
      <c r="A39" s="69"/>
      <c r="B39" s="2669">
        <v>1</v>
      </c>
      <c r="C39" s="2670"/>
      <c r="D39" s="2682" t="str">
        <f>IF('GENERAL INFO'!G131="-","",'GENERAL INFO'!G131)</f>
        <v/>
      </c>
      <c r="E39" s="2683"/>
      <c r="F39" s="2683"/>
      <c r="G39" s="2683"/>
      <c r="H39" s="2683"/>
      <c r="I39" s="2683"/>
      <c r="J39" s="2683"/>
      <c r="K39" s="2683"/>
      <c r="L39" s="2683"/>
      <c r="M39" s="2683"/>
      <c r="N39" s="2684"/>
      <c r="O39" s="2676">
        <f>IF(D39="",0,'GENERAL INFO'!G146)</f>
        <v>0</v>
      </c>
      <c r="P39" s="2677"/>
      <c r="Q39" s="2677"/>
      <c r="R39" s="2677"/>
      <c r="S39" s="2677"/>
      <c r="T39" s="2677"/>
      <c r="U39" s="2677"/>
      <c r="V39" s="2678"/>
      <c r="W39" s="2676">
        <f>IF(D39="",0,'GENERAL INFO'!G151)</f>
        <v>0</v>
      </c>
      <c r="X39" s="2677"/>
      <c r="Y39" s="2677"/>
      <c r="Z39" s="2677"/>
      <c r="AA39" s="2677"/>
      <c r="AB39" s="2677"/>
      <c r="AC39" s="2677"/>
      <c r="AD39" s="2678"/>
      <c r="AE39" s="2676">
        <f>IF(D39="",0,'GENERAL INFO'!G153)</f>
        <v>0</v>
      </c>
      <c r="AF39" s="2677"/>
      <c r="AG39" s="2677"/>
      <c r="AH39" s="2677"/>
      <c r="AI39" s="2677"/>
      <c r="AJ39" s="2677"/>
      <c r="AK39" s="2677"/>
      <c r="AL39" s="2678"/>
    </row>
    <row r="40" spans="1:50" ht="13.5" customHeight="1">
      <c r="A40" s="69"/>
      <c r="B40" s="2671"/>
      <c r="C40" s="2672"/>
      <c r="D40" s="2673" t="str">
        <f>IF('GENERAL INFO'!G132="-","",LEFT('GENERAL INFO'!G132,2)&amp;"."&amp;MID('GENERAL INFO'!G132,3,3)&amp;"."&amp;MID('GENERAL INFO'!G132,6,3)&amp;"."&amp;MID('GENERAL INFO'!G132,9,1)&amp;"-"&amp;MID('GENERAL INFO'!G132,10,3)&amp;"."&amp;MID('GENERAL INFO'!G132,13,3))</f>
        <v/>
      </c>
      <c r="E40" s="2674"/>
      <c r="F40" s="2674"/>
      <c r="G40" s="2674"/>
      <c r="H40" s="2674"/>
      <c r="I40" s="2674"/>
      <c r="J40" s="2674"/>
      <c r="K40" s="2674"/>
      <c r="L40" s="2674"/>
      <c r="M40" s="2674"/>
      <c r="N40" s="2675"/>
      <c r="O40" s="2679"/>
      <c r="P40" s="2680"/>
      <c r="Q40" s="2680"/>
      <c r="R40" s="2680"/>
      <c r="S40" s="2680"/>
      <c r="T40" s="2680"/>
      <c r="U40" s="2680"/>
      <c r="V40" s="2681"/>
      <c r="W40" s="2679"/>
      <c r="X40" s="2680"/>
      <c r="Y40" s="2680"/>
      <c r="Z40" s="2680"/>
      <c r="AA40" s="2680"/>
      <c r="AB40" s="2680"/>
      <c r="AC40" s="2680"/>
      <c r="AD40" s="2681"/>
      <c r="AE40" s="2679"/>
      <c r="AF40" s="2680"/>
      <c r="AG40" s="2680"/>
      <c r="AH40" s="2680"/>
      <c r="AI40" s="2680"/>
      <c r="AJ40" s="2680"/>
      <c r="AK40" s="2680"/>
      <c r="AL40" s="2681"/>
    </row>
    <row r="41" spans="1:50" ht="13.5" customHeight="1">
      <c r="A41" s="69"/>
      <c r="B41" s="2669">
        <v>2</v>
      </c>
      <c r="C41" s="2670"/>
      <c r="D41" s="2673" t="str">
        <f>IF('GENERAL INFO'!L131="-","",'GENERAL INFO'!L131)</f>
        <v/>
      </c>
      <c r="E41" s="2674"/>
      <c r="F41" s="2674"/>
      <c r="G41" s="2674"/>
      <c r="H41" s="2674"/>
      <c r="I41" s="2674"/>
      <c r="J41" s="2674"/>
      <c r="K41" s="2674"/>
      <c r="L41" s="2674"/>
      <c r="M41" s="2674"/>
      <c r="N41" s="2675"/>
      <c r="O41" s="2676">
        <f>IF(D41="",0,'GENERAL INFO'!L146)</f>
        <v>0</v>
      </c>
      <c r="P41" s="2677"/>
      <c r="Q41" s="2677"/>
      <c r="R41" s="2677"/>
      <c r="S41" s="2677"/>
      <c r="T41" s="2677"/>
      <c r="U41" s="2677"/>
      <c r="V41" s="2678"/>
      <c r="W41" s="2676">
        <f>IF(D41="",0,'GENERAL INFO'!L151)</f>
        <v>0</v>
      </c>
      <c r="X41" s="2677"/>
      <c r="Y41" s="2677"/>
      <c r="Z41" s="2677"/>
      <c r="AA41" s="2677"/>
      <c r="AB41" s="2677"/>
      <c r="AC41" s="2677"/>
      <c r="AD41" s="2678"/>
      <c r="AE41" s="2676">
        <f>IF(D41="",0,'GENERAL INFO'!L153)</f>
        <v>0</v>
      </c>
      <c r="AF41" s="2677"/>
      <c r="AG41" s="2677"/>
      <c r="AH41" s="2677"/>
      <c r="AI41" s="2677"/>
      <c r="AJ41" s="2677"/>
      <c r="AK41" s="2677"/>
      <c r="AL41" s="2678"/>
    </row>
    <row r="42" spans="1:50" ht="13.5" customHeight="1">
      <c r="A42" s="69"/>
      <c r="B42" s="2671"/>
      <c r="C42" s="2672"/>
      <c r="D42" s="2673" t="str">
        <f>IF('GENERAL INFO'!L132="-","",LEFT('GENERAL INFO'!L132,2)&amp;"."&amp;MID('GENERAL INFO'!L132,3,3)&amp;"."&amp;MID('GENERAL INFO'!L132,6,3)&amp;"."&amp;MID('GENERAL INFO'!L132,9,1)&amp;"-"&amp;MID('GENERAL INFO'!L132,10,3)&amp;"."&amp;MID('GENERAL INFO'!L132,13,3))</f>
        <v/>
      </c>
      <c r="E42" s="2674"/>
      <c r="F42" s="2674"/>
      <c r="G42" s="2674"/>
      <c r="H42" s="2674"/>
      <c r="I42" s="2674"/>
      <c r="J42" s="2674"/>
      <c r="K42" s="2674"/>
      <c r="L42" s="2674"/>
      <c r="M42" s="2674"/>
      <c r="N42" s="2675"/>
      <c r="O42" s="2679"/>
      <c r="P42" s="2680"/>
      <c r="Q42" s="2680"/>
      <c r="R42" s="2680"/>
      <c r="S42" s="2680"/>
      <c r="T42" s="2680"/>
      <c r="U42" s="2680"/>
      <c r="V42" s="2681"/>
      <c r="W42" s="2679"/>
      <c r="X42" s="2680"/>
      <c r="Y42" s="2680"/>
      <c r="Z42" s="2680"/>
      <c r="AA42" s="2680"/>
      <c r="AB42" s="2680"/>
      <c r="AC42" s="2680"/>
      <c r="AD42" s="2681"/>
      <c r="AE42" s="2679"/>
      <c r="AF42" s="2680"/>
      <c r="AG42" s="2680"/>
      <c r="AH42" s="2680"/>
      <c r="AI42" s="2680"/>
      <c r="AJ42" s="2680"/>
      <c r="AK42" s="2680"/>
      <c r="AL42" s="2681"/>
    </row>
    <row r="43" spans="1:50" ht="13.5" customHeight="1">
      <c r="A43" s="69"/>
      <c r="B43" s="2669">
        <v>3</v>
      </c>
      <c r="C43" s="2670"/>
      <c r="D43" s="2673" t="str">
        <f>IF('GENERAL INFO'!Q131="-","",'GENERAL INFO'!Q131)</f>
        <v/>
      </c>
      <c r="E43" s="2674"/>
      <c r="F43" s="2674"/>
      <c r="G43" s="2674"/>
      <c r="H43" s="2674"/>
      <c r="I43" s="2674"/>
      <c r="J43" s="2674"/>
      <c r="K43" s="2674"/>
      <c r="L43" s="2674"/>
      <c r="M43" s="2674"/>
      <c r="N43" s="2675"/>
      <c r="O43" s="2676">
        <f>IF(D43="",0,'GENERAL INFO'!Q146)</f>
        <v>0</v>
      </c>
      <c r="P43" s="2677"/>
      <c r="Q43" s="2677"/>
      <c r="R43" s="2677"/>
      <c r="S43" s="2677"/>
      <c r="T43" s="2677"/>
      <c r="U43" s="2677"/>
      <c r="V43" s="2678"/>
      <c r="W43" s="2676">
        <f>IF(D43="",0,'GENERAL INFO'!Q151)</f>
        <v>0</v>
      </c>
      <c r="X43" s="2677"/>
      <c r="Y43" s="2677"/>
      <c r="Z43" s="2677"/>
      <c r="AA43" s="2677"/>
      <c r="AB43" s="2677"/>
      <c r="AC43" s="2677"/>
      <c r="AD43" s="2678"/>
      <c r="AE43" s="2676">
        <f>IF(D43="",0,'GENERAL INFO'!Q153)</f>
        <v>0</v>
      </c>
      <c r="AF43" s="2677"/>
      <c r="AG43" s="2677"/>
      <c r="AH43" s="2677"/>
      <c r="AI43" s="2677"/>
      <c r="AJ43" s="2677"/>
      <c r="AK43" s="2677"/>
      <c r="AL43" s="2678"/>
    </row>
    <row r="44" spans="1:50" ht="13.5" customHeight="1">
      <c r="A44" s="69"/>
      <c r="B44" s="2671"/>
      <c r="C44" s="2672"/>
      <c r="D44" s="2673" t="str">
        <f>IF('GENERAL INFO'!Q132="-","",LEFT('GENERAL INFO'!Q132,2)&amp;"."&amp;MID('GENERAL INFO'!Q132,3,3)&amp;"."&amp;MID('GENERAL INFO'!Q132,6,3)&amp;"."&amp;MID('GENERAL INFO'!Q132,9,1)&amp;"-"&amp;MID('GENERAL INFO'!Q132,10,3)&amp;"."&amp;MID('GENERAL INFO'!Q132,13,3))</f>
        <v/>
      </c>
      <c r="E44" s="2674"/>
      <c r="F44" s="2674"/>
      <c r="G44" s="2674"/>
      <c r="H44" s="2674"/>
      <c r="I44" s="2674"/>
      <c r="J44" s="2674"/>
      <c r="K44" s="2674"/>
      <c r="L44" s="2674"/>
      <c r="M44" s="2674"/>
      <c r="N44" s="2675"/>
      <c r="O44" s="2679"/>
      <c r="P44" s="2680"/>
      <c r="Q44" s="2680"/>
      <c r="R44" s="2680"/>
      <c r="S44" s="2680"/>
      <c r="T44" s="2680"/>
      <c r="U44" s="2680"/>
      <c r="V44" s="2681"/>
      <c r="W44" s="2679"/>
      <c r="X44" s="2680"/>
      <c r="Y44" s="2680"/>
      <c r="Z44" s="2680"/>
      <c r="AA44" s="2680"/>
      <c r="AB44" s="2680"/>
      <c r="AC44" s="2680"/>
      <c r="AD44" s="2681"/>
      <c r="AE44" s="2679"/>
      <c r="AF44" s="2680"/>
      <c r="AG44" s="2680"/>
      <c r="AH44" s="2680"/>
      <c r="AI44" s="2680"/>
      <c r="AJ44" s="2680"/>
      <c r="AK44" s="2680"/>
      <c r="AL44" s="2681"/>
    </row>
    <row r="45" spans="1:50" ht="13.5" customHeight="1">
      <c r="A45" s="69"/>
      <c r="B45" s="2669">
        <v>4</v>
      </c>
      <c r="C45" s="2670"/>
      <c r="D45" s="2685"/>
      <c r="E45" s="2686"/>
      <c r="F45" s="2686"/>
      <c r="G45" s="2686"/>
      <c r="H45" s="2686"/>
      <c r="I45" s="2686"/>
      <c r="J45" s="2686"/>
      <c r="K45" s="2686"/>
      <c r="L45" s="2686"/>
      <c r="M45" s="2686"/>
      <c r="N45" s="2687"/>
      <c r="O45" s="2688">
        <v>0</v>
      </c>
      <c r="P45" s="2689"/>
      <c r="Q45" s="2689"/>
      <c r="R45" s="2689"/>
      <c r="S45" s="2689"/>
      <c r="T45" s="2689"/>
      <c r="U45" s="2689"/>
      <c r="V45" s="2690"/>
      <c r="W45" s="2688">
        <v>0</v>
      </c>
      <c r="X45" s="2689"/>
      <c r="Y45" s="2689"/>
      <c r="Z45" s="2689"/>
      <c r="AA45" s="2689"/>
      <c r="AB45" s="2689"/>
      <c r="AC45" s="2689"/>
      <c r="AD45" s="2690"/>
      <c r="AE45" s="2688">
        <v>0</v>
      </c>
      <c r="AF45" s="2689"/>
      <c r="AG45" s="2689"/>
      <c r="AH45" s="2689"/>
      <c r="AI45" s="2689"/>
      <c r="AJ45" s="2689"/>
      <c r="AK45" s="2689"/>
      <c r="AL45" s="2690"/>
    </row>
    <row r="46" spans="1:50" ht="13.5" customHeight="1">
      <c r="A46" s="69"/>
      <c r="B46" s="2671"/>
      <c r="C46" s="2672"/>
      <c r="D46" s="2685"/>
      <c r="E46" s="2686"/>
      <c r="F46" s="2686"/>
      <c r="G46" s="2686"/>
      <c r="H46" s="2686"/>
      <c r="I46" s="2686"/>
      <c r="J46" s="2686"/>
      <c r="K46" s="2686"/>
      <c r="L46" s="2686"/>
      <c r="M46" s="2686"/>
      <c r="N46" s="2687"/>
      <c r="O46" s="2691"/>
      <c r="P46" s="2692"/>
      <c r="Q46" s="2692"/>
      <c r="R46" s="2692"/>
      <c r="S46" s="2692"/>
      <c r="T46" s="2692"/>
      <c r="U46" s="2692"/>
      <c r="V46" s="2693"/>
      <c r="W46" s="2691"/>
      <c r="X46" s="2692"/>
      <c r="Y46" s="2692"/>
      <c r="Z46" s="2692"/>
      <c r="AA46" s="2692"/>
      <c r="AB46" s="2692"/>
      <c r="AC46" s="2692"/>
      <c r="AD46" s="2693"/>
      <c r="AE46" s="2691"/>
      <c r="AF46" s="2692"/>
      <c r="AG46" s="2692"/>
      <c r="AH46" s="2692"/>
      <c r="AI46" s="2692"/>
      <c r="AJ46" s="2692"/>
      <c r="AK46" s="2692"/>
      <c r="AL46" s="2693"/>
    </row>
    <row r="47" spans="1:50" ht="13.5" customHeight="1">
      <c r="A47" s="47"/>
      <c r="B47" s="2704">
        <v>5</v>
      </c>
      <c r="C47" s="2705"/>
      <c r="D47" s="2708"/>
      <c r="E47" s="2709"/>
      <c r="F47" s="2709"/>
      <c r="G47" s="2709"/>
      <c r="H47" s="2709"/>
      <c r="I47" s="2709"/>
      <c r="J47" s="2709"/>
      <c r="K47" s="2709"/>
      <c r="L47" s="2709"/>
      <c r="M47" s="2709"/>
      <c r="N47" s="2710"/>
      <c r="O47" s="2698">
        <v>0</v>
      </c>
      <c r="P47" s="2699"/>
      <c r="Q47" s="2699"/>
      <c r="R47" s="2699"/>
      <c r="S47" s="2699"/>
      <c r="T47" s="2699"/>
      <c r="U47" s="2699"/>
      <c r="V47" s="2700"/>
      <c r="W47" s="2698">
        <v>0</v>
      </c>
      <c r="X47" s="2699"/>
      <c r="Y47" s="2699"/>
      <c r="Z47" s="2699"/>
      <c r="AA47" s="2699"/>
      <c r="AB47" s="2699"/>
      <c r="AC47" s="2699"/>
      <c r="AD47" s="2700"/>
      <c r="AE47" s="2698">
        <v>0</v>
      </c>
      <c r="AF47" s="2699"/>
      <c r="AG47" s="2699"/>
      <c r="AH47" s="2699"/>
      <c r="AI47" s="2699"/>
      <c r="AJ47" s="2699"/>
      <c r="AK47" s="2699"/>
      <c r="AL47" s="2700"/>
    </row>
    <row r="48" spans="1:50" ht="13.5" customHeight="1">
      <c r="A48" s="69"/>
      <c r="B48" s="2706"/>
      <c r="C48" s="2707"/>
      <c r="D48" s="2644"/>
      <c r="E48" s="2645"/>
      <c r="F48" s="2645"/>
      <c r="G48" s="2645"/>
      <c r="H48" s="2645"/>
      <c r="I48" s="2645"/>
      <c r="J48" s="2645"/>
      <c r="K48" s="2645"/>
      <c r="L48" s="2645"/>
      <c r="M48" s="2645"/>
      <c r="N48" s="2646"/>
      <c r="O48" s="2701"/>
      <c r="P48" s="2702"/>
      <c r="Q48" s="2702"/>
      <c r="R48" s="2702"/>
      <c r="S48" s="2702"/>
      <c r="T48" s="2702"/>
      <c r="U48" s="2702"/>
      <c r="V48" s="2703"/>
      <c r="W48" s="2701"/>
      <c r="X48" s="2702"/>
      <c r="Y48" s="2702"/>
      <c r="Z48" s="2702"/>
      <c r="AA48" s="2702"/>
      <c r="AB48" s="2702"/>
      <c r="AC48" s="2702"/>
      <c r="AD48" s="2703"/>
      <c r="AE48" s="2701"/>
      <c r="AF48" s="2702"/>
      <c r="AG48" s="2702"/>
      <c r="AH48" s="2702"/>
      <c r="AI48" s="2702"/>
      <c r="AJ48" s="2702"/>
      <c r="AK48" s="2702"/>
      <c r="AL48" s="2703"/>
    </row>
    <row r="49" spans="1:39" ht="13.5" customHeight="1">
      <c r="A49" s="47"/>
      <c r="B49" s="2694">
        <v>6</v>
      </c>
      <c r="C49" s="2695"/>
      <c r="D49" s="2644"/>
      <c r="E49" s="2645"/>
      <c r="F49" s="2645"/>
      <c r="G49" s="2645"/>
      <c r="H49" s="2645"/>
      <c r="I49" s="2645"/>
      <c r="J49" s="2645"/>
      <c r="K49" s="2645"/>
      <c r="L49" s="2645"/>
      <c r="M49" s="2645"/>
      <c r="N49" s="2646"/>
      <c r="O49" s="2698">
        <v>0</v>
      </c>
      <c r="P49" s="2699"/>
      <c r="Q49" s="2699"/>
      <c r="R49" s="2699"/>
      <c r="S49" s="2699"/>
      <c r="T49" s="2699"/>
      <c r="U49" s="2699"/>
      <c r="V49" s="2700"/>
      <c r="W49" s="2698">
        <v>0</v>
      </c>
      <c r="X49" s="2699"/>
      <c r="Y49" s="2699"/>
      <c r="Z49" s="2699"/>
      <c r="AA49" s="2699"/>
      <c r="AB49" s="2699"/>
      <c r="AC49" s="2699"/>
      <c r="AD49" s="2700"/>
      <c r="AE49" s="2698">
        <v>0</v>
      </c>
      <c r="AF49" s="2699"/>
      <c r="AG49" s="2699"/>
      <c r="AH49" s="2699"/>
      <c r="AI49" s="2699"/>
      <c r="AJ49" s="2699"/>
      <c r="AK49" s="2699"/>
      <c r="AL49" s="2700"/>
    </row>
    <row r="50" spans="1:39" ht="13.5" customHeight="1">
      <c r="A50" s="69"/>
      <c r="B50" s="2696"/>
      <c r="C50" s="2697"/>
      <c r="D50" s="2644"/>
      <c r="E50" s="2645"/>
      <c r="F50" s="2645"/>
      <c r="G50" s="2645"/>
      <c r="H50" s="2645"/>
      <c r="I50" s="2645"/>
      <c r="J50" s="2645"/>
      <c r="K50" s="2645"/>
      <c r="L50" s="2645"/>
      <c r="M50" s="2645"/>
      <c r="N50" s="2646"/>
      <c r="O50" s="2701"/>
      <c r="P50" s="2702"/>
      <c r="Q50" s="2702"/>
      <c r="R50" s="2702"/>
      <c r="S50" s="2702"/>
      <c r="T50" s="2702"/>
      <c r="U50" s="2702"/>
      <c r="V50" s="2703"/>
      <c r="W50" s="2701"/>
      <c r="X50" s="2702"/>
      <c r="Y50" s="2702"/>
      <c r="Z50" s="2702"/>
      <c r="AA50" s="2702"/>
      <c r="AB50" s="2702"/>
      <c r="AC50" s="2702"/>
      <c r="AD50" s="2703"/>
      <c r="AE50" s="2701"/>
      <c r="AF50" s="2702"/>
      <c r="AG50" s="2702"/>
      <c r="AH50" s="2702"/>
      <c r="AI50" s="2702"/>
      <c r="AJ50" s="2702"/>
      <c r="AK50" s="2702"/>
      <c r="AL50" s="2703"/>
    </row>
    <row r="51" spans="1:39" ht="20.100000000000001" customHeight="1">
      <c r="A51" s="47"/>
      <c r="B51" s="2627" t="s">
        <v>1096</v>
      </c>
      <c r="C51" s="2662"/>
      <c r="D51" s="2662"/>
      <c r="E51" s="2662"/>
      <c r="F51" s="2662"/>
      <c r="G51" s="2662"/>
      <c r="H51" s="2662"/>
      <c r="I51" s="2662"/>
      <c r="J51" s="2662"/>
      <c r="K51" s="2662"/>
      <c r="L51" s="2662"/>
      <c r="M51" s="2662"/>
      <c r="N51" s="2662"/>
      <c r="O51" s="2662"/>
      <c r="P51" s="2662"/>
      <c r="Q51" s="2662"/>
      <c r="R51" s="2662"/>
      <c r="S51" s="2662"/>
      <c r="T51" s="2662"/>
      <c r="U51" s="2662"/>
      <c r="V51" s="2628"/>
      <c r="W51" s="2711"/>
      <c r="X51" s="2712"/>
      <c r="Y51" s="2712"/>
      <c r="Z51" s="2712"/>
      <c r="AA51" s="2713"/>
      <c r="AB51" s="2625" t="s">
        <v>1097</v>
      </c>
      <c r="AC51" s="2626"/>
      <c r="AD51" s="2714"/>
      <c r="AE51" s="2715">
        <f>SUM(AE39:AL50)</f>
        <v>0</v>
      </c>
      <c r="AF51" s="2716"/>
      <c r="AG51" s="2716"/>
      <c r="AH51" s="2716"/>
      <c r="AI51" s="2716"/>
      <c r="AJ51" s="2716"/>
      <c r="AK51" s="2716"/>
      <c r="AL51" s="2717"/>
      <c r="AM51" s="64"/>
    </row>
    <row r="52" spans="1:39" ht="15" customHeight="1">
      <c r="A52" s="69"/>
      <c r="B52" s="755"/>
      <c r="C52" s="160"/>
      <c r="D52" s="166"/>
      <c r="E52" s="170"/>
      <c r="F52" s="170"/>
      <c r="G52" s="170"/>
      <c r="H52" s="170"/>
      <c r="I52" s="170"/>
      <c r="J52" s="170"/>
      <c r="K52" s="170"/>
      <c r="L52" s="170"/>
      <c r="M52" s="170"/>
      <c r="N52" s="170"/>
      <c r="O52" s="170"/>
      <c r="P52" s="170"/>
      <c r="Q52" s="170"/>
      <c r="R52" s="54"/>
      <c r="S52" s="54"/>
      <c r="T52" s="54"/>
      <c r="U52" s="54"/>
      <c r="V52" s="54"/>
      <c r="W52" s="54"/>
      <c r="X52" s="54"/>
      <c r="Y52" s="129"/>
      <c r="Z52" s="171" t="s">
        <v>1098</v>
      </c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</row>
    <row r="53" spans="1:39" ht="14.25" customHeight="1">
      <c r="A53" s="69"/>
      <c r="B53" s="55" t="s">
        <v>1099</v>
      </c>
      <c r="C53" s="172"/>
      <c r="D53" s="166"/>
      <c r="E53" s="173" t="s">
        <v>1100</v>
      </c>
      <c r="G53" s="174"/>
      <c r="H53" s="174"/>
      <c r="I53" s="174"/>
      <c r="J53" s="174"/>
      <c r="K53" s="174"/>
      <c r="L53" s="174"/>
      <c r="M53" s="174"/>
      <c r="N53" s="174"/>
      <c r="O53" s="174"/>
      <c r="P53" s="175"/>
      <c r="Q53" s="175"/>
      <c r="R53" s="54"/>
      <c r="S53" s="54"/>
      <c r="T53" s="54"/>
      <c r="U53" s="54"/>
      <c r="V53" s="54"/>
      <c r="W53" s="54"/>
      <c r="X53" s="54"/>
      <c r="Y53" s="129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</row>
    <row r="54" spans="1:39" ht="17.25" customHeight="1">
      <c r="A54" s="69"/>
      <c r="B54" s="176"/>
      <c r="C54" s="172"/>
      <c r="D54" s="166"/>
      <c r="E54" s="1619" t="str">
        <f>UPPER("(Excluding Those Income Subject To The Final Income Tax And/Or Final In Nature)")</f>
        <v>(EXCLUDING THOSE INCOME SUBJECT TO THE FINAL INCOME TAX AND/OR FINAL IN NATURE)</v>
      </c>
      <c r="G54" s="174"/>
      <c r="H54" s="174"/>
      <c r="I54" s="174"/>
      <c r="J54" s="174"/>
      <c r="K54" s="174"/>
      <c r="L54" s="174"/>
      <c r="M54" s="174"/>
      <c r="N54" s="174"/>
      <c r="O54" s="174"/>
      <c r="P54" s="175"/>
      <c r="Q54" s="175"/>
      <c r="R54" s="54"/>
      <c r="S54" s="54"/>
      <c r="T54" s="54"/>
      <c r="U54" s="54"/>
      <c r="V54" s="54"/>
      <c r="W54" s="54"/>
      <c r="X54" s="54"/>
      <c r="Y54" s="129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</row>
    <row r="55" spans="1:39" ht="2.25" customHeight="1">
      <c r="A55" s="69"/>
      <c r="B55" s="176"/>
      <c r="C55" s="172"/>
      <c r="D55" s="166"/>
      <c r="E55" s="174"/>
      <c r="F55" s="177"/>
      <c r="G55" s="174"/>
      <c r="H55" s="174"/>
      <c r="I55" s="174"/>
      <c r="J55" s="174"/>
      <c r="K55" s="174"/>
      <c r="L55" s="174"/>
      <c r="M55" s="174"/>
      <c r="N55" s="174"/>
      <c r="O55" s="174"/>
      <c r="P55" s="175"/>
      <c r="Q55" s="175"/>
      <c r="R55" s="54"/>
      <c r="S55" s="54"/>
      <c r="T55" s="54"/>
      <c r="U55" s="54"/>
      <c r="V55" s="54"/>
      <c r="W55" s="54"/>
      <c r="X55" s="54"/>
      <c r="Y55" s="129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</row>
    <row r="56" spans="1:39" ht="29.25" customHeight="1">
      <c r="A56" s="69"/>
      <c r="B56" s="2644" t="s">
        <v>123</v>
      </c>
      <c r="C56" s="2646"/>
      <c r="D56" s="2718" t="s">
        <v>1101</v>
      </c>
      <c r="E56" s="2719"/>
      <c r="F56" s="2719"/>
      <c r="G56" s="2719"/>
      <c r="H56" s="2719"/>
      <c r="I56" s="2719"/>
      <c r="J56" s="2719"/>
      <c r="K56" s="2719"/>
      <c r="L56" s="2719"/>
      <c r="M56" s="2719"/>
      <c r="N56" s="2719"/>
      <c r="O56" s="2719"/>
      <c r="P56" s="2719"/>
      <c r="Q56" s="2719"/>
      <c r="R56" s="2719"/>
      <c r="S56" s="2719"/>
      <c r="T56" s="2719"/>
      <c r="U56" s="2719"/>
      <c r="V56" s="2719"/>
      <c r="W56" s="2719"/>
      <c r="X56" s="2719"/>
      <c r="Y56" s="2720"/>
      <c r="Z56" s="2718" t="s">
        <v>1102</v>
      </c>
      <c r="AA56" s="2719"/>
      <c r="AB56" s="2719"/>
      <c r="AC56" s="2719"/>
      <c r="AD56" s="2719"/>
      <c r="AE56" s="2719"/>
      <c r="AF56" s="2719"/>
      <c r="AG56" s="2719"/>
      <c r="AH56" s="2719"/>
      <c r="AI56" s="2719"/>
      <c r="AJ56" s="2719"/>
      <c r="AK56" s="2719"/>
      <c r="AL56" s="2720"/>
    </row>
    <row r="57" spans="1:39" ht="12.75" customHeight="1">
      <c r="A57" s="69"/>
      <c r="B57" s="2651" t="s">
        <v>128</v>
      </c>
      <c r="C57" s="2653"/>
      <c r="D57" s="2651" t="s">
        <v>129</v>
      </c>
      <c r="E57" s="2608"/>
      <c r="F57" s="2608"/>
      <c r="G57" s="2608"/>
      <c r="H57" s="2608"/>
      <c r="I57" s="2608"/>
      <c r="J57" s="2608"/>
      <c r="K57" s="2608"/>
      <c r="L57" s="2608"/>
      <c r="M57" s="2608"/>
      <c r="N57" s="2608"/>
      <c r="O57" s="2608"/>
      <c r="P57" s="2608"/>
      <c r="Q57" s="2608"/>
      <c r="R57" s="2608"/>
      <c r="S57" s="2608"/>
      <c r="T57" s="2608"/>
      <c r="U57" s="2608"/>
      <c r="V57" s="2608"/>
      <c r="W57" s="2608"/>
      <c r="X57" s="2608"/>
      <c r="Y57" s="2653"/>
      <c r="Z57" s="2651" t="s">
        <v>130</v>
      </c>
      <c r="AA57" s="2608"/>
      <c r="AB57" s="2608"/>
      <c r="AC57" s="2608"/>
      <c r="AD57" s="2608"/>
      <c r="AE57" s="2608"/>
      <c r="AF57" s="2608"/>
      <c r="AG57" s="2608"/>
      <c r="AH57" s="2608"/>
      <c r="AI57" s="2608"/>
      <c r="AJ57" s="2608"/>
      <c r="AK57" s="2608"/>
      <c r="AL57" s="2653"/>
    </row>
    <row r="58" spans="1:39" ht="30" customHeight="1">
      <c r="A58" s="69"/>
      <c r="B58" s="2624">
        <v>1</v>
      </c>
      <c r="C58" s="2624"/>
      <c r="D58" s="2721" t="s">
        <v>1106</v>
      </c>
      <c r="E58" s="2722"/>
      <c r="F58" s="2722"/>
      <c r="G58" s="2722"/>
      <c r="H58" s="2722"/>
      <c r="I58" s="2722"/>
      <c r="J58" s="2722"/>
      <c r="K58" s="2722"/>
      <c r="L58" s="2722"/>
      <c r="M58" s="2722"/>
      <c r="N58" s="2722"/>
      <c r="O58" s="2722"/>
      <c r="P58" s="2722"/>
      <c r="Q58" s="2722"/>
      <c r="R58" s="2722"/>
      <c r="S58" s="2722"/>
      <c r="T58" s="2722"/>
      <c r="U58" s="2722"/>
      <c r="V58" s="2722"/>
      <c r="W58" s="2722"/>
      <c r="X58" s="2722"/>
      <c r="Y58" s="2723"/>
      <c r="Z58" s="2566">
        <f>'GENERAL INFO'!V164</f>
        <v>0</v>
      </c>
      <c r="AA58" s="2566"/>
      <c r="AB58" s="2566"/>
      <c r="AC58" s="2566"/>
      <c r="AD58" s="2566"/>
      <c r="AE58" s="2566"/>
      <c r="AF58" s="2566"/>
      <c r="AG58" s="2566"/>
      <c r="AH58" s="2566"/>
      <c r="AI58" s="2566"/>
      <c r="AJ58" s="2566"/>
      <c r="AK58" s="2566"/>
      <c r="AL58" s="2566"/>
    </row>
    <row r="59" spans="1:39" ht="30" customHeight="1">
      <c r="A59" s="144"/>
      <c r="B59" s="2656">
        <v>2</v>
      </c>
      <c r="C59" s="2656"/>
      <c r="D59" s="2724" t="s">
        <v>1107</v>
      </c>
      <c r="E59" s="2725"/>
      <c r="F59" s="2725"/>
      <c r="G59" s="2725"/>
      <c r="H59" s="2725"/>
      <c r="I59" s="2725"/>
      <c r="J59" s="2725"/>
      <c r="K59" s="2725"/>
      <c r="L59" s="2725"/>
      <c r="M59" s="2725"/>
      <c r="N59" s="2725"/>
      <c r="O59" s="2725"/>
      <c r="P59" s="2725"/>
      <c r="Q59" s="2725"/>
      <c r="R59" s="2725"/>
      <c r="S59" s="2725"/>
      <c r="T59" s="2725"/>
      <c r="U59" s="2725"/>
      <c r="V59" s="2725"/>
      <c r="W59" s="2725"/>
      <c r="X59" s="2725"/>
      <c r="Y59" s="2726"/>
      <c r="Z59" s="2566">
        <f>'GENERAL INFO'!V165</f>
        <v>0</v>
      </c>
      <c r="AA59" s="2566"/>
      <c r="AB59" s="2566"/>
      <c r="AC59" s="2566"/>
      <c r="AD59" s="2566"/>
      <c r="AE59" s="2566"/>
      <c r="AF59" s="2566"/>
      <c r="AG59" s="2566"/>
      <c r="AH59" s="2566"/>
      <c r="AI59" s="2566"/>
      <c r="AJ59" s="2566"/>
      <c r="AK59" s="2566"/>
      <c r="AL59" s="2566"/>
    </row>
    <row r="60" spans="1:39" ht="30" customHeight="1">
      <c r="A60" s="144"/>
      <c r="B60" s="2656">
        <v>3</v>
      </c>
      <c r="C60" s="2656"/>
      <c r="D60" s="2724" t="s">
        <v>1108</v>
      </c>
      <c r="E60" s="2725"/>
      <c r="F60" s="2725"/>
      <c r="G60" s="2725"/>
      <c r="H60" s="2725"/>
      <c r="I60" s="2725"/>
      <c r="J60" s="2725"/>
      <c r="K60" s="2725"/>
      <c r="L60" s="2725"/>
      <c r="M60" s="2725"/>
      <c r="N60" s="2725"/>
      <c r="O60" s="2725"/>
      <c r="P60" s="2725"/>
      <c r="Q60" s="2725"/>
      <c r="R60" s="2725"/>
      <c r="S60" s="2725"/>
      <c r="T60" s="2725"/>
      <c r="U60" s="2725"/>
      <c r="V60" s="2725"/>
      <c r="W60" s="2725"/>
      <c r="X60" s="2725"/>
      <c r="Y60" s="2726"/>
      <c r="Z60" s="2566">
        <f>'GENERAL INFO'!V166</f>
        <v>0</v>
      </c>
      <c r="AA60" s="2566"/>
      <c r="AB60" s="2566"/>
      <c r="AC60" s="2566"/>
      <c r="AD60" s="2566"/>
      <c r="AE60" s="2566"/>
      <c r="AF60" s="2566"/>
      <c r="AG60" s="2566"/>
      <c r="AH60" s="2566"/>
      <c r="AI60" s="2566"/>
      <c r="AJ60" s="2566"/>
      <c r="AK60" s="2566"/>
      <c r="AL60" s="2566"/>
    </row>
    <row r="61" spans="1:39" ht="30" customHeight="1">
      <c r="A61" s="144"/>
      <c r="B61" s="2656">
        <v>4</v>
      </c>
      <c r="C61" s="2656"/>
      <c r="D61" s="2724" t="s">
        <v>1109</v>
      </c>
      <c r="E61" s="2725"/>
      <c r="F61" s="2725"/>
      <c r="G61" s="2725"/>
      <c r="H61" s="2725"/>
      <c r="I61" s="2725"/>
      <c r="J61" s="2725"/>
      <c r="K61" s="2725"/>
      <c r="L61" s="2725"/>
      <c r="M61" s="2725"/>
      <c r="N61" s="2725"/>
      <c r="O61" s="2725"/>
      <c r="P61" s="2725"/>
      <c r="Q61" s="2725"/>
      <c r="R61" s="2725"/>
      <c r="S61" s="2725"/>
      <c r="T61" s="2725"/>
      <c r="U61" s="2725"/>
      <c r="V61" s="2725"/>
      <c r="W61" s="2725"/>
      <c r="X61" s="2725"/>
      <c r="Y61" s="2726"/>
      <c r="Z61" s="2566">
        <f>'GENERAL INFO'!V167</f>
        <v>0</v>
      </c>
      <c r="AA61" s="2566"/>
      <c r="AB61" s="2566"/>
      <c r="AC61" s="2566"/>
      <c r="AD61" s="2566"/>
      <c r="AE61" s="2566"/>
      <c r="AF61" s="2566"/>
      <c r="AG61" s="2566"/>
      <c r="AH61" s="2566"/>
      <c r="AI61" s="2566"/>
      <c r="AJ61" s="2566"/>
      <c r="AK61" s="2566"/>
      <c r="AL61" s="2566"/>
    </row>
    <row r="62" spans="1:39" ht="30" customHeight="1">
      <c r="A62" s="144"/>
      <c r="B62" s="2656">
        <v>5</v>
      </c>
      <c r="C62" s="2656"/>
      <c r="D62" s="2724" t="s">
        <v>1110</v>
      </c>
      <c r="E62" s="2725"/>
      <c r="F62" s="2725"/>
      <c r="G62" s="2725"/>
      <c r="H62" s="2725"/>
      <c r="I62" s="2725"/>
      <c r="J62" s="2725"/>
      <c r="K62" s="2725"/>
      <c r="L62" s="2725"/>
      <c r="M62" s="2725"/>
      <c r="N62" s="2725"/>
      <c r="O62" s="2725"/>
      <c r="P62" s="2725"/>
      <c r="Q62" s="2725"/>
      <c r="R62" s="2725"/>
      <c r="S62" s="2725"/>
      <c r="T62" s="2725"/>
      <c r="U62" s="2725"/>
      <c r="V62" s="2725"/>
      <c r="W62" s="2725"/>
      <c r="X62" s="2725"/>
      <c r="Y62" s="2726"/>
      <c r="Z62" s="2566">
        <f>'GENERAL INFO'!V168</f>
        <v>0</v>
      </c>
      <c r="AA62" s="2566"/>
      <c r="AB62" s="2566"/>
      <c r="AC62" s="2566"/>
      <c r="AD62" s="2566"/>
      <c r="AE62" s="2566"/>
      <c r="AF62" s="2566"/>
      <c r="AG62" s="2566"/>
      <c r="AH62" s="2566"/>
      <c r="AI62" s="2566"/>
      <c r="AJ62" s="2566"/>
      <c r="AK62" s="2566"/>
      <c r="AL62" s="2566"/>
    </row>
    <row r="63" spans="1:39" ht="30" customHeight="1">
      <c r="A63" s="144"/>
      <c r="B63" s="2656">
        <v>6</v>
      </c>
      <c r="C63" s="2656"/>
      <c r="D63" s="2724" t="s">
        <v>554</v>
      </c>
      <c r="E63" s="2725"/>
      <c r="F63" s="2725"/>
      <c r="G63" s="2725"/>
      <c r="H63" s="2725"/>
      <c r="I63" s="2725"/>
      <c r="J63" s="2725"/>
      <c r="K63" s="2725"/>
      <c r="L63" s="2725"/>
      <c r="M63" s="2725"/>
      <c r="N63" s="2725"/>
      <c r="O63" s="2725"/>
      <c r="P63" s="2725"/>
      <c r="Q63" s="2725"/>
      <c r="R63" s="2725"/>
      <c r="S63" s="2725"/>
      <c r="T63" s="2725"/>
      <c r="U63" s="2725"/>
      <c r="V63" s="2725"/>
      <c r="W63" s="2725"/>
      <c r="X63" s="2725"/>
      <c r="Y63" s="2726"/>
      <c r="Z63" s="2566">
        <f>'GENERAL INFO'!V169</f>
        <v>0</v>
      </c>
      <c r="AA63" s="2566"/>
      <c r="AB63" s="2566"/>
      <c r="AC63" s="2566"/>
      <c r="AD63" s="2566"/>
      <c r="AE63" s="2566"/>
      <c r="AF63" s="2566"/>
      <c r="AG63" s="2566"/>
      <c r="AH63" s="2566"/>
      <c r="AI63" s="2566"/>
      <c r="AJ63" s="2566"/>
      <c r="AK63" s="2566"/>
      <c r="AL63" s="2566"/>
    </row>
    <row r="64" spans="1:39" ht="30" customHeight="1">
      <c r="A64" s="47"/>
      <c r="B64" s="2627" t="s">
        <v>1103</v>
      </c>
      <c r="C64" s="2662"/>
      <c r="D64" s="2662"/>
      <c r="E64" s="2662"/>
      <c r="F64" s="2662"/>
      <c r="G64" s="2662"/>
      <c r="H64" s="2662"/>
      <c r="I64" s="2662"/>
      <c r="J64" s="2662"/>
      <c r="K64" s="2662"/>
      <c r="L64" s="2662"/>
      <c r="M64" s="2662"/>
      <c r="N64" s="2662"/>
      <c r="O64" s="2662"/>
      <c r="P64" s="2662"/>
      <c r="Q64" s="2662"/>
      <c r="R64" s="2662"/>
      <c r="S64" s="2662"/>
      <c r="T64" s="2662"/>
      <c r="U64" s="2662"/>
      <c r="V64" s="2662"/>
      <c r="W64" s="2628"/>
      <c r="X64" s="2739" t="s">
        <v>1104</v>
      </c>
      <c r="Y64" s="2740"/>
      <c r="Z64" s="2741">
        <f>'GENERAL INFO'!V171</f>
        <v>0</v>
      </c>
      <c r="AA64" s="2742"/>
      <c r="AB64" s="2742"/>
      <c r="AC64" s="2742"/>
      <c r="AD64" s="2742"/>
      <c r="AE64" s="2742"/>
      <c r="AF64" s="2742"/>
      <c r="AG64" s="2742"/>
      <c r="AH64" s="2742"/>
      <c r="AI64" s="2742"/>
      <c r="AJ64" s="2742"/>
      <c r="AK64" s="2742"/>
      <c r="AL64" s="2743"/>
    </row>
    <row r="65" spans="1:55" ht="21" customHeight="1" thickBot="1">
      <c r="A65" s="47"/>
      <c r="B65" s="380"/>
      <c r="C65" s="160"/>
      <c r="D65" s="6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99"/>
      <c r="V65" s="99"/>
      <c r="W65" s="99"/>
      <c r="X65" s="35"/>
      <c r="Y65" s="129"/>
      <c r="Z65" s="171" t="s">
        <v>1105</v>
      </c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</row>
    <row r="66" spans="1:55" ht="2.25" hidden="1" customHeight="1">
      <c r="A66" s="47"/>
      <c r="B66" s="99"/>
      <c r="C66" s="99"/>
      <c r="D66" s="127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35"/>
      <c r="Y66" s="129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</row>
    <row r="67" spans="1:55" ht="11.25" customHeight="1">
      <c r="A67" s="69"/>
      <c r="B67" s="99"/>
      <c r="C67" s="2727" t="s">
        <v>1111</v>
      </c>
      <c r="D67" s="2728"/>
      <c r="E67" s="2728"/>
      <c r="F67" s="2728"/>
      <c r="G67" s="2728"/>
      <c r="H67" s="2728"/>
      <c r="I67" s="2728"/>
      <c r="J67" s="2728"/>
      <c r="K67" s="2728"/>
      <c r="L67" s="2728"/>
      <c r="M67" s="2728"/>
      <c r="N67" s="2728"/>
      <c r="O67" s="2728"/>
      <c r="P67" s="2728"/>
      <c r="Q67" s="2728"/>
      <c r="R67" s="2728"/>
      <c r="S67" s="2728"/>
      <c r="T67" s="2728"/>
      <c r="U67" s="2728"/>
      <c r="V67" s="2728"/>
      <c r="W67" s="2728"/>
      <c r="X67" s="2728"/>
      <c r="Y67" s="2729"/>
      <c r="Z67" s="35"/>
      <c r="AA67" s="2733" t="s">
        <v>1112</v>
      </c>
      <c r="AB67" s="2733"/>
      <c r="AC67" s="2734"/>
      <c r="AD67" s="2735">
        <v>1</v>
      </c>
      <c r="AE67" s="2737" t="s">
        <v>1113</v>
      </c>
      <c r="AF67" s="2735">
        <v>1</v>
      </c>
      <c r="AG67" s="2738" t="s">
        <v>1114</v>
      </c>
      <c r="AH67" s="2733"/>
      <c r="AI67" s="2733"/>
      <c r="AJ67" s="2733"/>
      <c r="AK67" s="2733"/>
      <c r="AL67" s="35"/>
      <c r="AM67" s="64"/>
    </row>
    <row r="68" spans="1:55" ht="11.25" customHeight="1" thickBot="1">
      <c r="A68" s="69"/>
      <c r="B68" s="54"/>
      <c r="C68" s="2730"/>
      <c r="D68" s="2731"/>
      <c r="E68" s="2731"/>
      <c r="F68" s="2731"/>
      <c r="G68" s="2731"/>
      <c r="H68" s="2731"/>
      <c r="I68" s="2731"/>
      <c r="J68" s="2731"/>
      <c r="K68" s="2731"/>
      <c r="L68" s="2731"/>
      <c r="M68" s="2731"/>
      <c r="N68" s="2731"/>
      <c r="O68" s="2731"/>
      <c r="P68" s="2731"/>
      <c r="Q68" s="2731"/>
      <c r="R68" s="2731"/>
      <c r="S68" s="2731"/>
      <c r="T68" s="2731"/>
      <c r="U68" s="2731"/>
      <c r="V68" s="2731"/>
      <c r="W68" s="2731"/>
      <c r="X68" s="2731"/>
      <c r="Y68" s="2732"/>
      <c r="Z68" s="756"/>
      <c r="AA68" s="2733"/>
      <c r="AB68" s="2733"/>
      <c r="AC68" s="2734"/>
      <c r="AD68" s="2736"/>
      <c r="AE68" s="2737"/>
      <c r="AF68" s="2736"/>
      <c r="AG68" s="2738"/>
      <c r="AH68" s="2733"/>
      <c r="AI68" s="2733"/>
      <c r="AJ68" s="2733"/>
      <c r="AK68" s="2733"/>
      <c r="AL68" s="35"/>
    </row>
    <row r="69" spans="1:55" ht="3.75" customHeight="1">
      <c r="A69" s="69"/>
      <c r="B69" s="755"/>
      <c r="C69" s="755"/>
      <c r="D69" s="166"/>
      <c r="E69" s="756"/>
      <c r="F69" s="756"/>
      <c r="G69" s="756"/>
      <c r="H69" s="756"/>
      <c r="I69" s="756"/>
      <c r="J69" s="756"/>
      <c r="K69" s="756"/>
      <c r="L69" s="756"/>
      <c r="M69" s="756"/>
      <c r="N69" s="756"/>
      <c r="O69" s="756"/>
      <c r="P69" s="756"/>
      <c r="Q69" s="756"/>
      <c r="R69" s="756"/>
      <c r="S69" s="756"/>
      <c r="T69" s="756"/>
      <c r="U69" s="756"/>
      <c r="V69" s="756"/>
      <c r="W69" s="756"/>
      <c r="X69" s="756"/>
      <c r="Y69" s="756"/>
      <c r="Z69" s="756"/>
      <c r="AA69" s="756"/>
      <c r="AB69" s="756"/>
      <c r="AC69" s="756"/>
      <c r="AD69" s="756"/>
      <c r="AE69" s="756"/>
      <c r="AF69" s="756"/>
      <c r="AG69" s="756"/>
      <c r="AH69" s="756"/>
      <c r="AI69" s="756"/>
      <c r="AJ69" s="35"/>
      <c r="AK69" s="35"/>
      <c r="AL69" s="35"/>
    </row>
    <row r="70" spans="1:55" ht="10.5" customHeight="1">
      <c r="A70" s="65"/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  <c r="W70" s="88"/>
      <c r="X70" s="65"/>
      <c r="Y70" s="65"/>
      <c r="Z70" s="65"/>
      <c r="AA70" s="65"/>
      <c r="AB70" s="65"/>
      <c r="AC70" s="65"/>
      <c r="AD70" s="65"/>
      <c r="AE70" s="65"/>
      <c r="AF70" s="65"/>
      <c r="AG70" s="65"/>
      <c r="AH70" s="65"/>
      <c r="AI70" s="65"/>
      <c r="AJ70" s="65"/>
      <c r="AK70" s="65"/>
      <c r="AL70" s="65"/>
    </row>
    <row r="71" spans="1:55" ht="12.75" customHeight="1">
      <c r="A71" s="163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  <c r="W71" s="88"/>
      <c r="X71" s="88"/>
      <c r="Y71" s="88"/>
      <c r="Z71" s="88"/>
      <c r="AA71" s="88"/>
      <c r="AB71" s="88"/>
      <c r="AC71" s="88"/>
      <c r="AD71" s="88"/>
      <c r="AE71" s="88"/>
      <c r="AF71" s="88"/>
      <c r="AG71" s="88"/>
      <c r="AH71" s="88"/>
      <c r="AI71" s="88"/>
      <c r="AJ71" s="88"/>
      <c r="AK71" s="88"/>
      <c r="AL71" s="101"/>
    </row>
    <row r="72" spans="1:55" ht="12" customHeight="1"/>
    <row r="73" spans="1:55" ht="11.25" customHeight="1"/>
    <row r="74" spans="1:55" s="64" customFormat="1" ht="12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2"/>
      <c r="BA74" s="102"/>
      <c r="BB74" s="102"/>
      <c r="BC74" s="102"/>
    </row>
    <row r="75" spans="1:55" s="64" customFormat="1" ht="12.7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</row>
    <row r="76" spans="1:55" s="64" customFormat="1" ht="12.7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</row>
    <row r="77" spans="1:55" s="64" customFormat="1" ht="8.2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</row>
    <row r="78" spans="1:55" s="64" customFormat="1" ht="12.7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</row>
    <row r="79" spans="1:55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</row>
    <row r="80" spans="1:55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</row>
    <row r="81" spans="2:55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</row>
    <row r="82" spans="2:55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</row>
    <row r="83" spans="2:55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</row>
    <row r="84" spans="2:55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</row>
    <row r="85" spans="2:55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</row>
    <row r="86" spans="2:55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</row>
    <row r="87" spans="2:55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</row>
    <row r="88" spans="2:55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</row>
    <row r="89" spans="2:55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</row>
    <row r="90" spans="2:55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</row>
    <row r="91" spans="2:55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</row>
    <row r="92" spans="2:55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</row>
    <row r="93" spans="2:55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</row>
    <row r="94" spans="2:55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</row>
    <row r="95" spans="2:55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</row>
    <row r="96" spans="2:55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</row>
    <row r="97" spans="2:55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</row>
    <row r="98" spans="2:55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</row>
    <row r="99" spans="2:55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</row>
    <row r="100" spans="2:55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</row>
    <row r="101" spans="2:55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</row>
    <row r="102" spans="2:55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</row>
    <row r="103" spans="2:55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</row>
    <row r="104" spans="2:55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</row>
    <row r="105" spans="2:55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</row>
    <row r="106" spans="2:55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</row>
    <row r="107" spans="2:55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</row>
    <row r="108" spans="2:55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</row>
    <row r="109" spans="2:55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</row>
    <row r="110" spans="2:55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</row>
    <row r="111" spans="2:55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</row>
    <row r="112" spans="2:55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</row>
    <row r="113" spans="2:55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</row>
    <row r="114" spans="2:55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</row>
    <row r="115" spans="2:55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</row>
    <row r="116" spans="2:55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</row>
    <row r="117" spans="2:55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</row>
    <row r="118" spans="2:55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</row>
    <row r="119" spans="2:55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</row>
    <row r="120" spans="2:55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</row>
    <row r="121" spans="2:55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</row>
    <row r="122" spans="2:55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</row>
    <row r="123" spans="2:55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</row>
    <row r="124" spans="2:55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</row>
    <row r="125" spans="2:55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</row>
    <row r="126" spans="2:55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</row>
    <row r="127" spans="2:55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</row>
    <row r="128" spans="2:55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</row>
    <row r="129" spans="2:55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</row>
    <row r="130" spans="2:55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</row>
    <row r="131" spans="2:55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</row>
    <row r="132" spans="2:55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</row>
    <row r="133" spans="2:55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</row>
    <row r="134" spans="2:55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</row>
    <row r="135" spans="2:55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</row>
    <row r="136" spans="2:55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</row>
    <row r="137" spans="2:55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</row>
    <row r="138" spans="2:55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</row>
    <row r="139" spans="2:55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</row>
    <row r="140" spans="2:55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</row>
    <row r="141" spans="2:55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</row>
    <row r="142" spans="2:55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</row>
    <row r="143" spans="2:55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</row>
    <row r="144" spans="2:55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</row>
    <row r="145" spans="2:55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</row>
    <row r="146" spans="2:55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</row>
    <row r="147" spans="2:55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</row>
    <row r="148" spans="2:55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</row>
    <row r="149" spans="2:55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</row>
    <row r="150" spans="2:55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</row>
    <row r="151" spans="2:55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</row>
    <row r="152" spans="2:55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2"/>
      <c r="BA152" s="102"/>
      <c r="BB152" s="102"/>
      <c r="BC152" s="102"/>
    </row>
    <row r="153" spans="2:55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</row>
    <row r="154" spans="2:55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2"/>
      <c r="BA154" s="102"/>
      <c r="BB154" s="102"/>
      <c r="BC154" s="102"/>
    </row>
    <row r="155" spans="2:55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2"/>
      <c r="BA155" s="102"/>
      <c r="BB155" s="102"/>
      <c r="BC155" s="102"/>
    </row>
    <row r="156" spans="2:55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2"/>
      <c r="BA156" s="102"/>
      <c r="BB156" s="102"/>
      <c r="BC156" s="102"/>
    </row>
    <row r="157" spans="2:55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</row>
    <row r="158" spans="2:55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</row>
    <row r="159" spans="2:55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</row>
    <row r="160" spans="2:55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2"/>
      <c r="BA160" s="102"/>
      <c r="BB160" s="102"/>
      <c r="BC160" s="102"/>
    </row>
    <row r="161" spans="2:55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2"/>
      <c r="BA161" s="102"/>
      <c r="BB161" s="102"/>
      <c r="BC161" s="102"/>
    </row>
    <row r="162" spans="2:55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</row>
    <row r="163" spans="2:55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2"/>
      <c r="BA163" s="102"/>
      <c r="BB163" s="102"/>
      <c r="BC163" s="102"/>
    </row>
    <row r="164" spans="2:55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</row>
    <row r="165" spans="2:55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2"/>
      <c r="BA165" s="102"/>
      <c r="BB165" s="102"/>
      <c r="BC165" s="102"/>
    </row>
    <row r="166" spans="2:55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2"/>
      <c r="BA166" s="102"/>
      <c r="BB166" s="102"/>
      <c r="BC166" s="102"/>
    </row>
    <row r="167" spans="2:55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  <c r="BA167" s="102"/>
      <c r="BB167" s="102"/>
      <c r="BC167" s="102"/>
    </row>
    <row r="168" spans="2:55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2"/>
      <c r="BA168" s="102"/>
      <c r="BB168" s="102"/>
      <c r="BC168" s="102"/>
    </row>
    <row r="169" spans="2:55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2"/>
      <c r="BA169" s="102"/>
      <c r="BB169" s="102"/>
      <c r="BC169" s="102"/>
    </row>
    <row r="170" spans="2:55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2"/>
      <c r="BA170" s="102"/>
      <c r="BB170" s="102"/>
      <c r="BC170" s="102"/>
    </row>
    <row r="171" spans="2:55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</row>
    <row r="172" spans="2:55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</row>
    <row r="173" spans="2:55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</row>
    <row r="174" spans="2:55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2"/>
      <c r="BA174" s="102"/>
      <c r="BB174" s="102"/>
      <c r="BC174" s="102"/>
    </row>
    <row r="175" spans="2:55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</row>
    <row r="176" spans="2:55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2"/>
      <c r="BA176" s="102"/>
      <c r="BB176" s="102"/>
      <c r="BC176" s="102"/>
    </row>
    <row r="177" spans="2:55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2"/>
      <c r="BA177" s="102"/>
      <c r="BB177" s="102"/>
      <c r="BC177" s="102"/>
    </row>
    <row r="178" spans="2:55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2"/>
      <c r="BA178" s="102"/>
      <c r="BB178" s="102"/>
      <c r="BC178" s="102"/>
    </row>
    <row r="179" spans="2:55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2"/>
      <c r="BA179" s="102"/>
      <c r="BB179" s="102"/>
      <c r="BC179" s="102"/>
    </row>
    <row r="180" spans="2:55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2"/>
      <c r="BA180" s="102"/>
      <c r="BB180" s="102"/>
      <c r="BC180" s="102"/>
    </row>
    <row r="181" spans="2:55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2"/>
      <c r="BA181" s="102"/>
      <c r="BB181" s="102"/>
      <c r="BC181" s="102"/>
    </row>
    <row r="182" spans="2:55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2"/>
      <c r="BA182" s="102"/>
      <c r="BB182" s="102"/>
      <c r="BC182" s="102"/>
    </row>
    <row r="183" spans="2:55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2"/>
      <c r="BA183" s="102"/>
      <c r="BB183" s="102"/>
      <c r="BC183" s="102"/>
    </row>
    <row r="184" spans="2:55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2"/>
      <c r="BA184" s="102"/>
      <c r="BB184" s="102"/>
      <c r="BC184" s="102"/>
    </row>
    <row r="185" spans="2:55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2"/>
      <c r="BA185" s="102"/>
      <c r="BB185" s="102"/>
      <c r="BC185" s="102"/>
    </row>
    <row r="186" spans="2:55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2"/>
      <c r="BA186" s="102"/>
      <c r="BB186" s="102"/>
      <c r="BC186" s="102"/>
    </row>
    <row r="187" spans="2:55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2"/>
      <c r="BA187" s="102"/>
      <c r="BB187" s="102"/>
      <c r="BC187" s="102"/>
    </row>
    <row r="188" spans="2:55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2"/>
      <c r="BA188" s="102"/>
      <c r="BB188" s="102"/>
      <c r="BC188" s="102"/>
    </row>
    <row r="189" spans="2:55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2"/>
      <c r="BA189" s="102"/>
      <c r="BB189" s="102"/>
      <c r="BC189" s="102"/>
    </row>
    <row r="190" spans="2:55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</row>
    <row r="191" spans="2:55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</row>
    <row r="192" spans="2:55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</row>
    <row r="193" spans="2:55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</row>
    <row r="194" spans="2:55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</row>
    <row r="195" spans="2:55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</row>
    <row r="196" spans="2:55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</row>
    <row r="197" spans="2:55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</row>
    <row r="198" spans="2:55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</row>
    <row r="199" spans="2:55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</row>
    <row r="200" spans="2:55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</row>
    <row r="201" spans="2:55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</row>
    <row r="202" spans="2:55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</row>
    <row r="203" spans="2:55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</row>
    <row r="204" spans="2:55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</row>
    <row r="205" spans="2:55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</row>
    <row r="206" spans="2:55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</row>
    <row r="207" spans="2:55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</row>
    <row r="208" spans="2:55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</row>
    <row r="209" spans="2:55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</row>
    <row r="210" spans="2:55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</row>
    <row r="211" spans="2:55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</row>
    <row r="212" spans="2:55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</row>
    <row r="213" spans="2:55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</row>
    <row r="214" spans="2:55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</row>
    <row r="215" spans="2:55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</row>
    <row r="216" spans="2:55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</row>
    <row r="217" spans="2:55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</row>
    <row r="218" spans="2:55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</row>
    <row r="219" spans="2:55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</row>
    <row r="220" spans="2:55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</row>
    <row r="221" spans="2:55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</row>
    <row r="222" spans="2:55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</row>
    <row r="223" spans="2:55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</row>
    <row r="224" spans="2:55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</row>
    <row r="225" spans="2:55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</row>
    <row r="226" spans="2:55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</row>
    <row r="227" spans="2:55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</row>
    <row r="228" spans="2:55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</row>
    <row r="229" spans="2:55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</row>
    <row r="230" spans="2:55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</row>
    <row r="231" spans="2:55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</row>
    <row r="232" spans="2:55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</row>
    <row r="233" spans="2:55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</row>
    <row r="234" spans="2:55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</row>
    <row r="235" spans="2:55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</row>
    <row r="236" spans="2:55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</row>
    <row r="237" spans="2:55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</row>
    <row r="238" spans="2:55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</row>
    <row r="239" spans="2:55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</row>
    <row r="240" spans="2:55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</row>
    <row r="241" spans="2:55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</row>
    <row r="242" spans="2:55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</row>
    <row r="243" spans="2:55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</row>
    <row r="244" spans="2:55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</row>
    <row r="245" spans="2:55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</row>
    <row r="246" spans="2:55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</row>
    <row r="247" spans="2:55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</row>
    <row r="248" spans="2:55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</row>
    <row r="249" spans="2:55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</row>
    <row r="250" spans="2:55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</row>
    <row r="251" spans="2:55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</row>
    <row r="252" spans="2:55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</row>
    <row r="253" spans="2:55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</row>
    <row r="254" spans="2:55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</row>
    <row r="255" spans="2:55" s="64" customFormat="1" ht="1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</row>
    <row r="256" spans="2:55" s="64" customFormat="1" ht="1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</row>
    <row r="257" spans="2:55" s="64" customFormat="1" ht="1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</row>
    <row r="258" spans="2:55" s="64" customFormat="1" ht="1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</row>
    <row r="259" spans="2:55" s="64" customFormat="1" ht="1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</row>
    <row r="260" spans="2:55" s="64" customFormat="1" ht="1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</row>
    <row r="261" spans="2:55" s="64" customFormat="1" ht="1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</row>
    <row r="262" spans="2:55" s="64" customFormat="1" ht="1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</row>
    <row r="263" spans="2:55" s="64" customFormat="1" ht="1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2"/>
      <c r="BA263" s="102"/>
      <c r="BB263" s="102"/>
      <c r="BC263" s="102"/>
    </row>
    <row r="264" spans="2:55" s="64" customFormat="1" ht="1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2"/>
      <c r="BA264" s="102"/>
      <c r="BB264" s="102"/>
      <c r="BC264" s="102"/>
    </row>
    <row r="265" spans="2:55" s="64" customFormat="1" ht="1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</row>
    <row r="266" spans="2:55" s="64" customFormat="1" ht="1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</row>
    <row r="267" spans="2:55" s="64" customFormat="1" ht="1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</row>
    <row r="268" spans="2:55" s="64" customFormat="1" ht="1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2"/>
      <c r="BA268" s="102"/>
      <c r="BB268" s="102"/>
      <c r="BC268" s="102"/>
    </row>
    <row r="269" spans="2:55" s="64" customFormat="1" ht="1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2"/>
      <c r="BA269" s="102"/>
      <c r="BB269" s="102"/>
      <c r="BC269" s="102"/>
    </row>
    <row r="270" spans="2:55" s="64" customFormat="1" ht="1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2"/>
      <c r="BA270" s="102"/>
      <c r="BB270" s="102"/>
      <c r="BC270" s="102"/>
    </row>
    <row r="271" spans="2:55" s="64" customFormat="1" ht="1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2"/>
      <c r="BA271" s="102"/>
      <c r="BB271" s="102"/>
      <c r="BC271" s="102"/>
    </row>
    <row r="272" spans="2:55" s="64" customFormat="1" ht="1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2"/>
      <c r="BA272" s="102"/>
      <c r="BB272" s="102"/>
      <c r="BC272" s="102"/>
    </row>
    <row r="273" spans="2:55" s="64" customFormat="1" ht="1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2"/>
      <c r="BA273" s="102"/>
      <c r="BB273" s="102"/>
      <c r="BC273" s="102"/>
    </row>
    <row r="274" spans="2:55" s="64" customFormat="1" ht="1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2"/>
      <c r="BA274" s="102"/>
      <c r="BB274" s="102"/>
      <c r="BC274" s="102"/>
    </row>
    <row r="275" spans="2:55" s="64" customFormat="1" ht="1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2"/>
      <c r="BA275" s="102"/>
      <c r="BB275" s="102"/>
      <c r="BC275" s="102"/>
    </row>
    <row r="276" spans="2:55" s="64" customFormat="1" ht="1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2"/>
      <c r="BA276" s="102"/>
      <c r="BB276" s="102"/>
      <c r="BC276" s="102"/>
    </row>
    <row r="277" spans="2:55" s="64" customFormat="1" ht="1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2"/>
      <c r="BA277" s="102"/>
      <c r="BB277" s="102"/>
      <c r="BC277" s="102"/>
    </row>
    <row r="278" spans="2:55" s="64" customFormat="1" ht="1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2"/>
      <c r="BA278" s="102"/>
      <c r="BB278" s="102"/>
      <c r="BC278" s="102"/>
    </row>
    <row r="279" spans="2:55" s="64" customFormat="1" ht="1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2"/>
      <c r="BA279" s="102"/>
      <c r="BB279" s="102"/>
      <c r="BC279" s="102"/>
    </row>
    <row r="280" spans="2:55" s="64" customFormat="1" ht="1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2"/>
      <c r="BA280" s="102"/>
      <c r="BB280" s="102"/>
      <c r="BC280" s="102"/>
    </row>
    <row r="281" spans="2:55" s="64" customFormat="1" ht="1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2"/>
      <c r="BA281" s="102"/>
      <c r="BB281" s="102"/>
      <c r="BC281" s="102"/>
    </row>
    <row r="282" spans="2:55" s="64" customFormat="1" ht="1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2"/>
      <c r="BA282" s="102"/>
      <c r="BB282" s="102"/>
      <c r="BC282" s="102"/>
    </row>
    <row r="283" spans="2:55" s="64" customFormat="1" ht="1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2"/>
      <c r="BA283" s="102"/>
      <c r="BB283" s="102"/>
      <c r="BC283" s="102"/>
    </row>
    <row r="284" spans="2:55" s="64" customFormat="1" ht="1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2"/>
      <c r="BA284" s="102"/>
      <c r="BB284" s="102"/>
      <c r="BC284" s="102"/>
    </row>
    <row r="285" spans="2:55" s="64" customFormat="1" ht="1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2"/>
      <c r="BA285" s="102"/>
      <c r="BB285" s="102"/>
      <c r="BC285" s="102"/>
    </row>
    <row r="286" spans="2:55" s="64" customFormat="1" ht="1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2"/>
      <c r="BA286" s="102"/>
      <c r="BB286" s="102"/>
      <c r="BC286" s="102"/>
    </row>
    <row r="287" spans="2:55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2"/>
      <c r="BA287" s="102"/>
      <c r="BB287" s="102"/>
      <c r="BC287" s="102"/>
    </row>
    <row r="288" spans="2:55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2"/>
      <c r="BA288" s="102"/>
      <c r="BB288" s="102"/>
      <c r="BC288" s="102"/>
    </row>
    <row r="289" spans="2:55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2"/>
      <c r="BA289" s="102"/>
      <c r="BB289" s="102"/>
      <c r="BC289" s="102"/>
    </row>
    <row r="290" spans="2:55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2"/>
      <c r="BA290" s="102"/>
      <c r="BB290" s="102"/>
      <c r="BC290" s="102"/>
    </row>
    <row r="291" spans="2:55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2"/>
      <c r="BA291" s="102"/>
      <c r="BB291" s="102"/>
      <c r="BC291" s="102"/>
    </row>
    <row r="292" spans="2:55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2"/>
      <c r="BA292" s="102"/>
      <c r="BB292" s="102"/>
      <c r="BC292" s="102"/>
    </row>
    <row r="293" spans="2:55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2"/>
      <c r="BA293" s="102"/>
      <c r="BB293" s="102"/>
      <c r="BC293" s="102"/>
    </row>
    <row r="294" spans="2:55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2"/>
      <c r="BA294" s="102"/>
      <c r="BB294" s="102"/>
      <c r="BC294" s="102"/>
    </row>
    <row r="295" spans="2:55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2"/>
      <c r="BA295" s="102"/>
      <c r="BB295" s="102"/>
      <c r="BC295" s="102"/>
    </row>
    <row r="296" spans="2:55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2"/>
      <c r="BA296" s="102"/>
      <c r="BB296" s="102"/>
      <c r="BC296" s="102"/>
    </row>
    <row r="297" spans="2:55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2"/>
      <c r="BA297" s="102"/>
      <c r="BB297" s="102"/>
      <c r="BC297" s="102"/>
    </row>
    <row r="298" spans="2:55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2"/>
      <c r="BA298" s="102"/>
      <c r="BB298" s="102"/>
      <c r="BC298" s="102"/>
    </row>
    <row r="299" spans="2:55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2"/>
      <c r="BA299" s="102"/>
      <c r="BB299" s="102"/>
      <c r="BC299" s="102"/>
    </row>
    <row r="300" spans="2:55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2"/>
      <c r="BA300" s="102"/>
      <c r="BB300" s="102"/>
      <c r="BC300" s="102"/>
    </row>
    <row r="301" spans="2:55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</row>
    <row r="302" spans="2:55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</row>
    <row r="303" spans="2:55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2"/>
      <c r="BA303" s="102"/>
      <c r="BB303" s="102"/>
      <c r="BC303" s="102"/>
    </row>
    <row r="304" spans="2:55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2"/>
      <c r="BA304" s="102"/>
      <c r="BB304" s="102"/>
      <c r="BC304" s="102"/>
    </row>
    <row r="305" spans="2:55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2"/>
      <c r="BA305" s="102"/>
      <c r="BB305" s="102"/>
      <c r="BC305" s="102"/>
    </row>
    <row r="306" spans="2:55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2"/>
      <c r="BA306" s="102"/>
      <c r="BB306" s="102"/>
      <c r="BC306" s="102"/>
    </row>
    <row r="307" spans="2:55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2"/>
      <c r="BA307" s="102"/>
      <c r="BB307" s="102"/>
      <c r="BC307" s="102"/>
    </row>
    <row r="308" spans="2:55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2"/>
      <c r="BA308" s="102"/>
      <c r="BB308" s="102"/>
      <c r="BC308" s="102"/>
    </row>
    <row r="309" spans="2:55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2"/>
      <c r="BA309" s="102"/>
      <c r="BB309" s="102"/>
      <c r="BC309" s="102"/>
    </row>
    <row r="310" spans="2:55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2"/>
      <c r="BA310" s="102"/>
      <c r="BB310" s="102"/>
      <c r="BC310" s="102"/>
    </row>
    <row r="311" spans="2:55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2"/>
      <c r="BA311" s="102"/>
      <c r="BB311" s="102"/>
      <c r="BC311" s="102"/>
    </row>
    <row r="312" spans="2:55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2"/>
      <c r="BA312" s="102"/>
      <c r="BB312" s="102"/>
      <c r="BC312" s="102"/>
    </row>
    <row r="313" spans="2:55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2"/>
      <c r="BA313" s="102"/>
      <c r="BB313" s="102"/>
      <c r="BC313" s="102"/>
    </row>
    <row r="314" spans="2:55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2"/>
      <c r="BA314" s="102"/>
      <c r="BB314" s="102"/>
      <c r="BC314" s="102"/>
    </row>
    <row r="315" spans="2:55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2"/>
      <c r="BA315" s="102"/>
      <c r="BB315" s="102"/>
      <c r="BC315" s="102"/>
    </row>
    <row r="316" spans="2:55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2"/>
      <c r="BA316" s="102"/>
      <c r="BB316" s="102"/>
      <c r="BC316" s="102"/>
    </row>
    <row r="317" spans="2:55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2"/>
      <c r="BA317" s="102"/>
      <c r="BB317" s="102"/>
      <c r="BC317" s="102"/>
    </row>
    <row r="318" spans="2:55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2"/>
      <c r="BA318" s="102"/>
      <c r="BB318" s="102"/>
      <c r="BC318" s="102"/>
    </row>
    <row r="319" spans="2:55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2"/>
      <c r="BA319" s="102"/>
      <c r="BB319" s="102"/>
      <c r="BC319" s="102"/>
    </row>
    <row r="320" spans="2:55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2"/>
      <c r="BA320" s="102"/>
      <c r="BB320" s="102"/>
      <c r="BC320" s="102"/>
    </row>
    <row r="321" spans="2:55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2"/>
      <c r="BA321" s="102"/>
      <c r="BB321" s="102"/>
      <c r="BC321" s="102"/>
    </row>
    <row r="322" spans="2:55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2"/>
      <c r="BA322" s="102"/>
      <c r="BB322" s="102"/>
      <c r="BC322" s="102"/>
    </row>
    <row r="323" spans="2:55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2"/>
      <c r="BA323" s="102"/>
      <c r="BB323" s="102"/>
      <c r="BC323" s="102"/>
    </row>
    <row r="324" spans="2:55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2"/>
      <c r="BA324" s="102"/>
      <c r="BB324" s="102"/>
      <c r="BC324" s="102"/>
    </row>
    <row r="325" spans="2:55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2"/>
      <c r="BA325" s="102"/>
      <c r="BB325" s="102"/>
      <c r="BC325" s="102"/>
    </row>
    <row r="326" spans="2:55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2"/>
      <c r="BA326" s="102"/>
      <c r="BB326" s="102"/>
      <c r="BC326" s="102"/>
    </row>
    <row r="327" spans="2:55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2"/>
      <c r="BA327" s="102"/>
      <c r="BB327" s="102"/>
      <c r="BC327" s="102"/>
    </row>
    <row r="328" spans="2:55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2"/>
      <c r="BA328" s="102"/>
      <c r="BB328" s="102"/>
      <c r="BC328" s="102"/>
    </row>
    <row r="329" spans="2:55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2"/>
      <c r="BA329" s="102"/>
      <c r="BB329" s="102"/>
      <c r="BC329" s="102"/>
    </row>
    <row r="330" spans="2:55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2"/>
      <c r="BA330" s="102"/>
      <c r="BB330" s="102"/>
      <c r="BC330" s="102"/>
    </row>
    <row r="331" spans="2:55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2"/>
      <c r="BA331" s="102"/>
      <c r="BB331" s="102"/>
      <c r="BC331" s="102"/>
    </row>
    <row r="332" spans="2:55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2"/>
      <c r="BA332" s="102"/>
      <c r="BB332" s="102"/>
      <c r="BC332" s="102"/>
    </row>
    <row r="333" spans="2:55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2"/>
      <c r="BA333" s="102"/>
      <c r="BB333" s="102"/>
      <c r="BC333" s="102"/>
    </row>
    <row r="334" spans="2:55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2"/>
      <c r="BA334" s="102"/>
      <c r="BB334" s="102"/>
      <c r="BC334" s="102"/>
    </row>
    <row r="335" spans="2:55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2"/>
      <c r="BA335" s="102"/>
      <c r="BB335" s="102"/>
      <c r="BC335" s="102"/>
    </row>
    <row r="336" spans="2:55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2"/>
      <c r="BA336" s="102"/>
      <c r="BB336" s="102"/>
      <c r="BC336" s="102"/>
    </row>
    <row r="337" spans="2:55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</row>
    <row r="338" spans="2:55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</row>
    <row r="339" spans="2:55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2"/>
      <c r="BA339" s="102"/>
      <c r="BB339" s="102"/>
      <c r="BC339" s="102"/>
    </row>
    <row r="340" spans="2:55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2"/>
      <c r="BA340" s="102"/>
      <c r="BB340" s="102"/>
      <c r="BC340" s="102"/>
    </row>
    <row r="341" spans="2:55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2"/>
      <c r="BA341" s="102"/>
      <c r="BB341" s="102"/>
      <c r="BC341" s="102"/>
    </row>
    <row r="342" spans="2:55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2"/>
      <c r="BA342" s="102"/>
      <c r="BB342" s="102"/>
      <c r="BC342" s="102"/>
    </row>
    <row r="343" spans="2:55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2"/>
      <c r="BA343" s="102"/>
      <c r="BB343" s="102"/>
      <c r="BC343" s="102"/>
    </row>
    <row r="344" spans="2:55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2"/>
      <c r="BA344" s="102"/>
      <c r="BB344" s="102"/>
      <c r="BC344" s="102"/>
    </row>
    <row r="345" spans="2:55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2"/>
      <c r="BA345" s="102"/>
      <c r="BB345" s="102"/>
      <c r="BC345" s="102"/>
    </row>
    <row r="346" spans="2:55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2"/>
      <c r="BA346" s="102"/>
      <c r="BB346" s="102"/>
      <c r="BC346" s="102"/>
    </row>
    <row r="347" spans="2:55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2"/>
      <c r="BA347" s="102"/>
      <c r="BB347" s="102"/>
      <c r="BC347" s="102"/>
    </row>
    <row r="348" spans="2:55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2"/>
      <c r="BA348" s="102"/>
      <c r="BB348" s="102"/>
      <c r="BC348" s="102"/>
    </row>
    <row r="349" spans="2:55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2"/>
      <c r="BA349" s="102"/>
      <c r="BB349" s="102"/>
      <c r="BC349" s="102"/>
    </row>
    <row r="350" spans="2:55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2"/>
      <c r="BA350" s="102"/>
      <c r="BB350" s="102"/>
      <c r="BC350" s="102"/>
    </row>
    <row r="351" spans="2:55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2"/>
      <c r="BA351" s="102"/>
      <c r="BB351" s="102"/>
      <c r="BC351" s="102"/>
    </row>
    <row r="352" spans="2:55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2"/>
      <c r="BA352" s="102"/>
      <c r="BB352" s="102"/>
      <c r="BC352" s="102"/>
    </row>
    <row r="353" spans="2:55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2"/>
      <c r="BA353" s="102"/>
      <c r="BB353" s="102"/>
      <c r="BC353" s="102"/>
    </row>
    <row r="354" spans="2:55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2"/>
      <c r="BA354" s="102"/>
      <c r="BB354" s="102"/>
      <c r="BC354" s="102"/>
    </row>
    <row r="355" spans="2:55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2"/>
      <c r="BA355" s="102"/>
      <c r="BB355" s="102"/>
      <c r="BC355" s="102"/>
    </row>
    <row r="356" spans="2:55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2"/>
      <c r="BA356" s="102"/>
      <c r="BB356" s="102"/>
      <c r="BC356" s="102"/>
    </row>
    <row r="357" spans="2:55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2"/>
      <c r="BA357" s="102"/>
      <c r="BB357" s="102"/>
      <c r="BC357" s="102"/>
    </row>
    <row r="358" spans="2:55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2"/>
      <c r="BA358" s="102"/>
      <c r="BB358" s="102"/>
      <c r="BC358" s="102"/>
    </row>
    <row r="359" spans="2:55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2"/>
      <c r="BA359" s="102"/>
      <c r="BB359" s="102"/>
      <c r="BC359" s="102"/>
    </row>
    <row r="360" spans="2:55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2"/>
      <c r="BA360" s="102"/>
      <c r="BB360" s="102"/>
      <c r="BC360" s="102"/>
    </row>
    <row r="361" spans="2:55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2"/>
      <c r="BA361" s="102"/>
      <c r="BB361" s="102"/>
      <c r="BC361" s="102"/>
    </row>
    <row r="362" spans="2:55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2"/>
      <c r="BA362" s="102"/>
      <c r="BB362" s="102"/>
      <c r="BC362" s="102"/>
    </row>
    <row r="363" spans="2:55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2"/>
      <c r="BA363" s="102"/>
      <c r="BB363" s="102"/>
      <c r="BC363" s="102"/>
    </row>
    <row r="364" spans="2:55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2"/>
      <c r="BA364" s="102"/>
      <c r="BB364" s="102"/>
      <c r="BC364" s="102"/>
    </row>
    <row r="365" spans="2:55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2"/>
      <c r="BA365" s="102"/>
      <c r="BB365" s="102"/>
      <c r="BC365" s="102"/>
    </row>
    <row r="366" spans="2:55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2"/>
      <c r="BA366" s="102"/>
      <c r="BB366" s="102"/>
      <c r="BC366" s="102"/>
    </row>
    <row r="367" spans="2:55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2"/>
      <c r="BA367" s="102"/>
      <c r="BB367" s="102"/>
      <c r="BC367" s="102"/>
    </row>
    <row r="368" spans="2:55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2"/>
      <c r="BA368" s="102"/>
      <c r="BB368" s="102"/>
      <c r="BC368" s="102"/>
    </row>
    <row r="369" spans="2:55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2"/>
      <c r="BA369" s="102"/>
      <c r="BB369" s="102"/>
      <c r="BC369" s="102"/>
    </row>
    <row r="370" spans="2:55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2"/>
      <c r="BA370" s="102"/>
      <c r="BB370" s="102"/>
      <c r="BC370" s="102"/>
    </row>
    <row r="371" spans="2:55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2"/>
      <c r="BA371" s="102"/>
      <c r="BB371" s="102"/>
      <c r="BC371" s="102"/>
    </row>
    <row r="372" spans="2:55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2"/>
      <c r="BA372" s="102"/>
      <c r="BB372" s="102"/>
      <c r="BC372" s="102"/>
    </row>
    <row r="373" spans="2:55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2"/>
      <c r="BA373" s="102"/>
      <c r="BB373" s="102"/>
      <c r="BC373" s="102"/>
    </row>
    <row r="374" spans="2:55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2"/>
      <c r="BA374" s="102"/>
      <c r="BB374" s="102"/>
      <c r="BC374" s="102"/>
    </row>
    <row r="375" spans="2:55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2"/>
      <c r="BA375" s="102"/>
      <c r="BB375" s="102"/>
      <c r="BC375" s="102"/>
    </row>
    <row r="376" spans="2:55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2"/>
      <c r="BA376" s="102"/>
      <c r="BB376" s="102"/>
      <c r="BC376" s="102"/>
    </row>
    <row r="377" spans="2:55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2"/>
      <c r="BA377" s="102"/>
      <c r="BB377" s="102"/>
      <c r="BC377" s="102"/>
    </row>
    <row r="378" spans="2:55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2"/>
      <c r="BA378" s="102"/>
      <c r="BB378" s="102"/>
      <c r="BC378" s="102"/>
    </row>
    <row r="379" spans="2:55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2"/>
      <c r="BA379" s="102"/>
      <c r="BB379" s="102"/>
      <c r="BC379" s="102"/>
    </row>
    <row r="380" spans="2:55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2"/>
      <c r="BA380" s="102"/>
      <c r="BB380" s="102"/>
      <c r="BC380" s="102"/>
    </row>
    <row r="381" spans="2:55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2"/>
      <c r="BA381" s="102"/>
      <c r="BB381" s="102"/>
      <c r="BC381" s="102"/>
    </row>
    <row r="382" spans="2:55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2"/>
      <c r="BA382" s="102"/>
      <c r="BB382" s="102"/>
      <c r="BC382" s="102"/>
    </row>
    <row r="383" spans="2:55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2"/>
      <c r="BA383" s="102"/>
      <c r="BB383" s="102"/>
      <c r="BC383" s="102"/>
    </row>
    <row r="384" spans="2:55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2"/>
      <c r="BA384" s="102"/>
      <c r="BB384" s="102"/>
      <c r="BC384" s="102"/>
    </row>
    <row r="385" spans="2:55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2"/>
      <c r="BA385" s="102"/>
      <c r="BB385" s="102"/>
      <c r="BC385" s="102"/>
    </row>
    <row r="386" spans="2:55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2"/>
      <c r="BA386" s="102"/>
      <c r="BB386" s="102"/>
      <c r="BC386" s="102"/>
    </row>
    <row r="387" spans="2:55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2"/>
      <c r="BA387" s="102"/>
      <c r="BB387" s="102"/>
      <c r="BC387" s="102"/>
    </row>
    <row r="388" spans="2:55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2"/>
      <c r="BA388" s="102"/>
      <c r="BB388" s="102"/>
      <c r="BC388" s="102"/>
    </row>
    <row r="389" spans="2:55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2"/>
      <c r="BA389" s="102"/>
      <c r="BB389" s="102"/>
      <c r="BC389" s="102"/>
    </row>
    <row r="390" spans="2:55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2"/>
      <c r="BA390" s="102"/>
      <c r="BB390" s="102"/>
      <c r="BC390" s="102"/>
    </row>
    <row r="391" spans="2:55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2"/>
      <c r="BA391" s="102"/>
      <c r="BB391" s="102"/>
      <c r="BC391" s="102"/>
    </row>
    <row r="392" spans="2:55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2"/>
      <c r="BA392" s="102"/>
      <c r="BB392" s="102"/>
      <c r="BC392" s="102"/>
    </row>
    <row r="393" spans="2:55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2"/>
      <c r="BA393" s="102"/>
      <c r="BB393" s="102"/>
      <c r="BC393" s="102"/>
    </row>
    <row r="394" spans="2:55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2"/>
      <c r="BA394" s="102"/>
      <c r="BB394" s="102"/>
      <c r="BC394" s="102"/>
    </row>
    <row r="395" spans="2:55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2"/>
      <c r="BA395" s="102"/>
      <c r="BB395" s="102"/>
      <c r="BC395" s="102"/>
    </row>
    <row r="396" spans="2:55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2"/>
      <c r="BA396" s="102"/>
      <c r="BB396" s="102"/>
      <c r="BC396" s="102"/>
    </row>
    <row r="397" spans="2:55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2"/>
      <c r="BA397" s="102"/>
      <c r="BB397" s="102"/>
      <c r="BC397" s="102"/>
    </row>
    <row r="398" spans="2:55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2"/>
      <c r="BA398" s="102"/>
      <c r="BB398" s="102"/>
      <c r="BC398" s="102"/>
    </row>
    <row r="399" spans="2:55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2"/>
      <c r="BA399" s="102"/>
      <c r="BB399" s="102"/>
      <c r="BC399" s="102"/>
    </row>
    <row r="400" spans="2:55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2"/>
      <c r="BA400" s="102"/>
      <c r="BB400" s="102"/>
      <c r="BC400" s="102"/>
    </row>
    <row r="401" spans="2:55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2"/>
      <c r="BA401" s="102"/>
      <c r="BB401" s="102"/>
      <c r="BC401" s="102"/>
    </row>
    <row r="402" spans="2:55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2"/>
      <c r="BA402" s="102"/>
      <c r="BB402" s="102"/>
      <c r="BC402" s="102"/>
    </row>
    <row r="403" spans="2:55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2"/>
      <c r="BA403" s="102"/>
      <c r="BB403" s="102"/>
      <c r="BC403" s="102"/>
    </row>
    <row r="404" spans="2:55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2"/>
      <c r="BA404" s="102"/>
      <c r="BB404" s="102"/>
      <c r="BC404" s="102"/>
    </row>
    <row r="405" spans="2:55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2"/>
      <c r="BA405" s="102"/>
      <c r="BB405" s="102"/>
      <c r="BC405" s="102"/>
    </row>
    <row r="406" spans="2:55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2"/>
      <c r="BA406" s="102"/>
      <c r="BB406" s="102"/>
      <c r="BC406" s="102"/>
    </row>
    <row r="407" spans="2:55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2"/>
      <c r="BA407" s="102"/>
      <c r="BB407" s="102"/>
      <c r="BC407" s="102"/>
    </row>
    <row r="408" spans="2:55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2"/>
      <c r="BA408" s="102"/>
      <c r="BB408" s="102"/>
      <c r="BC408" s="102"/>
    </row>
    <row r="409" spans="2:55" s="64" customFormat="1" ht="20.25" customHeight="1"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  <c r="AE409" s="102"/>
      <c r="AF409" s="102"/>
      <c r="AG409" s="102"/>
      <c r="AH409" s="102"/>
      <c r="AI409" s="102"/>
      <c r="AJ409" s="102"/>
      <c r="AK409" s="102"/>
      <c r="AL409" s="102"/>
      <c r="AM409" s="102"/>
      <c r="AN409" s="102"/>
      <c r="AO409" s="102"/>
      <c r="AP409" s="102"/>
      <c r="AQ409" s="102"/>
      <c r="AR409" s="102"/>
      <c r="AS409" s="102"/>
      <c r="AT409" s="102"/>
      <c r="AU409" s="102"/>
      <c r="AV409" s="102"/>
      <c r="AW409" s="102"/>
      <c r="AX409" s="102"/>
      <c r="AY409" s="102"/>
      <c r="AZ409" s="102"/>
      <c r="BA409" s="102"/>
      <c r="BB409" s="102"/>
      <c r="BC409" s="102"/>
    </row>
    <row r="410" spans="2:55" s="64" customFormat="1" ht="20.25" customHeight="1"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  <c r="AD410" s="102"/>
      <c r="AE410" s="102"/>
      <c r="AF410" s="102"/>
      <c r="AG410" s="102"/>
      <c r="AH410" s="102"/>
      <c r="AI410" s="102"/>
      <c r="AJ410" s="102"/>
      <c r="AK410" s="102"/>
      <c r="AL410" s="102"/>
      <c r="AM410" s="102"/>
      <c r="AN410" s="102"/>
      <c r="AO410" s="102"/>
      <c r="AP410" s="102"/>
      <c r="AQ410" s="102"/>
      <c r="AR410" s="102"/>
      <c r="AS410" s="102"/>
      <c r="AT410" s="102"/>
      <c r="AU410" s="102"/>
      <c r="AV410" s="102"/>
      <c r="AW410" s="102"/>
      <c r="AX410" s="102"/>
      <c r="AY410" s="102"/>
      <c r="AZ410" s="102"/>
      <c r="BA410" s="102"/>
      <c r="BB410" s="102"/>
      <c r="BC410" s="102"/>
    </row>
    <row r="411" spans="2:55" s="64" customFormat="1" ht="20.25" customHeight="1"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  <c r="AC411" s="102"/>
      <c r="AD411" s="102"/>
      <c r="AE411" s="102"/>
      <c r="AF411" s="102"/>
      <c r="AG411" s="102"/>
      <c r="AH411" s="102"/>
      <c r="AI411" s="102"/>
      <c r="AJ411" s="102"/>
      <c r="AK411" s="102"/>
      <c r="AL411" s="102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02"/>
      <c r="AW411" s="102"/>
      <c r="AX411" s="102"/>
      <c r="AY411" s="102"/>
      <c r="AZ411" s="102"/>
      <c r="BA411" s="102"/>
      <c r="BB411" s="102"/>
      <c r="BC411" s="102"/>
    </row>
    <row r="412" spans="2:55" s="64" customFormat="1" ht="20.25" customHeight="1"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  <c r="AA412" s="102"/>
      <c r="AB412" s="102"/>
      <c r="AC412" s="102"/>
      <c r="AD412" s="102"/>
      <c r="AE412" s="102"/>
      <c r="AF412" s="102"/>
      <c r="AG412" s="102"/>
      <c r="AH412" s="102"/>
      <c r="AI412" s="102"/>
      <c r="AJ412" s="102"/>
      <c r="AK412" s="102"/>
      <c r="AL412" s="102"/>
      <c r="AM412" s="102"/>
      <c r="AN412" s="102"/>
      <c r="AO412" s="102"/>
      <c r="AP412" s="102"/>
      <c r="AQ412" s="102"/>
      <c r="AR412" s="102"/>
      <c r="AS412" s="102"/>
      <c r="AT412" s="102"/>
      <c r="AU412" s="102"/>
      <c r="AV412" s="102"/>
      <c r="AW412" s="102"/>
      <c r="AX412" s="102"/>
      <c r="AY412" s="102"/>
      <c r="AZ412" s="102"/>
      <c r="BA412" s="102"/>
      <c r="BB412" s="102"/>
      <c r="BC412" s="102"/>
    </row>
    <row r="413" spans="2:55" s="64" customFormat="1" ht="20.25" customHeight="1"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  <c r="AA413" s="102"/>
      <c r="AB413" s="102"/>
      <c r="AC413" s="102"/>
      <c r="AD413" s="102"/>
      <c r="AE413" s="102"/>
      <c r="AF413" s="102"/>
      <c r="AG413" s="102"/>
      <c r="AH413" s="102"/>
      <c r="AI413" s="102"/>
      <c r="AJ413" s="102"/>
      <c r="AK413" s="102"/>
      <c r="AL413" s="102"/>
      <c r="AM413" s="102"/>
      <c r="AN413" s="102"/>
      <c r="AO413" s="102"/>
      <c r="AP413" s="102"/>
      <c r="AQ413" s="102"/>
      <c r="AR413" s="102"/>
      <c r="AS413" s="102"/>
      <c r="AT413" s="102"/>
      <c r="AU413" s="102"/>
      <c r="AV413" s="102"/>
      <c r="AW413" s="102"/>
      <c r="AX413" s="102"/>
      <c r="AY413" s="102"/>
      <c r="AZ413" s="102"/>
      <c r="BA413" s="102"/>
      <c r="BB413" s="102"/>
      <c r="BC413" s="102"/>
    </row>
    <row r="414" spans="2:55" s="64" customFormat="1" ht="20.25" customHeight="1"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  <c r="AA414" s="102"/>
      <c r="AB414" s="102"/>
      <c r="AC414" s="102"/>
      <c r="AD414" s="102"/>
      <c r="AE414" s="102"/>
      <c r="AF414" s="102"/>
      <c r="AG414" s="102"/>
      <c r="AH414" s="102"/>
      <c r="AI414" s="102"/>
      <c r="AJ414" s="102"/>
      <c r="AK414" s="102"/>
      <c r="AL414" s="102"/>
      <c r="AM414" s="102"/>
      <c r="AN414" s="102"/>
      <c r="AO414" s="102"/>
      <c r="AP414" s="102"/>
      <c r="AQ414" s="102"/>
      <c r="AR414" s="102"/>
      <c r="AS414" s="102"/>
      <c r="AT414" s="102"/>
      <c r="AU414" s="102"/>
      <c r="AV414" s="102"/>
      <c r="AW414" s="102"/>
      <c r="AX414" s="102"/>
      <c r="AY414" s="102"/>
      <c r="AZ414" s="102"/>
      <c r="BA414" s="102"/>
      <c r="BB414" s="102"/>
      <c r="BC414" s="102"/>
    </row>
    <row r="415" spans="2:55" s="64" customFormat="1" ht="20.25" customHeight="1"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  <c r="AA415" s="102"/>
      <c r="AB415" s="102"/>
      <c r="AC415" s="102"/>
      <c r="AD415" s="102"/>
      <c r="AE415" s="102"/>
      <c r="AF415" s="102"/>
      <c r="AG415" s="102"/>
      <c r="AH415" s="102"/>
      <c r="AI415" s="102"/>
      <c r="AJ415" s="102"/>
      <c r="AK415" s="102"/>
      <c r="AL415" s="102"/>
      <c r="AM415" s="102"/>
      <c r="AN415" s="102"/>
      <c r="AO415" s="102"/>
      <c r="AP415" s="102"/>
      <c r="AQ415" s="102"/>
      <c r="AR415" s="102"/>
      <c r="AS415" s="102"/>
      <c r="AT415" s="102"/>
      <c r="AU415" s="102"/>
      <c r="AV415" s="102"/>
      <c r="AW415" s="102"/>
      <c r="AX415" s="102"/>
      <c r="AY415" s="102"/>
      <c r="AZ415" s="102"/>
      <c r="BA415" s="102"/>
      <c r="BB415" s="102"/>
      <c r="BC415" s="102"/>
    </row>
    <row r="416" spans="2:55" s="64" customFormat="1" ht="20.25" customHeight="1"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  <c r="AA416" s="102"/>
      <c r="AB416" s="102"/>
      <c r="AC416" s="102"/>
      <c r="AD416" s="102"/>
      <c r="AE416" s="102"/>
      <c r="AF416" s="102"/>
      <c r="AG416" s="102"/>
      <c r="AH416" s="102"/>
      <c r="AI416" s="102"/>
      <c r="AJ416" s="102"/>
      <c r="AK416" s="102"/>
      <c r="AL416" s="102"/>
      <c r="AM416" s="102"/>
      <c r="AN416" s="102"/>
      <c r="AO416" s="102"/>
      <c r="AP416" s="102"/>
      <c r="AQ416" s="102"/>
      <c r="AR416" s="102"/>
      <c r="AS416" s="102"/>
      <c r="AT416" s="102"/>
      <c r="AU416" s="102"/>
      <c r="AV416" s="102"/>
      <c r="AW416" s="102"/>
      <c r="AX416" s="102"/>
      <c r="AY416" s="102"/>
      <c r="AZ416" s="102"/>
      <c r="BA416" s="102"/>
      <c r="BB416" s="102"/>
      <c r="BC416" s="102"/>
    </row>
    <row r="417" spans="2:55" s="64" customFormat="1" ht="20.25" customHeight="1"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  <c r="AA417" s="102"/>
      <c r="AB417" s="102"/>
      <c r="AC417" s="102"/>
      <c r="AD417" s="102"/>
      <c r="AE417" s="102"/>
      <c r="AF417" s="102"/>
      <c r="AG417" s="102"/>
      <c r="AH417" s="102"/>
      <c r="AI417" s="102"/>
      <c r="AJ417" s="102"/>
      <c r="AK417" s="102"/>
      <c r="AL417" s="102"/>
      <c r="AM417" s="102"/>
      <c r="AN417" s="102"/>
      <c r="AO417" s="102"/>
      <c r="AP417" s="102"/>
      <c r="AQ417" s="102"/>
      <c r="AR417" s="102"/>
      <c r="AS417" s="102"/>
      <c r="AT417" s="102"/>
      <c r="AU417" s="102"/>
      <c r="AV417" s="102"/>
      <c r="AW417" s="102"/>
      <c r="AX417" s="102"/>
      <c r="AY417" s="102"/>
      <c r="AZ417" s="102"/>
      <c r="BA417" s="102"/>
      <c r="BB417" s="102"/>
      <c r="BC417" s="102"/>
    </row>
    <row r="418" spans="2:55" s="64" customFormat="1" ht="20.25" customHeight="1"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  <c r="AA418" s="102"/>
      <c r="AB418" s="102"/>
      <c r="AC418" s="102"/>
      <c r="AD418" s="102"/>
      <c r="AE418" s="102"/>
      <c r="AF418" s="102"/>
      <c r="AG418" s="102"/>
      <c r="AH418" s="102"/>
      <c r="AI418" s="102"/>
      <c r="AJ418" s="102"/>
      <c r="AK418" s="102"/>
      <c r="AL418" s="102"/>
      <c r="AM418" s="102"/>
      <c r="AN418" s="102"/>
      <c r="AO418" s="102"/>
      <c r="AP418" s="102"/>
      <c r="AQ418" s="102"/>
      <c r="AR418" s="102"/>
      <c r="AS418" s="102"/>
      <c r="AT418" s="102"/>
      <c r="AU418" s="102"/>
      <c r="AV418" s="102"/>
      <c r="AW418" s="102"/>
      <c r="AX418" s="102"/>
      <c r="AY418" s="102"/>
      <c r="AZ418" s="102"/>
      <c r="BA418" s="102"/>
      <c r="BB418" s="102"/>
      <c r="BC418" s="102"/>
    </row>
    <row r="419" spans="2:55" s="64" customFormat="1" ht="20.25" customHeight="1">
      <c r="B419" s="102"/>
      <c r="C419" s="102"/>
      <c r="D419" s="102"/>
      <c r="E419" s="102"/>
      <c r="F419" s="102"/>
      <c r="G419" s="102"/>
      <c r="H419" s="102"/>
      <c r="I419" s="102"/>
      <c r="J419" s="102"/>
      <c r="K419" s="102"/>
      <c r="L419" s="102"/>
      <c r="M419" s="102"/>
      <c r="N419" s="102"/>
      <c r="O419" s="102"/>
      <c r="P419" s="102"/>
      <c r="Q419" s="102"/>
      <c r="R419" s="102"/>
      <c r="S419" s="102"/>
      <c r="T419" s="102"/>
      <c r="U419" s="102"/>
      <c r="V419" s="102"/>
      <c r="W419" s="102"/>
      <c r="X419" s="102"/>
      <c r="Y419" s="102"/>
      <c r="Z419" s="102"/>
      <c r="AA419" s="102"/>
      <c r="AB419" s="102"/>
      <c r="AC419" s="102"/>
      <c r="AD419" s="102"/>
      <c r="AE419" s="102"/>
      <c r="AF419" s="102"/>
      <c r="AG419" s="102"/>
      <c r="AH419" s="102"/>
      <c r="AI419" s="102"/>
      <c r="AJ419" s="102"/>
      <c r="AK419" s="102"/>
      <c r="AL419" s="102"/>
      <c r="AM419" s="102"/>
      <c r="AN419" s="102"/>
      <c r="AO419" s="102"/>
      <c r="AP419" s="102"/>
      <c r="AQ419" s="102"/>
      <c r="AR419" s="102"/>
      <c r="AS419" s="102"/>
      <c r="AT419" s="102"/>
      <c r="AU419" s="102"/>
      <c r="AV419" s="102"/>
      <c r="AW419" s="102"/>
      <c r="AX419" s="102"/>
      <c r="AY419" s="102"/>
      <c r="AZ419" s="102"/>
      <c r="BA419" s="102"/>
      <c r="BB419" s="102"/>
      <c r="BC419" s="102"/>
    </row>
    <row r="420" spans="2:55" s="64" customFormat="1" ht="20.25" customHeight="1">
      <c r="B420" s="102"/>
      <c r="C420" s="102"/>
      <c r="D420" s="102"/>
      <c r="E420" s="102"/>
      <c r="F420" s="102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  <c r="AA420" s="102"/>
      <c r="AB420" s="102"/>
      <c r="AC420" s="102"/>
      <c r="AD420" s="102"/>
      <c r="AE420" s="102"/>
      <c r="AF420" s="102"/>
      <c r="AG420" s="102"/>
      <c r="AH420" s="102"/>
      <c r="AI420" s="102"/>
      <c r="AJ420" s="102"/>
      <c r="AK420" s="102"/>
      <c r="AL420" s="102"/>
      <c r="AM420" s="102"/>
      <c r="AN420" s="102"/>
      <c r="AO420" s="102"/>
      <c r="AP420" s="102"/>
      <c r="AQ420" s="102"/>
      <c r="AR420" s="102"/>
      <c r="AS420" s="102"/>
      <c r="AT420" s="102"/>
      <c r="AU420" s="102"/>
      <c r="AV420" s="102"/>
      <c r="AW420" s="102"/>
      <c r="AX420" s="102"/>
      <c r="AY420" s="102"/>
      <c r="AZ420" s="102"/>
      <c r="BA420" s="102"/>
      <c r="BB420" s="102"/>
      <c r="BC420" s="102"/>
    </row>
    <row r="421" spans="2:55" s="64" customFormat="1" ht="20.25" customHeight="1">
      <c r="B421" s="102"/>
      <c r="C421" s="102"/>
      <c r="D421" s="102"/>
      <c r="E421" s="102"/>
      <c r="F421" s="102"/>
      <c r="G421" s="102"/>
      <c r="H421" s="102"/>
      <c r="I421" s="102"/>
      <c r="J421" s="102"/>
      <c r="K421" s="102"/>
      <c r="L421" s="102"/>
      <c r="M421" s="102"/>
      <c r="N421" s="102"/>
      <c r="O421" s="102"/>
      <c r="P421" s="102"/>
      <c r="Q421" s="102"/>
      <c r="R421" s="102"/>
      <c r="S421" s="102"/>
      <c r="T421" s="102"/>
      <c r="U421" s="102"/>
      <c r="V421" s="102"/>
      <c r="W421" s="102"/>
      <c r="X421" s="102"/>
      <c r="Y421" s="102"/>
      <c r="Z421" s="102"/>
      <c r="AA421" s="102"/>
      <c r="AB421" s="102"/>
      <c r="AC421" s="102"/>
      <c r="AD421" s="102"/>
      <c r="AE421" s="102"/>
      <c r="AF421" s="102"/>
      <c r="AG421" s="102"/>
      <c r="AH421" s="102"/>
      <c r="AI421" s="102"/>
      <c r="AJ421" s="102"/>
      <c r="AK421" s="102"/>
      <c r="AL421" s="102"/>
      <c r="AM421" s="102"/>
      <c r="AN421" s="102"/>
      <c r="AO421" s="102"/>
      <c r="AP421" s="102"/>
      <c r="AQ421" s="102"/>
      <c r="AR421" s="102"/>
      <c r="AS421" s="102"/>
      <c r="AT421" s="102"/>
      <c r="AU421" s="102"/>
      <c r="AV421" s="102"/>
      <c r="AW421" s="102"/>
      <c r="AX421" s="102"/>
      <c r="AY421" s="102"/>
      <c r="AZ421" s="102"/>
      <c r="BA421" s="102"/>
      <c r="BB421" s="102"/>
      <c r="BC421" s="102"/>
    </row>
    <row r="422" spans="2:55" s="64" customFormat="1" ht="20.25" customHeight="1">
      <c r="B422" s="102"/>
      <c r="C422" s="102"/>
      <c r="D422" s="102"/>
      <c r="E422" s="102"/>
      <c r="F422" s="102"/>
      <c r="G422" s="102"/>
      <c r="H422" s="102"/>
      <c r="I422" s="102"/>
      <c r="J422" s="102"/>
      <c r="K422" s="102"/>
      <c r="L422" s="102"/>
      <c r="M422" s="102"/>
      <c r="N422" s="102"/>
      <c r="O422" s="102"/>
      <c r="P422" s="102"/>
      <c r="Q422" s="102"/>
      <c r="R422" s="102"/>
      <c r="S422" s="102"/>
      <c r="T422" s="102"/>
      <c r="U422" s="102"/>
      <c r="V422" s="102"/>
      <c r="W422" s="102"/>
      <c r="X422" s="102"/>
      <c r="Y422" s="102"/>
      <c r="Z422" s="102"/>
      <c r="AA422" s="102"/>
      <c r="AB422" s="102"/>
      <c r="AC422" s="102"/>
      <c r="AD422" s="102"/>
      <c r="AE422" s="102"/>
      <c r="AF422" s="102"/>
      <c r="AG422" s="102"/>
      <c r="AH422" s="102"/>
      <c r="AI422" s="102"/>
      <c r="AJ422" s="102"/>
      <c r="AK422" s="102"/>
      <c r="AL422" s="102"/>
      <c r="AM422" s="102"/>
      <c r="AN422" s="102"/>
      <c r="AO422" s="102"/>
      <c r="AP422" s="102"/>
      <c r="AQ422" s="102"/>
      <c r="AR422" s="102"/>
      <c r="AS422" s="102"/>
      <c r="AT422" s="102"/>
      <c r="AU422" s="102"/>
      <c r="AV422" s="102"/>
      <c r="AW422" s="102"/>
      <c r="AX422" s="102"/>
      <c r="AY422" s="102"/>
      <c r="AZ422" s="102"/>
      <c r="BA422" s="102"/>
      <c r="BB422" s="102"/>
      <c r="BC422" s="102"/>
    </row>
    <row r="423" spans="2:55" s="64" customFormat="1" ht="20.25" customHeight="1">
      <c r="B423" s="102"/>
      <c r="C423" s="102"/>
      <c r="D423" s="102"/>
      <c r="E423" s="102"/>
      <c r="F423" s="102"/>
      <c r="G423" s="102"/>
      <c r="H423" s="102"/>
      <c r="I423" s="102"/>
      <c r="J423" s="102"/>
      <c r="K423" s="102"/>
      <c r="L423" s="102"/>
      <c r="M423" s="102"/>
      <c r="N423" s="102"/>
      <c r="O423" s="102"/>
      <c r="P423" s="102"/>
      <c r="Q423" s="102"/>
      <c r="R423" s="102"/>
      <c r="S423" s="102"/>
      <c r="T423" s="102"/>
      <c r="U423" s="102"/>
      <c r="V423" s="102"/>
      <c r="W423" s="102"/>
      <c r="X423" s="102"/>
      <c r="Y423" s="102"/>
      <c r="Z423" s="102"/>
      <c r="AA423" s="102"/>
      <c r="AB423" s="102"/>
      <c r="AC423" s="102"/>
      <c r="AD423" s="102"/>
      <c r="AE423" s="102"/>
      <c r="AF423" s="102"/>
      <c r="AG423" s="102"/>
      <c r="AH423" s="102"/>
      <c r="AI423" s="102"/>
      <c r="AJ423" s="102"/>
      <c r="AK423" s="102"/>
      <c r="AL423" s="102"/>
      <c r="AM423" s="102"/>
      <c r="AN423" s="102"/>
      <c r="AO423" s="102"/>
      <c r="AP423" s="102"/>
      <c r="AQ423" s="102"/>
      <c r="AR423" s="102"/>
      <c r="AS423" s="102"/>
      <c r="AT423" s="102"/>
      <c r="AU423" s="102"/>
      <c r="AV423" s="102"/>
      <c r="AW423" s="102"/>
      <c r="AX423" s="102"/>
      <c r="AY423" s="102"/>
      <c r="AZ423" s="102"/>
      <c r="BA423" s="102"/>
      <c r="BB423" s="102"/>
      <c r="BC423" s="102"/>
    </row>
    <row r="424" spans="2:55" s="64" customFormat="1" ht="20.25" customHeight="1">
      <c r="B424" s="102"/>
      <c r="C424" s="102"/>
      <c r="D424" s="102"/>
      <c r="E424" s="102"/>
      <c r="F424" s="102"/>
      <c r="G424" s="102"/>
      <c r="H424" s="102"/>
      <c r="I424" s="102"/>
      <c r="J424" s="102"/>
      <c r="K424" s="102"/>
      <c r="L424" s="102"/>
      <c r="M424" s="102"/>
      <c r="N424" s="102"/>
      <c r="O424" s="102"/>
      <c r="P424" s="102"/>
      <c r="Q424" s="102"/>
      <c r="R424" s="102"/>
      <c r="S424" s="102"/>
      <c r="T424" s="102"/>
      <c r="U424" s="102"/>
      <c r="V424" s="102"/>
      <c r="W424" s="102"/>
      <c r="X424" s="102"/>
      <c r="Y424" s="102"/>
      <c r="Z424" s="102"/>
      <c r="AA424" s="102"/>
      <c r="AB424" s="102"/>
      <c r="AC424" s="102"/>
      <c r="AD424" s="102"/>
      <c r="AE424" s="102"/>
      <c r="AF424" s="102"/>
      <c r="AG424" s="102"/>
      <c r="AH424" s="102"/>
      <c r="AI424" s="102"/>
      <c r="AJ424" s="102"/>
      <c r="AK424" s="102"/>
      <c r="AL424" s="102"/>
      <c r="AM424" s="102"/>
      <c r="AN424" s="102"/>
      <c r="AO424" s="102"/>
      <c r="AP424" s="102"/>
      <c r="AQ424" s="102"/>
      <c r="AR424" s="102"/>
      <c r="AS424" s="102"/>
      <c r="AT424" s="102"/>
      <c r="AU424" s="102"/>
      <c r="AV424" s="102"/>
      <c r="AW424" s="102"/>
      <c r="AX424" s="102"/>
      <c r="AY424" s="102"/>
      <c r="AZ424" s="102"/>
      <c r="BA424" s="102"/>
      <c r="BB424" s="102"/>
      <c r="BC424" s="102"/>
    </row>
    <row r="425" spans="2:55" s="64" customFormat="1" ht="20.25" customHeight="1">
      <c r="B425" s="102"/>
      <c r="C425" s="102"/>
      <c r="D425" s="102"/>
      <c r="E425" s="102"/>
      <c r="F425" s="102"/>
      <c r="G425" s="102"/>
      <c r="H425" s="102"/>
      <c r="I425" s="102"/>
      <c r="J425" s="102"/>
      <c r="K425" s="102"/>
      <c r="L425" s="102"/>
      <c r="M425" s="102"/>
      <c r="N425" s="102"/>
      <c r="O425" s="102"/>
      <c r="P425" s="102"/>
      <c r="Q425" s="102"/>
      <c r="R425" s="102"/>
      <c r="S425" s="102"/>
      <c r="T425" s="102"/>
      <c r="U425" s="102"/>
      <c r="V425" s="102"/>
      <c r="W425" s="102"/>
      <c r="X425" s="102"/>
      <c r="Y425" s="102"/>
      <c r="Z425" s="102"/>
      <c r="AA425" s="102"/>
      <c r="AB425" s="102"/>
      <c r="AC425" s="102"/>
      <c r="AD425" s="102"/>
      <c r="AE425" s="102"/>
      <c r="AF425" s="102"/>
      <c r="AG425" s="102"/>
      <c r="AH425" s="102"/>
      <c r="AI425" s="102"/>
      <c r="AJ425" s="102"/>
      <c r="AK425" s="102"/>
      <c r="AL425" s="102"/>
      <c r="AM425" s="102"/>
      <c r="AN425" s="102"/>
      <c r="AO425" s="102"/>
      <c r="AP425" s="102"/>
      <c r="AQ425" s="102"/>
      <c r="AR425" s="102"/>
      <c r="AS425" s="102"/>
      <c r="AT425" s="102"/>
      <c r="AU425" s="102"/>
      <c r="AV425" s="102"/>
      <c r="AW425" s="102"/>
      <c r="AX425" s="102"/>
      <c r="AY425" s="102"/>
      <c r="AZ425" s="102"/>
      <c r="BA425" s="102"/>
      <c r="BB425" s="102"/>
      <c r="BC425" s="102"/>
    </row>
    <row r="426" spans="2:55" s="64" customFormat="1" ht="20.25" customHeight="1">
      <c r="B426" s="102"/>
      <c r="C426" s="102"/>
      <c r="D426" s="102"/>
      <c r="E426" s="102"/>
      <c r="F426" s="102"/>
      <c r="G426" s="102"/>
      <c r="H426" s="102"/>
      <c r="I426" s="102"/>
      <c r="J426" s="102"/>
      <c r="K426" s="102"/>
      <c r="L426" s="102"/>
      <c r="M426" s="102"/>
      <c r="N426" s="102"/>
      <c r="O426" s="102"/>
      <c r="P426" s="102"/>
      <c r="Q426" s="102"/>
      <c r="R426" s="102"/>
      <c r="S426" s="102"/>
      <c r="T426" s="102"/>
      <c r="U426" s="102"/>
      <c r="V426" s="102"/>
      <c r="W426" s="102"/>
      <c r="X426" s="102"/>
      <c r="Y426" s="102"/>
      <c r="Z426" s="102"/>
      <c r="AA426" s="102"/>
      <c r="AB426" s="102"/>
      <c r="AC426" s="102"/>
      <c r="AD426" s="102"/>
      <c r="AE426" s="102"/>
      <c r="AF426" s="102"/>
      <c r="AG426" s="102"/>
      <c r="AH426" s="102"/>
      <c r="AI426" s="102"/>
      <c r="AJ426" s="102"/>
      <c r="AK426" s="102"/>
      <c r="AL426" s="102"/>
      <c r="AM426" s="102"/>
      <c r="AN426" s="102"/>
      <c r="AO426" s="102"/>
      <c r="AP426" s="102"/>
      <c r="AQ426" s="102"/>
      <c r="AR426" s="102"/>
      <c r="AS426" s="102"/>
      <c r="AT426" s="102"/>
      <c r="AU426" s="102"/>
      <c r="AV426" s="102"/>
      <c r="AW426" s="102"/>
      <c r="AX426" s="102"/>
      <c r="AY426" s="102"/>
      <c r="AZ426" s="102"/>
      <c r="BA426" s="102"/>
      <c r="BB426" s="102"/>
      <c r="BC426" s="102"/>
    </row>
    <row r="427" spans="2:55" s="64" customFormat="1" ht="20.25" customHeight="1">
      <c r="B427" s="102"/>
      <c r="C427" s="102"/>
      <c r="D427" s="102"/>
      <c r="E427" s="102"/>
      <c r="F427" s="102"/>
      <c r="G427" s="102"/>
      <c r="H427" s="102"/>
      <c r="I427" s="102"/>
      <c r="J427" s="102"/>
      <c r="K427" s="102"/>
      <c r="L427" s="102"/>
      <c r="M427" s="102"/>
      <c r="N427" s="102"/>
      <c r="O427" s="102"/>
      <c r="P427" s="102"/>
      <c r="Q427" s="102"/>
      <c r="R427" s="102"/>
      <c r="S427" s="102"/>
      <c r="T427" s="102"/>
      <c r="U427" s="102"/>
      <c r="V427" s="102"/>
      <c r="W427" s="102"/>
      <c r="X427" s="102"/>
      <c r="Y427" s="102"/>
      <c r="Z427" s="102"/>
      <c r="AA427" s="102"/>
      <c r="AB427" s="102"/>
      <c r="AC427" s="102"/>
      <c r="AD427" s="102"/>
      <c r="AE427" s="102"/>
      <c r="AF427" s="102"/>
      <c r="AG427" s="102"/>
      <c r="AH427" s="102"/>
      <c r="AI427" s="102"/>
      <c r="AJ427" s="102"/>
      <c r="AK427" s="102"/>
      <c r="AL427" s="102"/>
      <c r="AM427" s="102"/>
      <c r="AN427" s="102"/>
      <c r="AO427" s="102"/>
      <c r="AP427" s="102"/>
      <c r="AQ427" s="102"/>
      <c r="AR427" s="102"/>
      <c r="AS427" s="102"/>
      <c r="AT427" s="102"/>
      <c r="AU427" s="102"/>
      <c r="AV427" s="102"/>
      <c r="AW427" s="102"/>
      <c r="AX427" s="102"/>
      <c r="AY427" s="102"/>
      <c r="AZ427" s="102"/>
      <c r="BA427" s="102"/>
      <c r="BB427" s="102"/>
      <c r="BC427" s="102"/>
    </row>
    <row r="428" spans="2:55" s="64" customFormat="1" ht="20.25" customHeight="1">
      <c r="B428" s="102"/>
      <c r="C428" s="102"/>
      <c r="D428" s="102"/>
      <c r="E428" s="102"/>
      <c r="F428" s="102"/>
      <c r="G428" s="102"/>
      <c r="H428" s="102"/>
      <c r="I428" s="102"/>
      <c r="J428" s="102"/>
      <c r="K428" s="102"/>
      <c r="L428" s="102"/>
      <c r="M428" s="102"/>
      <c r="N428" s="102"/>
      <c r="O428" s="102"/>
      <c r="P428" s="102"/>
      <c r="Q428" s="102"/>
      <c r="R428" s="102"/>
      <c r="S428" s="102"/>
      <c r="T428" s="102"/>
      <c r="U428" s="102"/>
      <c r="V428" s="102"/>
      <c r="W428" s="102"/>
      <c r="X428" s="102"/>
      <c r="Y428" s="102"/>
      <c r="Z428" s="102"/>
      <c r="AA428" s="102"/>
      <c r="AB428" s="102"/>
      <c r="AC428" s="102"/>
      <c r="AD428" s="102"/>
      <c r="AE428" s="102"/>
      <c r="AF428" s="102"/>
      <c r="AG428" s="102"/>
      <c r="AH428" s="102"/>
      <c r="AI428" s="102"/>
      <c r="AJ428" s="102"/>
      <c r="AK428" s="102"/>
      <c r="AL428" s="102"/>
      <c r="AM428" s="102"/>
      <c r="AN428" s="102"/>
      <c r="AO428" s="102"/>
      <c r="AP428" s="102"/>
      <c r="AQ428" s="102"/>
      <c r="AR428" s="102"/>
      <c r="AS428" s="102"/>
      <c r="AT428" s="102"/>
      <c r="AU428" s="102"/>
      <c r="AV428" s="102"/>
      <c r="AW428" s="102"/>
      <c r="AX428" s="102"/>
      <c r="AY428" s="102"/>
      <c r="AZ428" s="102"/>
      <c r="BA428" s="102"/>
      <c r="BB428" s="102"/>
      <c r="BC428" s="102"/>
    </row>
    <row r="429" spans="2:55" s="64" customFormat="1" ht="20.25" customHeight="1">
      <c r="B429" s="102"/>
      <c r="C429" s="102"/>
      <c r="D429" s="102"/>
      <c r="E429" s="102"/>
      <c r="F429" s="102"/>
      <c r="G429" s="102"/>
      <c r="H429" s="102"/>
      <c r="I429" s="102"/>
      <c r="J429" s="102"/>
      <c r="K429" s="102"/>
      <c r="L429" s="102"/>
      <c r="M429" s="102"/>
      <c r="N429" s="102"/>
      <c r="O429" s="102"/>
      <c r="P429" s="102"/>
      <c r="Q429" s="102"/>
      <c r="R429" s="102"/>
      <c r="S429" s="102"/>
      <c r="T429" s="102"/>
      <c r="U429" s="102"/>
      <c r="V429" s="102"/>
      <c r="W429" s="102"/>
      <c r="X429" s="102"/>
      <c r="Y429" s="102"/>
      <c r="Z429" s="102"/>
      <c r="AA429" s="102"/>
      <c r="AB429" s="102"/>
      <c r="AC429" s="102"/>
      <c r="AD429" s="102"/>
      <c r="AE429" s="102"/>
      <c r="AF429" s="102"/>
      <c r="AG429" s="102"/>
      <c r="AH429" s="102"/>
      <c r="AI429" s="102"/>
      <c r="AJ429" s="102"/>
      <c r="AK429" s="102"/>
      <c r="AL429" s="102"/>
      <c r="AM429" s="102"/>
      <c r="AN429" s="102"/>
      <c r="AO429" s="102"/>
      <c r="AP429" s="102"/>
      <c r="AQ429" s="102"/>
      <c r="AR429" s="102"/>
      <c r="AS429" s="102"/>
      <c r="AT429" s="102"/>
      <c r="AU429" s="102"/>
      <c r="AV429" s="102"/>
      <c r="AW429" s="102"/>
      <c r="AX429" s="102"/>
      <c r="AY429" s="102"/>
      <c r="AZ429" s="102"/>
      <c r="BA429" s="102"/>
      <c r="BB429" s="102"/>
      <c r="BC429" s="102"/>
    </row>
    <row r="430" spans="2:55" s="64" customFormat="1" ht="20.25" customHeight="1">
      <c r="B430" s="102"/>
      <c r="C430" s="102"/>
      <c r="D430" s="102"/>
      <c r="E430" s="102"/>
      <c r="F430" s="102"/>
      <c r="G430" s="102"/>
      <c r="H430" s="102"/>
      <c r="I430" s="102"/>
      <c r="J430" s="102"/>
      <c r="K430" s="102"/>
      <c r="L430" s="102"/>
      <c r="M430" s="102"/>
      <c r="N430" s="102"/>
      <c r="O430" s="102"/>
      <c r="P430" s="102"/>
      <c r="Q430" s="102"/>
      <c r="R430" s="102"/>
      <c r="S430" s="102"/>
      <c r="T430" s="102"/>
      <c r="U430" s="102"/>
      <c r="V430" s="102"/>
      <c r="W430" s="102"/>
      <c r="X430" s="102"/>
      <c r="Y430" s="102"/>
      <c r="Z430" s="102"/>
      <c r="AA430" s="102"/>
      <c r="AB430" s="102"/>
      <c r="AC430" s="102"/>
      <c r="AD430" s="102"/>
      <c r="AE430" s="102"/>
      <c r="AF430" s="102"/>
      <c r="AG430" s="102"/>
      <c r="AH430" s="102"/>
      <c r="AI430" s="102"/>
      <c r="AJ430" s="102"/>
      <c r="AK430" s="102"/>
      <c r="AL430" s="102"/>
      <c r="AM430" s="102"/>
      <c r="AN430" s="102"/>
      <c r="AO430" s="102"/>
      <c r="AP430" s="102"/>
      <c r="AQ430" s="102"/>
      <c r="AR430" s="102"/>
      <c r="AS430" s="102"/>
      <c r="AT430" s="102"/>
      <c r="AU430" s="102"/>
      <c r="AV430" s="102"/>
      <c r="AW430" s="102"/>
      <c r="AX430" s="102"/>
      <c r="AY430" s="102"/>
      <c r="AZ430" s="102"/>
      <c r="BA430" s="102"/>
      <c r="BB430" s="102"/>
      <c r="BC430" s="102"/>
    </row>
    <row r="431" spans="2:55" s="64" customFormat="1" ht="20.25" customHeight="1">
      <c r="B431" s="102"/>
      <c r="C431" s="102"/>
      <c r="D431" s="102"/>
      <c r="E431" s="102"/>
      <c r="F431" s="102"/>
      <c r="G431" s="102"/>
      <c r="H431" s="102"/>
      <c r="I431" s="102"/>
      <c r="J431" s="102"/>
      <c r="K431" s="102"/>
      <c r="L431" s="102"/>
      <c r="M431" s="102"/>
      <c r="N431" s="102"/>
      <c r="O431" s="102"/>
      <c r="P431" s="102"/>
      <c r="Q431" s="102"/>
      <c r="R431" s="102"/>
      <c r="S431" s="102"/>
      <c r="T431" s="102"/>
      <c r="U431" s="102"/>
      <c r="V431" s="102"/>
      <c r="W431" s="102"/>
      <c r="X431" s="102"/>
      <c r="Y431" s="102"/>
      <c r="Z431" s="102"/>
      <c r="AA431" s="102"/>
      <c r="AB431" s="102"/>
      <c r="AC431" s="102"/>
      <c r="AD431" s="102"/>
      <c r="AE431" s="102"/>
      <c r="AF431" s="102"/>
      <c r="AG431" s="102"/>
      <c r="AH431" s="102"/>
      <c r="AI431" s="102"/>
      <c r="AJ431" s="102"/>
      <c r="AK431" s="102"/>
      <c r="AL431" s="102"/>
      <c r="AM431" s="102"/>
      <c r="AN431" s="102"/>
      <c r="AO431" s="102"/>
      <c r="AP431" s="102"/>
      <c r="AQ431" s="102"/>
      <c r="AR431" s="102"/>
      <c r="AS431" s="102"/>
      <c r="AT431" s="102"/>
      <c r="AU431" s="102"/>
      <c r="AV431" s="102"/>
      <c r="AW431" s="102"/>
      <c r="AX431" s="102"/>
      <c r="AY431" s="102"/>
      <c r="AZ431" s="102"/>
      <c r="BA431" s="102"/>
      <c r="BB431" s="102"/>
      <c r="BC431" s="102"/>
    </row>
    <row r="432" spans="2:55" s="64" customFormat="1" ht="20.25" customHeight="1">
      <c r="B432" s="102"/>
      <c r="C432" s="102"/>
      <c r="D432" s="102"/>
      <c r="E432" s="102"/>
      <c r="F432" s="102"/>
      <c r="G432" s="102"/>
      <c r="H432" s="102"/>
      <c r="I432" s="102"/>
      <c r="J432" s="102"/>
      <c r="K432" s="102"/>
      <c r="L432" s="102"/>
      <c r="M432" s="102"/>
      <c r="N432" s="102"/>
      <c r="O432" s="102"/>
      <c r="P432" s="102"/>
      <c r="Q432" s="102"/>
      <c r="R432" s="102"/>
      <c r="S432" s="102"/>
      <c r="T432" s="102"/>
      <c r="U432" s="102"/>
      <c r="V432" s="102"/>
      <c r="W432" s="102"/>
      <c r="X432" s="102"/>
      <c r="Y432" s="102"/>
      <c r="Z432" s="102"/>
      <c r="AA432" s="102"/>
      <c r="AB432" s="102"/>
      <c r="AC432" s="102"/>
      <c r="AD432" s="102"/>
      <c r="AE432" s="102"/>
      <c r="AF432" s="102"/>
      <c r="AG432" s="102"/>
      <c r="AH432" s="102"/>
      <c r="AI432" s="102"/>
      <c r="AJ432" s="102"/>
      <c r="AK432" s="102"/>
      <c r="AL432" s="102"/>
      <c r="AM432" s="102"/>
      <c r="AN432" s="102"/>
      <c r="AO432" s="102"/>
      <c r="AP432" s="102"/>
      <c r="AQ432" s="102"/>
      <c r="AR432" s="102"/>
      <c r="AS432" s="102"/>
      <c r="AT432" s="102"/>
      <c r="AU432" s="102"/>
      <c r="AV432" s="102"/>
      <c r="AW432" s="102"/>
      <c r="AX432" s="102"/>
      <c r="AY432" s="102"/>
      <c r="AZ432" s="102"/>
      <c r="BA432" s="102"/>
      <c r="BB432" s="102"/>
      <c r="BC432" s="102"/>
    </row>
    <row r="433" spans="2:55" s="64" customFormat="1" ht="20.25" customHeight="1">
      <c r="B433" s="102"/>
      <c r="C433" s="102"/>
      <c r="D433" s="102"/>
      <c r="E433" s="102"/>
      <c r="F433" s="102"/>
      <c r="G433" s="102"/>
      <c r="H433" s="102"/>
      <c r="I433" s="102"/>
      <c r="J433" s="102"/>
      <c r="K433" s="102"/>
      <c r="L433" s="102"/>
      <c r="M433" s="102"/>
      <c r="N433" s="102"/>
      <c r="O433" s="102"/>
      <c r="P433" s="102"/>
      <c r="Q433" s="102"/>
      <c r="R433" s="102"/>
      <c r="S433" s="102"/>
      <c r="T433" s="102"/>
      <c r="U433" s="102"/>
      <c r="V433" s="102"/>
      <c r="W433" s="102"/>
      <c r="X433" s="102"/>
      <c r="Y433" s="102"/>
      <c r="Z433" s="102"/>
      <c r="AA433" s="102"/>
      <c r="AB433" s="102"/>
      <c r="AC433" s="102"/>
      <c r="AD433" s="102"/>
      <c r="AE433" s="102"/>
      <c r="AF433" s="102"/>
      <c r="AG433" s="102"/>
      <c r="AH433" s="102"/>
      <c r="AI433" s="102"/>
      <c r="AJ433" s="102"/>
      <c r="AK433" s="102"/>
      <c r="AL433" s="102"/>
      <c r="AM433" s="102"/>
      <c r="AN433" s="102"/>
      <c r="AO433" s="102"/>
      <c r="AP433" s="102"/>
      <c r="AQ433" s="102"/>
      <c r="AR433" s="102"/>
      <c r="AS433" s="102"/>
      <c r="AT433" s="102"/>
      <c r="AU433" s="102"/>
      <c r="AV433" s="102"/>
      <c r="AW433" s="102"/>
      <c r="AX433" s="102"/>
      <c r="AY433" s="102"/>
      <c r="AZ433" s="102"/>
      <c r="BA433" s="102"/>
      <c r="BB433" s="102"/>
      <c r="BC433" s="102"/>
    </row>
    <row r="434" spans="2:55" s="64" customFormat="1" ht="20.25" customHeight="1">
      <c r="B434" s="102"/>
      <c r="C434" s="102"/>
      <c r="D434" s="102"/>
      <c r="E434" s="102"/>
      <c r="F434" s="102"/>
      <c r="G434" s="102"/>
      <c r="H434" s="102"/>
      <c r="I434" s="102"/>
      <c r="J434" s="102"/>
      <c r="K434" s="102"/>
      <c r="L434" s="102"/>
      <c r="M434" s="102"/>
      <c r="N434" s="102"/>
      <c r="O434" s="102"/>
      <c r="P434" s="102"/>
      <c r="Q434" s="102"/>
      <c r="R434" s="102"/>
      <c r="S434" s="102"/>
      <c r="T434" s="102"/>
      <c r="U434" s="102"/>
      <c r="V434" s="102"/>
      <c r="W434" s="102"/>
      <c r="X434" s="102"/>
      <c r="Y434" s="102"/>
      <c r="Z434" s="102"/>
      <c r="AA434" s="102"/>
      <c r="AB434" s="102"/>
      <c r="AC434" s="102"/>
      <c r="AD434" s="102"/>
      <c r="AE434" s="102"/>
      <c r="AF434" s="102"/>
      <c r="AG434" s="102"/>
      <c r="AH434" s="102"/>
      <c r="AI434" s="102"/>
      <c r="AJ434" s="102"/>
      <c r="AK434" s="102"/>
      <c r="AL434" s="102"/>
      <c r="AM434" s="102"/>
      <c r="AN434" s="102"/>
      <c r="AO434" s="102"/>
      <c r="AP434" s="102"/>
      <c r="AQ434" s="102"/>
      <c r="AR434" s="102"/>
      <c r="AS434" s="102"/>
      <c r="AT434" s="102"/>
      <c r="AU434" s="102"/>
      <c r="AV434" s="102"/>
      <c r="AW434" s="102"/>
      <c r="AX434" s="102"/>
      <c r="AY434" s="102"/>
      <c r="AZ434" s="102"/>
      <c r="BA434" s="102"/>
      <c r="BB434" s="102"/>
      <c r="BC434" s="102"/>
    </row>
    <row r="435" spans="2:55" s="64" customFormat="1" ht="20.25" customHeight="1">
      <c r="B435" s="102"/>
      <c r="C435" s="102"/>
      <c r="D435" s="102"/>
      <c r="E435" s="102"/>
      <c r="F435" s="102"/>
      <c r="G435" s="102"/>
      <c r="H435" s="102"/>
      <c r="I435" s="102"/>
      <c r="J435" s="102"/>
      <c r="K435" s="102"/>
      <c r="L435" s="102"/>
      <c r="M435" s="102"/>
      <c r="N435" s="102"/>
      <c r="O435" s="102"/>
      <c r="P435" s="102"/>
      <c r="Q435" s="102"/>
      <c r="R435" s="102"/>
      <c r="S435" s="102"/>
      <c r="T435" s="102"/>
      <c r="U435" s="102"/>
      <c r="V435" s="102"/>
      <c r="W435" s="102"/>
      <c r="X435" s="102"/>
      <c r="Y435" s="102"/>
      <c r="Z435" s="102"/>
      <c r="AA435" s="102"/>
      <c r="AB435" s="102"/>
      <c r="AC435" s="102"/>
      <c r="AD435" s="102"/>
      <c r="AE435" s="102"/>
      <c r="AF435" s="102"/>
      <c r="AG435" s="102"/>
      <c r="AH435" s="102"/>
      <c r="AI435" s="102"/>
      <c r="AJ435" s="102"/>
      <c r="AK435" s="102"/>
      <c r="AL435" s="102"/>
      <c r="AM435" s="102"/>
      <c r="AN435" s="102"/>
      <c r="AO435" s="102"/>
      <c r="AP435" s="102"/>
      <c r="AQ435" s="102"/>
      <c r="AR435" s="102"/>
      <c r="AS435" s="102"/>
      <c r="AT435" s="102"/>
      <c r="AU435" s="102"/>
      <c r="AV435" s="102"/>
      <c r="AW435" s="102"/>
      <c r="AX435" s="102"/>
      <c r="AY435" s="102"/>
      <c r="AZ435" s="102"/>
      <c r="BA435" s="102"/>
      <c r="BB435" s="102"/>
      <c r="BC435" s="102"/>
    </row>
    <row r="436" spans="2:55" s="64" customFormat="1" ht="20.25" customHeight="1">
      <c r="B436" s="102"/>
      <c r="C436" s="102"/>
      <c r="D436" s="102"/>
      <c r="E436" s="102"/>
      <c r="F436" s="102"/>
      <c r="G436" s="102"/>
      <c r="H436" s="102"/>
      <c r="I436" s="102"/>
      <c r="J436" s="102"/>
      <c r="K436" s="102"/>
      <c r="L436" s="102"/>
      <c r="M436" s="102"/>
      <c r="N436" s="102"/>
      <c r="O436" s="102"/>
      <c r="P436" s="102"/>
      <c r="Q436" s="102"/>
      <c r="R436" s="102"/>
      <c r="S436" s="102"/>
      <c r="T436" s="102"/>
      <c r="U436" s="102"/>
      <c r="V436" s="102"/>
      <c r="W436" s="102"/>
      <c r="X436" s="102"/>
      <c r="Y436" s="102"/>
      <c r="Z436" s="102"/>
      <c r="AA436" s="102"/>
      <c r="AB436" s="102"/>
      <c r="AC436" s="102"/>
      <c r="AD436" s="102"/>
      <c r="AE436" s="102"/>
      <c r="AF436" s="102"/>
      <c r="AG436" s="102"/>
      <c r="AH436" s="102"/>
      <c r="AI436" s="102"/>
      <c r="AJ436" s="102"/>
      <c r="AK436" s="102"/>
      <c r="AL436" s="102"/>
      <c r="AM436" s="102"/>
      <c r="AN436" s="102"/>
      <c r="AO436" s="102"/>
      <c r="AP436" s="102"/>
      <c r="AQ436" s="102"/>
      <c r="AR436" s="102"/>
      <c r="AS436" s="102"/>
      <c r="AT436" s="102"/>
      <c r="AU436" s="102"/>
      <c r="AV436" s="102"/>
      <c r="AW436" s="102"/>
      <c r="AX436" s="102"/>
      <c r="AY436" s="102"/>
      <c r="AZ436" s="102"/>
      <c r="BA436" s="102"/>
      <c r="BB436" s="102"/>
      <c r="BC436" s="102"/>
    </row>
    <row r="437" spans="2:55" s="64" customFormat="1" ht="20.25" customHeight="1">
      <c r="B437" s="102"/>
      <c r="C437" s="102"/>
      <c r="D437" s="102"/>
      <c r="E437" s="102"/>
      <c r="F437" s="102"/>
      <c r="G437" s="102"/>
      <c r="H437" s="102"/>
      <c r="I437" s="102"/>
      <c r="J437" s="102"/>
      <c r="K437" s="102"/>
      <c r="L437" s="102"/>
      <c r="M437" s="102"/>
      <c r="N437" s="102"/>
      <c r="O437" s="102"/>
      <c r="P437" s="102"/>
      <c r="Q437" s="102"/>
      <c r="R437" s="102"/>
      <c r="S437" s="102"/>
      <c r="T437" s="102"/>
      <c r="U437" s="102"/>
      <c r="V437" s="102"/>
      <c r="W437" s="102"/>
      <c r="X437" s="102"/>
      <c r="Y437" s="102"/>
      <c r="Z437" s="102"/>
      <c r="AA437" s="102"/>
      <c r="AB437" s="102"/>
      <c r="AC437" s="102"/>
      <c r="AD437" s="102"/>
      <c r="AE437" s="102"/>
      <c r="AF437" s="102"/>
      <c r="AG437" s="102"/>
      <c r="AH437" s="102"/>
      <c r="AI437" s="102"/>
      <c r="AJ437" s="102"/>
      <c r="AK437" s="102"/>
      <c r="AL437" s="102"/>
      <c r="AM437" s="102"/>
      <c r="AN437" s="102"/>
      <c r="AO437" s="102"/>
      <c r="AP437" s="102"/>
      <c r="AQ437" s="102"/>
      <c r="AR437" s="102"/>
      <c r="AS437" s="102"/>
      <c r="AT437" s="102"/>
      <c r="AU437" s="102"/>
      <c r="AV437" s="102"/>
      <c r="AW437" s="102"/>
      <c r="AX437" s="102"/>
      <c r="AY437" s="102"/>
      <c r="AZ437" s="102"/>
      <c r="BA437" s="102"/>
      <c r="BB437" s="102"/>
      <c r="BC437" s="102"/>
    </row>
    <row r="438" spans="2:55" s="64" customFormat="1" ht="20.25" customHeight="1">
      <c r="B438" s="102"/>
      <c r="C438" s="102"/>
      <c r="D438" s="102"/>
      <c r="E438" s="102"/>
      <c r="F438" s="102"/>
      <c r="G438" s="102"/>
      <c r="H438" s="102"/>
      <c r="I438" s="102"/>
      <c r="J438" s="102"/>
      <c r="K438" s="102"/>
      <c r="L438" s="102"/>
      <c r="M438" s="102"/>
      <c r="N438" s="102"/>
      <c r="O438" s="102"/>
      <c r="P438" s="102"/>
      <c r="Q438" s="102"/>
      <c r="R438" s="102"/>
      <c r="S438" s="102"/>
      <c r="T438" s="102"/>
      <c r="U438" s="102"/>
      <c r="V438" s="102"/>
      <c r="W438" s="102"/>
      <c r="X438" s="102"/>
      <c r="Y438" s="102"/>
      <c r="Z438" s="102"/>
      <c r="AA438" s="102"/>
      <c r="AB438" s="102"/>
      <c r="AC438" s="102"/>
      <c r="AD438" s="102"/>
      <c r="AE438" s="102"/>
      <c r="AF438" s="102"/>
      <c r="AG438" s="102"/>
      <c r="AH438" s="102"/>
      <c r="AI438" s="102"/>
      <c r="AJ438" s="102"/>
      <c r="AK438" s="102"/>
      <c r="AL438" s="102"/>
      <c r="AM438" s="102"/>
      <c r="AN438" s="102"/>
      <c r="AO438" s="102"/>
      <c r="AP438" s="102"/>
      <c r="AQ438" s="102"/>
      <c r="AR438" s="102"/>
      <c r="AS438" s="102"/>
      <c r="AT438" s="102"/>
      <c r="AU438" s="102"/>
      <c r="AV438" s="102"/>
      <c r="AW438" s="102"/>
      <c r="AX438" s="102"/>
      <c r="AY438" s="102"/>
      <c r="AZ438" s="102"/>
      <c r="BA438" s="102"/>
      <c r="BB438" s="102"/>
      <c r="BC438" s="102"/>
    </row>
    <row r="439" spans="2:55" s="64" customFormat="1" ht="20.25" customHeight="1">
      <c r="B439" s="102"/>
      <c r="C439" s="102"/>
      <c r="D439" s="102"/>
      <c r="E439" s="102"/>
      <c r="F439" s="102"/>
      <c r="G439" s="102"/>
      <c r="H439" s="102"/>
      <c r="I439" s="102"/>
      <c r="J439" s="102"/>
      <c r="K439" s="102"/>
      <c r="L439" s="102"/>
      <c r="M439" s="102"/>
      <c r="N439" s="102"/>
      <c r="O439" s="102"/>
      <c r="P439" s="102"/>
      <c r="Q439" s="102"/>
      <c r="R439" s="102"/>
      <c r="S439" s="102"/>
      <c r="T439" s="102"/>
      <c r="U439" s="102"/>
      <c r="V439" s="102"/>
      <c r="W439" s="102"/>
      <c r="X439" s="102"/>
      <c r="Y439" s="102"/>
      <c r="Z439" s="102"/>
      <c r="AA439" s="102"/>
      <c r="AB439" s="102"/>
      <c r="AC439" s="102"/>
      <c r="AD439" s="102"/>
      <c r="AE439" s="102"/>
      <c r="AF439" s="102"/>
      <c r="AG439" s="102"/>
      <c r="AH439" s="102"/>
      <c r="AI439" s="102"/>
      <c r="AJ439" s="102"/>
      <c r="AK439" s="102"/>
      <c r="AL439" s="102"/>
      <c r="AM439" s="102"/>
      <c r="AN439" s="102"/>
      <c r="AO439" s="102"/>
      <c r="AP439" s="102"/>
      <c r="AQ439" s="102"/>
      <c r="AR439" s="102"/>
      <c r="AS439" s="102"/>
      <c r="AT439" s="102"/>
      <c r="AU439" s="102"/>
      <c r="AV439" s="102"/>
      <c r="AW439" s="102"/>
      <c r="AX439" s="102"/>
      <c r="AY439" s="102"/>
      <c r="AZ439" s="102"/>
      <c r="BA439" s="102"/>
      <c r="BB439" s="102"/>
      <c r="BC439" s="102"/>
    </row>
    <row r="440" spans="2:55" s="64" customFormat="1" ht="20.25" customHeight="1">
      <c r="B440" s="102"/>
      <c r="C440" s="102"/>
      <c r="D440" s="102"/>
      <c r="E440" s="102"/>
      <c r="F440" s="102"/>
      <c r="G440" s="102"/>
      <c r="H440" s="102"/>
      <c r="I440" s="102"/>
      <c r="J440" s="102"/>
      <c r="K440" s="102"/>
      <c r="L440" s="102"/>
      <c r="M440" s="102"/>
      <c r="N440" s="102"/>
      <c r="O440" s="102"/>
      <c r="P440" s="102"/>
      <c r="Q440" s="102"/>
      <c r="R440" s="102"/>
      <c r="S440" s="102"/>
      <c r="T440" s="102"/>
      <c r="U440" s="102"/>
      <c r="V440" s="102"/>
      <c r="W440" s="102"/>
      <c r="X440" s="102"/>
      <c r="Y440" s="102"/>
      <c r="Z440" s="102"/>
      <c r="AA440" s="102"/>
      <c r="AB440" s="102"/>
      <c r="AC440" s="102"/>
      <c r="AD440" s="102"/>
      <c r="AE440" s="102"/>
      <c r="AF440" s="102"/>
      <c r="AG440" s="102"/>
      <c r="AH440" s="102"/>
      <c r="AI440" s="102"/>
      <c r="AJ440" s="102"/>
      <c r="AK440" s="102"/>
      <c r="AL440" s="102"/>
      <c r="AM440" s="102"/>
      <c r="AN440" s="102"/>
      <c r="AO440" s="102"/>
      <c r="AP440" s="102"/>
      <c r="AQ440" s="102"/>
      <c r="AR440" s="102"/>
      <c r="AS440" s="102"/>
      <c r="AT440" s="102"/>
      <c r="AU440" s="102"/>
      <c r="AV440" s="102"/>
      <c r="AW440" s="102"/>
      <c r="AX440" s="102"/>
      <c r="AY440" s="102"/>
      <c r="AZ440" s="102"/>
      <c r="BA440" s="102"/>
      <c r="BB440" s="102"/>
      <c r="BC440" s="102"/>
    </row>
  </sheetData>
  <mergeCells count="149">
    <mergeCell ref="C67:Y68"/>
    <mergeCell ref="AA67:AC68"/>
    <mergeCell ref="AD67:AD68"/>
    <mergeCell ref="AE67:AE68"/>
    <mergeCell ref="AF67:AF68"/>
    <mergeCell ref="AG67:AK68"/>
    <mergeCell ref="B63:C63"/>
    <mergeCell ref="Z63:AL63"/>
    <mergeCell ref="B64:W64"/>
    <mergeCell ref="X64:Y64"/>
    <mergeCell ref="Z64:AL64"/>
    <mergeCell ref="D63:Y63"/>
    <mergeCell ref="B61:C61"/>
    <mergeCell ref="Z61:AL61"/>
    <mergeCell ref="B62:C62"/>
    <mergeCell ref="Z62:AL62"/>
    <mergeCell ref="B59:C59"/>
    <mergeCell ref="Z59:AL59"/>
    <mergeCell ref="B60:C60"/>
    <mergeCell ref="Z60:AL60"/>
    <mergeCell ref="D59:Y59"/>
    <mergeCell ref="D60:Y60"/>
    <mergeCell ref="D61:Y61"/>
    <mergeCell ref="D62:Y62"/>
    <mergeCell ref="B57:C57"/>
    <mergeCell ref="D57:Y57"/>
    <mergeCell ref="Z57:AL57"/>
    <mergeCell ref="B58:C58"/>
    <mergeCell ref="Z58:AL58"/>
    <mergeCell ref="B51:V51"/>
    <mergeCell ref="W51:AA51"/>
    <mergeCell ref="AB51:AD51"/>
    <mergeCell ref="AE51:AL51"/>
    <mergeCell ref="B56:C56"/>
    <mergeCell ref="D56:Y56"/>
    <mergeCell ref="Z56:AL56"/>
    <mergeCell ref="D58:Y58"/>
    <mergeCell ref="B49:C50"/>
    <mergeCell ref="D49:N49"/>
    <mergeCell ref="O49:V50"/>
    <mergeCell ref="W49:AD50"/>
    <mergeCell ref="AE49:AL50"/>
    <mergeCell ref="D50:N50"/>
    <mergeCell ref="B47:C48"/>
    <mergeCell ref="D47:N47"/>
    <mergeCell ref="O47:V48"/>
    <mergeCell ref="W47:AD48"/>
    <mergeCell ref="AE47:AL48"/>
    <mergeCell ref="D48:N48"/>
    <mergeCell ref="B45:C46"/>
    <mergeCell ref="D45:N45"/>
    <mergeCell ref="O45:V46"/>
    <mergeCell ref="W45:AD46"/>
    <mergeCell ref="AE45:AL46"/>
    <mergeCell ref="D46:N46"/>
    <mergeCell ref="B43:C44"/>
    <mergeCell ref="D43:N43"/>
    <mergeCell ref="O43:V44"/>
    <mergeCell ref="W43:AD44"/>
    <mergeCell ref="AE43:AL44"/>
    <mergeCell ref="D44:N44"/>
    <mergeCell ref="B41:C42"/>
    <mergeCell ref="D41:N41"/>
    <mergeCell ref="O41:V42"/>
    <mergeCell ref="W41:AD42"/>
    <mergeCell ref="AE41:AL42"/>
    <mergeCell ref="D42:N42"/>
    <mergeCell ref="B39:C40"/>
    <mergeCell ref="D39:N39"/>
    <mergeCell ref="O39:V40"/>
    <mergeCell ref="W39:AD40"/>
    <mergeCell ref="AE39:AL40"/>
    <mergeCell ref="D40:N40"/>
    <mergeCell ref="W37:AD37"/>
    <mergeCell ref="AE37:AL37"/>
    <mergeCell ref="B38:C38"/>
    <mergeCell ref="D38:N38"/>
    <mergeCell ref="O38:V38"/>
    <mergeCell ref="W38:AD38"/>
    <mergeCell ref="AE38:AL38"/>
    <mergeCell ref="B31:N31"/>
    <mergeCell ref="O31:V31"/>
    <mergeCell ref="X31:Y31"/>
    <mergeCell ref="Z31:AL31"/>
    <mergeCell ref="B36:C37"/>
    <mergeCell ref="D36:N37"/>
    <mergeCell ref="O36:V36"/>
    <mergeCell ref="W36:AD36"/>
    <mergeCell ref="AE36:AL36"/>
    <mergeCell ref="O37:V37"/>
    <mergeCell ref="B29:C29"/>
    <mergeCell ref="D29:N29"/>
    <mergeCell ref="O29:V29"/>
    <mergeCell ref="Z29:AL29"/>
    <mergeCell ref="B30:C30"/>
    <mergeCell ref="D30:N30"/>
    <mergeCell ref="O30:V30"/>
    <mergeCell ref="Z30:AL30"/>
    <mergeCell ref="B27:C27"/>
    <mergeCell ref="D27:N27"/>
    <mergeCell ref="O27:V27"/>
    <mergeCell ref="W27:Y27"/>
    <mergeCell ref="Z27:AL27"/>
    <mergeCell ref="B28:C28"/>
    <mergeCell ref="D28:N28"/>
    <mergeCell ref="O28:V28"/>
    <mergeCell ref="W28:Y28"/>
    <mergeCell ref="Z28:AL28"/>
    <mergeCell ref="W29:Y29"/>
    <mergeCell ref="W30:Y30"/>
    <mergeCell ref="B25:C25"/>
    <mergeCell ref="D25:N25"/>
    <mergeCell ref="O25:V25"/>
    <mergeCell ref="W25:Y25"/>
    <mergeCell ref="Z25:AL25"/>
    <mergeCell ref="B26:C26"/>
    <mergeCell ref="D26:N26"/>
    <mergeCell ref="O26:V26"/>
    <mergeCell ref="W26:Y26"/>
    <mergeCell ref="Z26:AL26"/>
    <mergeCell ref="B23:C23"/>
    <mergeCell ref="D23:X23"/>
    <mergeCell ref="Y23:AL23"/>
    <mergeCell ref="B24:C24"/>
    <mergeCell ref="D24:N24"/>
    <mergeCell ref="O24:V24"/>
    <mergeCell ref="W24:Y24"/>
    <mergeCell ref="Z24:AL24"/>
    <mergeCell ref="AK8:AL8"/>
    <mergeCell ref="B9:H9"/>
    <mergeCell ref="F13:O13"/>
    <mergeCell ref="AB13:AE13"/>
    <mergeCell ref="AG13:AL13"/>
    <mergeCell ref="E22:AC22"/>
    <mergeCell ref="AH3:AI4"/>
    <mergeCell ref="AJ3:AK4"/>
    <mergeCell ref="C4:H7"/>
    <mergeCell ref="I4:AB5"/>
    <mergeCell ref="B8:H8"/>
    <mergeCell ref="K8:AB8"/>
    <mergeCell ref="AD8:AE8"/>
    <mergeCell ref="AF8:AG8"/>
    <mergeCell ref="AI8:AJ8"/>
    <mergeCell ref="B3:B7"/>
    <mergeCell ref="C3:H3"/>
    <mergeCell ref="I3:AB3"/>
    <mergeCell ref="AC3:AC11"/>
    <mergeCell ref="AD3:AE4"/>
    <mergeCell ref="AF3:AG4"/>
  </mergeCells>
  <printOptions horizontalCentered="1"/>
  <pageMargins left="0.11811023622047245" right="0.11811023622047245" top="0.39370078740157483" bottom="0.19685039370078741" header="7.874015748031496E-2" footer="7.874015748031496E-2"/>
  <pageSetup paperSize="5" scale="72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9" tint="0.39997558519241921"/>
  </sheetPr>
  <dimension ref="A1:BE411"/>
  <sheetViews>
    <sheetView showGridLines="0" view="pageBreakPreview" workbookViewId="0">
      <selection activeCell="C3" sqref="C3:J5"/>
    </sheetView>
  </sheetViews>
  <sheetFormatPr defaultColWidth="9.140625" defaultRowHeight="12.75"/>
  <cols>
    <col min="1" max="1" width="3.7109375" style="64" customWidth="1"/>
    <col min="2" max="2" width="4" style="102" customWidth="1"/>
    <col min="3" max="3" width="3.28515625" style="102" customWidth="1"/>
    <col min="4" max="4" width="3.7109375" style="102" customWidth="1"/>
    <col min="5" max="5" width="3.28515625" style="102" customWidth="1"/>
    <col min="6" max="6" width="5.85546875" style="102" customWidth="1"/>
    <col min="7" max="7" width="2.85546875" style="102" customWidth="1"/>
    <col min="8" max="9" width="2.140625" style="102" customWidth="1"/>
    <col min="10" max="10" width="3.140625" style="102" customWidth="1"/>
    <col min="11" max="11" width="1.140625" style="102" customWidth="1"/>
    <col min="12" max="12" width="0.7109375" style="102" customWidth="1"/>
    <col min="13" max="35" width="3.7109375" style="102" customWidth="1"/>
    <col min="36" max="36" width="4.42578125" style="102" customWidth="1"/>
    <col min="37" max="40" width="3.7109375" style="102" customWidth="1"/>
    <col min="41" max="41" width="1.28515625" style="102" customWidth="1"/>
    <col min="42" max="95" width="2.85546875" style="102" customWidth="1"/>
    <col min="96" max="189" width="3.85546875" style="102" customWidth="1"/>
    <col min="190" max="16384" width="9.140625" style="102"/>
  </cols>
  <sheetData>
    <row r="1" spans="1:41" ht="12.75" customHeight="1">
      <c r="A1" s="103"/>
      <c r="B1" s="10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64"/>
      <c r="AN1" s="165"/>
    </row>
    <row r="2" spans="1:41" ht="5.25" customHeight="1">
      <c r="A2" s="106"/>
      <c r="B2" s="10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64"/>
      <c r="AN2" s="104"/>
    </row>
    <row r="3" spans="1:41" ht="15" customHeight="1">
      <c r="B3" s="2757" t="s">
        <v>758</v>
      </c>
      <c r="C3" s="2758" t="s">
        <v>236</v>
      </c>
      <c r="D3" s="2758"/>
      <c r="E3" s="2758"/>
      <c r="F3" s="2758"/>
      <c r="G3" s="2758"/>
      <c r="H3" s="2758"/>
      <c r="I3" s="2758"/>
      <c r="J3" s="2759"/>
      <c r="K3" s="2760" t="s">
        <v>1138</v>
      </c>
      <c r="L3" s="2761"/>
      <c r="M3" s="2761"/>
      <c r="N3" s="2761"/>
      <c r="O3" s="2761"/>
      <c r="P3" s="2761"/>
      <c r="Q3" s="2761"/>
      <c r="R3" s="2761"/>
      <c r="S3" s="2761"/>
      <c r="T3" s="2761"/>
      <c r="U3" s="2761"/>
      <c r="V3" s="2761"/>
      <c r="W3" s="2761"/>
      <c r="X3" s="2761"/>
      <c r="Y3" s="2761"/>
      <c r="Z3" s="2761"/>
      <c r="AA3" s="2761"/>
      <c r="AB3" s="2761"/>
      <c r="AC3" s="2761"/>
      <c r="AD3" s="2762"/>
      <c r="AE3" s="2744" t="s">
        <v>762</v>
      </c>
      <c r="AF3" s="2745">
        <f>'FE-1770-II'!AE3</f>
        <v>0</v>
      </c>
      <c r="AG3" s="2745"/>
      <c r="AH3" s="2745">
        <f>'FE-1770-II'!AG3</f>
        <v>0</v>
      </c>
      <c r="AI3" s="2745"/>
      <c r="AJ3" s="2745">
        <f>'FE-1770-II'!AI3</f>
        <v>0</v>
      </c>
      <c r="AK3" s="2745"/>
      <c r="AL3" s="2745">
        <f>'FE-1770-II'!AK3</f>
        <v>0</v>
      </c>
      <c r="AM3" s="2745"/>
      <c r="AN3" s="5"/>
    </row>
    <row r="4" spans="1:41" ht="11.25" customHeight="1">
      <c r="B4" s="2757"/>
      <c r="C4" s="2758"/>
      <c r="D4" s="2758"/>
      <c r="E4" s="2758"/>
      <c r="F4" s="2758"/>
      <c r="G4" s="2758"/>
      <c r="H4" s="2758"/>
      <c r="I4" s="2758"/>
      <c r="J4" s="2759"/>
      <c r="K4" s="2747" t="s">
        <v>1071</v>
      </c>
      <c r="L4" s="2748"/>
      <c r="M4" s="2748"/>
      <c r="N4" s="2748"/>
      <c r="O4" s="2748"/>
      <c r="P4" s="2748"/>
      <c r="Q4" s="2748"/>
      <c r="R4" s="2748"/>
      <c r="S4" s="2748"/>
      <c r="T4" s="2748"/>
      <c r="U4" s="2748"/>
      <c r="V4" s="2748"/>
      <c r="W4" s="2748"/>
      <c r="X4" s="2748"/>
      <c r="Y4" s="2748"/>
      <c r="Z4" s="2748"/>
      <c r="AA4" s="2748"/>
      <c r="AB4" s="2748"/>
      <c r="AC4" s="2748"/>
      <c r="AD4" s="2749"/>
      <c r="AE4" s="2744"/>
      <c r="AF4" s="2745"/>
      <c r="AG4" s="2745"/>
      <c r="AH4" s="2745"/>
      <c r="AI4" s="2745"/>
      <c r="AJ4" s="2745"/>
      <c r="AK4" s="2745"/>
      <c r="AL4" s="2745"/>
      <c r="AM4" s="2745"/>
      <c r="AN4" s="5"/>
    </row>
    <row r="5" spans="1:41" ht="16.5" customHeight="1" thickBot="1">
      <c r="B5" s="2757"/>
      <c r="C5" s="2758"/>
      <c r="D5" s="2758"/>
      <c r="E5" s="2758"/>
      <c r="F5" s="2758"/>
      <c r="G5" s="2758"/>
      <c r="H5" s="2758"/>
      <c r="I5" s="2758"/>
      <c r="J5" s="2759"/>
      <c r="K5" s="2750"/>
      <c r="L5" s="2751"/>
      <c r="M5" s="2751"/>
      <c r="N5" s="2751"/>
      <c r="O5" s="2751"/>
      <c r="P5" s="2751"/>
      <c r="Q5" s="2751"/>
      <c r="R5" s="2751"/>
      <c r="S5" s="2751"/>
      <c r="T5" s="2751"/>
      <c r="U5" s="2751"/>
      <c r="V5" s="2751"/>
      <c r="W5" s="2751"/>
      <c r="X5" s="2751"/>
      <c r="Y5" s="2751"/>
      <c r="Z5" s="2751"/>
      <c r="AA5" s="2751"/>
      <c r="AB5" s="2751"/>
      <c r="AC5" s="2751"/>
      <c r="AD5" s="2752"/>
      <c r="AE5" s="2744"/>
      <c r="AJ5" s="107"/>
    </row>
    <row r="6" spans="1:41" ht="24" customHeight="1">
      <c r="B6" s="2757"/>
      <c r="C6" s="190"/>
      <c r="D6" s="191"/>
      <c r="E6" s="191"/>
      <c r="F6" s="191"/>
      <c r="G6" s="191"/>
      <c r="H6" s="191"/>
      <c r="I6" s="191"/>
      <c r="J6" s="192"/>
      <c r="L6" s="230"/>
      <c r="M6" s="235" t="s">
        <v>6</v>
      </c>
      <c r="N6" s="2753" t="s">
        <v>1139</v>
      </c>
      <c r="O6" s="2753"/>
      <c r="P6" s="2753"/>
      <c r="Q6" s="2753"/>
      <c r="R6" s="2753"/>
      <c r="S6" s="2753"/>
      <c r="T6" s="2753"/>
      <c r="U6" s="2753"/>
      <c r="V6" s="2753"/>
      <c r="W6" s="2753"/>
      <c r="X6" s="2753"/>
      <c r="Y6" s="2753"/>
      <c r="Z6" s="2753"/>
      <c r="AA6" s="2753"/>
      <c r="AB6" s="2753"/>
      <c r="AC6" s="2753"/>
      <c r="AD6" s="522"/>
      <c r="AE6" s="2744"/>
      <c r="AF6" s="1423" t="str">
        <f>'FE-1770-II'!AE6</f>
        <v>0</v>
      </c>
      <c r="AG6" s="1423" t="str">
        <f>'FE-1770-II'!AF6</f>
        <v>1</v>
      </c>
      <c r="AH6" s="1423" t="str">
        <f>'FE-1770-II'!AG6</f>
        <v>0</v>
      </c>
      <c r="AI6" s="1423" t="str">
        <f>'FE-1770-II'!AH6</f>
        <v>0</v>
      </c>
      <c r="AJ6" s="776" t="s">
        <v>999</v>
      </c>
      <c r="AK6" s="1423" t="str">
        <f>'FE-1770-II'!AJ6</f>
        <v>0</v>
      </c>
      <c r="AL6" s="1423" t="str">
        <f>'FE-1770-II'!AK6</f>
        <v>1</v>
      </c>
      <c r="AM6" s="1423" t="str">
        <f>'FE-1770-II'!AL6</f>
        <v>0</v>
      </c>
      <c r="AN6" s="1423" t="str">
        <f>'FE-1770-II'!AM6</f>
        <v>0</v>
      </c>
    </row>
    <row r="7" spans="1:41" ht="17.25" customHeight="1">
      <c r="B7" s="2531" t="s">
        <v>759</v>
      </c>
      <c r="C7" s="2531"/>
      <c r="D7" s="2531"/>
      <c r="E7" s="2531"/>
      <c r="F7" s="2531"/>
      <c r="G7" s="2531"/>
      <c r="H7" s="2531"/>
      <c r="I7" s="2531"/>
      <c r="J7" s="2532"/>
      <c r="K7" s="231"/>
      <c r="L7" s="189"/>
      <c r="M7" s="777" t="s">
        <v>6</v>
      </c>
      <c r="N7" s="2754" t="s">
        <v>1140</v>
      </c>
      <c r="O7" s="2754"/>
      <c r="P7" s="2754"/>
      <c r="Q7" s="2754"/>
      <c r="R7" s="2754"/>
      <c r="S7" s="2754"/>
      <c r="T7" s="2754"/>
      <c r="U7" s="2754"/>
      <c r="V7" s="2754"/>
      <c r="W7" s="2754"/>
      <c r="X7" s="2754"/>
      <c r="Y7" s="2754"/>
      <c r="Z7" s="2754"/>
      <c r="AA7" s="2754"/>
      <c r="AB7" s="2754"/>
      <c r="AC7" s="2754"/>
      <c r="AD7" s="521"/>
      <c r="AE7" s="2744"/>
      <c r="AF7" s="2561" t="s">
        <v>764</v>
      </c>
      <c r="AG7" s="2561"/>
      <c r="AH7" s="2755" t="s">
        <v>763</v>
      </c>
      <c r="AI7" s="2756"/>
      <c r="AJ7" s="224"/>
      <c r="AK7" s="2755" t="s">
        <v>764</v>
      </c>
      <c r="AL7" s="2756"/>
      <c r="AM7" s="2755" t="s">
        <v>763</v>
      </c>
      <c r="AN7" s="2756"/>
    </row>
    <row r="8" spans="1:41" ht="18.75" customHeight="1">
      <c r="B8" s="2648" t="s">
        <v>1074</v>
      </c>
      <c r="C8" s="2648"/>
      <c r="D8" s="2648"/>
      <c r="E8" s="2648"/>
      <c r="F8" s="2648"/>
      <c r="G8" s="2648"/>
      <c r="H8" s="2648"/>
      <c r="I8" s="2648"/>
      <c r="J8" s="2649"/>
      <c r="K8" s="231"/>
      <c r="L8" s="189"/>
      <c r="M8" s="777" t="s">
        <v>6</v>
      </c>
      <c r="N8" s="2746" t="s">
        <v>1141</v>
      </c>
      <c r="O8" s="2746"/>
      <c r="P8" s="2746"/>
      <c r="Q8" s="2746"/>
      <c r="R8" s="2746"/>
      <c r="S8" s="2746"/>
      <c r="T8" s="2746"/>
      <c r="U8" s="2746"/>
      <c r="V8" s="2746"/>
      <c r="W8" s="2746"/>
      <c r="X8" s="2746"/>
      <c r="Y8" s="2746"/>
      <c r="Z8" s="2746"/>
      <c r="AA8" s="2746"/>
      <c r="AB8" s="2746"/>
      <c r="AC8" s="2746"/>
      <c r="AD8" s="521"/>
      <c r="AE8" s="2744"/>
      <c r="AF8" s="1423" t="str">
        <f>IF('FE-1770-II'!AE9="x","x","")</f>
        <v/>
      </c>
      <c r="AG8" s="385" t="s">
        <v>1025</v>
      </c>
      <c r="AH8" s="446"/>
      <c r="AI8" s="106"/>
      <c r="AJ8" s="104"/>
      <c r="AK8" s="792" t="str">
        <f>IF('FE-1770-II'!AI9="x","x","")</f>
        <v/>
      </c>
      <c r="AL8" s="1242" t="s">
        <v>1029</v>
      </c>
      <c r="AM8" s="446"/>
      <c r="AN8" s="446"/>
      <c r="AO8" s="104"/>
    </row>
    <row r="9" spans="1:41" ht="3" customHeight="1" thickBot="1">
      <c r="B9" s="112"/>
      <c r="C9" s="113"/>
      <c r="D9" s="12"/>
      <c r="E9" s="12"/>
      <c r="F9" s="12"/>
      <c r="G9" s="13"/>
      <c r="H9" s="193"/>
      <c r="I9" s="193"/>
      <c r="J9" s="194"/>
      <c r="K9" s="232"/>
      <c r="L9" s="233"/>
      <c r="M9" s="233"/>
      <c r="N9" s="233"/>
      <c r="O9" s="233"/>
      <c r="P9" s="233"/>
      <c r="Q9" s="233"/>
      <c r="R9" s="233"/>
      <c r="S9" s="233"/>
      <c r="T9" s="233"/>
      <c r="U9" s="233"/>
      <c r="V9" s="233"/>
      <c r="W9" s="233"/>
      <c r="X9" s="233"/>
      <c r="Y9" s="233"/>
      <c r="Z9" s="233"/>
      <c r="AA9" s="233"/>
      <c r="AB9" s="233"/>
      <c r="AC9" s="233"/>
      <c r="AD9" s="234"/>
      <c r="AE9" s="111"/>
      <c r="AJ9" s="10"/>
    </row>
    <row r="10" spans="1:41" ht="3.75" customHeight="1">
      <c r="B10" s="18"/>
      <c r="C10" s="114"/>
      <c r="D10" s="20"/>
      <c r="E10" s="20"/>
      <c r="F10" s="20"/>
      <c r="G10" s="21"/>
      <c r="H10" s="22"/>
      <c r="I10" s="22"/>
      <c r="J10" s="23"/>
      <c r="K10" s="24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4"/>
      <c r="W10" s="114"/>
      <c r="X10" s="115"/>
      <c r="Y10" s="115"/>
      <c r="Z10" s="115"/>
      <c r="AA10" s="115"/>
      <c r="AB10" s="26"/>
      <c r="AC10" s="116"/>
      <c r="AD10" s="114"/>
      <c r="AE10" s="18"/>
      <c r="AF10" s="114"/>
      <c r="AG10" s="114"/>
      <c r="AH10" s="114"/>
      <c r="AI10" s="114"/>
      <c r="AJ10" s="28"/>
      <c r="AK10" s="114"/>
      <c r="AL10" s="114"/>
      <c r="AM10" s="114"/>
      <c r="AN10" s="114"/>
    </row>
    <row r="11" spans="1:41" s="30" customFormat="1" ht="14.25" customHeight="1">
      <c r="A11" s="29"/>
      <c r="B11" s="167" t="s">
        <v>1142</v>
      </c>
      <c r="C11" s="167"/>
      <c r="D11" s="167"/>
      <c r="E11" s="777" t="s">
        <v>6</v>
      </c>
      <c r="F11" s="2378" t="s">
        <v>824</v>
      </c>
      <c r="G11" s="2378"/>
      <c r="H11" s="2378"/>
      <c r="I11" s="2378"/>
      <c r="J11" s="2378"/>
      <c r="K11" s="2378"/>
      <c r="L11" s="2378"/>
      <c r="M11" s="2378"/>
      <c r="N11" s="2378"/>
      <c r="O11" s="2378"/>
      <c r="P11" s="2378"/>
      <c r="Q11" s="777" t="s">
        <v>6</v>
      </c>
      <c r="R11" s="32" t="s">
        <v>1117</v>
      </c>
      <c r="V11" s="33"/>
      <c r="W11" s="33"/>
      <c r="X11" s="33"/>
      <c r="Y11" s="33"/>
      <c r="Z11" s="33"/>
      <c r="AA11" s="33"/>
      <c r="AB11" s="33"/>
      <c r="AC11" s="777" t="s">
        <v>6</v>
      </c>
      <c r="AD11" s="2763" t="s">
        <v>1143</v>
      </c>
      <c r="AE11" s="2763"/>
      <c r="AF11" s="2763"/>
      <c r="AG11" s="2763"/>
      <c r="AH11" s="2764"/>
      <c r="AI11" s="34"/>
      <c r="AJ11" s="2765" t="s">
        <v>826</v>
      </c>
      <c r="AK11" s="2766"/>
      <c r="AL11" s="2766"/>
      <c r="AM11" s="2766"/>
      <c r="AN11" s="2766"/>
      <c r="AO11" s="2766"/>
    </row>
    <row r="12" spans="1:41" ht="4.5" customHeight="1" thickBot="1">
      <c r="B12" s="64"/>
      <c r="D12" s="749"/>
      <c r="E12" s="749"/>
      <c r="F12" s="749"/>
      <c r="G12" s="749"/>
      <c r="H12" s="749"/>
      <c r="I12" s="749"/>
      <c r="J12" s="749"/>
      <c r="K12" s="749"/>
      <c r="L12" s="35"/>
      <c r="M12" s="64"/>
      <c r="N12" s="64"/>
      <c r="O12" s="64"/>
      <c r="P12" s="64"/>
      <c r="Q12" s="64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6"/>
      <c r="AC12" s="118"/>
      <c r="AD12" s="64"/>
      <c r="AE12" s="17"/>
      <c r="AF12" s="37"/>
      <c r="AG12" s="10"/>
      <c r="AH12" s="10"/>
      <c r="AI12" s="10"/>
      <c r="AJ12" s="10"/>
      <c r="AK12" s="33"/>
      <c r="AL12" s="33"/>
      <c r="AM12" s="33"/>
      <c r="AN12" s="33"/>
    </row>
    <row r="13" spans="1:41" ht="3.75" customHeight="1">
      <c r="B13" s="304"/>
      <c r="C13" s="236"/>
      <c r="D13" s="236"/>
      <c r="E13" s="236"/>
      <c r="F13" s="305"/>
      <c r="G13" s="305"/>
      <c r="H13" s="305"/>
      <c r="I13" s="305"/>
      <c r="J13" s="305"/>
      <c r="K13" s="305"/>
      <c r="L13" s="114"/>
      <c r="M13" s="114"/>
      <c r="N13" s="114"/>
      <c r="O13" s="114"/>
      <c r="P13" s="114"/>
      <c r="Q13" s="114"/>
      <c r="R13" s="115"/>
      <c r="S13" s="115"/>
      <c r="T13" s="115"/>
      <c r="U13" s="115"/>
      <c r="V13" s="115"/>
      <c r="W13" s="115"/>
      <c r="X13" s="115"/>
      <c r="Y13" s="115"/>
      <c r="Z13" s="115"/>
      <c r="AA13" s="115"/>
      <c r="AB13" s="26"/>
      <c r="AC13" s="116"/>
      <c r="AD13" s="114"/>
      <c r="AE13" s="18"/>
      <c r="AF13" s="238"/>
      <c r="AG13" s="28"/>
      <c r="AH13" s="28"/>
      <c r="AI13" s="28"/>
      <c r="AJ13" s="28"/>
      <c r="AK13" s="28"/>
      <c r="AL13" s="28"/>
      <c r="AM13" s="28"/>
      <c r="AN13" s="239"/>
    </row>
    <row r="14" spans="1:41" ht="20.100000000000001" customHeight="1">
      <c r="B14" s="366" t="s">
        <v>392</v>
      </c>
      <c r="C14" s="127"/>
      <c r="D14" s="127"/>
      <c r="E14" s="127"/>
      <c r="F14" s="54"/>
      <c r="G14" s="54"/>
      <c r="H14" s="42" t="s">
        <v>13</v>
      </c>
      <c r="I14" s="42"/>
      <c r="J14" s="41"/>
      <c r="K14" s="8"/>
      <c r="L14" s="64"/>
      <c r="M14" s="1423" t="str">
        <f>'FE-1770-II'!L15</f>
        <v/>
      </c>
      <c r="N14" s="1423" t="str">
        <f>'FE-1770-II'!M15</f>
        <v/>
      </c>
      <c r="O14" s="1426"/>
      <c r="P14" s="1423" t="str">
        <f>'FE-1770-II'!O15</f>
        <v/>
      </c>
      <c r="Q14" s="1423" t="str">
        <f>'FE-1770-II'!P15</f>
        <v/>
      </c>
      <c r="R14" s="1423" t="str">
        <f>'FE-1770-II'!Q15</f>
        <v/>
      </c>
      <c r="S14" s="119"/>
      <c r="T14" s="1423" t="str">
        <f>'FE-1770-II'!S15</f>
        <v/>
      </c>
      <c r="U14" s="1423" t="str">
        <f>'FE-1770-II'!T15</f>
        <v/>
      </c>
      <c r="V14" s="1423" t="str">
        <f>'FE-1770-II'!U15</f>
        <v/>
      </c>
      <c r="W14" s="119"/>
      <c r="X14" s="1423" t="str">
        <f>'FE-1770-II'!W15</f>
        <v/>
      </c>
      <c r="Y14" s="119"/>
      <c r="Z14" s="1423" t="str">
        <f>'FE-1770-II'!Y15</f>
        <v/>
      </c>
      <c r="AA14" s="1423" t="str">
        <f>'FE-1770-II'!Z15</f>
        <v/>
      </c>
      <c r="AB14" s="1423" t="str">
        <f>'FE-1770-II'!AA15</f>
        <v/>
      </c>
      <c r="AC14" s="64"/>
      <c r="AD14" s="1423" t="str">
        <f>'FE-1770-II'!AC15</f>
        <v/>
      </c>
      <c r="AE14" s="1423" t="str">
        <f>'FE-1770-II'!AD15</f>
        <v/>
      </c>
      <c r="AF14" s="1423" t="str">
        <f>'FE-1770-II'!AE15</f>
        <v/>
      </c>
      <c r="AG14" s="119"/>
      <c r="AH14" s="119"/>
      <c r="AI14" s="119"/>
      <c r="AJ14" s="119"/>
      <c r="AK14" s="119"/>
      <c r="AL14" s="119"/>
      <c r="AM14" s="119"/>
      <c r="AN14" s="307"/>
    </row>
    <row r="15" spans="1:41" ht="3.75" customHeight="1">
      <c r="B15" s="367"/>
      <c r="C15" s="127"/>
      <c r="D15" s="127"/>
      <c r="E15" s="127"/>
      <c r="F15" s="54"/>
      <c r="G15" s="54"/>
      <c r="H15" s="45"/>
      <c r="I15" s="45"/>
      <c r="J15" s="35"/>
      <c r="K15" s="9"/>
      <c r="L15" s="64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307"/>
    </row>
    <row r="16" spans="1:41" ht="20.100000000000001" customHeight="1">
      <c r="B16" s="366" t="s">
        <v>765</v>
      </c>
      <c r="C16" s="127"/>
      <c r="D16" s="127"/>
      <c r="E16" s="127"/>
      <c r="F16" s="54"/>
      <c r="G16" s="54"/>
      <c r="H16" s="45" t="s">
        <v>13</v>
      </c>
      <c r="I16" s="45"/>
      <c r="J16" s="35"/>
      <c r="K16" s="9"/>
      <c r="L16" s="64"/>
      <c r="M16" s="1707" t="str">
        <f>'FE-1770-II'!L17</f>
        <v/>
      </c>
      <c r="N16" s="1708"/>
      <c r="O16" s="1708"/>
      <c r="P16" s="1708"/>
      <c r="Q16" s="1708"/>
      <c r="R16" s="1708"/>
      <c r="S16" s="1708"/>
      <c r="T16" s="1708"/>
      <c r="U16" s="1708"/>
      <c r="V16" s="1708"/>
      <c r="W16" s="1708"/>
      <c r="X16" s="1708"/>
      <c r="Y16" s="1708"/>
      <c r="Z16" s="1708"/>
      <c r="AA16" s="1708"/>
      <c r="AB16" s="1708"/>
      <c r="AC16" s="1708"/>
      <c r="AD16" s="1708"/>
      <c r="AE16" s="1708"/>
      <c r="AF16" s="1708"/>
      <c r="AG16" s="1708"/>
      <c r="AH16" s="1708"/>
      <c r="AI16" s="1708"/>
      <c r="AJ16" s="1708"/>
      <c r="AK16" s="1708"/>
      <c r="AL16" s="1708"/>
      <c r="AM16" s="1708"/>
      <c r="AN16" s="307"/>
    </row>
    <row r="17" spans="1:52" ht="3.75" customHeight="1" thickBot="1">
      <c r="B17" s="309"/>
      <c r="C17" s="310"/>
      <c r="D17" s="310"/>
      <c r="E17" s="310"/>
      <c r="F17" s="311"/>
      <c r="G17" s="312"/>
      <c r="H17" s="312"/>
      <c r="I17" s="312"/>
      <c r="J17" s="312"/>
      <c r="K17" s="313"/>
      <c r="L17" s="314"/>
      <c r="M17" s="313"/>
      <c r="N17" s="113"/>
      <c r="O17" s="113"/>
      <c r="P17" s="113"/>
      <c r="Q17" s="113"/>
      <c r="R17" s="315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316"/>
    </row>
    <row r="18" spans="1:52" ht="10.5" customHeight="1">
      <c r="G18" s="35"/>
      <c r="P18" s="104"/>
      <c r="Q18" s="104"/>
      <c r="R18" s="618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6"/>
      <c r="AD18" s="106"/>
      <c r="AE18" s="106"/>
      <c r="AF18" s="106"/>
      <c r="AG18" s="106"/>
      <c r="AH18" s="106"/>
      <c r="AI18" s="106"/>
      <c r="AJ18" s="106"/>
      <c r="AK18" s="106"/>
      <c r="AL18" s="106"/>
      <c r="AM18" s="106"/>
      <c r="AN18" s="64"/>
    </row>
    <row r="19" spans="1:52" s="402" customFormat="1" ht="14.25" customHeight="1">
      <c r="A19" s="47"/>
      <c r="B19" s="55" t="s">
        <v>1120</v>
      </c>
      <c r="F19" s="2539" t="s">
        <v>1139</v>
      </c>
      <c r="G19" s="2539"/>
      <c r="H19" s="2539"/>
      <c r="I19" s="2539"/>
      <c r="J19" s="2539"/>
      <c r="K19" s="2539"/>
      <c r="L19" s="2539"/>
      <c r="M19" s="2539"/>
      <c r="N19" s="2539"/>
      <c r="O19" s="2539"/>
      <c r="P19" s="2539"/>
      <c r="Q19" s="2539"/>
      <c r="R19" s="2539"/>
      <c r="S19" s="2539"/>
      <c r="T19" s="2539"/>
      <c r="U19" s="2539"/>
      <c r="V19" s="2539"/>
      <c r="W19" s="2539"/>
      <c r="X19" s="2539"/>
      <c r="Y19" s="2539"/>
      <c r="Z19" s="2539"/>
      <c r="AA19" s="2539"/>
      <c r="AB19" s="2539"/>
      <c r="AC19" s="2539"/>
      <c r="AD19" s="2539"/>
      <c r="AE19" s="2539"/>
      <c r="AF19" s="2539"/>
      <c r="AG19" s="2539"/>
      <c r="AH19" s="2539"/>
      <c r="AI19" s="2539"/>
      <c r="AJ19" s="2539"/>
      <c r="AK19" s="2539"/>
      <c r="AL19" s="2539"/>
      <c r="AM19" s="2539"/>
      <c r="AN19" s="2539"/>
      <c r="AO19" s="185"/>
      <c r="AP19" s="185"/>
      <c r="AQ19" s="185"/>
      <c r="AR19" s="185"/>
      <c r="AS19" s="185"/>
      <c r="AT19" s="185"/>
      <c r="AU19" s="185"/>
      <c r="AV19" s="185"/>
      <c r="AW19" s="185"/>
    </row>
    <row r="20" spans="1:52" s="64" customFormat="1" ht="9" customHeight="1">
      <c r="A20" s="47"/>
      <c r="B20" s="2767"/>
      <c r="C20" s="2767"/>
      <c r="D20" s="169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</row>
    <row r="21" spans="1:52" s="64" customFormat="1" ht="24.75" customHeight="1">
      <c r="A21" s="47"/>
      <c r="B21" s="763" t="s">
        <v>151</v>
      </c>
      <c r="C21" s="2579" t="s">
        <v>1101</v>
      </c>
      <c r="D21" s="2580"/>
      <c r="E21" s="2580"/>
      <c r="F21" s="2580"/>
      <c r="G21" s="2580"/>
      <c r="H21" s="2580"/>
      <c r="I21" s="2580"/>
      <c r="J21" s="2580"/>
      <c r="K21" s="2580"/>
      <c r="L21" s="2580"/>
      <c r="M21" s="2580"/>
      <c r="N21" s="2580"/>
      <c r="O21" s="2580"/>
      <c r="P21" s="2580"/>
      <c r="Q21" s="2580"/>
      <c r="R21" s="2580"/>
      <c r="S21" s="370"/>
      <c r="T21" s="2580" t="s">
        <v>1144</v>
      </c>
      <c r="U21" s="2580"/>
      <c r="V21" s="2580"/>
      <c r="W21" s="2580"/>
      <c r="X21" s="2580"/>
      <c r="Y21" s="2580"/>
      <c r="Z21" s="2580"/>
      <c r="AA21" s="2580"/>
      <c r="AB21" s="2580"/>
      <c r="AC21" s="2580"/>
      <c r="AD21" s="2580"/>
      <c r="AE21" s="2579" t="s">
        <v>1145</v>
      </c>
      <c r="AF21" s="2580"/>
      <c r="AG21" s="2580"/>
      <c r="AH21" s="2580"/>
      <c r="AI21" s="2580"/>
      <c r="AJ21" s="2580"/>
      <c r="AK21" s="2580"/>
      <c r="AL21" s="2580"/>
      <c r="AM21" s="2580"/>
      <c r="AN21" s="2581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</row>
    <row r="22" spans="1:52" s="64" customFormat="1" ht="11.25" customHeight="1">
      <c r="A22" s="47"/>
      <c r="B22" s="760" t="s">
        <v>128</v>
      </c>
      <c r="C22" s="2651" t="s">
        <v>129</v>
      </c>
      <c r="D22" s="2608"/>
      <c r="E22" s="2608"/>
      <c r="F22" s="2608"/>
      <c r="G22" s="2608"/>
      <c r="H22" s="2608"/>
      <c r="I22" s="2608"/>
      <c r="J22" s="2608"/>
      <c r="K22" s="2608"/>
      <c r="L22" s="2608"/>
      <c r="M22" s="2608"/>
      <c r="N22" s="2608"/>
      <c r="O22" s="2608"/>
      <c r="P22" s="2608"/>
      <c r="Q22" s="2608"/>
      <c r="R22" s="2608"/>
      <c r="S22" s="2653"/>
      <c r="T22" s="2608" t="s">
        <v>130</v>
      </c>
      <c r="U22" s="2608"/>
      <c r="V22" s="2608"/>
      <c r="W22" s="2608"/>
      <c r="X22" s="2608"/>
      <c r="Y22" s="2608"/>
      <c r="Z22" s="2608"/>
      <c r="AA22" s="2608"/>
      <c r="AB22" s="2608"/>
      <c r="AC22" s="2608"/>
      <c r="AD22" s="2608"/>
      <c r="AE22" s="2768" t="s">
        <v>131</v>
      </c>
      <c r="AF22" s="2769"/>
      <c r="AG22" s="2769"/>
      <c r="AH22" s="2769"/>
      <c r="AI22" s="2769"/>
      <c r="AJ22" s="2769"/>
      <c r="AK22" s="2769"/>
      <c r="AL22" s="2769"/>
      <c r="AM22" s="2769"/>
      <c r="AN22" s="2770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  <c r="AZ22" s="169"/>
    </row>
    <row r="23" spans="1:52" ht="30" customHeight="1">
      <c r="A23" s="69"/>
      <c r="B23" s="1723" t="s">
        <v>18</v>
      </c>
      <c r="C23" s="2771" t="str">
        <f>UPPER("Interest on time deposits, savings, discount on SBI, state commercial paper")</f>
        <v>INTEREST ON TIME DEPOSITS, SAVINGS, DISCOUNT ON SBI, STATE COMMERCIAL PAPER</v>
      </c>
      <c r="D23" s="2771"/>
      <c r="E23" s="2771"/>
      <c r="F23" s="2771"/>
      <c r="G23" s="2771"/>
      <c r="H23" s="2771"/>
      <c r="I23" s="2771"/>
      <c r="J23" s="2771"/>
      <c r="K23" s="2771"/>
      <c r="L23" s="2771"/>
      <c r="M23" s="2771"/>
      <c r="N23" s="2771"/>
      <c r="O23" s="2771"/>
      <c r="P23" s="2771"/>
      <c r="Q23" s="2771"/>
      <c r="R23" s="2771"/>
      <c r="S23" s="2771"/>
      <c r="T23" s="2772">
        <f>'GENERAL INFO'!O180</f>
        <v>0</v>
      </c>
      <c r="U23" s="2772"/>
      <c r="V23" s="2772"/>
      <c r="W23" s="2772"/>
      <c r="X23" s="2772"/>
      <c r="Y23" s="2772"/>
      <c r="Z23" s="2772"/>
      <c r="AA23" s="2772"/>
      <c r="AB23" s="2772"/>
      <c r="AC23" s="2772"/>
      <c r="AD23" s="2772"/>
      <c r="AE23" s="2772">
        <f>'GENERAL INFO'!T180</f>
        <v>0</v>
      </c>
      <c r="AF23" s="2772"/>
      <c r="AG23" s="2772"/>
      <c r="AH23" s="2772"/>
      <c r="AI23" s="2772"/>
      <c r="AJ23" s="2772"/>
      <c r="AK23" s="2772"/>
      <c r="AL23" s="2772"/>
      <c r="AM23" s="2772"/>
      <c r="AN23" s="2772"/>
    </row>
    <row r="24" spans="1:52" ht="30" customHeight="1">
      <c r="A24" s="69"/>
      <c r="B24" s="1723" t="s">
        <v>19</v>
      </c>
      <c r="C24" s="2771" t="str">
        <f>UPPER("Interest / discounts on bonds")</f>
        <v>INTEREST / DISCOUNTS ON BONDS</v>
      </c>
      <c r="D24" s="2771"/>
      <c r="E24" s="2771"/>
      <c r="F24" s="2771"/>
      <c r="G24" s="2771"/>
      <c r="H24" s="2771"/>
      <c r="I24" s="2771"/>
      <c r="J24" s="2771"/>
      <c r="K24" s="2771"/>
      <c r="L24" s="2771"/>
      <c r="M24" s="2771"/>
      <c r="N24" s="2771"/>
      <c r="O24" s="2771"/>
      <c r="P24" s="2771"/>
      <c r="Q24" s="2771"/>
      <c r="R24" s="2771"/>
      <c r="S24" s="2771"/>
      <c r="T24" s="2566">
        <f>'GENERAL INFO'!O181</f>
        <v>0</v>
      </c>
      <c r="U24" s="2566"/>
      <c r="V24" s="2566"/>
      <c r="W24" s="2566"/>
      <c r="X24" s="2566"/>
      <c r="Y24" s="2566"/>
      <c r="Z24" s="2566"/>
      <c r="AA24" s="2566"/>
      <c r="AB24" s="2566"/>
      <c r="AC24" s="2566"/>
      <c r="AD24" s="2566"/>
      <c r="AE24" s="2566">
        <f>'GENERAL INFO'!T181</f>
        <v>0</v>
      </c>
      <c r="AF24" s="2566"/>
      <c r="AG24" s="2566"/>
      <c r="AH24" s="2566"/>
      <c r="AI24" s="2566"/>
      <c r="AJ24" s="2566"/>
      <c r="AK24" s="2566"/>
      <c r="AL24" s="2566"/>
      <c r="AM24" s="2566"/>
      <c r="AN24" s="2566"/>
    </row>
    <row r="25" spans="1:52" ht="30" customHeight="1">
      <c r="A25" s="69"/>
      <c r="B25" s="1723" t="s">
        <v>20</v>
      </c>
      <c r="C25" s="2773" t="str">
        <f>UPPER("Sales value of shares traded in stock exchange")</f>
        <v>SALES VALUE OF SHARES TRADED IN STOCK EXCHANGE</v>
      </c>
      <c r="D25" s="2774"/>
      <c r="E25" s="2774"/>
      <c r="F25" s="2774"/>
      <c r="G25" s="2774"/>
      <c r="H25" s="2774"/>
      <c r="I25" s="2774"/>
      <c r="J25" s="2774"/>
      <c r="K25" s="2774"/>
      <c r="L25" s="2774"/>
      <c r="M25" s="2774"/>
      <c r="N25" s="2774"/>
      <c r="O25" s="2774"/>
      <c r="P25" s="2774"/>
      <c r="Q25" s="2774"/>
      <c r="R25" s="2774"/>
      <c r="S25" s="2775"/>
      <c r="T25" s="2566">
        <f>'GENERAL INFO'!O182</f>
        <v>0</v>
      </c>
      <c r="U25" s="2566"/>
      <c r="V25" s="2566"/>
      <c r="W25" s="2566"/>
      <c r="X25" s="2566"/>
      <c r="Y25" s="2566"/>
      <c r="Z25" s="2566"/>
      <c r="AA25" s="2566"/>
      <c r="AB25" s="2566"/>
      <c r="AC25" s="2566"/>
      <c r="AD25" s="2566"/>
      <c r="AE25" s="2566">
        <f>'GENERAL INFO'!T182</f>
        <v>0</v>
      </c>
      <c r="AF25" s="2566"/>
      <c r="AG25" s="2566"/>
      <c r="AH25" s="2566"/>
      <c r="AI25" s="2566"/>
      <c r="AJ25" s="2566"/>
      <c r="AK25" s="2566"/>
      <c r="AL25" s="2566"/>
      <c r="AM25" s="2566"/>
      <c r="AN25" s="2566"/>
    </row>
    <row r="26" spans="1:52" ht="30" customHeight="1">
      <c r="A26" s="69"/>
      <c r="B26" s="1724" t="s">
        <v>21</v>
      </c>
      <c r="C26" s="2773" t="str">
        <f>UPPER("Prize from Lotteries")</f>
        <v>PRIZE FROM LOTTERIES</v>
      </c>
      <c r="D26" s="2774"/>
      <c r="E26" s="2774"/>
      <c r="F26" s="2774"/>
      <c r="G26" s="2774"/>
      <c r="H26" s="2774"/>
      <c r="I26" s="2774"/>
      <c r="J26" s="2774"/>
      <c r="K26" s="2774"/>
      <c r="L26" s="2774"/>
      <c r="M26" s="2774"/>
      <c r="N26" s="2774"/>
      <c r="O26" s="2774"/>
      <c r="P26" s="2774"/>
      <c r="Q26" s="2774"/>
      <c r="R26" s="2774"/>
      <c r="S26" s="2775"/>
      <c r="T26" s="2566">
        <f>'GENERAL INFO'!O183</f>
        <v>0</v>
      </c>
      <c r="U26" s="2566"/>
      <c r="V26" s="2566"/>
      <c r="W26" s="2566"/>
      <c r="X26" s="2566"/>
      <c r="Y26" s="2566"/>
      <c r="Z26" s="2566"/>
      <c r="AA26" s="2566"/>
      <c r="AB26" s="2566"/>
      <c r="AC26" s="2566"/>
      <c r="AD26" s="2566"/>
      <c r="AE26" s="2566">
        <f>'GENERAL INFO'!T183</f>
        <v>0</v>
      </c>
      <c r="AF26" s="2566"/>
      <c r="AG26" s="2566"/>
      <c r="AH26" s="2566"/>
      <c r="AI26" s="2566"/>
      <c r="AJ26" s="2566"/>
      <c r="AK26" s="2566"/>
      <c r="AL26" s="2566"/>
      <c r="AM26" s="2566"/>
      <c r="AN26" s="2566"/>
    </row>
    <row r="27" spans="1:52" ht="30" customHeight="1">
      <c r="A27" s="69"/>
      <c r="B27" s="1723" t="s">
        <v>22</v>
      </c>
      <c r="C27" s="2773" t="str">
        <f>UPPER("One time Payment of Severance Pay, Old Age Benefit and One-Off Pension Payment")</f>
        <v>ONE TIME PAYMENT OF SEVERANCE PAY, OLD AGE BENEFIT AND ONE-OFF PENSION PAYMENT</v>
      </c>
      <c r="D27" s="2774"/>
      <c r="E27" s="2774"/>
      <c r="F27" s="2774"/>
      <c r="G27" s="2774"/>
      <c r="H27" s="2774"/>
      <c r="I27" s="2774"/>
      <c r="J27" s="2774"/>
      <c r="K27" s="2774"/>
      <c r="L27" s="2774"/>
      <c r="M27" s="2774"/>
      <c r="N27" s="2774"/>
      <c r="O27" s="2774"/>
      <c r="P27" s="2774"/>
      <c r="Q27" s="2774"/>
      <c r="R27" s="2774"/>
      <c r="S27" s="2775"/>
      <c r="T27" s="2566">
        <f>'GENERAL INFO'!O184</f>
        <v>0</v>
      </c>
      <c r="U27" s="2566"/>
      <c r="V27" s="2566"/>
      <c r="W27" s="2566"/>
      <c r="X27" s="2566"/>
      <c r="Y27" s="2566"/>
      <c r="Z27" s="2566"/>
      <c r="AA27" s="2566"/>
      <c r="AB27" s="2566"/>
      <c r="AC27" s="2566"/>
      <c r="AD27" s="2566"/>
      <c r="AE27" s="2566">
        <f>'GENERAL INFO'!T184</f>
        <v>0</v>
      </c>
      <c r="AF27" s="2566"/>
      <c r="AG27" s="2566"/>
      <c r="AH27" s="2566"/>
      <c r="AI27" s="2566"/>
      <c r="AJ27" s="2566"/>
      <c r="AK27" s="2566"/>
      <c r="AL27" s="2566"/>
      <c r="AM27" s="2566"/>
      <c r="AN27" s="2566"/>
    </row>
    <row r="28" spans="1:52" ht="30" customHeight="1">
      <c r="A28" s="69"/>
      <c r="B28" s="1723" t="s">
        <v>24</v>
      </c>
      <c r="C28" s="2773" t="str">
        <f>UPPER("State Budget Financed Honorarium")</f>
        <v>STATE BUDGET FINANCED HONORARIUM</v>
      </c>
      <c r="D28" s="2774"/>
      <c r="E28" s="2774"/>
      <c r="F28" s="2774"/>
      <c r="G28" s="2774"/>
      <c r="H28" s="2774"/>
      <c r="I28" s="2774"/>
      <c r="J28" s="2774"/>
      <c r="K28" s="2774"/>
      <c r="L28" s="2774"/>
      <c r="M28" s="2774"/>
      <c r="N28" s="2774"/>
      <c r="O28" s="2774"/>
      <c r="P28" s="2774"/>
      <c r="Q28" s="2774"/>
      <c r="R28" s="2774"/>
      <c r="S28" s="2775"/>
      <c r="T28" s="2566">
        <f>'GENERAL INFO'!O185</f>
        <v>0</v>
      </c>
      <c r="U28" s="2566"/>
      <c r="V28" s="2566"/>
      <c r="W28" s="2566"/>
      <c r="X28" s="2566"/>
      <c r="Y28" s="2566"/>
      <c r="Z28" s="2566"/>
      <c r="AA28" s="2566"/>
      <c r="AB28" s="2566"/>
      <c r="AC28" s="2566"/>
      <c r="AD28" s="2566"/>
      <c r="AE28" s="2566">
        <f>'GENERAL INFO'!T185</f>
        <v>0</v>
      </c>
      <c r="AF28" s="2566"/>
      <c r="AG28" s="2566"/>
      <c r="AH28" s="2566"/>
      <c r="AI28" s="2566"/>
      <c r="AJ28" s="2566"/>
      <c r="AK28" s="2566"/>
      <c r="AL28" s="2566"/>
      <c r="AM28" s="2566"/>
      <c r="AN28" s="2566"/>
    </row>
    <row r="29" spans="1:52" ht="30" customHeight="1">
      <c r="A29" s="144"/>
      <c r="B29" s="1723" t="s">
        <v>25</v>
      </c>
      <c r="C29" s="2773" t="str">
        <f>UPPER("Transfer of Title of Land and / or Building")</f>
        <v>TRANSFER OF TITLE OF LAND AND / OR BUILDING</v>
      </c>
      <c r="D29" s="2774"/>
      <c r="E29" s="2774"/>
      <c r="F29" s="2774"/>
      <c r="G29" s="2774"/>
      <c r="H29" s="2774"/>
      <c r="I29" s="2774"/>
      <c r="J29" s="2774"/>
      <c r="K29" s="2774"/>
      <c r="L29" s="2774"/>
      <c r="M29" s="2774"/>
      <c r="N29" s="2774"/>
      <c r="O29" s="2774"/>
      <c r="P29" s="2774"/>
      <c r="Q29" s="2774"/>
      <c r="R29" s="2774"/>
      <c r="S29" s="2775"/>
      <c r="T29" s="2566">
        <f>'GENERAL INFO'!O186</f>
        <v>0</v>
      </c>
      <c r="U29" s="2566"/>
      <c r="V29" s="2566"/>
      <c r="W29" s="2566"/>
      <c r="X29" s="2566"/>
      <c r="Y29" s="2566"/>
      <c r="Z29" s="2566"/>
      <c r="AA29" s="2566"/>
      <c r="AB29" s="2566"/>
      <c r="AC29" s="2566"/>
      <c r="AD29" s="2566"/>
      <c r="AE29" s="2566">
        <f>'GENERAL INFO'!T186</f>
        <v>0</v>
      </c>
      <c r="AF29" s="2566"/>
      <c r="AG29" s="2566"/>
      <c r="AH29" s="2566"/>
      <c r="AI29" s="2566"/>
      <c r="AJ29" s="2566"/>
      <c r="AK29" s="2566"/>
      <c r="AL29" s="2566"/>
      <c r="AM29" s="2566"/>
      <c r="AN29" s="2566"/>
    </row>
    <row r="30" spans="1:52" ht="30" customHeight="1">
      <c r="A30" s="144"/>
      <c r="B30" s="1724" t="s">
        <v>27</v>
      </c>
      <c r="C30" s="2776" t="s">
        <v>1146</v>
      </c>
      <c r="D30" s="2777"/>
      <c r="E30" s="2777"/>
      <c r="F30" s="2777"/>
      <c r="G30" s="2777"/>
      <c r="H30" s="2777"/>
      <c r="I30" s="2777"/>
      <c r="J30" s="2777"/>
      <c r="K30" s="2777"/>
      <c r="L30" s="2777"/>
      <c r="M30" s="2777"/>
      <c r="N30" s="2777"/>
      <c r="O30" s="2777"/>
      <c r="P30" s="2777"/>
      <c r="Q30" s="2777"/>
      <c r="R30" s="2777"/>
      <c r="S30" s="2778"/>
      <c r="T30" s="2566">
        <f>'GENERAL INFO'!O188</f>
        <v>0</v>
      </c>
      <c r="U30" s="2566"/>
      <c r="V30" s="2566"/>
      <c r="W30" s="2566"/>
      <c r="X30" s="2566"/>
      <c r="Y30" s="2566"/>
      <c r="Z30" s="2566"/>
      <c r="AA30" s="2566"/>
      <c r="AB30" s="2566"/>
      <c r="AC30" s="2566"/>
      <c r="AD30" s="2566"/>
      <c r="AE30" s="2566">
        <f>'GENERAL INFO'!T188</f>
        <v>0</v>
      </c>
      <c r="AF30" s="2566"/>
      <c r="AG30" s="2566"/>
      <c r="AH30" s="2566"/>
      <c r="AI30" s="2566"/>
      <c r="AJ30" s="2566"/>
      <c r="AK30" s="2566"/>
      <c r="AL30" s="2566"/>
      <c r="AM30" s="2566"/>
      <c r="AN30" s="2566"/>
    </row>
    <row r="31" spans="1:52" ht="30" customHeight="1">
      <c r="A31" s="47"/>
      <c r="B31" s="1723" t="s">
        <v>28</v>
      </c>
      <c r="C31" s="2776" t="s">
        <v>1147</v>
      </c>
      <c r="D31" s="2777"/>
      <c r="E31" s="2777"/>
      <c r="F31" s="2777"/>
      <c r="G31" s="2777"/>
      <c r="H31" s="2777"/>
      <c r="I31" s="2777"/>
      <c r="J31" s="2777"/>
      <c r="K31" s="2777"/>
      <c r="L31" s="2777"/>
      <c r="M31" s="2777"/>
      <c r="N31" s="2777"/>
      <c r="O31" s="2777"/>
      <c r="P31" s="2777"/>
      <c r="Q31" s="2777"/>
      <c r="R31" s="2777"/>
      <c r="S31" s="2778"/>
      <c r="T31" s="2566">
        <f>'GENERAL INFO'!O187</f>
        <v>0</v>
      </c>
      <c r="U31" s="2566"/>
      <c r="V31" s="2566"/>
      <c r="W31" s="2566"/>
      <c r="X31" s="2566"/>
      <c r="Y31" s="2566"/>
      <c r="Z31" s="2566"/>
      <c r="AA31" s="2566"/>
      <c r="AB31" s="2566"/>
      <c r="AC31" s="2566"/>
      <c r="AD31" s="2566"/>
      <c r="AE31" s="2566">
        <f>'GENERAL INFO'!T187</f>
        <v>0</v>
      </c>
      <c r="AF31" s="2566"/>
      <c r="AG31" s="2566"/>
      <c r="AH31" s="2566"/>
      <c r="AI31" s="2566"/>
      <c r="AJ31" s="2566"/>
      <c r="AK31" s="2566"/>
      <c r="AL31" s="2566"/>
      <c r="AM31" s="2566"/>
      <c r="AN31" s="2566"/>
    </row>
    <row r="32" spans="1:52" ht="30" customHeight="1">
      <c r="A32" s="47"/>
      <c r="B32" s="1723" t="s">
        <v>29</v>
      </c>
      <c r="C32" s="2776" t="s">
        <v>1148</v>
      </c>
      <c r="D32" s="2777"/>
      <c r="E32" s="2777"/>
      <c r="F32" s="2777"/>
      <c r="G32" s="2777"/>
      <c r="H32" s="2777"/>
      <c r="I32" s="2777"/>
      <c r="J32" s="2777"/>
      <c r="K32" s="2777"/>
      <c r="L32" s="2777"/>
      <c r="M32" s="2777"/>
      <c r="N32" s="2777"/>
      <c r="O32" s="2777"/>
      <c r="P32" s="2777"/>
      <c r="Q32" s="2777"/>
      <c r="R32" s="2777"/>
      <c r="S32" s="2778"/>
      <c r="T32" s="2566">
        <f>'GENERAL INFO'!O194</f>
        <v>0</v>
      </c>
      <c r="U32" s="2566"/>
      <c r="V32" s="2566"/>
      <c r="W32" s="2566"/>
      <c r="X32" s="2566"/>
      <c r="Y32" s="2566"/>
      <c r="Z32" s="2566"/>
      <c r="AA32" s="2566"/>
      <c r="AB32" s="2566"/>
      <c r="AC32" s="2566"/>
      <c r="AD32" s="2566"/>
      <c r="AE32" s="2566">
        <f>'GENERAL INFO'!T194</f>
        <v>0</v>
      </c>
      <c r="AF32" s="2566"/>
      <c r="AG32" s="2566"/>
      <c r="AH32" s="2566"/>
      <c r="AI32" s="2566"/>
      <c r="AJ32" s="2566"/>
      <c r="AK32" s="2566"/>
      <c r="AL32" s="2566"/>
      <c r="AM32" s="2566"/>
      <c r="AN32" s="2566"/>
    </row>
    <row r="33" spans="1:40" ht="30" customHeight="1">
      <c r="A33" s="47"/>
      <c r="B33" s="1723" t="s">
        <v>31</v>
      </c>
      <c r="C33" s="2779" t="s">
        <v>1149</v>
      </c>
      <c r="D33" s="2780"/>
      <c r="E33" s="2780"/>
      <c r="F33" s="2780"/>
      <c r="G33" s="2780"/>
      <c r="H33" s="2780"/>
      <c r="I33" s="2780"/>
      <c r="J33" s="2780"/>
      <c r="K33" s="2780"/>
      <c r="L33" s="2780"/>
      <c r="M33" s="2780"/>
      <c r="N33" s="2780"/>
      <c r="O33" s="2780"/>
      <c r="P33" s="2780"/>
      <c r="Q33" s="2780"/>
      <c r="R33" s="2780"/>
      <c r="S33" s="2781"/>
      <c r="T33" s="2566">
        <f>'GENERAL INFO'!O195</f>
        <v>0</v>
      </c>
      <c r="U33" s="2566"/>
      <c r="V33" s="2566"/>
      <c r="W33" s="2566"/>
      <c r="X33" s="2566"/>
      <c r="Y33" s="2566"/>
      <c r="Z33" s="2566"/>
      <c r="AA33" s="2566"/>
      <c r="AB33" s="2566"/>
      <c r="AC33" s="2566"/>
      <c r="AD33" s="2566"/>
      <c r="AE33" s="2566">
        <f>'GENERAL INFO'!T195</f>
        <v>0</v>
      </c>
      <c r="AF33" s="2566"/>
      <c r="AG33" s="2566"/>
      <c r="AH33" s="2566"/>
      <c r="AI33" s="2566"/>
      <c r="AJ33" s="2566"/>
      <c r="AK33" s="2566"/>
      <c r="AL33" s="2566"/>
      <c r="AM33" s="2566"/>
      <c r="AN33" s="2566"/>
    </row>
    <row r="34" spans="1:40" ht="30" customHeight="1">
      <c r="A34" s="47"/>
      <c r="B34" s="1723" t="s">
        <v>33</v>
      </c>
      <c r="C34" s="2773" t="str">
        <f>UPPER("Interest paid by Cooperation to Cooperation Member")</f>
        <v>INTEREST PAID BY COOPERATION TO COOPERATION MEMBER</v>
      </c>
      <c r="D34" s="2774"/>
      <c r="E34" s="2774"/>
      <c r="F34" s="2774"/>
      <c r="G34" s="2774"/>
      <c r="H34" s="2774"/>
      <c r="I34" s="2774"/>
      <c r="J34" s="2774"/>
      <c r="K34" s="2774"/>
      <c r="L34" s="2774"/>
      <c r="M34" s="2774"/>
      <c r="N34" s="2774"/>
      <c r="O34" s="2774"/>
      <c r="P34" s="2774"/>
      <c r="Q34" s="2774"/>
      <c r="R34" s="2774"/>
      <c r="S34" s="2775"/>
      <c r="T34" s="2566">
        <f>'GENERAL INFO'!O189</f>
        <v>0</v>
      </c>
      <c r="U34" s="2566"/>
      <c r="V34" s="2566"/>
      <c r="W34" s="2566"/>
      <c r="X34" s="2566"/>
      <c r="Y34" s="2566"/>
      <c r="Z34" s="2566"/>
      <c r="AA34" s="2566"/>
      <c r="AB34" s="2566"/>
      <c r="AC34" s="2566"/>
      <c r="AD34" s="2566"/>
      <c r="AE34" s="2566">
        <f>'GENERAL INFO'!T189</f>
        <v>0</v>
      </c>
      <c r="AF34" s="2566"/>
      <c r="AG34" s="2566"/>
      <c r="AH34" s="2566"/>
      <c r="AI34" s="2566"/>
      <c r="AJ34" s="2566"/>
      <c r="AK34" s="2566"/>
      <c r="AL34" s="2566"/>
      <c r="AM34" s="2566"/>
      <c r="AN34" s="2566"/>
    </row>
    <row r="35" spans="1:40" ht="30" customHeight="1">
      <c r="A35" s="47"/>
      <c r="B35" s="1723" t="s">
        <v>34</v>
      </c>
      <c r="C35" s="2783" t="str">
        <f>UPPER("Income from Derivative Transaction")</f>
        <v>INCOME FROM DERIVATIVE TRANSACTION</v>
      </c>
      <c r="D35" s="2784"/>
      <c r="E35" s="2784"/>
      <c r="F35" s="2784"/>
      <c r="G35" s="2784"/>
      <c r="H35" s="2784"/>
      <c r="I35" s="2784"/>
      <c r="J35" s="2784"/>
      <c r="K35" s="2784"/>
      <c r="L35" s="2784"/>
      <c r="M35" s="2784"/>
      <c r="N35" s="2784"/>
      <c r="O35" s="2784"/>
      <c r="P35" s="2784"/>
      <c r="Q35" s="2784"/>
      <c r="R35" s="2784"/>
      <c r="S35" s="2785"/>
      <c r="T35" s="2782"/>
      <c r="U35" s="2782"/>
      <c r="V35" s="2782"/>
      <c r="W35" s="2782"/>
      <c r="X35" s="2782"/>
      <c r="Y35" s="2782"/>
      <c r="Z35" s="2782"/>
      <c r="AA35" s="2782"/>
      <c r="AB35" s="2782"/>
      <c r="AC35" s="2782"/>
      <c r="AD35" s="2782"/>
      <c r="AE35" s="2782"/>
      <c r="AF35" s="2782"/>
      <c r="AG35" s="2782"/>
      <c r="AH35" s="2782"/>
      <c r="AI35" s="2782"/>
      <c r="AJ35" s="2782"/>
      <c r="AK35" s="2782"/>
      <c r="AL35" s="2782"/>
      <c r="AM35" s="2782"/>
      <c r="AN35" s="2782"/>
    </row>
    <row r="36" spans="1:40" ht="30" customHeight="1">
      <c r="A36" s="69"/>
      <c r="B36" s="1723" t="s">
        <v>35</v>
      </c>
      <c r="C36" s="2776" t="s">
        <v>1150</v>
      </c>
      <c r="D36" s="2777"/>
      <c r="E36" s="2777"/>
      <c r="F36" s="2777"/>
      <c r="G36" s="2777"/>
      <c r="H36" s="2777"/>
      <c r="I36" s="2777"/>
      <c r="J36" s="2777"/>
      <c r="K36" s="2777"/>
      <c r="L36" s="2777"/>
      <c r="M36" s="2777"/>
      <c r="N36" s="2777"/>
      <c r="O36" s="2777"/>
      <c r="P36" s="2777"/>
      <c r="Q36" s="2777"/>
      <c r="R36" s="2777"/>
      <c r="S36" s="2778"/>
      <c r="T36" s="2772">
        <f>'GENERAL INFO'!O191</f>
        <v>0</v>
      </c>
      <c r="U36" s="2772"/>
      <c r="V36" s="2772"/>
      <c r="W36" s="2772"/>
      <c r="X36" s="2772"/>
      <c r="Y36" s="2772"/>
      <c r="Z36" s="2772"/>
      <c r="AA36" s="2772"/>
      <c r="AB36" s="2772"/>
      <c r="AC36" s="2772"/>
      <c r="AD36" s="2772"/>
      <c r="AE36" s="2772">
        <f>'GENERAL INFO'!T191</f>
        <v>0</v>
      </c>
      <c r="AF36" s="2772"/>
      <c r="AG36" s="2772"/>
      <c r="AH36" s="2772"/>
      <c r="AI36" s="2772"/>
      <c r="AJ36" s="2772"/>
      <c r="AK36" s="2772"/>
      <c r="AL36" s="2772"/>
      <c r="AM36" s="2772"/>
      <c r="AN36" s="2772"/>
    </row>
    <row r="37" spans="1:40" ht="30" customHeight="1">
      <c r="A37" s="69"/>
      <c r="B37" s="1724" t="s">
        <v>37</v>
      </c>
      <c r="C37" s="2786" t="str">
        <f>UPPER("Wife's Employment Income")</f>
        <v>WIFE'S EMPLOYMENT INCOME</v>
      </c>
      <c r="D37" s="2787"/>
      <c r="E37" s="2787"/>
      <c r="F37" s="2787"/>
      <c r="G37" s="2787"/>
      <c r="H37" s="2787"/>
      <c r="I37" s="2787"/>
      <c r="J37" s="2787"/>
      <c r="K37" s="2787"/>
      <c r="L37" s="2787"/>
      <c r="M37" s="2787"/>
      <c r="N37" s="2787"/>
      <c r="O37" s="2787"/>
      <c r="P37" s="2787"/>
      <c r="Q37" s="2787"/>
      <c r="R37" s="2787"/>
      <c r="S37" s="2788"/>
      <c r="T37" s="2772">
        <f>'GENERAL INFO'!O192</f>
        <v>0</v>
      </c>
      <c r="U37" s="2772"/>
      <c r="V37" s="2772"/>
      <c r="W37" s="2772"/>
      <c r="X37" s="2772"/>
      <c r="Y37" s="2772"/>
      <c r="Z37" s="2772"/>
      <c r="AA37" s="2772"/>
      <c r="AB37" s="2772"/>
      <c r="AC37" s="2772"/>
      <c r="AD37" s="2772"/>
      <c r="AE37" s="2772">
        <f>'GENERAL INFO'!T192</f>
        <v>0</v>
      </c>
      <c r="AF37" s="2772"/>
      <c r="AG37" s="2772"/>
      <c r="AH37" s="2772"/>
      <c r="AI37" s="2772"/>
      <c r="AJ37" s="2772"/>
      <c r="AK37" s="2772"/>
      <c r="AL37" s="2772"/>
      <c r="AM37" s="2772"/>
      <c r="AN37" s="2772"/>
    </row>
    <row r="38" spans="1:40" ht="30" customHeight="1">
      <c r="A38" s="69"/>
      <c r="B38" s="1723" t="s">
        <v>38</v>
      </c>
      <c r="C38" s="2771" t="str">
        <f>UPPER("Other Income which has been subject to Final Income Tax")</f>
        <v>OTHER INCOME WHICH HAS BEEN SUBJECT TO FINAL INCOME TAX</v>
      </c>
      <c r="D38" s="2771"/>
      <c r="E38" s="2771"/>
      <c r="F38" s="2771"/>
      <c r="G38" s="2771"/>
      <c r="H38" s="2771"/>
      <c r="I38" s="2771"/>
      <c r="J38" s="2771"/>
      <c r="K38" s="2771"/>
      <c r="L38" s="2771"/>
      <c r="M38" s="2771"/>
      <c r="N38" s="2771"/>
      <c r="O38" s="2771"/>
      <c r="P38" s="2771"/>
      <c r="Q38" s="2771"/>
      <c r="R38" s="2771"/>
      <c r="S38" s="2771"/>
      <c r="T38" s="2772">
        <f>'GENERAL INFO'!O193</f>
        <v>0</v>
      </c>
      <c r="U38" s="2772"/>
      <c r="V38" s="2772"/>
      <c r="W38" s="2772"/>
      <c r="X38" s="2772"/>
      <c r="Y38" s="2772"/>
      <c r="Z38" s="2772"/>
      <c r="AA38" s="2772"/>
      <c r="AB38" s="2772"/>
      <c r="AC38" s="2772"/>
      <c r="AD38" s="2772"/>
      <c r="AE38" s="2772">
        <f>'GENERAL INFO'!T193</f>
        <v>0</v>
      </c>
      <c r="AF38" s="2772"/>
      <c r="AG38" s="2772"/>
      <c r="AH38" s="2772"/>
      <c r="AI38" s="2772"/>
      <c r="AJ38" s="2772"/>
      <c r="AK38" s="2772"/>
      <c r="AL38" s="2772"/>
      <c r="AM38" s="2772"/>
      <c r="AN38" s="2772"/>
    </row>
    <row r="39" spans="1:40" ht="30" customHeight="1">
      <c r="A39" s="69"/>
      <c r="B39" s="1723" t="s">
        <v>43</v>
      </c>
      <c r="C39" s="2789" t="s">
        <v>1151</v>
      </c>
      <c r="D39" s="2789"/>
      <c r="E39" s="2789"/>
      <c r="F39" s="2789"/>
      <c r="G39" s="2789"/>
      <c r="H39" s="2789"/>
      <c r="I39" s="2789"/>
      <c r="J39" s="2789"/>
      <c r="K39" s="2789"/>
      <c r="L39" s="2789"/>
      <c r="M39" s="2789"/>
      <c r="N39" s="2789"/>
      <c r="O39" s="2789"/>
      <c r="P39" s="2789"/>
      <c r="Q39" s="2789"/>
      <c r="R39" s="2789"/>
      <c r="S39" s="2789"/>
      <c r="T39" s="2792"/>
      <c r="U39" s="2793"/>
      <c r="V39" s="2793"/>
      <c r="W39" s="2793"/>
      <c r="X39" s="2793"/>
      <c r="Y39" s="2793"/>
      <c r="Z39" s="2793"/>
      <c r="AA39" s="2793"/>
      <c r="AB39" s="2793"/>
      <c r="AC39" s="2793"/>
      <c r="AD39" s="2794"/>
      <c r="AE39" s="2566">
        <f>SUM(AE23:AN38)</f>
        <v>0</v>
      </c>
      <c r="AF39" s="2566"/>
      <c r="AG39" s="2566"/>
      <c r="AH39" s="2566"/>
      <c r="AI39" s="2566"/>
      <c r="AJ39" s="2566"/>
      <c r="AK39" s="2566"/>
      <c r="AL39" s="2566"/>
      <c r="AM39" s="2566"/>
      <c r="AN39" s="2566"/>
    </row>
    <row r="40" spans="1:40" ht="9.9499999999999993" customHeight="1">
      <c r="A40" s="69"/>
      <c r="B40" s="757"/>
      <c r="C40" s="384"/>
      <c r="D40" s="384"/>
      <c r="E40" s="384"/>
      <c r="F40" s="384"/>
      <c r="G40" s="384"/>
      <c r="H40" s="384"/>
      <c r="I40" s="384"/>
      <c r="J40" s="384"/>
      <c r="K40" s="384"/>
      <c r="L40" s="384"/>
      <c r="M40" s="384"/>
      <c r="N40" s="384"/>
      <c r="O40" s="384"/>
      <c r="P40" s="384"/>
      <c r="Q40" s="384"/>
      <c r="R40" s="384"/>
      <c r="S40" s="384"/>
      <c r="T40" s="769"/>
      <c r="U40" s="389"/>
      <c r="V40" s="389"/>
      <c r="W40" s="389"/>
      <c r="X40" s="389"/>
      <c r="Y40" s="389"/>
      <c r="Z40" s="389"/>
      <c r="AA40" s="389"/>
      <c r="AB40" s="391"/>
      <c r="AC40" s="392"/>
      <c r="AD40" s="390"/>
      <c r="AE40" s="774"/>
      <c r="AF40" s="774"/>
      <c r="AG40" s="774"/>
      <c r="AH40" s="774"/>
      <c r="AI40" s="774"/>
      <c r="AJ40" s="774"/>
      <c r="AK40" s="774"/>
      <c r="AL40" s="774"/>
      <c r="AM40" s="774"/>
      <c r="AN40" s="774"/>
    </row>
    <row r="41" spans="1:40" ht="4.5" customHeight="1"/>
    <row r="42" spans="1:40" ht="21.75" customHeight="1">
      <c r="A42" s="160"/>
      <c r="B42" s="133" t="s">
        <v>1152</v>
      </c>
      <c r="C42" s="65"/>
      <c r="D42" s="172"/>
      <c r="E42" s="178"/>
      <c r="F42" s="195" t="s">
        <v>1153</v>
      </c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78"/>
      <c r="V42" s="178"/>
      <c r="W42" s="178"/>
      <c r="X42" s="178"/>
      <c r="Y42" s="178"/>
      <c r="Z42" s="178"/>
      <c r="AA42" s="178"/>
      <c r="AB42" s="137"/>
      <c r="AC42" s="178"/>
      <c r="AD42" s="178"/>
      <c r="AE42" s="178"/>
      <c r="AF42" s="178"/>
      <c r="AG42" s="178"/>
      <c r="AH42" s="178"/>
      <c r="AI42" s="178"/>
      <c r="AJ42" s="178"/>
      <c r="AK42" s="35"/>
      <c r="AL42" s="35"/>
      <c r="AM42" s="35"/>
      <c r="AN42" s="35"/>
    </row>
    <row r="43" spans="1:40" ht="1.5" customHeight="1">
      <c r="A43" s="160"/>
      <c r="B43" s="47"/>
      <c r="C43" s="65"/>
      <c r="D43" s="172"/>
      <c r="E43" s="178"/>
      <c r="F43" s="195"/>
      <c r="G43" s="196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78"/>
      <c r="V43" s="178"/>
      <c r="W43" s="178"/>
      <c r="X43" s="178"/>
      <c r="Y43" s="178"/>
      <c r="Z43" s="178"/>
      <c r="AA43" s="178"/>
      <c r="AB43" s="137"/>
      <c r="AC43" s="178"/>
      <c r="AD43" s="178"/>
      <c r="AE43" s="178"/>
      <c r="AF43" s="178"/>
      <c r="AG43" s="178"/>
      <c r="AH43" s="178"/>
      <c r="AI43" s="178"/>
      <c r="AJ43" s="178"/>
      <c r="AK43" s="35"/>
      <c r="AL43" s="35"/>
      <c r="AM43" s="35"/>
      <c r="AN43" s="35"/>
    </row>
    <row r="44" spans="1:40" ht="25.5" customHeight="1">
      <c r="A44" s="65"/>
      <c r="B44" s="772" t="s">
        <v>151</v>
      </c>
      <c r="C44" s="2579" t="s">
        <v>1154</v>
      </c>
      <c r="D44" s="2580"/>
      <c r="E44" s="2580"/>
      <c r="F44" s="2580"/>
      <c r="G44" s="2580"/>
      <c r="H44" s="2580"/>
      <c r="I44" s="2580"/>
      <c r="J44" s="2580"/>
      <c r="K44" s="2580"/>
      <c r="L44" s="2580"/>
      <c r="M44" s="2580"/>
      <c r="N44" s="2580"/>
      <c r="O44" s="2580"/>
      <c r="P44" s="2580"/>
      <c r="Q44" s="2580"/>
      <c r="R44" s="2580"/>
      <c r="S44" s="2580"/>
      <c r="T44" s="2580"/>
      <c r="U44" s="2580"/>
      <c r="V44" s="2580"/>
      <c r="W44" s="2580"/>
      <c r="X44" s="2580"/>
      <c r="Y44" s="2580"/>
      <c r="Z44" s="2580"/>
      <c r="AA44" s="2580"/>
      <c r="AB44" s="2580"/>
      <c r="AC44" s="2580"/>
      <c r="AD44" s="2581"/>
      <c r="AE44" s="2580" t="s">
        <v>1019</v>
      </c>
      <c r="AF44" s="2790"/>
      <c r="AG44" s="2790"/>
      <c r="AH44" s="2790"/>
      <c r="AI44" s="2790"/>
      <c r="AJ44" s="2790"/>
      <c r="AK44" s="2790"/>
      <c r="AL44" s="2790"/>
      <c r="AM44" s="2790"/>
      <c r="AN44" s="2791"/>
    </row>
    <row r="45" spans="1:40" ht="10.5" customHeight="1">
      <c r="A45" s="65"/>
      <c r="B45" s="760" t="s">
        <v>128</v>
      </c>
      <c r="C45" s="2651" t="s">
        <v>129</v>
      </c>
      <c r="D45" s="2608"/>
      <c r="E45" s="2608"/>
      <c r="F45" s="2608"/>
      <c r="G45" s="2608"/>
      <c r="H45" s="2608"/>
      <c r="I45" s="2608"/>
      <c r="J45" s="2608"/>
      <c r="K45" s="2608"/>
      <c r="L45" s="2608"/>
      <c r="M45" s="2608"/>
      <c r="N45" s="2608"/>
      <c r="O45" s="2608"/>
      <c r="P45" s="2608"/>
      <c r="Q45" s="2608"/>
      <c r="R45" s="2608"/>
      <c r="S45" s="2608"/>
      <c r="T45" s="2608"/>
      <c r="U45" s="2608"/>
      <c r="V45" s="2608"/>
      <c r="W45" s="2608"/>
      <c r="X45" s="2608"/>
      <c r="Y45" s="2608"/>
      <c r="Z45" s="2608"/>
      <c r="AA45" s="2608"/>
      <c r="AB45" s="2608"/>
      <c r="AC45" s="2608"/>
      <c r="AD45" s="2653"/>
      <c r="AE45" s="2609" t="s">
        <v>130</v>
      </c>
      <c r="AF45" s="2609"/>
      <c r="AG45" s="2609"/>
      <c r="AH45" s="2609"/>
      <c r="AI45" s="2609"/>
      <c r="AJ45" s="2609"/>
      <c r="AK45" s="2609"/>
      <c r="AL45" s="2609"/>
      <c r="AM45" s="2609"/>
      <c r="AN45" s="2610"/>
    </row>
    <row r="46" spans="1:40" ht="29.25" customHeight="1">
      <c r="A46" s="65"/>
      <c r="B46" s="1723" t="s">
        <v>18</v>
      </c>
      <c r="C46" s="2819" t="str">
        <f>UPPER("Donations / Gifts / Grants")</f>
        <v>DONATIONS / GIFTS / GRANTS</v>
      </c>
      <c r="D46" s="2820"/>
      <c r="E46" s="2820"/>
      <c r="F46" s="2820"/>
      <c r="G46" s="2820"/>
      <c r="H46" s="2820"/>
      <c r="I46" s="2820"/>
      <c r="J46" s="2820"/>
      <c r="K46" s="2820"/>
      <c r="L46" s="2820"/>
      <c r="M46" s="2820"/>
      <c r="N46" s="2820"/>
      <c r="O46" s="2820"/>
      <c r="P46" s="2820"/>
      <c r="Q46" s="2820"/>
      <c r="R46" s="2820"/>
      <c r="S46" s="2820"/>
      <c r="T46" s="2820"/>
      <c r="U46" s="2820"/>
      <c r="V46" s="2820"/>
      <c r="W46" s="2820"/>
      <c r="X46" s="2820"/>
      <c r="Y46" s="2820"/>
      <c r="Z46" s="2820"/>
      <c r="AA46" s="2820"/>
      <c r="AB46" s="2820"/>
      <c r="AC46" s="2820"/>
      <c r="AD46" s="2821"/>
      <c r="AE46" s="2566">
        <f>'GENERAL INFO'!O201</f>
        <v>0</v>
      </c>
      <c r="AF46" s="2566"/>
      <c r="AG46" s="2566"/>
      <c r="AH46" s="2566"/>
      <c r="AI46" s="2566"/>
      <c r="AJ46" s="2566"/>
      <c r="AK46" s="2566"/>
      <c r="AL46" s="2566"/>
      <c r="AM46" s="2566"/>
      <c r="AN46" s="2566"/>
    </row>
    <row r="47" spans="1:40" ht="30" customHeight="1">
      <c r="A47" s="160"/>
      <c r="B47" s="1723" t="s">
        <v>19</v>
      </c>
      <c r="C47" s="2721" t="s">
        <v>1155</v>
      </c>
      <c r="D47" s="2722"/>
      <c r="E47" s="2722"/>
      <c r="F47" s="2722"/>
      <c r="G47" s="2722"/>
      <c r="H47" s="2722"/>
      <c r="I47" s="2722"/>
      <c r="J47" s="2722"/>
      <c r="K47" s="2722"/>
      <c r="L47" s="2722"/>
      <c r="M47" s="2722"/>
      <c r="N47" s="2722"/>
      <c r="O47" s="2722"/>
      <c r="P47" s="2722"/>
      <c r="Q47" s="2722"/>
      <c r="R47" s="2722"/>
      <c r="S47" s="2722"/>
      <c r="T47" s="2722"/>
      <c r="U47" s="2722"/>
      <c r="V47" s="2722"/>
      <c r="W47" s="2722"/>
      <c r="X47" s="2722"/>
      <c r="Y47" s="2722"/>
      <c r="Z47" s="2722"/>
      <c r="AA47" s="2722"/>
      <c r="AB47" s="2722"/>
      <c r="AC47" s="2722"/>
      <c r="AD47" s="2723"/>
      <c r="AE47" s="2566">
        <f>'GENERAL INFO'!O202</f>
        <v>0</v>
      </c>
      <c r="AF47" s="2566"/>
      <c r="AG47" s="2566"/>
      <c r="AH47" s="2566"/>
      <c r="AI47" s="2566"/>
      <c r="AJ47" s="2566"/>
      <c r="AK47" s="2566"/>
      <c r="AL47" s="2566"/>
      <c r="AM47" s="2566"/>
      <c r="AN47" s="2566"/>
    </row>
    <row r="48" spans="1:40" ht="28.5" customHeight="1">
      <c r="A48" s="102"/>
      <c r="B48" s="1723" t="s">
        <v>20</v>
      </c>
      <c r="C48" s="2795" t="str">
        <f>UPPER("Profit Sharing of Member of the Company which  the Capital Is Not Divided in Share, Partnership, Etc.")</f>
        <v>PROFIT SHARING OF MEMBER OF THE COMPANY WHICH  THE CAPITAL IS NOT DIVIDED IN SHARE, PARTNERSHIP, ETC.</v>
      </c>
      <c r="D48" s="2796"/>
      <c r="E48" s="2796"/>
      <c r="F48" s="2796"/>
      <c r="G48" s="2796"/>
      <c r="H48" s="2796"/>
      <c r="I48" s="2796"/>
      <c r="J48" s="2796"/>
      <c r="K48" s="2796"/>
      <c r="L48" s="2796"/>
      <c r="M48" s="2796"/>
      <c r="N48" s="2796"/>
      <c r="O48" s="2796"/>
      <c r="P48" s="2796"/>
      <c r="Q48" s="2796"/>
      <c r="R48" s="2796"/>
      <c r="S48" s="2796"/>
      <c r="T48" s="2796"/>
      <c r="U48" s="2796"/>
      <c r="V48" s="2796"/>
      <c r="W48" s="2796"/>
      <c r="X48" s="2796"/>
      <c r="Y48" s="2796"/>
      <c r="Z48" s="2796"/>
      <c r="AA48" s="2796"/>
      <c r="AB48" s="2796"/>
      <c r="AC48" s="2796"/>
      <c r="AD48" s="2797"/>
      <c r="AE48" s="2566">
        <f>'GENERAL INFO'!O203</f>
        <v>0</v>
      </c>
      <c r="AF48" s="2566"/>
      <c r="AG48" s="2566"/>
      <c r="AH48" s="2566"/>
      <c r="AI48" s="2566"/>
      <c r="AJ48" s="2566"/>
      <c r="AK48" s="2566"/>
      <c r="AL48" s="2566"/>
      <c r="AM48" s="2566"/>
      <c r="AN48" s="2566"/>
    </row>
    <row r="49" spans="1:57" ht="28.5" customHeight="1">
      <c r="B49" s="1724" t="s">
        <v>21</v>
      </c>
      <c r="C49" s="2795" t="str">
        <f>UPPER("Insurance Claim of Medical, Life, Multiple Type Insurance and Scholarship")</f>
        <v>INSURANCE CLAIM OF MEDICAL, LIFE, MULTIPLE TYPE INSURANCE AND SCHOLARSHIP</v>
      </c>
      <c r="D49" s="2796"/>
      <c r="E49" s="2796"/>
      <c r="F49" s="2796"/>
      <c r="G49" s="2796"/>
      <c r="H49" s="2796"/>
      <c r="I49" s="2796"/>
      <c r="J49" s="2796"/>
      <c r="K49" s="2796"/>
      <c r="L49" s="2796"/>
      <c r="M49" s="2796"/>
      <c r="N49" s="2796"/>
      <c r="O49" s="2796"/>
      <c r="P49" s="2796"/>
      <c r="Q49" s="2796"/>
      <c r="R49" s="2796"/>
      <c r="S49" s="2796"/>
      <c r="T49" s="2796"/>
      <c r="U49" s="2796"/>
      <c r="V49" s="2796"/>
      <c r="W49" s="2796"/>
      <c r="X49" s="2796"/>
      <c r="Y49" s="2796"/>
      <c r="Z49" s="2796"/>
      <c r="AA49" s="2796"/>
      <c r="AB49" s="2796"/>
      <c r="AC49" s="2796"/>
      <c r="AD49" s="2797"/>
      <c r="AE49" s="2566">
        <f>'GENERAL INFO'!O204</f>
        <v>0</v>
      </c>
      <c r="AF49" s="2566"/>
      <c r="AG49" s="2566"/>
      <c r="AH49" s="2566"/>
      <c r="AI49" s="2566"/>
      <c r="AJ49" s="2566"/>
      <c r="AK49" s="2566"/>
      <c r="AL49" s="2566"/>
      <c r="AM49" s="2566"/>
      <c r="AN49" s="2566"/>
    </row>
    <row r="50" spans="1:57" ht="28.5" customHeight="1">
      <c r="B50" s="1724" t="s">
        <v>22</v>
      </c>
      <c r="C50" s="2724" t="s">
        <v>1156</v>
      </c>
      <c r="D50" s="2725"/>
      <c r="E50" s="2725"/>
      <c r="F50" s="2725"/>
      <c r="G50" s="2725"/>
      <c r="H50" s="2725"/>
      <c r="I50" s="2725"/>
      <c r="J50" s="2725"/>
      <c r="K50" s="2725"/>
      <c r="L50" s="2725"/>
      <c r="M50" s="2725"/>
      <c r="N50" s="2725"/>
      <c r="O50" s="2725"/>
      <c r="P50" s="2725"/>
      <c r="Q50" s="2725"/>
      <c r="R50" s="2725"/>
      <c r="S50" s="2725"/>
      <c r="T50" s="2725"/>
      <c r="U50" s="2725"/>
      <c r="V50" s="2725"/>
      <c r="W50" s="2725"/>
      <c r="X50" s="2725"/>
      <c r="Y50" s="2725"/>
      <c r="Z50" s="2725"/>
      <c r="AA50" s="2725"/>
      <c r="AB50" s="2725"/>
      <c r="AC50" s="2725"/>
      <c r="AD50" s="2726"/>
      <c r="AE50" s="2566">
        <f>'GENERAL INFO'!O205</f>
        <v>0</v>
      </c>
      <c r="AF50" s="2566"/>
      <c r="AG50" s="2566"/>
      <c r="AH50" s="2566"/>
      <c r="AI50" s="2566"/>
      <c r="AJ50" s="2566"/>
      <c r="AK50" s="2566"/>
      <c r="AL50" s="2566"/>
      <c r="AM50" s="2566"/>
      <c r="AN50" s="2566"/>
    </row>
    <row r="51" spans="1:57" s="64" customFormat="1" ht="27" customHeight="1">
      <c r="B51" s="1723" t="s">
        <v>24</v>
      </c>
      <c r="C51" s="2795" t="str">
        <f>UPPER("Other Non-Assessable Income")</f>
        <v>OTHER NON-ASSESSABLE INCOME</v>
      </c>
      <c r="D51" s="2796"/>
      <c r="E51" s="2796"/>
      <c r="F51" s="2796"/>
      <c r="G51" s="2796"/>
      <c r="H51" s="2796"/>
      <c r="I51" s="2796"/>
      <c r="J51" s="2796"/>
      <c r="K51" s="2796"/>
      <c r="L51" s="2796"/>
      <c r="M51" s="2796"/>
      <c r="N51" s="2796"/>
      <c r="O51" s="2796"/>
      <c r="P51" s="2796"/>
      <c r="Q51" s="2796"/>
      <c r="R51" s="2796"/>
      <c r="S51" s="2796"/>
      <c r="T51" s="2796"/>
      <c r="U51" s="2796"/>
      <c r="V51" s="2796"/>
      <c r="W51" s="2796"/>
      <c r="X51" s="2796"/>
      <c r="Y51" s="2796"/>
      <c r="Z51" s="2796"/>
      <c r="AA51" s="2796"/>
      <c r="AB51" s="2796"/>
      <c r="AC51" s="2796"/>
      <c r="AD51" s="2797"/>
      <c r="AE51" s="2566">
        <f>'GENERAL INFO'!O206</f>
        <v>0</v>
      </c>
      <c r="AF51" s="2566"/>
      <c r="AG51" s="2566"/>
      <c r="AH51" s="2566"/>
      <c r="AI51" s="2566"/>
      <c r="AJ51" s="2566"/>
      <c r="AK51" s="2566"/>
      <c r="AL51" s="2566"/>
      <c r="AM51" s="2566"/>
      <c r="AN51" s="2566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2"/>
      <c r="BA51" s="102"/>
      <c r="BB51" s="102"/>
      <c r="BC51" s="102"/>
      <c r="BD51" s="102"/>
      <c r="BE51" s="102"/>
    </row>
    <row r="52" spans="1:57" s="64" customFormat="1" ht="24.75" customHeight="1">
      <c r="B52" s="2816" t="s">
        <v>1088</v>
      </c>
      <c r="C52" s="2817"/>
      <c r="D52" s="2817"/>
      <c r="E52" s="2817"/>
      <c r="F52" s="2817"/>
      <c r="G52" s="2817"/>
      <c r="H52" s="2817"/>
      <c r="I52" s="2817"/>
      <c r="J52" s="2817"/>
      <c r="K52" s="2817"/>
      <c r="L52" s="2817"/>
      <c r="M52" s="2817"/>
      <c r="N52" s="2817"/>
      <c r="O52" s="2817"/>
      <c r="P52" s="2817"/>
      <c r="Q52" s="2817"/>
      <c r="R52" s="2817"/>
      <c r="S52" s="2817"/>
      <c r="T52" s="2817"/>
      <c r="U52" s="2817"/>
      <c r="V52" s="2817"/>
      <c r="W52" s="2817"/>
      <c r="X52" s="2817"/>
      <c r="Y52" s="2817"/>
      <c r="Z52" s="2817"/>
      <c r="AA52" s="2817"/>
      <c r="AB52" s="2818"/>
      <c r="AC52" s="2627" t="s">
        <v>1089</v>
      </c>
      <c r="AD52" s="2628"/>
      <c r="AE52" s="2629">
        <f>SUM(AE46:AN51)</f>
        <v>0</v>
      </c>
      <c r="AF52" s="2630"/>
      <c r="AG52" s="2630"/>
      <c r="AH52" s="2630"/>
      <c r="AI52" s="2630"/>
      <c r="AJ52" s="2630"/>
      <c r="AK52" s="2630"/>
      <c r="AL52" s="2630"/>
      <c r="AM52" s="2630"/>
      <c r="AN52" s="2631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2"/>
      <c r="BA52" s="102"/>
      <c r="BB52" s="102"/>
      <c r="BC52" s="102"/>
      <c r="BD52" s="102"/>
      <c r="BE52" s="102"/>
    </row>
    <row r="53" spans="1:57" s="64" customFormat="1" ht="9.9499999999999993" customHeight="1">
      <c r="B53" s="765"/>
      <c r="C53" s="765"/>
      <c r="D53" s="765"/>
      <c r="E53" s="765"/>
      <c r="F53" s="765"/>
      <c r="G53" s="765"/>
      <c r="H53" s="765"/>
      <c r="I53" s="765"/>
      <c r="J53" s="765"/>
      <c r="K53" s="765"/>
      <c r="L53" s="765"/>
      <c r="M53" s="765"/>
      <c r="N53" s="765"/>
      <c r="O53" s="765"/>
      <c r="P53" s="765"/>
      <c r="Q53" s="765"/>
      <c r="R53" s="765"/>
      <c r="S53" s="765"/>
      <c r="T53" s="765"/>
      <c r="U53" s="765"/>
      <c r="V53" s="765"/>
      <c r="W53" s="765"/>
      <c r="X53" s="765"/>
      <c r="Y53" s="765"/>
      <c r="Z53" s="765"/>
      <c r="AA53" s="765"/>
      <c r="AB53" s="765"/>
      <c r="AC53" s="747"/>
      <c r="AD53" s="747"/>
      <c r="AE53" s="774"/>
      <c r="AF53" s="774"/>
      <c r="AG53" s="774"/>
      <c r="AH53" s="774"/>
      <c r="AI53" s="774"/>
      <c r="AJ53" s="774"/>
      <c r="AK53" s="774"/>
      <c r="AL53" s="774"/>
      <c r="AM53" s="774"/>
      <c r="AN53" s="774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102"/>
      <c r="BB53" s="102"/>
      <c r="BC53" s="102"/>
      <c r="BD53" s="102"/>
      <c r="BE53" s="102"/>
    </row>
    <row r="54" spans="1:57" s="64" customFormat="1" ht="6" customHeight="1">
      <c r="B54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102"/>
      <c r="BC54" s="102"/>
      <c r="BD54" s="102"/>
      <c r="BE54" s="102"/>
    </row>
    <row r="55" spans="1:57" ht="16.5" customHeight="1">
      <c r="A55" s="390"/>
      <c r="B55" s="446" t="s">
        <v>1091</v>
      </c>
      <c r="C55" s="510"/>
      <c r="D55" s="511"/>
      <c r="E55" s="512"/>
      <c r="F55" s="262" t="s">
        <v>1157</v>
      </c>
      <c r="G55" s="104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2"/>
      <c r="V55" s="512"/>
      <c r="W55" s="512"/>
      <c r="X55" s="512"/>
      <c r="Y55" s="512"/>
      <c r="Z55" s="512"/>
      <c r="AA55" s="512"/>
      <c r="AB55" s="513"/>
      <c r="AC55" s="512"/>
      <c r="AD55" s="512"/>
      <c r="AE55" s="178"/>
      <c r="AF55" s="178"/>
      <c r="AG55" s="178"/>
      <c r="AH55" s="178"/>
      <c r="AI55" s="178"/>
      <c r="AJ55" s="178"/>
      <c r="AK55" s="35"/>
      <c r="AL55" s="35"/>
      <c r="AM55" s="35"/>
      <c r="AN55" s="35"/>
    </row>
    <row r="56" spans="1:57" ht="6" customHeight="1">
      <c r="A56" s="390"/>
      <c r="B56" s="446"/>
      <c r="C56" s="510"/>
      <c r="D56" s="511"/>
      <c r="E56" s="512"/>
      <c r="F56" s="262"/>
      <c r="G56" s="512"/>
      <c r="H56" s="512"/>
      <c r="I56" s="512"/>
      <c r="J56" s="512"/>
      <c r="K56" s="512"/>
      <c r="L56" s="512"/>
      <c r="M56" s="512"/>
      <c r="N56" s="512"/>
      <c r="O56" s="512"/>
      <c r="P56" s="512"/>
      <c r="Q56" s="512"/>
      <c r="R56" s="512"/>
      <c r="S56" s="512"/>
      <c r="T56" s="512"/>
      <c r="U56" s="512"/>
      <c r="V56" s="512"/>
      <c r="W56" s="512"/>
      <c r="X56" s="512"/>
      <c r="Y56" s="512"/>
      <c r="Z56" s="512"/>
      <c r="AA56" s="512"/>
      <c r="AB56" s="513"/>
      <c r="AC56" s="512"/>
      <c r="AD56" s="512"/>
      <c r="AE56" s="178"/>
      <c r="AF56" s="178"/>
      <c r="AG56" s="178"/>
      <c r="AH56" s="178"/>
      <c r="AI56" s="178"/>
      <c r="AJ56" s="178"/>
      <c r="AK56" s="35"/>
      <c r="AL56" s="35"/>
      <c r="AM56" s="35"/>
      <c r="AN56" s="35"/>
    </row>
    <row r="57" spans="1:57" ht="10.5" customHeight="1">
      <c r="A57" s="390"/>
      <c r="B57" s="514"/>
      <c r="C57" s="2798" t="s">
        <v>1158</v>
      </c>
      <c r="D57" s="2798"/>
      <c r="E57" s="2798"/>
      <c r="F57" s="2798"/>
      <c r="G57" s="2798"/>
      <c r="H57" s="2798"/>
      <c r="I57" s="2798"/>
      <c r="J57" s="2798"/>
      <c r="K57" s="2798"/>
      <c r="L57" s="2798"/>
      <c r="M57" s="2798"/>
      <c r="N57" s="2798"/>
      <c r="O57" s="2798"/>
      <c r="P57" s="2798"/>
      <c r="Q57" s="2798"/>
      <c r="R57" s="2798"/>
      <c r="S57" s="2798"/>
      <c r="T57" s="2798"/>
      <c r="U57" s="2798"/>
      <c r="V57" s="2798"/>
      <c r="W57" s="2798"/>
      <c r="X57" s="2798"/>
      <c r="Y57" s="2798"/>
      <c r="Z57" s="2798"/>
      <c r="AA57" s="2798"/>
      <c r="AB57" s="2798"/>
      <c r="AC57" s="2798"/>
      <c r="AD57" s="2799"/>
      <c r="AE57" s="2804" t="s">
        <v>172</v>
      </c>
      <c r="AF57" s="2805"/>
      <c r="AG57" s="2805"/>
      <c r="AH57" s="2805"/>
      <c r="AI57" s="2805"/>
      <c r="AJ57" s="2805"/>
      <c r="AK57" s="2805"/>
      <c r="AL57" s="2805"/>
      <c r="AM57" s="2805"/>
      <c r="AN57" s="2806"/>
    </row>
    <row r="58" spans="1:57" ht="4.5" customHeight="1">
      <c r="A58" s="390"/>
      <c r="B58" s="515"/>
      <c r="C58" s="2800"/>
      <c r="D58" s="2800"/>
      <c r="E58" s="2800"/>
      <c r="F58" s="2800"/>
      <c r="G58" s="2800"/>
      <c r="H58" s="2800"/>
      <c r="I58" s="2800"/>
      <c r="J58" s="2800"/>
      <c r="K58" s="2800"/>
      <c r="L58" s="2800"/>
      <c r="M58" s="2800"/>
      <c r="N58" s="2800"/>
      <c r="O58" s="2800"/>
      <c r="P58" s="2800"/>
      <c r="Q58" s="2800"/>
      <c r="R58" s="2800"/>
      <c r="S58" s="2800"/>
      <c r="T58" s="2800"/>
      <c r="U58" s="2800"/>
      <c r="V58" s="2800"/>
      <c r="W58" s="2800"/>
      <c r="X58" s="2800"/>
      <c r="Y58" s="2800"/>
      <c r="Z58" s="2800"/>
      <c r="AA58" s="2800"/>
      <c r="AB58" s="2800"/>
      <c r="AC58" s="2800"/>
      <c r="AD58" s="2801"/>
      <c r="AE58" s="2807"/>
      <c r="AF58" s="2808"/>
      <c r="AG58" s="2808"/>
      <c r="AH58" s="2808"/>
      <c r="AI58" s="2808"/>
      <c r="AJ58" s="2808"/>
      <c r="AK58" s="2808"/>
      <c r="AL58" s="2808"/>
      <c r="AM58" s="2808"/>
      <c r="AN58" s="2809"/>
    </row>
    <row r="59" spans="1:57" ht="23.25" customHeight="1">
      <c r="A59" s="390"/>
      <c r="B59" s="516"/>
      <c r="C59" s="2800"/>
      <c r="D59" s="2800"/>
      <c r="E59" s="2800"/>
      <c r="F59" s="2800"/>
      <c r="G59" s="2800"/>
      <c r="H59" s="2800"/>
      <c r="I59" s="2800"/>
      <c r="J59" s="2800"/>
      <c r="K59" s="2800"/>
      <c r="L59" s="2800"/>
      <c r="M59" s="2800"/>
      <c r="N59" s="2800"/>
      <c r="O59" s="2800"/>
      <c r="P59" s="2800"/>
      <c r="Q59" s="2800"/>
      <c r="R59" s="2800"/>
      <c r="S59" s="2800"/>
      <c r="T59" s="2800"/>
      <c r="U59" s="2800"/>
      <c r="V59" s="2800"/>
      <c r="W59" s="2800"/>
      <c r="X59" s="2800"/>
      <c r="Y59" s="2800"/>
      <c r="Z59" s="2800"/>
      <c r="AA59" s="2800"/>
      <c r="AB59" s="2800"/>
      <c r="AC59" s="2800"/>
      <c r="AD59" s="2801"/>
      <c r="AE59" s="2810">
        <f>'GENERAL INFO'!Q251</f>
        <v>0</v>
      </c>
      <c r="AF59" s="2811"/>
      <c r="AG59" s="2811"/>
      <c r="AH59" s="2811"/>
      <c r="AI59" s="2811"/>
      <c r="AJ59" s="2811"/>
      <c r="AK59" s="2811"/>
      <c r="AL59" s="2811"/>
      <c r="AM59" s="2811"/>
      <c r="AN59" s="2812"/>
    </row>
    <row r="60" spans="1:57" ht="7.5" customHeight="1">
      <c r="A60" s="517"/>
      <c r="B60" s="518"/>
      <c r="C60" s="2802"/>
      <c r="D60" s="2802"/>
      <c r="E60" s="2802"/>
      <c r="F60" s="2802"/>
      <c r="G60" s="2802"/>
      <c r="H60" s="2802"/>
      <c r="I60" s="2802"/>
      <c r="J60" s="2802"/>
      <c r="K60" s="2802"/>
      <c r="L60" s="2802"/>
      <c r="M60" s="2802"/>
      <c r="N60" s="2802"/>
      <c r="O60" s="2802"/>
      <c r="P60" s="2802"/>
      <c r="Q60" s="2802"/>
      <c r="R60" s="2802"/>
      <c r="S60" s="2802"/>
      <c r="T60" s="2802"/>
      <c r="U60" s="2802"/>
      <c r="V60" s="2802"/>
      <c r="W60" s="2802"/>
      <c r="X60" s="2802"/>
      <c r="Y60" s="2802"/>
      <c r="Z60" s="2802"/>
      <c r="AA60" s="2802"/>
      <c r="AB60" s="2802"/>
      <c r="AC60" s="2802"/>
      <c r="AD60" s="2803"/>
      <c r="AE60" s="2813"/>
      <c r="AF60" s="2814"/>
      <c r="AG60" s="2814"/>
      <c r="AH60" s="2814"/>
      <c r="AI60" s="2814"/>
      <c r="AJ60" s="2814"/>
      <c r="AK60" s="2814"/>
      <c r="AL60" s="2814"/>
      <c r="AM60" s="2814"/>
      <c r="AN60" s="2815"/>
    </row>
    <row r="61" spans="1:57" ht="12.95" customHeight="1">
      <c r="A61" s="160"/>
      <c r="B61" s="64"/>
      <c r="C61" s="65"/>
      <c r="D61" s="172"/>
      <c r="E61" s="178"/>
      <c r="F61" s="64"/>
      <c r="G61" s="196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78"/>
      <c r="V61" s="178"/>
      <c r="W61" s="178"/>
      <c r="X61" s="178"/>
      <c r="Y61" s="178"/>
      <c r="Z61" s="178"/>
      <c r="AA61" s="178"/>
      <c r="AB61" s="137"/>
      <c r="AC61" s="178"/>
      <c r="AD61" s="178"/>
      <c r="AE61" s="774"/>
      <c r="AF61" s="774"/>
      <c r="AG61" s="774"/>
      <c r="AH61" s="774"/>
      <c r="AI61" s="774"/>
      <c r="AJ61" s="774"/>
      <c r="AK61" s="774"/>
      <c r="AL61" s="774"/>
      <c r="AM61" s="774"/>
      <c r="AN61" s="774"/>
    </row>
    <row r="62" spans="1:57" s="64" customFormat="1" ht="15" customHeight="1">
      <c r="B62" s="380"/>
      <c r="C62" s="380"/>
      <c r="D62" s="380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</row>
    <row r="63" spans="1:57" s="64" customFormat="1" ht="12.75" customHeight="1">
      <c r="A63" s="103"/>
      <c r="B63" s="104"/>
      <c r="C63" s="102"/>
      <c r="D63" s="102"/>
      <c r="E63" s="102"/>
      <c r="F63" s="102"/>
      <c r="G63" s="102"/>
      <c r="H63" s="102"/>
      <c r="I63" s="102"/>
      <c r="J63" s="102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F63" s="102"/>
      <c r="AG63" s="102"/>
      <c r="AH63" s="102"/>
      <c r="AI63" s="102"/>
      <c r="AJ63" s="102"/>
      <c r="AK63" s="102"/>
      <c r="AL63" s="102"/>
      <c r="AM63" s="102"/>
      <c r="AN63" s="165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</row>
    <row r="64" spans="1:57" s="64" customFormat="1" ht="15" customHeight="1"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</row>
    <row r="65" spans="2:57" s="64" customFormat="1" ht="15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</row>
    <row r="66" spans="2:57" s="64" customFormat="1" ht="1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</row>
    <row r="67" spans="2:57" s="64" customFormat="1" ht="1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X67" s="102"/>
      <c r="AY67" s="102"/>
      <c r="AZ67" s="102"/>
      <c r="BA67" s="102"/>
      <c r="BB67" s="102"/>
      <c r="BC67" s="102"/>
      <c r="BD67" s="102"/>
      <c r="BE67" s="102"/>
    </row>
    <row r="68" spans="2:57" s="64" customFormat="1" ht="1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X68" s="102"/>
      <c r="AY68" s="102"/>
      <c r="AZ68" s="102"/>
      <c r="BA68" s="102"/>
      <c r="BB68" s="102"/>
      <c r="BC68" s="102"/>
      <c r="BD68" s="102"/>
      <c r="BE68" s="102"/>
    </row>
    <row r="69" spans="2:57" s="64" customFormat="1" ht="1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X69" s="102"/>
      <c r="AY69" s="102"/>
      <c r="AZ69" s="102"/>
      <c r="BA69" s="102"/>
      <c r="BB69" s="102"/>
      <c r="BC69" s="102"/>
      <c r="BD69" s="102"/>
      <c r="BE69" s="102"/>
    </row>
    <row r="70" spans="2:57" s="64" customFormat="1" ht="15" customHeight="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X70" s="102"/>
      <c r="AY70" s="102"/>
      <c r="AZ70" s="102"/>
      <c r="BA70" s="102"/>
      <c r="BB70" s="102"/>
      <c r="BC70" s="102"/>
      <c r="BD70" s="102"/>
      <c r="BE70" s="102"/>
    </row>
    <row r="71" spans="2:57" s="64" customFormat="1" ht="15" customHeight="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X71" s="102"/>
      <c r="AY71" s="102"/>
      <c r="AZ71" s="102"/>
      <c r="BA71" s="102"/>
      <c r="BB71" s="102"/>
      <c r="BC71" s="102"/>
      <c r="BD71" s="102"/>
      <c r="BE71" s="102"/>
    </row>
    <row r="72" spans="2:57" s="64" customFormat="1" ht="15" customHeight="1"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X72" s="102"/>
      <c r="AY72" s="102"/>
      <c r="AZ72" s="102"/>
      <c r="BA72" s="102"/>
      <c r="BB72" s="102"/>
      <c r="BC72" s="102"/>
      <c r="BD72" s="102"/>
      <c r="BE72" s="102"/>
    </row>
    <row r="73" spans="2:57" s="64" customFormat="1" ht="15" customHeight="1"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X73" s="102"/>
      <c r="AY73" s="102"/>
      <c r="AZ73" s="102"/>
      <c r="BA73" s="102"/>
      <c r="BB73" s="102"/>
      <c r="BC73" s="102"/>
      <c r="BD73" s="102"/>
      <c r="BE73" s="102"/>
    </row>
    <row r="74" spans="2:57" s="64" customFormat="1" ht="15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2"/>
      <c r="BA74" s="102"/>
      <c r="BB74" s="102"/>
      <c r="BC74" s="102"/>
      <c r="BD74" s="102"/>
      <c r="BE74" s="102"/>
    </row>
    <row r="75" spans="2:57" s="64" customFormat="1" ht="1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  <c r="BD75" s="102"/>
      <c r="BE75" s="102"/>
    </row>
    <row r="76" spans="2:57" s="64" customFormat="1" ht="1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  <c r="BD76" s="102"/>
      <c r="BE76" s="102"/>
    </row>
    <row r="77" spans="2:57" s="64" customFormat="1" ht="1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E77" s="102"/>
    </row>
    <row r="78" spans="2:57" s="64" customFormat="1" ht="1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  <c r="BE78" s="102"/>
    </row>
    <row r="79" spans="2:57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</row>
    <row r="80" spans="2:57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  <c r="BE80" s="102"/>
    </row>
    <row r="81" spans="2:57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  <c r="BE81" s="102"/>
    </row>
    <row r="82" spans="2:57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/>
    </row>
    <row r="83" spans="2:57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</row>
    <row r="84" spans="2:57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</row>
    <row r="85" spans="2:57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</row>
    <row r="86" spans="2:57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</row>
    <row r="87" spans="2:57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</row>
    <row r="88" spans="2:57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E88" s="102"/>
    </row>
    <row r="89" spans="2:57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  <c r="BE89" s="102"/>
    </row>
    <row r="90" spans="2:57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</row>
    <row r="91" spans="2:57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  <c r="BE91" s="102"/>
    </row>
    <row r="92" spans="2:57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E92" s="102"/>
    </row>
    <row r="93" spans="2:57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</row>
    <row r="94" spans="2:57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</row>
    <row r="95" spans="2:57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</row>
    <row r="96" spans="2:57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</row>
    <row r="97" spans="2:57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E97" s="102"/>
    </row>
    <row r="98" spans="2:57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E98" s="102"/>
    </row>
    <row r="99" spans="2:57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</row>
    <row r="100" spans="2:57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</row>
    <row r="101" spans="2:57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</row>
    <row r="102" spans="2:57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E102" s="102"/>
    </row>
    <row r="103" spans="2:57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E103" s="102"/>
    </row>
    <row r="104" spans="2:57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</row>
    <row r="105" spans="2:57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E105" s="102"/>
    </row>
    <row r="106" spans="2:57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/>
    </row>
    <row r="107" spans="2:57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</row>
    <row r="108" spans="2:57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</row>
    <row r="109" spans="2:57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  <c r="BE109" s="102"/>
    </row>
    <row r="110" spans="2:57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  <c r="BE110" s="102"/>
    </row>
    <row r="111" spans="2:57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E111" s="102"/>
    </row>
    <row r="112" spans="2:57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E112" s="102"/>
    </row>
    <row r="113" spans="2:57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E113" s="102"/>
    </row>
    <row r="114" spans="2:57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E114" s="102"/>
    </row>
    <row r="115" spans="2:57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  <c r="BE115" s="102"/>
    </row>
    <row r="116" spans="2:57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</row>
    <row r="117" spans="2:57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  <c r="BE117" s="102"/>
    </row>
    <row r="118" spans="2:57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/>
    </row>
    <row r="119" spans="2:57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</row>
    <row r="120" spans="2:57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</row>
    <row r="121" spans="2:57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  <c r="BD121" s="102"/>
      <c r="BE121" s="102"/>
    </row>
    <row r="122" spans="2:57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</row>
    <row r="123" spans="2:57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</row>
    <row r="124" spans="2:57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</row>
    <row r="125" spans="2:57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</row>
    <row r="126" spans="2:57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</row>
    <row r="127" spans="2:57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  <c r="BE127" s="102"/>
    </row>
    <row r="128" spans="2:57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E128" s="102"/>
    </row>
    <row r="129" spans="2:57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  <c r="BE129" s="102"/>
    </row>
    <row r="130" spans="2:57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102"/>
    </row>
    <row r="131" spans="2:57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</row>
    <row r="132" spans="2:57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</row>
    <row r="133" spans="2:57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</row>
    <row r="134" spans="2:57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</row>
    <row r="135" spans="2:57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</row>
    <row r="136" spans="2:57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</row>
    <row r="137" spans="2:57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</row>
    <row r="138" spans="2:57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</row>
    <row r="139" spans="2:57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</row>
    <row r="140" spans="2:57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</row>
    <row r="141" spans="2:57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</row>
    <row r="142" spans="2:57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  <c r="BE142" s="102"/>
    </row>
    <row r="143" spans="2:57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  <c r="BD143" s="102"/>
      <c r="BE143" s="102"/>
    </row>
    <row r="144" spans="2:57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  <c r="BD144" s="102"/>
      <c r="BE144" s="102"/>
    </row>
    <row r="145" spans="2:57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  <c r="BE145" s="102"/>
    </row>
    <row r="146" spans="2:57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  <c r="BE146" s="102"/>
    </row>
    <row r="147" spans="2:57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  <c r="BE147" s="102"/>
    </row>
    <row r="148" spans="2:57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  <c r="BE148" s="102"/>
    </row>
    <row r="149" spans="2:57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  <c r="BE149" s="102"/>
    </row>
    <row r="150" spans="2:57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  <c r="BD150" s="102"/>
      <c r="BE150" s="102"/>
    </row>
    <row r="151" spans="2:57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  <c r="BD151" s="102"/>
      <c r="BE151" s="102"/>
    </row>
    <row r="152" spans="2:57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2"/>
      <c r="BA152" s="102"/>
      <c r="BB152" s="102"/>
      <c r="BC152" s="102"/>
      <c r="BD152" s="102"/>
      <c r="BE152" s="102"/>
    </row>
    <row r="153" spans="2:57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  <c r="BD153" s="102"/>
      <c r="BE153" s="102"/>
    </row>
    <row r="154" spans="2:57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2"/>
      <c r="BA154" s="102"/>
      <c r="BB154" s="102"/>
      <c r="BC154" s="102"/>
      <c r="BD154" s="102"/>
      <c r="BE154" s="102"/>
    </row>
    <row r="155" spans="2:57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2"/>
      <c r="BA155" s="102"/>
      <c r="BB155" s="102"/>
      <c r="BC155" s="102"/>
      <c r="BD155" s="102"/>
      <c r="BE155" s="102"/>
    </row>
    <row r="156" spans="2:57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2"/>
      <c r="BA156" s="102"/>
      <c r="BB156" s="102"/>
      <c r="BC156" s="102"/>
      <c r="BD156" s="102"/>
      <c r="BE156" s="102"/>
    </row>
    <row r="157" spans="2:57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  <c r="BD157" s="102"/>
      <c r="BE157" s="102"/>
    </row>
    <row r="158" spans="2:57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  <c r="BE158" s="102"/>
    </row>
    <row r="159" spans="2:57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  <c r="BD159" s="102"/>
      <c r="BE159" s="102"/>
    </row>
    <row r="160" spans="2:57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2"/>
      <c r="BA160" s="102"/>
      <c r="BB160" s="102"/>
      <c r="BC160" s="102"/>
      <c r="BD160" s="102"/>
      <c r="BE160" s="102"/>
    </row>
    <row r="161" spans="2:57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2"/>
      <c r="BA161" s="102"/>
      <c r="BB161" s="102"/>
      <c r="BC161" s="102"/>
      <c r="BD161" s="102"/>
      <c r="BE161" s="102"/>
    </row>
    <row r="162" spans="2:57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  <c r="BD162" s="102"/>
      <c r="BE162" s="102"/>
    </row>
    <row r="163" spans="2:57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2"/>
      <c r="BA163" s="102"/>
      <c r="BB163" s="102"/>
      <c r="BC163" s="102"/>
      <c r="BD163" s="102"/>
      <c r="BE163" s="102"/>
    </row>
    <row r="164" spans="2:57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</row>
    <row r="165" spans="2:57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2"/>
      <c r="BA165" s="102"/>
      <c r="BB165" s="102"/>
      <c r="BC165" s="102"/>
      <c r="BD165" s="102"/>
      <c r="BE165" s="102"/>
    </row>
    <row r="166" spans="2:57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2"/>
      <c r="BA166" s="102"/>
      <c r="BB166" s="102"/>
      <c r="BC166" s="102"/>
      <c r="BD166" s="102"/>
      <c r="BE166" s="102"/>
    </row>
    <row r="167" spans="2:57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  <c r="BA167" s="102"/>
      <c r="BB167" s="102"/>
      <c r="BC167" s="102"/>
      <c r="BD167" s="102"/>
      <c r="BE167" s="102"/>
    </row>
    <row r="168" spans="2:57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2"/>
      <c r="BA168" s="102"/>
      <c r="BB168" s="102"/>
      <c r="BC168" s="102"/>
      <c r="BD168" s="102"/>
      <c r="BE168" s="102"/>
    </row>
    <row r="169" spans="2:57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2"/>
      <c r="BA169" s="102"/>
      <c r="BB169" s="102"/>
      <c r="BC169" s="102"/>
      <c r="BD169" s="102"/>
      <c r="BE169" s="102"/>
    </row>
    <row r="170" spans="2:57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2"/>
      <c r="BA170" s="102"/>
      <c r="BB170" s="102"/>
      <c r="BC170" s="102"/>
      <c r="BD170" s="102"/>
      <c r="BE170" s="102"/>
    </row>
    <row r="171" spans="2:57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  <c r="BD171" s="102"/>
      <c r="BE171" s="102"/>
    </row>
    <row r="172" spans="2:57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  <c r="BE172" s="102"/>
    </row>
    <row r="173" spans="2:57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  <c r="BE173" s="102"/>
    </row>
    <row r="174" spans="2:57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2"/>
      <c r="BA174" s="102"/>
      <c r="BB174" s="102"/>
      <c r="BC174" s="102"/>
      <c r="BD174" s="102"/>
      <c r="BE174" s="102"/>
    </row>
    <row r="175" spans="2:57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  <c r="BE175" s="102"/>
    </row>
    <row r="176" spans="2:57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2"/>
      <c r="BA176" s="102"/>
      <c r="BB176" s="102"/>
      <c r="BC176" s="102"/>
      <c r="BD176" s="102"/>
      <c r="BE176" s="102"/>
    </row>
    <row r="177" spans="2:57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2"/>
      <c r="BA177" s="102"/>
      <c r="BB177" s="102"/>
      <c r="BC177" s="102"/>
      <c r="BD177" s="102"/>
      <c r="BE177" s="102"/>
    </row>
    <row r="178" spans="2:57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2"/>
      <c r="BA178" s="102"/>
      <c r="BB178" s="102"/>
      <c r="BC178" s="102"/>
      <c r="BD178" s="102"/>
      <c r="BE178" s="102"/>
    </row>
    <row r="179" spans="2:57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2"/>
      <c r="BA179" s="102"/>
      <c r="BB179" s="102"/>
      <c r="BC179" s="102"/>
      <c r="BD179" s="102"/>
      <c r="BE179" s="102"/>
    </row>
    <row r="180" spans="2:57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2"/>
      <c r="BA180" s="102"/>
      <c r="BB180" s="102"/>
      <c r="BC180" s="102"/>
      <c r="BD180" s="102"/>
      <c r="BE180" s="102"/>
    </row>
    <row r="181" spans="2:57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2"/>
      <c r="BA181" s="102"/>
      <c r="BB181" s="102"/>
      <c r="BC181" s="102"/>
      <c r="BD181" s="102"/>
      <c r="BE181" s="102"/>
    </row>
    <row r="182" spans="2:57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2"/>
      <c r="BA182" s="102"/>
      <c r="BB182" s="102"/>
      <c r="BC182" s="102"/>
      <c r="BD182" s="102"/>
      <c r="BE182" s="102"/>
    </row>
    <row r="183" spans="2:57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2"/>
      <c r="BA183" s="102"/>
      <c r="BB183" s="102"/>
      <c r="BC183" s="102"/>
      <c r="BD183" s="102"/>
      <c r="BE183" s="102"/>
    </row>
    <row r="184" spans="2:57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2"/>
      <c r="BA184" s="102"/>
      <c r="BB184" s="102"/>
      <c r="BC184" s="102"/>
      <c r="BD184" s="102"/>
      <c r="BE184" s="102"/>
    </row>
    <row r="185" spans="2:57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2"/>
      <c r="BA185" s="102"/>
      <c r="BB185" s="102"/>
      <c r="BC185" s="102"/>
      <c r="BD185" s="102"/>
      <c r="BE185" s="102"/>
    </row>
    <row r="186" spans="2:57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2"/>
      <c r="BA186" s="102"/>
      <c r="BB186" s="102"/>
      <c r="BC186" s="102"/>
      <c r="BD186" s="102"/>
      <c r="BE186" s="102"/>
    </row>
    <row r="187" spans="2:57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2"/>
      <c r="BA187" s="102"/>
      <c r="BB187" s="102"/>
      <c r="BC187" s="102"/>
      <c r="BD187" s="102"/>
      <c r="BE187" s="102"/>
    </row>
    <row r="188" spans="2:57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2"/>
      <c r="BA188" s="102"/>
      <c r="BB188" s="102"/>
      <c r="BC188" s="102"/>
      <c r="BD188" s="102"/>
      <c r="BE188" s="102"/>
    </row>
    <row r="189" spans="2:57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2"/>
      <c r="BA189" s="102"/>
      <c r="BB189" s="102"/>
      <c r="BC189" s="102"/>
      <c r="BD189" s="102"/>
      <c r="BE189" s="102"/>
    </row>
    <row r="190" spans="2:57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  <c r="BD190" s="102"/>
      <c r="BE190" s="102"/>
    </row>
    <row r="191" spans="2:57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  <c r="BE191" s="102"/>
    </row>
    <row r="192" spans="2:57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  <c r="BD192" s="102"/>
      <c r="BE192" s="102"/>
    </row>
    <row r="193" spans="2:57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  <c r="BD193" s="102"/>
      <c r="BE193" s="102"/>
    </row>
    <row r="194" spans="2:57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  <c r="BD194" s="102"/>
      <c r="BE194" s="102"/>
    </row>
    <row r="195" spans="2:57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  <c r="BE195" s="102"/>
    </row>
    <row r="196" spans="2:57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  <c r="BD196" s="102"/>
      <c r="BE196" s="102"/>
    </row>
    <row r="197" spans="2:57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  <c r="BE197" s="102"/>
    </row>
    <row r="198" spans="2:57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  <c r="BE198" s="102"/>
    </row>
    <row r="199" spans="2:57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  <c r="BD199" s="102"/>
      <c r="BE199" s="102"/>
    </row>
    <row r="200" spans="2:57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  <c r="BD200" s="102"/>
      <c r="BE200" s="102"/>
    </row>
    <row r="201" spans="2:57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  <c r="BD201" s="102"/>
      <c r="BE201" s="102"/>
    </row>
    <row r="202" spans="2:57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  <c r="BD202" s="102"/>
      <c r="BE202" s="102"/>
    </row>
    <row r="203" spans="2:57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  <c r="BD203" s="102"/>
      <c r="BE203" s="102"/>
    </row>
    <row r="204" spans="2:57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  <c r="BD204" s="102"/>
      <c r="BE204" s="102"/>
    </row>
    <row r="205" spans="2:57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  <c r="BD205" s="102"/>
      <c r="BE205" s="102"/>
    </row>
    <row r="206" spans="2:57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  <c r="BD206" s="102"/>
      <c r="BE206" s="102"/>
    </row>
    <row r="207" spans="2:57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  <c r="BD207" s="102"/>
      <c r="BE207" s="102"/>
    </row>
    <row r="208" spans="2:57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  <c r="BD208" s="102"/>
      <c r="BE208" s="102"/>
    </row>
    <row r="209" spans="2:57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  <c r="BD209" s="102"/>
      <c r="BE209" s="102"/>
    </row>
    <row r="210" spans="2:57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  <c r="BD210" s="102"/>
      <c r="BE210" s="102"/>
    </row>
    <row r="211" spans="2:57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  <c r="BD211" s="102"/>
      <c r="BE211" s="102"/>
    </row>
    <row r="212" spans="2:57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  <c r="BD212" s="102"/>
      <c r="BE212" s="102"/>
    </row>
    <row r="213" spans="2:57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  <c r="BD213" s="102"/>
      <c r="BE213" s="102"/>
    </row>
    <row r="214" spans="2:57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  <c r="BD214" s="102"/>
      <c r="BE214" s="102"/>
    </row>
    <row r="215" spans="2:57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  <c r="BD215" s="102"/>
      <c r="BE215" s="102"/>
    </row>
    <row r="216" spans="2:57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  <c r="BD216" s="102"/>
      <c r="BE216" s="102"/>
    </row>
    <row r="217" spans="2:57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  <c r="BD217" s="102"/>
      <c r="BE217" s="102"/>
    </row>
    <row r="218" spans="2:57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  <c r="BD218" s="102"/>
      <c r="BE218" s="102"/>
    </row>
    <row r="219" spans="2:57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  <c r="BE219" s="102"/>
    </row>
    <row r="220" spans="2:57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  <c r="BE220" s="102"/>
    </row>
    <row r="221" spans="2:57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  <c r="BE221" s="102"/>
    </row>
    <row r="222" spans="2:57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  <c r="BD222" s="102"/>
      <c r="BE222" s="102"/>
    </row>
    <row r="223" spans="2:57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  <c r="BD223" s="102"/>
      <c r="BE223" s="102"/>
    </row>
    <row r="224" spans="2:57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  <c r="BD224" s="102"/>
      <c r="BE224" s="102"/>
    </row>
    <row r="225" spans="2:57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  <c r="BD225" s="102"/>
      <c r="BE225" s="102"/>
    </row>
    <row r="226" spans="2:57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  <c r="BD226" s="102"/>
      <c r="BE226" s="102"/>
    </row>
    <row r="227" spans="2:57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  <c r="BE227" s="102"/>
    </row>
    <row r="228" spans="2:57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  <c r="BD228" s="102"/>
      <c r="BE228" s="102"/>
    </row>
    <row r="229" spans="2:57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  <c r="BE229" s="102"/>
    </row>
    <row r="230" spans="2:57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  <c r="BE230" s="102"/>
    </row>
    <row r="231" spans="2:57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  <c r="BE231" s="102"/>
    </row>
    <row r="232" spans="2:57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  <c r="BD232" s="102"/>
      <c r="BE232" s="102"/>
    </row>
    <row r="233" spans="2:57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  <c r="BD233" s="102"/>
      <c r="BE233" s="102"/>
    </row>
    <row r="234" spans="2:57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  <c r="BE234" s="102"/>
    </row>
    <row r="235" spans="2:57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/>
      <c r="BE235" s="102"/>
    </row>
    <row r="236" spans="2:57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/>
      <c r="BE236" s="102"/>
    </row>
    <row r="237" spans="2:57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  <c r="BD237" s="102"/>
      <c r="BE237" s="102"/>
    </row>
    <row r="238" spans="2:57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  <c r="BD238" s="102"/>
      <c r="BE238" s="102"/>
    </row>
    <row r="239" spans="2:57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  <c r="BD239" s="102"/>
      <c r="BE239" s="102"/>
    </row>
    <row r="240" spans="2:57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  <c r="BD240" s="102"/>
      <c r="BE240" s="102"/>
    </row>
    <row r="241" spans="2:57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  <c r="BD241" s="102"/>
      <c r="BE241" s="102"/>
    </row>
    <row r="242" spans="2:57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  <c r="BD242" s="102"/>
      <c r="BE242" s="102"/>
    </row>
    <row r="243" spans="2:57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</row>
    <row r="244" spans="2:57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</row>
    <row r="245" spans="2:57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</row>
    <row r="246" spans="2:57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  <c r="BD246" s="102"/>
      <c r="BE246" s="102"/>
    </row>
    <row r="247" spans="2:57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  <c r="BD247" s="102"/>
      <c r="BE247" s="102"/>
    </row>
    <row r="248" spans="2:57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  <c r="BD248" s="102"/>
      <c r="BE248" s="102"/>
    </row>
    <row r="249" spans="2:57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  <c r="BD249" s="102"/>
      <c r="BE249" s="102"/>
    </row>
    <row r="250" spans="2:57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  <c r="BD250" s="102"/>
      <c r="BE250" s="102"/>
    </row>
    <row r="251" spans="2:57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  <c r="BD251" s="102"/>
      <c r="BE251" s="102"/>
    </row>
    <row r="252" spans="2:57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  <c r="BD252" s="102"/>
      <c r="BE252" s="102"/>
    </row>
    <row r="253" spans="2:57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  <c r="BD253" s="102"/>
      <c r="BE253" s="102"/>
    </row>
    <row r="254" spans="2:57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  <c r="BD254" s="102"/>
      <c r="BE254" s="102"/>
    </row>
    <row r="255" spans="2:57" s="64" customFormat="1" ht="1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  <c r="BD255" s="102"/>
      <c r="BE255" s="102"/>
    </row>
    <row r="256" spans="2:57" s="64" customFormat="1" ht="1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  <c r="BD256" s="102"/>
      <c r="BE256" s="102"/>
    </row>
    <row r="257" spans="2:57" s="64" customFormat="1" ht="1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  <c r="BD257" s="102"/>
      <c r="BE257" s="102"/>
    </row>
    <row r="258" spans="2:57" s="64" customFormat="1" ht="20.2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  <c r="BD258" s="102"/>
      <c r="BE258" s="102"/>
    </row>
    <row r="259" spans="2:57" s="64" customFormat="1" ht="20.2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  <c r="BD259" s="102"/>
      <c r="BE259" s="102"/>
    </row>
    <row r="260" spans="2:57" s="64" customFormat="1" ht="20.2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  <c r="BD260" s="102"/>
      <c r="BE260" s="102"/>
    </row>
    <row r="261" spans="2:57" s="64" customFormat="1" ht="20.2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  <c r="BD261" s="102"/>
      <c r="BE261" s="102"/>
    </row>
    <row r="262" spans="2:57" s="64" customFormat="1" ht="20.2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  <c r="BD262" s="102"/>
      <c r="BE262" s="102"/>
    </row>
    <row r="263" spans="2:57" s="64" customFormat="1" ht="20.2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2"/>
      <c r="BA263" s="102"/>
      <c r="BB263" s="102"/>
      <c r="BC263" s="102"/>
      <c r="BD263" s="102"/>
      <c r="BE263" s="102"/>
    </row>
    <row r="264" spans="2:57" s="64" customFormat="1" ht="20.2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2"/>
      <c r="BA264" s="102"/>
      <c r="BB264" s="102"/>
      <c r="BC264" s="102"/>
      <c r="BD264" s="102"/>
      <c r="BE264" s="102"/>
    </row>
    <row r="265" spans="2:57" s="64" customFormat="1" ht="20.2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  <c r="BD265" s="102"/>
      <c r="BE265" s="102"/>
    </row>
    <row r="266" spans="2:57" s="64" customFormat="1" ht="20.2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  <c r="BD266" s="102"/>
      <c r="BE266" s="102"/>
    </row>
    <row r="267" spans="2:57" s="64" customFormat="1" ht="20.2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  <c r="BD267" s="102"/>
      <c r="BE267" s="102"/>
    </row>
    <row r="268" spans="2:57" s="64" customFormat="1" ht="20.2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2"/>
      <c r="BA268" s="102"/>
      <c r="BB268" s="102"/>
      <c r="BC268" s="102"/>
      <c r="BD268" s="102"/>
      <c r="BE268" s="102"/>
    </row>
    <row r="269" spans="2:57" s="64" customFormat="1" ht="20.2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2"/>
      <c r="BA269" s="102"/>
      <c r="BB269" s="102"/>
      <c r="BC269" s="102"/>
      <c r="BD269" s="102"/>
      <c r="BE269" s="102"/>
    </row>
    <row r="270" spans="2:57" s="64" customFormat="1" ht="20.2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2"/>
      <c r="BA270" s="102"/>
      <c r="BB270" s="102"/>
      <c r="BC270" s="102"/>
      <c r="BD270" s="102"/>
      <c r="BE270" s="102"/>
    </row>
    <row r="271" spans="2:57" s="64" customFormat="1" ht="20.2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2"/>
      <c r="BA271" s="102"/>
      <c r="BB271" s="102"/>
      <c r="BC271" s="102"/>
      <c r="BD271" s="102"/>
      <c r="BE271" s="102"/>
    </row>
    <row r="272" spans="2:57" s="64" customFormat="1" ht="20.2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2"/>
      <c r="BA272" s="102"/>
      <c r="BB272" s="102"/>
      <c r="BC272" s="102"/>
      <c r="BD272" s="102"/>
      <c r="BE272" s="102"/>
    </row>
    <row r="273" spans="2:57" s="64" customFormat="1" ht="20.2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2"/>
      <c r="BA273" s="102"/>
      <c r="BB273" s="102"/>
      <c r="BC273" s="102"/>
      <c r="BD273" s="102"/>
      <c r="BE273" s="102"/>
    </row>
    <row r="274" spans="2:57" s="64" customFormat="1" ht="20.2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2"/>
      <c r="BA274" s="102"/>
      <c r="BB274" s="102"/>
      <c r="BC274" s="102"/>
      <c r="BD274" s="102"/>
      <c r="BE274" s="102"/>
    </row>
    <row r="275" spans="2:57" s="64" customFormat="1" ht="20.2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2"/>
      <c r="BA275" s="102"/>
      <c r="BB275" s="102"/>
      <c r="BC275" s="102"/>
      <c r="BD275" s="102"/>
      <c r="BE275" s="102"/>
    </row>
    <row r="276" spans="2:57" s="64" customFormat="1" ht="20.2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2"/>
      <c r="BA276" s="102"/>
      <c r="BB276" s="102"/>
      <c r="BC276" s="102"/>
      <c r="BD276" s="102"/>
      <c r="BE276" s="102"/>
    </row>
    <row r="277" spans="2:57" s="64" customFormat="1" ht="20.2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2"/>
      <c r="BA277" s="102"/>
      <c r="BB277" s="102"/>
      <c r="BC277" s="102"/>
      <c r="BD277" s="102"/>
      <c r="BE277" s="102"/>
    </row>
    <row r="278" spans="2:57" s="64" customFormat="1" ht="20.2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2"/>
      <c r="BA278" s="102"/>
      <c r="BB278" s="102"/>
      <c r="BC278" s="102"/>
      <c r="BD278" s="102"/>
      <c r="BE278" s="102"/>
    </row>
    <row r="279" spans="2:57" s="64" customFormat="1" ht="20.2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2"/>
      <c r="BA279" s="102"/>
      <c r="BB279" s="102"/>
      <c r="BC279" s="102"/>
      <c r="BD279" s="102"/>
      <c r="BE279" s="102"/>
    </row>
    <row r="280" spans="2:57" s="64" customFormat="1" ht="20.2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2"/>
      <c r="BA280" s="102"/>
      <c r="BB280" s="102"/>
      <c r="BC280" s="102"/>
      <c r="BD280" s="102"/>
      <c r="BE280" s="102"/>
    </row>
    <row r="281" spans="2:57" s="64" customFormat="1" ht="20.2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2"/>
      <c r="BA281" s="102"/>
      <c r="BB281" s="102"/>
      <c r="BC281" s="102"/>
      <c r="BD281" s="102"/>
      <c r="BE281" s="102"/>
    </row>
    <row r="282" spans="2:57" s="64" customFormat="1" ht="20.2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2"/>
      <c r="BA282" s="102"/>
      <c r="BB282" s="102"/>
      <c r="BC282" s="102"/>
      <c r="BD282" s="102"/>
      <c r="BE282" s="102"/>
    </row>
    <row r="283" spans="2:57" s="64" customFormat="1" ht="20.2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2"/>
      <c r="BA283" s="102"/>
      <c r="BB283" s="102"/>
      <c r="BC283" s="102"/>
      <c r="BD283" s="102"/>
      <c r="BE283" s="102"/>
    </row>
    <row r="284" spans="2:57" s="64" customFormat="1" ht="20.2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2"/>
      <c r="BA284" s="102"/>
      <c r="BB284" s="102"/>
      <c r="BC284" s="102"/>
      <c r="BD284" s="102"/>
      <c r="BE284" s="102"/>
    </row>
    <row r="285" spans="2:57" s="64" customFormat="1" ht="20.2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2"/>
      <c r="BA285" s="102"/>
      <c r="BB285" s="102"/>
      <c r="BC285" s="102"/>
      <c r="BD285" s="102"/>
      <c r="BE285" s="102"/>
    </row>
    <row r="286" spans="2:57" s="64" customFormat="1" ht="20.2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2"/>
      <c r="BA286" s="102"/>
      <c r="BB286" s="102"/>
      <c r="BC286" s="102"/>
      <c r="BD286" s="102"/>
      <c r="BE286" s="102"/>
    </row>
    <row r="287" spans="2:57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2"/>
      <c r="BA287" s="102"/>
      <c r="BB287" s="102"/>
      <c r="BC287" s="102"/>
      <c r="BD287" s="102"/>
      <c r="BE287" s="102"/>
    </row>
    <row r="288" spans="2:57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2"/>
      <c r="BA288" s="102"/>
      <c r="BB288" s="102"/>
      <c r="BC288" s="102"/>
      <c r="BD288" s="102"/>
      <c r="BE288" s="102"/>
    </row>
    <row r="289" spans="2:57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2"/>
      <c r="BA289" s="102"/>
      <c r="BB289" s="102"/>
      <c r="BC289" s="102"/>
      <c r="BD289" s="102"/>
      <c r="BE289" s="102"/>
    </row>
    <row r="290" spans="2:57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2"/>
      <c r="BA290" s="102"/>
      <c r="BB290" s="102"/>
      <c r="BC290" s="102"/>
      <c r="BD290" s="102"/>
      <c r="BE290" s="102"/>
    </row>
    <row r="291" spans="2:57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2"/>
      <c r="BA291" s="102"/>
      <c r="BB291" s="102"/>
      <c r="BC291" s="102"/>
      <c r="BD291" s="102"/>
      <c r="BE291" s="102"/>
    </row>
    <row r="292" spans="2:57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2"/>
      <c r="BA292" s="102"/>
      <c r="BB292" s="102"/>
      <c r="BC292" s="102"/>
      <c r="BD292" s="102"/>
      <c r="BE292" s="102"/>
    </row>
    <row r="293" spans="2:57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2"/>
      <c r="BA293" s="102"/>
      <c r="BB293" s="102"/>
      <c r="BC293" s="102"/>
      <c r="BD293" s="102"/>
      <c r="BE293" s="102"/>
    </row>
    <row r="294" spans="2:57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2"/>
      <c r="BA294" s="102"/>
      <c r="BB294" s="102"/>
      <c r="BC294" s="102"/>
      <c r="BD294" s="102"/>
      <c r="BE294" s="102"/>
    </row>
    <row r="295" spans="2:57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2"/>
      <c r="BA295" s="102"/>
      <c r="BB295" s="102"/>
      <c r="BC295" s="102"/>
      <c r="BD295" s="102"/>
      <c r="BE295" s="102"/>
    </row>
    <row r="296" spans="2:57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2"/>
      <c r="BA296" s="102"/>
      <c r="BB296" s="102"/>
      <c r="BC296" s="102"/>
      <c r="BD296" s="102"/>
      <c r="BE296" s="102"/>
    </row>
    <row r="297" spans="2:57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2"/>
      <c r="BA297" s="102"/>
      <c r="BB297" s="102"/>
      <c r="BC297" s="102"/>
      <c r="BD297" s="102"/>
      <c r="BE297" s="102"/>
    </row>
    <row r="298" spans="2:57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2"/>
      <c r="BA298" s="102"/>
      <c r="BB298" s="102"/>
      <c r="BC298" s="102"/>
      <c r="BD298" s="102"/>
      <c r="BE298" s="102"/>
    </row>
    <row r="299" spans="2:57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2"/>
      <c r="BA299" s="102"/>
      <c r="BB299" s="102"/>
      <c r="BC299" s="102"/>
      <c r="BD299" s="102"/>
      <c r="BE299" s="102"/>
    </row>
    <row r="300" spans="2:57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2"/>
      <c r="BA300" s="102"/>
      <c r="BB300" s="102"/>
      <c r="BC300" s="102"/>
      <c r="BD300" s="102"/>
      <c r="BE300" s="102"/>
    </row>
    <row r="301" spans="2:57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  <c r="BD301" s="102"/>
      <c r="BE301" s="102"/>
    </row>
    <row r="302" spans="2:57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  <c r="BD302" s="102"/>
      <c r="BE302" s="102"/>
    </row>
    <row r="303" spans="2:57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2"/>
      <c r="BA303" s="102"/>
      <c r="BB303" s="102"/>
      <c r="BC303" s="102"/>
      <c r="BD303" s="102"/>
      <c r="BE303" s="102"/>
    </row>
    <row r="304" spans="2:57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2"/>
      <c r="BA304" s="102"/>
      <c r="BB304" s="102"/>
      <c r="BC304" s="102"/>
      <c r="BD304" s="102"/>
      <c r="BE304" s="102"/>
    </row>
    <row r="305" spans="2:57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2"/>
      <c r="BA305" s="102"/>
      <c r="BB305" s="102"/>
      <c r="BC305" s="102"/>
      <c r="BD305" s="102"/>
      <c r="BE305" s="102"/>
    </row>
    <row r="306" spans="2:57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2"/>
      <c r="BA306" s="102"/>
      <c r="BB306" s="102"/>
      <c r="BC306" s="102"/>
      <c r="BD306" s="102"/>
      <c r="BE306" s="102"/>
    </row>
    <row r="307" spans="2:57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2"/>
      <c r="BA307" s="102"/>
      <c r="BB307" s="102"/>
      <c r="BC307" s="102"/>
      <c r="BD307" s="102"/>
      <c r="BE307" s="102"/>
    </row>
    <row r="308" spans="2:57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2"/>
      <c r="BA308" s="102"/>
      <c r="BB308" s="102"/>
      <c r="BC308" s="102"/>
      <c r="BD308" s="102"/>
      <c r="BE308" s="102"/>
    </row>
    <row r="309" spans="2:57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2"/>
      <c r="BA309" s="102"/>
      <c r="BB309" s="102"/>
      <c r="BC309" s="102"/>
      <c r="BD309" s="102"/>
      <c r="BE309" s="102"/>
    </row>
    <row r="310" spans="2:57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2"/>
      <c r="BA310" s="102"/>
      <c r="BB310" s="102"/>
      <c r="BC310" s="102"/>
      <c r="BD310" s="102"/>
      <c r="BE310" s="102"/>
    </row>
    <row r="311" spans="2:57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2"/>
      <c r="BA311" s="102"/>
      <c r="BB311" s="102"/>
      <c r="BC311" s="102"/>
      <c r="BD311" s="102"/>
      <c r="BE311" s="102"/>
    </row>
    <row r="312" spans="2:57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2"/>
      <c r="BA312" s="102"/>
      <c r="BB312" s="102"/>
      <c r="BC312" s="102"/>
      <c r="BD312" s="102"/>
      <c r="BE312" s="102"/>
    </row>
    <row r="313" spans="2:57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2"/>
      <c r="BA313" s="102"/>
      <c r="BB313" s="102"/>
      <c r="BC313" s="102"/>
      <c r="BD313" s="102"/>
      <c r="BE313" s="102"/>
    </row>
    <row r="314" spans="2:57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2"/>
      <c r="BA314" s="102"/>
      <c r="BB314" s="102"/>
      <c r="BC314" s="102"/>
      <c r="BD314" s="102"/>
      <c r="BE314" s="102"/>
    </row>
    <row r="315" spans="2:57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2"/>
      <c r="BA315" s="102"/>
      <c r="BB315" s="102"/>
      <c r="BC315" s="102"/>
      <c r="BD315" s="102"/>
      <c r="BE315" s="102"/>
    </row>
    <row r="316" spans="2:57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2"/>
      <c r="BA316" s="102"/>
      <c r="BB316" s="102"/>
      <c r="BC316" s="102"/>
      <c r="BD316" s="102"/>
      <c r="BE316" s="102"/>
    </row>
    <row r="317" spans="2:57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2"/>
      <c r="BA317" s="102"/>
      <c r="BB317" s="102"/>
      <c r="BC317" s="102"/>
      <c r="BD317" s="102"/>
      <c r="BE317" s="102"/>
    </row>
    <row r="318" spans="2:57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2"/>
      <c r="BA318" s="102"/>
      <c r="BB318" s="102"/>
      <c r="BC318" s="102"/>
      <c r="BD318" s="102"/>
      <c r="BE318" s="102"/>
    </row>
    <row r="319" spans="2:57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2"/>
      <c r="BA319" s="102"/>
      <c r="BB319" s="102"/>
      <c r="BC319" s="102"/>
      <c r="BD319" s="102"/>
      <c r="BE319" s="102"/>
    </row>
    <row r="320" spans="2:57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2"/>
      <c r="BA320" s="102"/>
      <c r="BB320" s="102"/>
      <c r="BC320" s="102"/>
      <c r="BD320" s="102"/>
      <c r="BE320" s="102"/>
    </row>
    <row r="321" spans="2:57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2"/>
      <c r="BA321" s="102"/>
      <c r="BB321" s="102"/>
      <c r="BC321" s="102"/>
      <c r="BD321" s="102"/>
      <c r="BE321" s="102"/>
    </row>
    <row r="322" spans="2:57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2"/>
      <c r="BA322" s="102"/>
      <c r="BB322" s="102"/>
      <c r="BC322" s="102"/>
      <c r="BD322" s="102"/>
      <c r="BE322" s="102"/>
    </row>
    <row r="323" spans="2:57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2"/>
      <c r="BA323" s="102"/>
      <c r="BB323" s="102"/>
      <c r="BC323" s="102"/>
      <c r="BD323" s="102"/>
      <c r="BE323" s="102"/>
    </row>
    <row r="324" spans="2:57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2"/>
      <c r="BA324" s="102"/>
      <c r="BB324" s="102"/>
      <c r="BC324" s="102"/>
      <c r="BD324" s="102"/>
      <c r="BE324" s="102"/>
    </row>
    <row r="325" spans="2:57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2"/>
      <c r="BA325" s="102"/>
      <c r="BB325" s="102"/>
      <c r="BC325" s="102"/>
      <c r="BD325" s="102"/>
      <c r="BE325" s="102"/>
    </row>
    <row r="326" spans="2:57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2"/>
      <c r="BA326" s="102"/>
      <c r="BB326" s="102"/>
      <c r="BC326" s="102"/>
      <c r="BD326" s="102"/>
      <c r="BE326" s="102"/>
    </row>
    <row r="327" spans="2:57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2"/>
      <c r="BA327" s="102"/>
      <c r="BB327" s="102"/>
      <c r="BC327" s="102"/>
      <c r="BD327" s="102"/>
      <c r="BE327" s="102"/>
    </row>
    <row r="328" spans="2:57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2"/>
      <c r="BA328" s="102"/>
      <c r="BB328" s="102"/>
      <c r="BC328" s="102"/>
      <c r="BD328" s="102"/>
      <c r="BE328" s="102"/>
    </row>
    <row r="329" spans="2:57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2"/>
      <c r="BA329" s="102"/>
      <c r="BB329" s="102"/>
      <c r="BC329" s="102"/>
      <c r="BD329" s="102"/>
      <c r="BE329" s="102"/>
    </row>
    <row r="330" spans="2:57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2"/>
      <c r="BA330" s="102"/>
      <c r="BB330" s="102"/>
      <c r="BC330" s="102"/>
      <c r="BD330" s="102"/>
      <c r="BE330" s="102"/>
    </row>
    <row r="331" spans="2:57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2"/>
      <c r="BA331" s="102"/>
      <c r="BB331" s="102"/>
      <c r="BC331" s="102"/>
      <c r="BD331" s="102"/>
      <c r="BE331" s="102"/>
    </row>
    <row r="332" spans="2:57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2"/>
      <c r="BA332" s="102"/>
      <c r="BB332" s="102"/>
      <c r="BC332" s="102"/>
      <c r="BD332" s="102"/>
      <c r="BE332" s="102"/>
    </row>
    <row r="333" spans="2:57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2"/>
      <c r="BA333" s="102"/>
      <c r="BB333" s="102"/>
      <c r="BC333" s="102"/>
      <c r="BD333" s="102"/>
      <c r="BE333" s="102"/>
    </row>
    <row r="334" spans="2:57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2"/>
      <c r="BA334" s="102"/>
      <c r="BB334" s="102"/>
      <c r="BC334" s="102"/>
      <c r="BD334" s="102"/>
      <c r="BE334" s="102"/>
    </row>
    <row r="335" spans="2:57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2"/>
      <c r="BA335" s="102"/>
      <c r="BB335" s="102"/>
      <c r="BC335" s="102"/>
      <c r="BD335" s="102"/>
      <c r="BE335" s="102"/>
    </row>
    <row r="336" spans="2:57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2"/>
      <c r="BA336" s="102"/>
      <c r="BB336" s="102"/>
      <c r="BC336" s="102"/>
      <c r="BD336" s="102"/>
      <c r="BE336" s="102"/>
    </row>
    <row r="337" spans="2:57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  <c r="BD337" s="102"/>
      <c r="BE337" s="102"/>
    </row>
    <row r="338" spans="2:57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  <c r="BD338" s="102"/>
      <c r="BE338" s="102"/>
    </row>
    <row r="339" spans="2:57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2"/>
      <c r="BA339" s="102"/>
      <c r="BB339" s="102"/>
      <c r="BC339" s="102"/>
      <c r="BD339" s="102"/>
      <c r="BE339" s="102"/>
    </row>
    <row r="340" spans="2:57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2"/>
      <c r="BA340" s="102"/>
      <c r="BB340" s="102"/>
      <c r="BC340" s="102"/>
      <c r="BD340" s="102"/>
      <c r="BE340" s="102"/>
    </row>
    <row r="341" spans="2:57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2"/>
      <c r="BA341" s="102"/>
      <c r="BB341" s="102"/>
      <c r="BC341" s="102"/>
      <c r="BD341" s="102"/>
      <c r="BE341" s="102"/>
    </row>
    <row r="342" spans="2:57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2"/>
      <c r="BA342" s="102"/>
      <c r="BB342" s="102"/>
      <c r="BC342" s="102"/>
      <c r="BD342" s="102"/>
      <c r="BE342" s="102"/>
    </row>
    <row r="343" spans="2:57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2"/>
      <c r="BA343" s="102"/>
      <c r="BB343" s="102"/>
      <c r="BC343" s="102"/>
      <c r="BD343" s="102"/>
      <c r="BE343" s="102"/>
    </row>
    <row r="344" spans="2:57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2"/>
      <c r="BA344" s="102"/>
      <c r="BB344" s="102"/>
      <c r="BC344" s="102"/>
      <c r="BD344" s="102"/>
      <c r="BE344" s="102"/>
    </row>
    <row r="345" spans="2:57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2"/>
      <c r="BA345" s="102"/>
      <c r="BB345" s="102"/>
      <c r="BC345" s="102"/>
      <c r="BD345" s="102"/>
      <c r="BE345" s="102"/>
    </row>
    <row r="346" spans="2:57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2"/>
      <c r="BA346" s="102"/>
      <c r="BB346" s="102"/>
      <c r="BC346" s="102"/>
      <c r="BD346" s="102"/>
      <c r="BE346" s="102"/>
    </row>
    <row r="347" spans="2:57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2"/>
      <c r="BA347" s="102"/>
      <c r="BB347" s="102"/>
      <c r="BC347" s="102"/>
      <c r="BD347" s="102"/>
      <c r="BE347" s="102"/>
    </row>
    <row r="348" spans="2:57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2"/>
      <c r="BA348" s="102"/>
      <c r="BB348" s="102"/>
      <c r="BC348" s="102"/>
      <c r="BD348" s="102"/>
      <c r="BE348" s="102"/>
    </row>
    <row r="349" spans="2:57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2"/>
      <c r="BA349" s="102"/>
      <c r="BB349" s="102"/>
      <c r="BC349" s="102"/>
      <c r="BD349" s="102"/>
      <c r="BE349" s="102"/>
    </row>
    <row r="350" spans="2:57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2"/>
      <c r="BA350" s="102"/>
      <c r="BB350" s="102"/>
      <c r="BC350" s="102"/>
      <c r="BD350" s="102"/>
      <c r="BE350" s="102"/>
    </row>
    <row r="351" spans="2:57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2"/>
      <c r="BA351" s="102"/>
      <c r="BB351" s="102"/>
      <c r="BC351" s="102"/>
      <c r="BD351" s="102"/>
      <c r="BE351" s="102"/>
    </row>
    <row r="352" spans="2:57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2"/>
      <c r="BA352" s="102"/>
      <c r="BB352" s="102"/>
      <c r="BC352" s="102"/>
      <c r="BD352" s="102"/>
      <c r="BE352" s="102"/>
    </row>
    <row r="353" spans="2:57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2"/>
      <c r="BA353" s="102"/>
      <c r="BB353" s="102"/>
      <c r="BC353" s="102"/>
      <c r="BD353" s="102"/>
      <c r="BE353" s="102"/>
    </row>
    <row r="354" spans="2:57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2"/>
      <c r="BA354" s="102"/>
      <c r="BB354" s="102"/>
      <c r="BC354" s="102"/>
      <c r="BD354" s="102"/>
      <c r="BE354" s="102"/>
    </row>
    <row r="355" spans="2:57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2"/>
      <c r="BA355" s="102"/>
      <c r="BB355" s="102"/>
      <c r="BC355" s="102"/>
      <c r="BD355" s="102"/>
      <c r="BE355" s="102"/>
    </row>
    <row r="356" spans="2:57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2"/>
      <c r="BA356" s="102"/>
      <c r="BB356" s="102"/>
      <c r="BC356" s="102"/>
      <c r="BD356" s="102"/>
      <c r="BE356" s="102"/>
    </row>
    <row r="357" spans="2:57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2"/>
      <c r="BA357" s="102"/>
      <c r="BB357" s="102"/>
      <c r="BC357" s="102"/>
      <c r="BD357" s="102"/>
      <c r="BE357" s="102"/>
    </row>
    <row r="358" spans="2:57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2"/>
      <c r="BA358" s="102"/>
      <c r="BB358" s="102"/>
      <c r="BC358" s="102"/>
      <c r="BD358" s="102"/>
      <c r="BE358" s="102"/>
    </row>
    <row r="359" spans="2:57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2"/>
      <c r="BA359" s="102"/>
      <c r="BB359" s="102"/>
      <c r="BC359" s="102"/>
      <c r="BD359" s="102"/>
      <c r="BE359" s="102"/>
    </row>
    <row r="360" spans="2:57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2"/>
      <c r="BA360" s="102"/>
      <c r="BB360" s="102"/>
      <c r="BC360" s="102"/>
      <c r="BD360" s="102"/>
      <c r="BE360" s="102"/>
    </row>
    <row r="361" spans="2:57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2"/>
      <c r="BA361" s="102"/>
      <c r="BB361" s="102"/>
      <c r="BC361" s="102"/>
      <c r="BD361" s="102"/>
      <c r="BE361" s="102"/>
    </row>
    <row r="362" spans="2:57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2"/>
      <c r="BA362" s="102"/>
      <c r="BB362" s="102"/>
      <c r="BC362" s="102"/>
      <c r="BD362" s="102"/>
      <c r="BE362" s="102"/>
    </row>
    <row r="363" spans="2:57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2"/>
      <c r="BA363" s="102"/>
      <c r="BB363" s="102"/>
      <c r="BC363" s="102"/>
      <c r="BD363" s="102"/>
      <c r="BE363" s="102"/>
    </row>
    <row r="364" spans="2:57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2"/>
      <c r="BA364" s="102"/>
      <c r="BB364" s="102"/>
      <c r="BC364" s="102"/>
      <c r="BD364" s="102"/>
      <c r="BE364" s="102"/>
    </row>
    <row r="365" spans="2:57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2"/>
      <c r="BA365" s="102"/>
      <c r="BB365" s="102"/>
      <c r="BC365" s="102"/>
      <c r="BD365" s="102"/>
      <c r="BE365" s="102"/>
    </row>
    <row r="366" spans="2:57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2"/>
      <c r="BA366" s="102"/>
      <c r="BB366" s="102"/>
      <c r="BC366" s="102"/>
      <c r="BD366" s="102"/>
      <c r="BE366" s="102"/>
    </row>
    <row r="367" spans="2:57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2"/>
      <c r="BA367" s="102"/>
      <c r="BB367" s="102"/>
      <c r="BC367" s="102"/>
      <c r="BD367" s="102"/>
      <c r="BE367" s="102"/>
    </row>
    <row r="368" spans="2:57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2"/>
      <c r="BA368" s="102"/>
      <c r="BB368" s="102"/>
      <c r="BC368" s="102"/>
      <c r="BD368" s="102"/>
      <c r="BE368" s="102"/>
    </row>
    <row r="369" spans="2:57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2"/>
      <c r="BA369" s="102"/>
      <c r="BB369" s="102"/>
      <c r="BC369" s="102"/>
      <c r="BD369" s="102"/>
      <c r="BE369" s="102"/>
    </row>
    <row r="370" spans="2:57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2"/>
      <c r="BA370" s="102"/>
      <c r="BB370" s="102"/>
      <c r="BC370" s="102"/>
      <c r="BD370" s="102"/>
      <c r="BE370" s="102"/>
    </row>
    <row r="371" spans="2:57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2"/>
      <c r="BA371" s="102"/>
      <c r="BB371" s="102"/>
      <c r="BC371" s="102"/>
      <c r="BD371" s="102"/>
      <c r="BE371" s="102"/>
    </row>
    <row r="372" spans="2:57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2"/>
      <c r="BA372" s="102"/>
      <c r="BB372" s="102"/>
      <c r="BC372" s="102"/>
      <c r="BD372" s="102"/>
      <c r="BE372" s="102"/>
    </row>
    <row r="373" spans="2:57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2"/>
      <c r="BA373" s="102"/>
      <c r="BB373" s="102"/>
      <c r="BC373" s="102"/>
      <c r="BD373" s="102"/>
      <c r="BE373" s="102"/>
    </row>
    <row r="374" spans="2:57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2"/>
      <c r="BA374" s="102"/>
      <c r="BB374" s="102"/>
      <c r="BC374" s="102"/>
      <c r="BD374" s="102"/>
      <c r="BE374" s="102"/>
    </row>
    <row r="375" spans="2:57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2"/>
      <c r="BA375" s="102"/>
      <c r="BB375" s="102"/>
      <c r="BC375" s="102"/>
      <c r="BD375" s="102"/>
      <c r="BE375" s="102"/>
    </row>
    <row r="376" spans="2:57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2"/>
      <c r="BA376" s="102"/>
      <c r="BB376" s="102"/>
      <c r="BC376" s="102"/>
      <c r="BD376" s="102"/>
      <c r="BE376" s="102"/>
    </row>
    <row r="377" spans="2:57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2"/>
      <c r="BA377" s="102"/>
      <c r="BB377" s="102"/>
      <c r="BC377" s="102"/>
      <c r="BD377" s="102"/>
      <c r="BE377" s="102"/>
    </row>
    <row r="378" spans="2:57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2"/>
      <c r="BA378" s="102"/>
      <c r="BB378" s="102"/>
      <c r="BC378" s="102"/>
      <c r="BD378" s="102"/>
      <c r="BE378" s="102"/>
    </row>
    <row r="379" spans="2:57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2"/>
      <c r="BA379" s="102"/>
      <c r="BB379" s="102"/>
      <c r="BC379" s="102"/>
      <c r="BD379" s="102"/>
      <c r="BE379" s="102"/>
    </row>
    <row r="380" spans="2:57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2"/>
      <c r="BA380" s="102"/>
      <c r="BB380" s="102"/>
      <c r="BC380" s="102"/>
      <c r="BD380" s="102"/>
      <c r="BE380" s="102"/>
    </row>
    <row r="381" spans="2:57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2"/>
      <c r="BA381" s="102"/>
      <c r="BB381" s="102"/>
      <c r="BC381" s="102"/>
      <c r="BD381" s="102"/>
      <c r="BE381" s="102"/>
    </row>
    <row r="382" spans="2:57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2"/>
      <c r="BA382" s="102"/>
      <c r="BB382" s="102"/>
      <c r="BC382" s="102"/>
      <c r="BD382" s="102"/>
      <c r="BE382" s="102"/>
    </row>
    <row r="383" spans="2:57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2"/>
      <c r="BA383" s="102"/>
      <c r="BB383" s="102"/>
      <c r="BC383" s="102"/>
      <c r="BD383" s="102"/>
      <c r="BE383" s="102"/>
    </row>
    <row r="384" spans="2:57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2"/>
      <c r="BA384" s="102"/>
      <c r="BB384" s="102"/>
      <c r="BC384" s="102"/>
      <c r="BD384" s="102"/>
      <c r="BE384" s="102"/>
    </row>
    <row r="385" spans="2:57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2"/>
      <c r="BA385" s="102"/>
      <c r="BB385" s="102"/>
      <c r="BC385" s="102"/>
      <c r="BD385" s="102"/>
      <c r="BE385" s="102"/>
    </row>
    <row r="386" spans="2:57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2"/>
      <c r="BA386" s="102"/>
      <c r="BB386" s="102"/>
      <c r="BC386" s="102"/>
      <c r="BD386" s="102"/>
      <c r="BE386" s="102"/>
    </row>
    <row r="387" spans="2:57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2"/>
      <c r="BA387" s="102"/>
      <c r="BB387" s="102"/>
      <c r="BC387" s="102"/>
      <c r="BD387" s="102"/>
      <c r="BE387" s="102"/>
    </row>
    <row r="388" spans="2:57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2"/>
      <c r="BA388" s="102"/>
      <c r="BB388" s="102"/>
      <c r="BC388" s="102"/>
      <c r="BD388" s="102"/>
      <c r="BE388" s="102"/>
    </row>
    <row r="389" spans="2:57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2"/>
      <c r="BA389" s="102"/>
      <c r="BB389" s="102"/>
      <c r="BC389" s="102"/>
      <c r="BD389" s="102"/>
      <c r="BE389" s="102"/>
    </row>
    <row r="390" spans="2:57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2"/>
      <c r="BA390" s="102"/>
      <c r="BB390" s="102"/>
      <c r="BC390" s="102"/>
      <c r="BD390" s="102"/>
      <c r="BE390" s="102"/>
    </row>
    <row r="391" spans="2:57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2"/>
      <c r="BA391" s="102"/>
      <c r="BB391" s="102"/>
      <c r="BC391" s="102"/>
      <c r="BD391" s="102"/>
      <c r="BE391" s="102"/>
    </row>
    <row r="392" spans="2:57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2"/>
      <c r="BA392" s="102"/>
      <c r="BB392" s="102"/>
      <c r="BC392" s="102"/>
      <c r="BD392" s="102"/>
      <c r="BE392" s="102"/>
    </row>
    <row r="393" spans="2:57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2"/>
      <c r="BA393" s="102"/>
      <c r="BB393" s="102"/>
      <c r="BC393" s="102"/>
      <c r="BD393" s="102"/>
      <c r="BE393" s="102"/>
    </row>
    <row r="394" spans="2:57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2"/>
      <c r="BA394" s="102"/>
      <c r="BB394" s="102"/>
      <c r="BC394" s="102"/>
      <c r="BD394" s="102"/>
      <c r="BE394" s="102"/>
    </row>
    <row r="395" spans="2:57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2"/>
      <c r="BA395" s="102"/>
      <c r="BB395" s="102"/>
      <c r="BC395" s="102"/>
      <c r="BD395" s="102"/>
      <c r="BE395" s="102"/>
    </row>
    <row r="396" spans="2:57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2"/>
      <c r="BA396" s="102"/>
      <c r="BB396" s="102"/>
      <c r="BC396" s="102"/>
      <c r="BD396" s="102"/>
      <c r="BE396" s="102"/>
    </row>
    <row r="397" spans="2:57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2"/>
      <c r="BA397" s="102"/>
      <c r="BB397" s="102"/>
      <c r="BC397" s="102"/>
      <c r="BD397" s="102"/>
      <c r="BE397" s="102"/>
    </row>
    <row r="398" spans="2:57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2"/>
      <c r="BA398" s="102"/>
      <c r="BB398" s="102"/>
      <c r="BC398" s="102"/>
      <c r="BD398" s="102"/>
      <c r="BE398" s="102"/>
    </row>
    <row r="399" spans="2:57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2"/>
      <c r="BA399" s="102"/>
      <c r="BB399" s="102"/>
      <c r="BC399" s="102"/>
      <c r="BD399" s="102"/>
      <c r="BE399" s="102"/>
    </row>
    <row r="400" spans="2:57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2"/>
      <c r="BA400" s="102"/>
      <c r="BB400" s="102"/>
      <c r="BC400" s="102"/>
      <c r="BD400" s="102"/>
      <c r="BE400" s="102"/>
    </row>
    <row r="401" spans="2:57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2"/>
      <c r="BA401" s="102"/>
      <c r="BB401" s="102"/>
      <c r="BC401" s="102"/>
      <c r="BD401" s="102"/>
      <c r="BE401" s="102"/>
    </row>
    <row r="402" spans="2:57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2"/>
      <c r="BA402" s="102"/>
      <c r="BB402" s="102"/>
      <c r="BC402" s="102"/>
      <c r="BD402" s="102"/>
      <c r="BE402" s="102"/>
    </row>
    <row r="403" spans="2:57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2"/>
      <c r="BA403" s="102"/>
      <c r="BB403" s="102"/>
      <c r="BC403" s="102"/>
      <c r="BD403" s="102"/>
      <c r="BE403" s="102"/>
    </row>
    <row r="404" spans="2:57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2"/>
      <c r="BA404" s="102"/>
      <c r="BB404" s="102"/>
      <c r="BC404" s="102"/>
      <c r="BD404" s="102"/>
      <c r="BE404" s="102"/>
    </row>
    <row r="405" spans="2:57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2"/>
      <c r="BA405" s="102"/>
      <c r="BB405" s="102"/>
      <c r="BC405" s="102"/>
      <c r="BD405" s="102"/>
      <c r="BE405" s="102"/>
    </row>
    <row r="406" spans="2:57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2"/>
      <c r="BA406" s="102"/>
      <c r="BB406" s="102"/>
      <c r="BC406" s="102"/>
      <c r="BD406" s="102"/>
      <c r="BE406" s="102"/>
    </row>
    <row r="407" spans="2:57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2"/>
      <c r="BA407" s="102"/>
      <c r="BB407" s="102"/>
      <c r="BC407" s="102"/>
      <c r="BD407" s="102"/>
      <c r="BE407" s="102"/>
    </row>
    <row r="408" spans="2:57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2"/>
      <c r="BA408" s="102"/>
      <c r="BB408" s="102"/>
      <c r="BC408" s="102"/>
      <c r="BD408" s="102"/>
      <c r="BE408" s="102"/>
    </row>
    <row r="409" spans="2:57" s="64" customFormat="1" ht="20.25" customHeight="1"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  <c r="AE409" s="102"/>
      <c r="AF409" s="102"/>
      <c r="AG409" s="102"/>
      <c r="AH409" s="102"/>
      <c r="AI409" s="102"/>
      <c r="AJ409" s="102"/>
      <c r="AK409" s="102"/>
      <c r="AL409" s="102"/>
      <c r="AM409" s="102"/>
      <c r="AN409" s="102"/>
      <c r="AO409" s="102"/>
      <c r="AP409" s="102"/>
      <c r="AQ409" s="102"/>
      <c r="AR409" s="102"/>
      <c r="AS409" s="102"/>
      <c r="AT409" s="102"/>
      <c r="AU409" s="102"/>
      <c r="AV409" s="102"/>
      <c r="AW409" s="102"/>
      <c r="AX409" s="102"/>
      <c r="AY409" s="102"/>
      <c r="AZ409" s="102"/>
      <c r="BA409" s="102"/>
      <c r="BB409" s="102"/>
      <c r="BC409" s="102"/>
      <c r="BD409" s="102"/>
      <c r="BE409" s="102"/>
    </row>
    <row r="410" spans="2:57" s="64" customFormat="1" ht="20.25" customHeight="1"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  <c r="AD410" s="102"/>
      <c r="AE410" s="102"/>
      <c r="AF410" s="102"/>
      <c r="AG410" s="102"/>
      <c r="AH410" s="102"/>
      <c r="AI410" s="102"/>
      <c r="AJ410" s="102"/>
      <c r="AK410" s="102"/>
      <c r="AL410" s="102"/>
      <c r="AM410" s="102"/>
      <c r="AN410" s="102"/>
      <c r="AO410" s="102"/>
      <c r="AP410" s="102"/>
      <c r="AQ410" s="102"/>
      <c r="AR410" s="102"/>
      <c r="AS410" s="102"/>
      <c r="AT410" s="102"/>
      <c r="AU410" s="102"/>
      <c r="AV410" s="102"/>
      <c r="AW410" s="102"/>
      <c r="AX410" s="102"/>
      <c r="AY410" s="102"/>
      <c r="AZ410" s="102"/>
      <c r="BA410" s="102"/>
      <c r="BB410" s="102"/>
      <c r="BC410" s="102"/>
      <c r="BD410" s="102"/>
      <c r="BE410" s="102"/>
    </row>
    <row r="411" spans="2:57" s="64" customFormat="1" ht="20.25" customHeight="1"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  <c r="AC411" s="102"/>
      <c r="AD411" s="102"/>
      <c r="AE411" s="102"/>
      <c r="AF411" s="102"/>
      <c r="AG411" s="102"/>
      <c r="AH411" s="102"/>
      <c r="AI411" s="102"/>
      <c r="AJ411" s="102"/>
      <c r="AK411" s="102"/>
      <c r="AL411" s="102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02"/>
      <c r="AW411" s="102"/>
      <c r="AX411" s="102"/>
      <c r="AY411" s="102"/>
      <c r="AZ411" s="102"/>
      <c r="BA411" s="102"/>
      <c r="BB411" s="102"/>
      <c r="BC411" s="102"/>
      <c r="BD411" s="102"/>
      <c r="BE411" s="102"/>
    </row>
  </sheetData>
  <mergeCells count="102">
    <mergeCell ref="AE46:AN46"/>
    <mergeCell ref="AE47:AN47"/>
    <mergeCell ref="C48:AD48"/>
    <mergeCell ref="AE48:AN48"/>
    <mergeCell ref="C57:AD60"/>
    <mergeCell ref="AE57:AN58"/>
    <mergeCell ref="AE59:AN60"/>
    <mergeCell ref="AE49:AN49"/>
    <mergeCell ref="C50:AD50"/>
    <mergeCell ref="AE51:AN51"/>
    <mergeCell ref="B52:AB52"/>
    <mergeCell ref="AC52:AD52"/>
    <mergeCell ref="AE52:AN52"/>
    <mergeCell ref="AE50:AN50"/>
    <mergeCell ref="C46:AD46"/>
    <mergeCell ref="C47:AD47"/>
    <mergeCell ref="C49:AD49"/>
    <mergeCell ref="C51:AD51"/>
    <mergeCell ref="C38:S38"/>
    <mergeCell ref="T38:AD38"/>
    <mergeCell ref="AE38:AN38"/>
    <mergeCell ref="C39:S39"/>
    <mergeCell ref="AE39:AN39"/>
    <mergeCell ref="C44:AD44"/>
    <mergeCell ref="AE44:AN44"/>
    <mergeCell ref="C45:AD45"/>
    <mergeCell ref="AE45:AN45"/>
    <mergeCell ref="T39:AD39"/>
    <mergeCell ref="T35:AD35"/>
    <mergeCell ref="AE35:AN35"/>
    <mergeCell ref="T36:AD36"/>
    <mergeCell ref="AE36:AN36"/>
    <mergeCell ref="T37:AD37"/>
    <mergeCell ref="AE37:AN37"/>
    <mergeCell ref="C35:S35"/>
    <mergeCell ref="C36:S36"/>
    <mergeCell ref="C37:S37"/>
    <mergeCell ref="T31:AD31"/>
    <mergeCell ref="AE31:AN31"/>
    <mergeCell ref="T32:AD32"/>
    <mergeCell ref="AE32:AN32"/>
    <mergeCell ref="T34:AD34"/>
    <mergeCell ref="AE34:AN34"/>
    <mergeCell ref="AE33:AN33"/>
    <mergeCell ref="T33:AD33"/>
    <mergeCell ref="C31:S31"/>
    <mergeCell ref="C32:S32"/>
    <mergeCell ref="C33:S33"/>
    <mergeCell ref="C34:S34"/>
    <mergeCell ref="T28:AD28"/>
    <mergeCell ref="AE28:AN28"/>
    <mergeCell ref="T29:AD29"/>
    <mergeCell ref="AE29:AN29"/>
    <mergeCell ref="T30:AD30"/>
    <mergeCell ref="AE30:AN30"/>
    <mergeCell ref="C28:S28"/>
    <mergeCell ref="C29:S29"/>
    <mergeCell ref="C30:S30"/>
    <mergeCell ref="T25:AD25"/>
    <mergeCell ref="AE25:AN25"/>
    <mergeCell ref="T26:AD26"/>
    <mergeCell ref="AE26:AN26"/>
    <mergeCell ref="T27:AD27"/>
    <mergeCell ref="AE27:AN27"/>
    <mergeCell ref="C25:S25"/>
    <mergeCell ref="C26:S26"/>
    <mergeCell ref="C27:S27"/>
    <mergeCell ref="F19:AN19"/>
    <mergeCell ref="B20:C20"/>
    <mergeCell ref="C22:S22"/>
    <mergeCell ref="T22:AD22"/>
    <mergeCell ref="AE22:AN22"/>
    <mergeCell ref="C23:S23"/>
    <mergeCell ref="T23:AD23"/>
    <mergeCell ref="AE23:AN23"/>
    <mergeCell ref="C24:S24"/>
    <mergeCell ref="T24:AD24"/>
    <mergeCell ref="AE24:AN24"/>
    <mergeCell ref="AE3:AE8"/>
    <mergeCell ref="AF3:AG4"/>
    <mergeCell ref="AH3:AI4"/>
    <mergeCell ref="B8:J8"/>
    <mergeCell ref="N8:AC8"/>
    <mergeCell ref="C21:R21"/>
    <mergeCell ref="T21:AD21"/>
    <mergeCell ref="AE21:AN21"/>
    <mergeCell ref="AJ3:AK4"/>
    <mergeCell ref="AL3:AM4"/>
    <mergeCell ref="K4:AD5"/>
    <mergeCell ref="N6:AC6"/>
    <mergeCell ref="B7:J7"/>
    <mergeCell ref="N7:AC7"/>
    <mergeCell ref="AF7:AG7"/>
    <mergeCell ref="AH7:AI7"/>
    <mergeCell ref="AK7:AL7"/>
    <mergeCell ref="AM7:AN7"/>
    <mergeCell ref="B3:B6"/>
    <mergeCell ref="C3:J5"/>
    <mergeCell ref="K3:AD3"/>
    <mergeCell ref="F11:P11"/>
    <mergeCell ref="AD11:AH11"/>
    <mergeCell ref="AJ11:AO11"/>
  </mergeCells>
  <printOptions horizontalCentered="1"/>
  <pageMargins left="0.11811023622047245" right="0.11811023622047245" top="0.39370078740157483" bottom="0.19685039370078741" header="0" footer="0"/>
  <pageSetup paperSize="5" scale="74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9" tint="0.39997558519241921"/>
  </sheetPr>
  <dimension ref="A1:BN418"/>
  <sheetViews>
    <sheetView showGridLines="0" view="pageBreakPreview" topLeftCell="A46" zoomScaleSheetLayoutView="100" workbookViewId="0">
      <selection activeCell="AN56" sqref="AN56:AV56"/>
    </sheetView>
  </sheetViews>
  <sheetFormatPr defaultColWidth="9.140625" defaultRowHeight="12.75"/>
  <cols>
    <col min="1" max="1" width="3.7109375" style="64" customWidth="1"/>
    <col min="2" max="2" width="3.7109375" style="102" customWidth="1"/>
    <col min="3" max="3" width="4.140625" style="102" customWidth="1"/>
    <col min="4" max="13" width="2.140625" style="102" hidden="1" customWidth="1"/>
    <col min="14" max="14" width="4" style="102" customWidth="1"/>
    <col min="15" max="15" width="5.140625" style="102" customWidth="1"/>
    <col min="16" max="16" width="2.42578125" style="102" customWidth="1"/>
    <col min="17" max="17" width="2.28515625" style="102" customWidth="1"/>
    <col min="18" max="18" width="8" style="102" customWidth="1"/>
    <col min="19" max="19" width="0.5703125" style="102" customWidth="1"/>
    <col min="20" max="20" width="1.42578125" style="102" customWidth="1"/>
    <col min="21" max="41" width="3.7109375" style="102" customWidth="1"/>
    <col min="42" max="42" width="4.140625" style="102" customWidth="1"/>
    <col min="43" max="47" width="3.7109375" style="102" customWidth="1"/>
    <col min="48" max="48" width="0.140625" style="102" customWidth="1"/>
    <col min="49" max="49" width="3.7109375" style="102" customWidth="1"/>
    <col min="50" max="50" width="2.85546875" style="64" customWidth="1"/>
    <col min="51" max="104" width="2.85546875" style="102" customWidth="1"/>
    <col min="105" max="198" width="3.85546875" style="102" customWidth="1"/>
    <col min="199" max="16384" width="9.140625" style="102"/>
  </cols>
  <sheetData>
    <row r="1" spans="1:50" ht="12.75" customHeight="1">
      <c r="A1" s="103"/>
      <c r="B1" s="10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64"/>
      <c r="AV1" s="208"/>
      <c r="AW1" s="207"/>
      <c r="AX1" s="106"/>
    </row>
    <row r="2" spans="1:50" ht="5.25" customHeight="1">
      <c r="A2" s="106"/>
      <c r="B2" s="2834" t="s">
        <v>758</v>
      </c>
      <c r="C2" s="2834"/>
      <c r="D2" s="778"/>
      <c r="E2" s="778"/>
      <c r="F2" s="778"/>
      <c r="G2" s="778"/>
      <c r="H2" s="778"/>
      <c r="I2" s="778"/>
      <c r="J2" s="778"/>
      <c r="K2" s="778"/>
      <c r="L2" s="778"/>
      <c r="M2" s="778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64"/>
      <c r="AW2" s="104"/>
    </row>
    <row r="3" spans="1:50" ht="15" customHeight="1">
      <c r="B3" s="2834"/>
      <c r="C3" s="2834"/>
      <c r="D3" s="778"/>
      <c r="E3" s="778"/>
      <c r="F3" s="778"/>
      <c r="G3" s="778"/>
      <c r="H3" s="778"/>
      <c r="I3" s="778"/>
      <c r="J3" s="778"/>
      <c r="K3" s="778"/>
      <c r="L3" s="778"/>
      <c r="M3" s="778"/>
      <c r="N3" s="2835" t="s">
        <v>173</v>
      </c>
      <c r="O3" s="2835"/>
      <c r="P3" s="2835"/>
      <c r="Q3" s="2835"/>
      <c r="R3" s="2836"/>
      <c r="S3" s="2837" t="s">
        <v>1159</v>
      </c>
      <c r="T3" s="2838"/>
      <c r="U3" s="2838"/>
      <c r="V3" s="2838"/>
      <c r="W3" s="2838"/>
      <c r="X3" s="2838"/>
      <c r="Y3" s="2838"/>
      <c r="Z3" s="2838"/>
      <c r="AA3" s="2838"/>
      <c r="AB3" s="2838"/>
      <c r="AC3" s="2838"/>
      <c r="AD3" s="2838"/>
      <c r="AE3" s="2838"/>
      <c r="AF3" s="2838"/>
      <c r="AG3" s="2838"/>
      <c r="AH3" s="2838"/>
      <c r="AI3" s="2838"/>
      <c r="AJ3" s="2838"/>
      <c r="AK3" s="2839"/>
      <c r="AL3" s="2840" t="s">
        <v>762</v>
      </c>
      <c r="AM3" s="2745">
        <f>'1770-III'!AF3</f>
        <v>0</v>
      </c>
      <c r="AN3" s="2745"/>
      <c r="AO3" s="2745">
        <f>'1770-III'!AH3</f>
        <v>0</v>
      </c>
      <c r="AP3" s="2745"/>
      <c r="AQ3" s="2745">
        <f>'1770-III'!AJ3</f>
        <v>0</v>
      </c>
      <c r="AR3" s="2745"/>
      <c r="AS3" s="2745">
        <f>'1770-III'!AL3</f>
        <v>0</v>
      </c>
      <c r="AT3" s="2745"/>
      <c r="AU3" s="107"/>
      <c r="AV3" s="107"/>
      <c r="AW3" s="5"/>
    </row>
    <row r="4" spans="1:50" ht="14.25" customHeight="1">
      <c r="B4" s="2834"/>
      <c r="C4" s="2834"/>
      <c r="D4" s="778"/>
      <c r="E4" s="778"/>
      <c r="F4" s="778"/>
      <c r="G4" s="778"/>
      <c r="H4" s="778"/>
      <c r="I4" s="778"/>
      <c r="J4" s="778"/>
      <c r="K4" s="778"/>
      <c r="L4" s="778"/>
      <c r="M4" s="778"/>
      <c r="N4" s="2835"/>
      <c r="O4" s="2835"/>
      <c r="P4" s="2835"/>
      <c r="Q4" s="2835"/>
      <c r="R4" s="2836"/>
      <c r="S4" s="180" t="s">
        <v>1161</v>
      </c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2"/>
      <c r="AH4" s="162"/>
      <c r="AI4" s="162"/>
      <c r="AJ4" s="162"/>
      <c r="AK4" s="382"/>
      <c r="AL4" s="2840"/>
      <c r="AM4" s="2745"/>
      <c r="AN4" s="2745"/>
      <c r="AO4" s="2745"/>
      <c r="AP4" s="2745"/>
      <c r="AQ4" s="2745"/>
      <c r="AR4" s="2745"/>
      <c r="AS4" s="2745"/>
      <c r="AT4" s="2745"/>
      <c r="AU4" s="107"/>
      <c r="AV4" s="107"/>
      <c r="AW4" s="5"/>
    </row>
    <row r="5" spans="1:50" ht="13.5" customHeight="1" thickBot="1">
      <c r="B5" s="2834"/>
      <c r="C5" s="2834"/>
      <c r="D5" s="778"/>
      <c r="E5" s="778"/>
      <c r="F5" s="778"/>
      <c r="G5" s="778"/>
      <c r="H5" s="778"/>
      <c r="I5" s="778"/>
      <c r="J5" s="778"/>
      <c r="K5" s="778"/>
      <c r="L5" s="778"/>
      <c r="M5" s="778"/>
      <c r="N5" s="2835"/>
      <c r="O5" s="2835"/>
      <c r="P5" s="2835"/>
      <c r="Q5" s="2835"/>
      <c r="R5" s="2836"/>
      <c r="S5" s="168"/>
      <c r="T5" s="197"/>
      <c r="U5" s="197"/>
      <c r="V5" s="197"/>
      <c r="W5" s="197"/>
      <c r="X5" s="197"/>
      <c r="Y5" s="197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8"/>
      <c r="AL5" s="2840"/>
      <c r="AV5" s="108"/>
      <c r="AW5" s="109"/>
    </row>
    <row r="6" spans="1:50" ht="21" customHeight="1">
      <c r="B6" s="2834"/>
      <c r="C6" s="2834"/>
      <c r="D6" s="778"/>
      <c r="E6" s="778"/>
      <c r="F6" s="778"/>
      <c r="G6" s="778"/>
      <c r="H6" s="778"/>
      <c r="I6" s="778"/>
      <c r="J6" s="778"/>
      <c r="K6" s="778"/>
      <c r="L6" s="778"/>
      <c r="M6" s="778"/>
      <c r="N6" s="181"/>
      <c r="O6" s="181"/>
      <c r="P6" s="181"/>
      <c r="Q6" s="181"/>
      <c r="R6" s="182"/>
      <c r="U6" s="777" t="s">
        <v>6</v>
      </c>
      <c r="V6" s="2832" t="s">
        <v>1162</v>
      </c>
      <c r="W6" s="2832"/>
      <c r="X6" s="2832"/>
      <c r="Y6" s="2832"/>
      <c r="Z6" s="2832"/>
      <c r="AA6" s="2832"/>
      <c r="AB6" s="2832"/>
      <c r="AC6" s="2832"/>
      <c r="AD6" s="2832"/>
      <c r="AE6" s="2832"/>
      <c r="AF6" s="2832"/>
      <c r="AG6" s="2832"/>
      <c r="AH6" s="2832"/>
      <c r="AI6" s="2832"/>
      <c r="AJ6" s="227"/>
      <c r="AK6" s="228"/>
      <c r="AL6" s="2840"/>
      <c r="AM6" s="1423" t="str">
        <f>'1770-III'!AF6</f>
        <v>0</v>
      </c>
      <c r="AN6" s="1423" t="str">
        <f>'1770-III'!AG6</f>
        <v>1</v>
      </c>
      <c r="AO6" s="1423" t="str">
        <f>'1770-III'!AH6</f>
        <v>0</v>
      </c>
      <c r="AP6" s="1423" t="str">
        <f>'1770-III'!AI6</f>
        <v>0</v>
      </c>
      <c r="AQ6" s="776" t="s">
        <v>999</v>
      </c>
      <c r="AR6" s="1423" t="str">
        <f>'1770-III'!AK6</f>
        <v>0</v>
      </c>
      <c r="AS6" s="1423" t="str">
        <f>'1770-III'!AL6</f>
        <v>1</v>
      </c>
      <c r="AT6" s="1423" t="str">
        <f>'1770-III'!AM6</f>
        <v>0</v>
      </c>
      <c r="AU6" s="1423" t="str">
        <f>'1770-III'!AN6</f>
        <v>0</v>
      </c>
      <c r="AV6" s="110"/>
      <c r="AW6" s="110"/>
    </row>
    <row r="7" spans="1:50" ht="9.75" customHeight="1">
      <c r="B7" s="2554" t="s">
        <v>302</v>
      </c>
      <c r="C7" s="2554"/>
      <c r="D7" s="2554"/>
      <c r="E7" s="2554"/>
      <c r="F7" s="2554"/>
      <c r="G7" s="2554"/>
      <c r="H7" s="2554"/>
      <c r="I7" s="2554"/>
      <c r="J7" s="2554"/>
      <c r="K7" s="2554"/>
      <c r="L7" s="2554"/>
      <c r="M7" s="2554"/>
      <c r="N7" s="2554"/>
      <c r="O7" s="2554"/>
      <c r="P7" s="2554"/>
      <c r="Q7" s="2554"/>
      <c r="R7" s="2555"/>
      <c r="U7" s="2833" t="s">
        <v>6</v>
      </c>
      <c r="V7" s="2574" t="s">
        <v>1163</v>
      </c>
      <c r="W7" s="2574"/>
      <c r="X7" s="2574"/>
      <c r="Y7" s="2574"/>
      <c r="Z7" s="2574"/>
      <c r="AA7" s="2574"/>
      <c r="AB7" s="2574"/>
      <c r="AC7" s="2574"/>
      <c r="AD7" s="2574"/>
      <c r="AE7" s="2574"/>
      <c r="AF7" s="2574"/>
      <c r="AG7" s="2574"/>
      <c r="AH7" s="2574"/>
      <c r="AI7" s="2574"/>
      <c r="AJ7" s="2574"/>
      <c r="AK7" s="229"/>
      <c r="AL7" s="2840"/>
      <c r="AM7" s="2561" t="s">
        <v>764</v>
      </c>
      <c r="AN7" s="2561"/>
      <c r="AO7" s="2755" t="s">
        <v>763</v>
      </c>
      <c r="AP7" s="2755"/>
      <c r="AQ7" s="226"/>
      <c r="AR7" s="2755" t="s">
        <v>764</v>
      </c>
      <c r="AS7" s="2755"/>
      <c r="AT7" s="2755" t="s">
        <v>763</v>
      </c>
      <c r="AU7" s="2755"/>
    </row>
    <row r="8" spans="1:50" ht="7.5" customHeight="1">
      <c r="B8" s="2531" t="s">
        <v>8</v>
      </c>
      <c r="C8" s="2531"/>
      <c r="D8" s="2531"/>
      <c r="E8" s="2531"/>
      <c r="F8" s="2531"/>
      <c r="G8" s="2531"/>
      <c r="H8" s="2531"/>
      <c r="I8" s="2531"/>
      <c r="J8" s="2531"/>
      <c r="K8" s="2531"/>
      <c r="L8" s="2531"/>
      <c r="M8" s="2531"/>
      <c r="N8" s="2531"/>
      <c r="O8" s="2531"/>
      <c r="P8" s="2531"/>
      <c r="Q8" s="2531"/>
      <c r="R8" s="2532"/>
      <c r="S8" s="199"/>
      <c r="U8" s="2833"/>
      <c r="V8" s="2574"/>
      <c r="W8" s="2574"/>
      <c r="X8" s="2574"/>
      <c r="Y8" s="2574"/>
      <c r="Z8" s="2574"/>
      <c r="AA8" s="2574"/>
      <c r="AB8" s="2574"/>
      <c r="AC8" s="2574"/>
      <c r="AD8" s="2574"/>
      <c r="AE8" s="2574"/>
      <c r="AF8" s="2574"/>
      <c r="AG8" s="2574"/>
      <c r="AH8" s="2574"/>
      <c r="AI8" s="2574"/>
      <c r="AJ8" s="2574"/>
      <c r="AK8" s="229"/>
      <c r="AL8" s="2840"/>
      <c r="AO8" s="46"/>
      <c r="AR8" s="160"/>
      <c r="AS8" s="100"/>
      <c r="AT8" s="47"/>
      <c r="AU8" s="47"/>
      <c r="AV8" s="47"/>
      <c r="AW8" s="47"/>
    </row>
    <row r="9" spans="1:50" ht="15" customHeight="1">
      <c r="B9" s="757"/>
      <c r="C9" s="757"/>
      <c r="D9" s="757"/>
      <c r="E9" s="757"/>
      <c r="F9" s="757"/>
      <c r="G9" s="757"/>
      <c r="H9" s="757"/>
      <c r="I9" s="757"/>
      <c r="J9" s="757"/>
      <c r="K9" s="757"/>
      <c r="L9" s="757"/>
      <c r="M9" s="757"/>
      <c r="N9" s="757"/>
      <c r="O9" s="757"/>
      <c r="P9" s="757"/>
      <c r="Q9" s="757"/>
      <c r="R9" s="758"/>
      <c r="S9" s="199"/>
      <c r="T9" s="777"/>
      <c r="U9" s="777" t="s">
        <v>6</v>
      </c>
      <c r="V9" s="2574" t="s">
        <v>1164</v>
      </c>
      <c r="W9" s="2574"/>
      <c r="X9" s="2574"/>
      <c r="Y9" s="2574"/>
      <c r="Z9" s="2574"/>
      <c r="AA9" s="2574"/>
      <c r="AB9" s="2574"/>
      <c r="AC9" s="2574"/>
      <c r="AD9" s="2574"/>
      <c r="AE9" s="2574"/>
      <c r="AF9" s="2574"/>
      <c r="AG9" s="2574"/>
      <c r="AH9" s="2574"/>
      <c r="AI9" s="2574"/>
      <c r="AJ9" s="2574"/>
      <c r="AK9" s="2842"/>
      <c r="AL9" s="2840"/>
      <c r="AM9" s="792" t="str">
        <f>IF('FE-1770-III'!AF8="x","x","")</f>
        <v/>
      </c>
      <c r="AN9" s="385" t="s">
        <v>1025</v>
      </c>
      <c r="AO9" s="446"/>
      <c r="AP9" s="104"/>
      <c r="AQ9" s="792" t="str">
        <f>IF('FE-1770-III'!AK8="x","x","")</f>
        <v/>
      </c>
      <c r="AR9" s="167" t="s">
        <v>1029</v>
      </c>
      <c r="AS9" s="498"/>
      <c r="AT9" s="446"/>
      <c r="AU9" s="446"/>
      <c r="AV9" s="47"/>
      <c r="AW9" s="47"/>
    </row>
    <row r="10" spans="1:50" ht="3.75" customHeight="1" thickBot="1">
      <c r="B10" s="183"/>
      <c r="C10" s="113"/>
      <c r="D10" s="113"/>
      <c r="E10" s="113"/>
      <c r="F10" s="113"/>
      <c r="G10" s="113"/>
      <c r="H10" s="113"/>
      <c r="I10" s="113"/>
      <c r="J10" s="113"/>
      <c r="K10" s="113"/>
      <c r="L10" s="113"/>
      <c r="M10" s="113"/>
      <c r="N10" s="12"/>
      <c r="O10" s="12"/>
      <c r="P10" s="12"/>
      <c r="Q10" s="13"/>
      <c r="R10" s="14"/>
      <c r="S10" s="200"/>
      <c r="T10" s="197"/>
      <c r="U10" s="197"/>
      <c r="V10" s="197"/>
      <c r="W10" s="197"/>
      <c r="X10" s="197"/>
      <c r="Y10" s="197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8"/>
      <c r="AL10" s="2841"/>
      <c r="AM10" s="104"/>
      <c r="AN10" s="104"/>
      <c r="AO10" s="104"/>
      <c r="AP10" s="104"/>
      <c r="AQ10" s="420"/>
      <c r="AR10" s="104"/>
      <c r="AS10" s="104"/>
      <c r="AT10" s="104"/>
      <c r="AU10" s="104"/>
    </row>
    <row r="11" spans="1:50" ht="4.5" customHeight="1">
      <c r="B11" s="18"/>
      <c r="C11" s="114"/>
      <c r="D11" s="114"/>
      <c r="E11" s="114"/>
      <c r="F11" s="114"/>
      <c r="G11" s="114"/>
      <c r="H11" s="114"/>
      <c r="I11" s="114"/>
      <c r="J11" s="114"/>
      <c r="K11" s="114"/>
      <c r="L11" s="114"/>
      <c r="M11" s="114"/>
      <c r="N11" s="20"/>
      <c r="O11" s="20"/>
      <c r="P11" s="20"/>
      <c r="Q11" s="21"/>
      <c r="R11" s="22"/>
      <c r="S11" s="23"/>
      <c r="T11" s="115"/>
      <c r="U11" s="115"/>
      <c r="V11" s="115"/>
      <c r="W11" s="115"/>
      <c r="X11" s="115"/>
      <c r="Y11" s="115"/>
      <c r="Z11" s="115"/>
      <c r="AA11" s="115"/>
      <c r="AB11" s="114"/>
      <c r="AC11" s="114"/>
      <c r="AD11" s="115"/>
      <c r="AE11" s="115"/>
      <c r="AF11" s="115"/>
      <c r="AG11" s="115"/>
      <c r="AH11" s="26"/>
      <c r="AI11" s="116"/>
      <c r="AJ11" s="116"/>
      <c r="AK11" s="114"/>
      <c r="AL11" s="18"/>
      <c r="AM11" s="114"/>
      <c r="AN11" s="114"/>
      <c r="AO11" s="114"/>
      <c r="AP11" s="114"/>
      <c r="AQ11" s="28"/>
      <c r="AR11" s="114"/>
      <c r="AS11" s="114"/>
      <c r="AT11" s="114"/>
      <c r="AU11" s="114"/>
      <c r="AV11" s="114"/>
      <c r="AW11" s="64"/>
    </row>
    <row r="12" spans="1:50" s="30" customFormat="1" ht="12" customHeight="1">
      <c r="A12" s="29"/>
      <c r="B12" s="1242" t="s">
        <v>1075</v>
      </c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777" t="s">
        <v>6</v>
      </c>
      <c r="O12" s="32" t="s">
        <v>824</v>
      </c>
      <c r="Q12" s="32"/>
      <c r="R12" s="32"/>
      <c r="S12" s="32"/>
      <c r="T12" s="32"/>
      <c r="U12" s="32"/>
      <c r="V12" s="32"/>
      <c r="W12" s="32"/>
      <c r="X12" s="32"/>
      <c r="Y12" s="777" t="s">
        <v>6</v>
      </c>
      <c r="Z12" s="32" t="s">
        <v>1160</v>
      </c>
      <c r="AB12" s="32"/>
      <c r="AC12" s="32"/>
      <c r="AD12" s="32"/>
      <c r="AE12" s="32"/>
      <c r="AF12" s="32"/>
      <c r="AG12" s="32"/>
      <c r="AH12" s="32"/>
      <c r="AI12" s="32"/>
      <c r="AJ12" s="777" t="s">
        <v>6</v>
      </c>
      <c r="AK12" s="753" t="s">
        <v>1118</v>
      </c>
      <c r="AL12" s="753"/>
      <c r="AM12" s="753"/>
      <c r="AN12" s="222"/>
      <c r="AO12" s="745"/>
      <c r="AP12" s="89"/>
      <c r="AQ12" s="2536" t="s">
        <v>826</v>
      </c>
      <c r="AR12" s="2537"/>
      <c r="AS12" s="2537"/>
      <c r="AT12" s="2537"/>
      <c r="AU12" s="2537"/>
      <c r="AV12" s="2537"/>
      <c r="AW12" s="2537"/>
      <c r="AX12" s="29"/>
    </row>
    <row r="13" spans="1:50" ht="4.5" customHeight="1" thickBot="1">
      <c r="B13" s="64"/>
      <c r="C13" s="206"/>
      <c r="D13" s="206"/>
      <c r="E13" s="206"/>
      <c r="F13" s="206"/>
      <c r="G13" s="206"/>
      <c r="H13" s="206"/>
      <c r="I13" s="206"/>
      <c r="J13" s="206"/>
      <c r="K13" s="206"/>
      <c r="L13" s="206"/>
      <c r="M13" s="206"/>
      <c r="N13" s="54"/>
      <c r="O13" s="54"/>
      <c r="P13" s="54"/>
      <c r="Q13" s="54"/>
      <c r="R13" s="54"/>
      <c r="S13" s="54"/>
      <c r="T13" s="206"/>
      <c r="U13" s="206"/>
      <c r="V13" s="206"/>
      <c r="W13" s="206"/>
      <c r="X13" s="371"/>
      <c r="Y13" s="371"/>
      <c r="Z13" s="371"/>
      <c r="AA13" s="371"/>
      <c r="AB13" s="371"/>
      <c r="AC13" s="371"/>
      <c r="AD13" s="371"/>
      <c r="AE13" s="371"/>
      <c r="AF13" s="371"/>
      <c r="AG13" s="371"/>
      <c r="AH13" s="79"/>
      <c r="AI13" s="372"/>
      <c r="AJ13" s="372"/>
      <c r="AK13" s="206"/>
      <c r="AL13" s="17"/>
      <c r="AM13" s="37"/>
      <c r="AN13" s="373"/>
      <c r="AO13" s="373"/>
      <c r="AP13" s="373"/>
      <c r="AQ13" s="373"/>
      <c r="AR13" s="32"/>
      <c r="AS13" s="32"/>
      <c r="AT13" s="32"/>
      <c r="AU13" s="32"/>
      <c r="AV13" s="33"/>
      <c r="AW13" s="33"/>
    </row>
    <row r="14" spans="1:50" ht="3.75" customHeight="1">
      <c r="B14" s="304"/>
      <c r="C14" s="236"/>
      <c r="D14" s="236"/>
      <c r="E14" s="236"/>
      <c r="F14" s="236"/>
      <c r="G14" s="236"/>
      <c r="H14" s="236"/>
      <c r="I14" s="236"/>
      <c r="J14" s="236"/>
      <c r="K14" s="236"/>
      <c r="L14" s="236"/>
      <c r="M14" s="236"/>
      <c r="N14" s="236"/>
      <c r="O14" s="236"/>
      <c r="P14" s="305"/>
      <c r="Q14" s="305"/>
      <c r="R14" s="305"/>
      <c r="S14" s="305"/>
      <c r="T14" s="114"/>
      <c r="U14" s="114"/>
      <c r="V14" s="114"/>
      <c r="W14" s="114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26"/>
      <c r="AI14" s="116"/>
      <c r="AJ14" s="116"/>
      <c r="AK14" s="114"/>
      <c r="AL14" s="18"/>
      <c r="AM14" s="238"/>
      <c r="AN14" s="28"/>
      <c r="AO14" s="28"/>
      <c r="AP14" s="28"/>
      <c r="AQ14" s="28"/>
      <c r="AR14" s="28"/>
      <c r="AS14" s="28"/>
      <c r="AT14" s="28"/>
      <c r="AU14" s="28"/>
      <c r="AV14" s="239"/>
      <c r="AW14" s="10"/>
    </row>
    <row r="15" spans="1:50" ht="20.100000000000001" customHeight="1">
      <c r="B15" s="366" t="s">
        <v>392</v>
      </c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54"/>
      <c r="Q15" s="54"/>
      <c r="R15" s="42" t="s">
        <v>13</v>
      </c>
      <c r="S15" s="64"/>
      <c r="T15" s="64"/>
      <c r="U15" s="1423" t="str">
        <f>'FE-1770-III'!M14</f>
        <v/>
      </c>
      <c r="V15" s="1423" t="str">
        <f>'FE-1770-III'!N14</f>
        <v/>
      </c>
      <c r="W15" s="1426"/>
      <c r="X15" s="1423" t="str">
        <f>'FE-1770-III'!P14</f>
        <v/>
      </c>
      <c r="Y15" s="1423" t="str">
        <f>'FE-1770-III'!Q14</f>
        <v/>
      </c>
      <c r="Z15" s="1423" t="str">
        <f>'FE-1770-III'!R14</f>
        <v/>
      </c>
      <c r="AA15" s="119"/>
      <c r="AB15" s="1423" t="str">
        <f>'FE-1770-III'!T14</f>
        <v/>
      </c>
      <c r="AC15" s="1423" t="str">
        <f>'FE-1770-III'!U14</f>
        <v/>
      </c>
      <c r="AD15" s="1423" t="str">
        <f>'FE-1770-III'!V14</f>
        <v/>
      </c>
      <c r="AE15" s="119"/>
      <c r="AF15" s="1423" t="str">
        <f>'FE-1770-III'!X14</f>
        <v/>
      </c>
      <c r="AG15" s="119"/>
      <c r="AH15" s="1423" t="str">
        <f>'FE-1770-III'!Z14</f>
        <v/>
      </c>
      <c r="AI15" s="1423" t="str">
        <f>'FE-1770-III'!AA14</f>
        <v/>
      </c>
      <c r="AJ15" s="1423" t="str">
        <f>'FE-1770-III'!AB14</f>
        <v/>
      </c>
      <c r="AK15" s="119"/>
      <c r="AL15" s="1423" t="str">
        <f>'FE-1770-III'!AD14</f>
        <v/>
      </c>
      <c r="AM15" s="1423" t="str">
        <f>'FE-1770-III'!AE14</f>
        <v/>
      </c>
      <c r="AN15" s="1423" t="str">
        <f>'FE-1770-III'!AF14</f>
        <v/>
      </c>
      <c r="AO15" s="119"/>
      <c r="AP15" s="119"/>
      <c r="AQ15" s="119" t="s">
        <v>381</v>
      </c>
      <c r="AR15" s="119"/>
      <c r="AS15" s="119"/>
      <c r="AT15" s="119"/>
      <c r="AU15" s="119"/>
      <c r="AV15" s="308"/>
      <c r="AW15" s="64"/>
    </row>
    <row r="16" spans="1:50" ht="3.75" customHeight="1">
      <c r="B16" s="367"/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54"/>
      <c r="Q16" s="54"/>
      <c r="R16" s="54"/>
      <c r="S16" s="35"/>
      <c r="T16" s="184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308"/>
      <c r="AW16" s="64"/>
    </row>
    <row r="17" spans="1:61" ht="20.100000000000001" customHeight="1">
      <c r="B17" s="366" t="s">
        <v>765</v>
      </c>
      <c r="C17" s="127"/>
      <c r="D17" s="127"/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7"/>
      <c r="P17" s="54"/>
      <c r="Q17" s="54"/>
      <c r="R17" s="45" t="s">
        <v>13</v>
      </c>
      <c r="S17" s="64"/>
      <c r="T17" s="64"/>
      <c r="U17" s="1707" t="str">
        <f>'FE-1770-III'!M16</f>
        <v/>
      </c>
      <c r="V17" s="1708"/>
      <c r="W17" s="1708"/>
      <c r="X17" s="1708"/>
      <c r="Y17" s="1708"/>
      <c r="Z17" s="1708"/>
      <c r="AA17" s="1708"/>
      <c r="AB17" s="1708"/>
      <c r="AC17" s="1708"/>
      <c r="AD17" s="1708"/>
      <c r="AE17" s="1708"/>
      <c r="AF17" s="1708"/>
      <c r="AG17" s="1708"/>
      <c r="AH17" s="1708"/>
      <c r="AI17" s="1708"/>
      <c r="AJ17" s="1708"/>
      <c r="AK17" s="1708"/>
      <c r="AL17" s="1708"/>
      <c r="AM17" s="1708"/>
      <c r="AN17" s="1708"/>
      <c r="AO17" s="1708"/>
      <c r="AP17" s="1708"/>
      <c r="AQ17" s="1708"/>
      <c r="AR17" s="1708"/>
      <c r="AS17" s="1708"/>
      <c r="AT17" s="1708"/>
      <c r="AU17" s="119"/>
      <c r="AV17" s="308"/>
      <c r="AW17" s="64"/>
    </row>
    <row r="18" spans="1:61" ht="4.5" customHeight="1" thickBot="1">
      <c r="B18" s="309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1"/>
      <c r="Q18" s="312"/>
      <c r="R18" s="312"/>
      <c r="S18" s="312"/>
      <c r="T18" s="313"/>
      <c r="U18" s="113"/>
      <c r="V18" s="113"/>
      <c r="W18" s="113"/>
      <c r="X18" s="315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316"/>
      <c r="AW18" s="64"/>
    </row>
    <row r="19" spans="1:61" ht="8.25" customHeight="1">
      <c r="Q19" s="35"/>
      <c r="V19" s="104"/>
      <c r="W19" s="104"/>
      <c r="X19" s="618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20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64"/>
    </row>
    <row r="20" spans="1:61" s="402" customFormat="1" ht="16.5" customHeight="1">
      <c r="A20" s="47"/>
      <c r="B20" s="201" t="s">
        <v>1120</v>
      </c>
      <c r="C20" s="201"/>
      <c r="D20" s="201"/>
      <c r="E20" s="201"/>
      <c r="F20" s="201"/>
      <c r="G20" s="201"/>
      <c r="H20" s="201"/>
      <c r="I20" s="201"/>
      <c r="J20" s="201"/>
      <c r="K20" s="201"/>
      <c r="L20" s="201"/>
      <c r="M20" s="201"/>
      <c r="N20" s="201"/>
      <c r="O20" s="201"/>
      <c r="P20" s="2843" t="s">
        <v>1162</v>
      </c>
      <c r="Q20" s="2843"/>
      <c r="R20" s="2843"/>
      <c r="S20" s="2843"/>
      <c r="T20" s="2843"/>
      <c r="U20" s="2843"/>
      <c r="V20" s="2843"/>
      <c r="W20" s="2843"/>
      <c r="X20" s="2843"/>
      <c r="Y20" s="2843"/>
      <c r="Z20" s="2843"/>
      <c r="AA20" s="2843"/>
      <c r="AB20" s="2843"/>
      <c r="AC20" s="2843"/>
      <c r="AD20" s="2843"/>
      <c r="AE20" s="2843"/>
      <c r="AF20" s="2843"/>
      <c r="AG20" s="2843"/>
      <c r="AH20" s="2843"/>
      <c r="AI20" s="2843"/>
      <c r="AJ20" s="2843"/>
      <c r="AK20" s="2843"/>
      <c r="AL20" s="2843"/>
      <c r="AM20" s="2843"/>
      <c r="AN20" s="2843"/>
      <c r="AO20" s="2843"/>
      <c r="AP20" s="2843"/>
      <c r="AQ20" s="2843"/>
      <c r="AR20" s="2843"/>
      <c r="AS20" s="2843"/>
      <c r="AT20" s="2843"/>
      <c r="AU20" s="2843"/>
      <c r="AV20" s="2843"/>
      <c r="AW20" s="2843"/>
      <c r="AX20" s="185"/>
      <c r="AY20" s="185"/>
      <c r="AZ20" s="185"/>
      <c r="BA20" s="185"/>
      <c r="BB20" s="185"/>
      <c r="BC20" s="185"/>
      <c r="BD20" s="185"/>
      <c r="BE20" s="185"/>
      <c r="BF20" s="185"/>
    </row>
    <row r="21" spans="1:61" s="64" customFormat="1" ht="7.5" customHeight="1">
      <c r="A21" s="47"/>
      <c r="B21" s="2767"/>
      <c r="C21" s="2767"/>
      <c r="D21" s="775"/>
      <c r="E21" s="775"/>
      <c r="F21" s="775"/>
      <c r="G21" s="775"/>
      <c r="H21" s="775"/>
      <c r="I21" s="775"/>
      <c r="J21" s="775"/>
      <c r="K21" s="775"/>
      <c r="L21" s="775"/>
      <c r="M21" s="775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  <c r="BA21" s="169"/>
      <c r="BB21" s="169"/>
      <c r="BC21" s="169"/>
      <c r="BD21" s="169"/>
      <c r="BE21" s="169"/>
      <c r="BF21" s="169"/>
      <c r="BG21" s="169"/>
      <c r="BH21" s="169"/>
      <c r="BI21" s="169"/>
    </row>
    <row r="22" spans="1:61" s="64" customFormat="1" ht="32.25" customHeight="1">
      <c r="A22" s="47"/>
      <c r="B22" s="2642" t="s">
        <v>123</v>
      </c>
      <c r="C22" s="2643"/>
      <c r="D22" s="766"/>
      <c r="E22" s="766"/>
      <c r="F22" s="766"/>
      <c r="G22" s="766"/>
      <c r="H22" s="766"/>
      <c r="I22" s="766"/>
      <c r="J22" s="766"/>
      <c r="K22" s="766"/>
      <c r="L22" s="766"/>
      <c r="M22" s="766"/>
      <c r="N22" s="2844" t="s">
        <v>1165</v>
      </c>
      <c r="O22" s="2845"/>
      <c r="P22" s="2846" t="s">
        <v>1166</v>
      </c>
      <c r="Q22" s="2847"/>
      <c r="R22" s="2847"/>
      <c r="S22" s="2847"/>
      <c r="T22" s="2847"/>
      <c r="U22" s="2847"/>
      <c r="V22" s="2847"/>
      <c r="W22" s="2847"/>
      <c r="X22" s="2848"/>
      <c r="Y22" s="2790" t="s">
        <v>1167</v>
      </c>
      <c r="Z22" s="2643"/>
      <c r="AA22" s="2643"/>
      <c r="AB22" s="2643"/>
      <c r="AC22" s="2643"/>
      <c r="AD22" s="2643"/>
      <c r="AE22" s="2849" t="s">
        <v>1168</v>
      </c>
      <c r="AF22" s="2643"/>
      <c r="AG22" s="2643"/>
      <c r="AH22" s="2643"/>
      <c r="AI22" s="2643"/>
      <c r="AJ22" s="2643"/>
      <c r="AK22" s="2643"/>
      <c r="AL22" s="2643"/>
      <c r="AM22" s="2647"/>
      <c r="AN22" s="2644" t="s">
        <v>1169</v>
      </c>
      <c r="AO22" s="2645"/>
      <c r="AP22" s="2645"/>
      <c r="AQ22" s="2645"/>
      <c r="AR22" s="2645"/>
      <c r="AS22" s="2645"/>
      <c r="AT22" s="2645"/>
      <c r="AU22" s="2645"/>
      <c r="AV22" s="2646"/>
      <c r="AW22" s="202"/>
      <c r="AX22" s="169"/>
      <c r="AY22" s="169"/>
      <c r="AZ22" s="169"/>
      <c r="BA22" s="169"/>
      <c r="BB22" s="169"/>
      <c r="BC22" s="169"/>
      <c r="BD22" s="169"/>
      <c r="BE22" s="169"/>
      <c r="BF22" s="169"/>
      <c r="BG22" s="169"/>
      <c r="BH22" s="169"/>
      <c r="BI22" s="169"/>
    </row>
    <row r="23" spans="1:61" s="64" customFormat="1" ht="14.25" customHeight="1">
      <c r="A23" s="47"/>
      <c r="B23" s="2651" t="s">
        <v>128</v>
      </c>
      <c r="C23" s="2652"/>
      <c r="D23" s="768"/>
      <c r="E23" s="768"/>
      <c r="F23" s="768"/>
      <c r="G23" s="768"/>
      <c r="H23" s="768"/>
      <c r="I23" s="768"/>
      <c r="J23" s="768"/>
      <c r="K23" s="768"/>
      <c r="L23" s="768"/>
      <c r="M23" s="768"/>
      <c r="N23" s="2851" t="s">
        <v>129</v>
      </c>
      <c r="O23" s="2852"/>
      <c r="P23" s="2851" t="s">
        <v>130</v>
      </c>
      <c r="Q23" s="2853"/>
      <c r="R23" s="2853"/>
      <c r="S23" s="2853"/>
      <c r="T23" s="2853"/>
      <c r="U23" s="2853"/>
      <c r="V23" s="2853"/>
      <c r="W23" s="2853"/>
      <c r="X23" s="2854"/>
      <c r="Y23" s="2608" t="s">
        <v>131</v>
      </c>
      <c r="Z23" s="2652"/>
      <c r="AA23" s="2652"/>
      <c r="AB23" s="2652"/>
      <c r="AC23" s="2652"/>
      <c r="AD23" s="2652"/>
      <c r="AE23" s="2651" t="s">
        <v>132</v>
      </c>
      <c r="AF23" s="2652"/>
      <c r="AG23" s="2652"/>
      <c r="AH23" s="2652"/>
      <c r="AI23" s="2652"/>
      <c r="AJ23" s="2652"/>
      <c r="AK23" s="2652"/>
      <c r="AL23" s="2652"/>
      <c r="AM23" s="2855"/>
      <c r="AN23" s="2651" t="s">
        <v>153</v>
      </c>
      <c r="AO23" s="2608"/>
      <c r="AP23" s="2608"/>
      <c r="AQ23" s="2608"/>
      <c r="AR23" s="2608"/>
      <c r="AS23" s="2608"/>
      <c r="AT23" s="2608"/>
      <c r="AU23" s="2608"/>
      <c r="AV23" s="2653"/>
      <c r="AW23" s="137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</row>
    <row r="24" spans="1:61" ht="26.1" customHeight="1">
      <c r="A24" s="69"/>
      <c r="B24" s="2624">
        <v>1</v>
      </c>
      <c r="C24" s="2624"/>
      <c r="D24" s="1728"/>
      <c r="E24" s="1728"/>
      <c r="F24" s="1728"/>
      <c r="G24" s="1728"/>
      <c r="H24" s="1728"/>
      <c r="I24" s="1728"/>
      <c r="J24" s="1728"/>
      <c r="K24" s="1728"/>
      <c r="L24" s="1728"/>
      <c r="M24" s="1728"/>
      <c r="N24" s="2850" t="str">
        <f ca="1">'A&amp;L'!N8</f>
        <v/>
      </c>
      <c r="O24" s="2850"/>
      <c r="P24" s="2826" t="str">
        <f ca="1">'A&amp;L'!O8</f>
        <v/>
      </c>
      <c r="Q24" s="2826"/>
      <c r="R24" s="2826"/>
      <c r="S24" s="2826"/>
      <c r="T24" s="2826"/>
      <c r="U24" s="2826"/>
      <c r="V24" s="2826"/>
      <c r="W24" s="2826"/>
      <c r="X24" s="2826"/>
      <c r="Y24" s="2822"/>
      <c r="Z24" s="2822"/>
      <c r="AA24" s="2822"/>
      <c r="AB24" s="2822"/>
      <c r="AC24" s="2822"/>
      <c r="AD24" s="2822"/>
      <c r="AE24" s="2831" t="str">
        <f ca="1">'A&amp;L'!P8</f>
        <v/>
      </c>
      <c r="AF24" s="2831"/>
      <c r="AG24" s="2831"/>
      <c r="AH24" s="2831"/>
      <c r="AI24" s="2831"/>
      <c r="AJ24" s="2831"/>
      <c r="AK24" s="2831"/>
      <c r="AL24" s="2831"/>
      <c r="AM24" s="2831"/>
      <c r="AN24" s="2829" t="str">
        <f>IF(dateofdeparture&gt;0,"I have left Indonesia","")</f>
        <v/>
      </c>
      <c r="AO24" s="2829"/>
      <c r="AP24" s="2829"/>
      <c r="AQ24" s="2829"/>
      <c r="AR24" s="2829"/>
      <c r="AS24" s="2829"/>
      <c r="AT24" s="2829"/>
      <c r="AU24" s="2829"/>
      <c r="AV24" s="2829"/>
      <c r="AW24" s="64"/>
    </row>
    <row r="25" spans="1:61" ht="26.1" customHeight="1">
      <c r="A25" s="69"/>
      <c r="B25" s="2624">
        <v>2</v>
      </c>
      <c r="C25" s="2624"/>
      <c r="D25" s="1728"/>
      <c r="E25" s="1728"/>
      <c r="F25" s="1728"/>
      <c r="G25" s="1728"/>
      <c r="H25" s="1728"/>
      <c r="I25" s="1728"/>
      <c r="J25" s="1728"/>
      <c r="K25" s="1728"/>
      <c r="L25" s="1728"/>
      <c r="M25" s="1728"/>
      <c r="N25" s="2850" t="str">
        <f ca="1">'A&amp;L'!N9</f>
        <v/>
      </c>
      <c r="O25" s="2850"/>
      <c r="P25" s="2826" t="str">
        <f ca="1">'A&amp;L'!O9</f>
        <v/>
      </c>
      <c r="Q25" s="2826"/>
      <c r="R25" s="2826"/>
      <c r="S25" s="2826"/>
      <c r="T25" s="2826"/>
      <c r="U25" s="2826"/>
      <c r="V25" s="2826"/>
      <c r="W25" s="2826"/>
      <c r="X25" s="2826"/>
      <c r="Y25" s="2822"/>
      <c r="Z25" s="2822"/>
      <c r="AA25" s="2822"/>
      <c r="AB25" s="2822"/>
      <c r="AC25" s="2822"/>
      <c r="AD25" s="2822"/>
      <c r="AE25" s="2831" t="str">
        <f ca="1">'A&amp;L'!P9</f>
        <v/>
      </c>
      <c r="AF25" s="2831"/>
      <c r="AG25" s="2831"/>
      <c r="AH25" s="2831"/>
      <c r="AI25" s="2831"/>
      <c r="AJ25" s="2831"/>
      <c r="AK25" s="2831"/>
      <c r="AL25" s="2831"/>
      <c r="AM25" s="2831"/>
      <c r="AN25" s="2829" t="str">
        <f>IF(AND(dateofdeparture&gt;0,'GENERAL INFO'!F42="X"),"My copy of EPO is attached",IF(AND(dateofdeparture&gt;0,'GENERAL INFO'!J42="X"),"My copy of ERP tidak",""))</f>
        <v/>
      </c>
      <c r="AO25" s="2829"/>
      <c r="AP25" s="2829"/>
      <c r="AQ25" s="2829"/>
      <c r="AR25" s="2829"/>
      <c r="AS25" s="2829"/>
      <c r="AT25" s="2829"/>
      <c r="AU25" s="2830"/>
      <c r="AV25" s="1827"/>
      <c r="AW25" s="64"/>
    </row>
    <row r="26" spans="1:61" ht="26.1" customHeight="1">
      <c r="A26" s="69"/>
      <c r="B26" s="2624">
        <v>3</v>
      </c>
      <c r="C26" s="2624"/>
      <c r="D26" s="1728"/>
      <c r="E26" s="1728"/>
      <c r="F26" s="1728"/>
      <c r="G26" s="1728"/>
      <c r="H26" s="1728"/>
      <c r="I26" s="1728"/>
      <c r="J26" s="1728"/>
      <c r="K26" s="1728"/>
      <c r="L26" s="1728"/>
      <c r="M26" s="1728"/>
      <c r="N26" s="2850" t="str">
        <f ca="1">'A&amp;L'!N10</f>
        <v/>
      </c>
      <c r="O26" s="2850"/>
      <c r="P26" s="2826" t="str">
        <f ca="1">'A&amp;L'!O10</f>
        <v/>
      </c>
      <c r="Q26" s="2826"/>
      <c r="R26" s="2826"/>
      <c r="S26" s="2826"/>
      <c r="T26" s="2826"/>
      <c r="U26" s="2826"/>
      <c r="V26" s="2826"/>
      <c r="W26" s="2826"/>
      <c r="X26" s="2826"/>
      <c r="Y26" s="2822"/>
      <c r="Z26" s="2822"/>
      <c r="AA26" s="2822"/>
      <c r="AB26" s="2822"/>
      <c r="AC26" s="2822"/>
      <c r="AD26" s="2822"/>
      <c r="AE26" s="2831" t="str">
        <f ca="1">'A&amp;L'!P10</f>
        <v/>
      </c>
      <c r="AF26" s="2831"/>
      <c r="AG26" s="2831"/>
      <c r="AH26" s="2831"/>
      <c r="AI26" s="2831"/>
      <c r="AJ26" s="2831"/>
      <c r="AK26" s="2831"/>
      <c r="AL26" s="2831"/>
      <c r="AM26" s="2831"/>
      <c r="AN26" s="2829" t="str">
        <f>IF(AND(dateofdeparture&gt;0,'GENERAL INFO'!F42="X"),"",IF(AND(dateofdeparture&gt;0,'GENERAL INFO'!J42="X"),"kembali is attached ",""))</f>
        <v/>
      </c>
      <c r="AO26" s="2829"/>
      <c r="AP26" s="2829"/>
      <c r="AQ26" s="2829"/>
      <c r="AR26" s="2829"/>
      <c r="AS26" s="2829"/>
      <c r="AT26" s="2829"/>
      <c r="AU26" s="2830"/>
      <c r="AV26" s="1827"/>
      <c r="AW26" s="64"/>
    </row>
    <row r="27" spans="1:61" ht="26.1" customHeight="1">
      <c r="A27" s="69"/>
      <c r="B27" s="2624">
        <v>4</v>
      </c>
      <c r="C27" s="2624"/>
      <c r="D27" s="1728"/>
      <c r="E27" s="1728"/>
      <c r="F27" s="1728"/>
      <c r="G27" s="1728"/>
      <c r="H27" s="1728"/>
      <c r="I27" s="1728"/>
      <c r="J27" s="1728"/>
      <c r="K27" s="1728"/>
      <c r="L27" s="1728"/>
      <c r="M27" s="1728"/>
      <c r="N27" s="2850" t="str">
        <f ca="1">'A&amp;L'!N11</f>
        <v/>
      </c>
      <c r="O27" s="2850"/>
      <c r="P27" s="2826" t="str">
        <f ca="1">'A&amp;L'!O11</f>
        <v/>
      </c>
      <c r="Q27" s="2826"/>
      <c r="R27" s="2826"/>
      <c r="S27" s="2826"/>
      <c r="T27" s="2826"/>
      <c r="U27" s="2826"/>
      <c r="V27" s="2826"/>
      <c r="W27" s="2826"/>
      <c r="X27" s="2826"/>
      <c r="Y27" s="2822"/>
      <c r="Z27" s="2822"/>
      <c r="AA27" s="2822"/>
      <c r="AB27" s="2822"/>
      <c r="AC27" s="2822"/>
      <c r="AD27" s="2822"/>
      <c r="AE27" s="2831" t="str">
        <f ca="1">'A&amp;L'!P11</f>
        <v/>
      </c>
      <c r="AF27" s="2831"/>
      <c r="AG27" s="2831"/>
      <c r="AH27" s="2831"/>
      <c r="AI27" s="2831"/>
      <c r="AJ27" s="2831"/>
      <c r="AK27" s="2831"/>
      <c r="AL27" s="2831"/>
      <c r="AM27" s="2831"/>
      <c r="AN27" s="2827"/>
      <c r="AO27" s="2827"/>
      <c r="AP27" s="2827"/>
      <c r="AQ27" s="2827"/>
      <c r="AR27" s="2827"/>
      <c r="AS27" s="2827"/>
      <c r="AT27" s="2827"/>
      <c r="AU27" s="2828"/>
      <c r="AV27" s="1827"/>
      <c r="AW27" s="64"/>
    </row>
    <row r="28" spans="1:61" ht="26.1" customHeight="1">
      <c r="A28" s="69"/>
      <c r="B28" s="2624">
        <v>5</v>
      </c>
      <c r="C28" s="2624"/>
      <c r="D28" s="1728"/>
      <c r="E28" s="1728"/>
      <c r="F28" s="1728"/>
      <c r="G28" s="1728"/>
      <c r="H28" s="1728"/>
      <c r="I28" s="1728"/>
      <c r="J28" s="1728"/>
      <c r="K28" s="1728"/>
      <c r="L28" s="1728"/>
      <c r="M28" s="1728"/>
      <c r="N28" s="2850" t="str">
        <f ca="1">'A&amp;L'!N12</f>
        <v/>
      </c>
      <c r="O28" s="2850"/>
      <c r="P28" s="2826" t="str">
        <f ca="1">'A&amp;L'!O12</f>
        <v/>
      </c>
      <c r="Q28" s="2826"/>
      <c r="R28" s="2826"/>
      <c r="S28" s="2826"/>
      <c r="T28" s="2826"/>
      <c r="U28" s="2826"/>
      <c r="V28" s="2826"/>
      <c r="W28" s="2826"/>
      <c r="X28" s="2826"/>
      <c r="Y28" s="2822"/>
      <c r="Z28" s="2822"/>
      <c r="AA28" s="2822"/>
      <c r="AB28" s="2822"/>
      <c r="AC28" s="2822"/>
      <c r="AD28" s="2822"/>
      <c r="AE28" s="2831" t="str">
        <f ca="1">'A&amp;L'!P12</f>
        <v/>
      </c>
      <c r="AF28" s="2831"/>
      <c r="AG28" s="2831"/>
      <c r="AH28" s="2831"/>
      <c r="AI28" s="2831"/>
      <c r="AJ28" s="2831"/>
      <c r="AK28" s="2831"/>
      <c r="AL28" s="2831"/>
      <c r="AM28" s="2831"/>
      <c r="AN28" s="2827"/>
      <c r="AO28" s="2827"/>
      <c r="AP28" s="2827"/>
      <c r="AQ28" s="2827"/>
      <c r="AR28" s="2827"/>
      <c r="AS28" s="2827"/>
      <c r="AT28" s="2827"/>
      <c r="AU28" s="2828"/>
      <c r="AV28" s="1827"/>
      <c r="AW28" s="64"/>
    </row>
    <row r="29" spans="1:61" ht="26.1" customHeight="1">
      <c r="A29" s="69"/>
      <c r="B29" s="2624">
        <v>6</v>
      </c>
      <c r="C29" s="2624"/>
      <c r="D29" s="1728"/>
      <c r="E29" s="1728"/>
      <c r="F29" s="1728"/>
      <c r="G29" s="1728"/>
      <c r="H29" s="1728"/>
      <c r="I29" s="1728"/>
      <c r="J29" s="1728"/>
      <c r="K29" s="1728"/>
      <c r="L29" s="1728"/>
      <c r="M29" s="1728"/>
      <c r="N29" s="2850" t="str">
        <f ca="1">'A&amp;L'!N13</f>
        <v/>
      </c>
      <c r="O29" s="2850"/>
      <c r="P29" s="2826" t="str">
        <f ca="1">'A&amp;L'!O13</f>
        <v/>
      </c>
      <c r="Q29" s="2826"/>
      <c r="R29" s="2826"/>
      <c r="S29" s="2826"/>
      <c r="T29" s="2826"/>
      <c r="U29" s="2826"/>
      <c r="V29" s="2826"/>
      <c r="W29" s="2826"/>
      <c r="X29" s="2826"/>
      <c r="Y29" s="2822"/>
      <c r="Z29" s="2822"/>
      <c r="AA29" s="2822"/>
      <c r="AB29" s="2822"/>
      <c r="AC29" s="2822"/>
      <c r="AD29" s="2822"/>
      <c r="AE29" s="2831" t="str">
        <f ca="1">'A&amp;L'!P13</f>
        <v/>
      </c>
      <c r="AF29" s="2831"/>
      <c r="AG29" s="2831"/>
      <c r="AH29" s="2831"/>
      <c r="AI29" s="2831"/>
      <c r="AJ29" s="2831"/>
      <c r="AK29" s="2831"/>
      <c r="AL29" s="2831"/>
      <c r="AM29" s="2831"/>
      <c r="AN29" s="2827"/>
      <c r="AO29" s="2827"/>
      <c r="AP29" s="2827"/>
      <c r="AQ29" s="2827"/>
      <c r="AR29" s="2827"/>
      <c r="AS29" s="2827"/>
      <c r="AT29" s="2827"/>
      <c r="AU29" s="2827"/>
      <c r="AV29" s="2827"/>
      <c r="AW29" s="64"/>
    </row>
    <row r="30" spans="1:61" ht="26.1" customHeight="1">
      <c r="A30" s="69"/>
      <c r="B30" s="2624">
        <v>7</v>
      </c>
      <c r="C30" s="2624"/>
      <c r="D30" s="1728"/>
      <c r="E30" s="1728"/>
      <c r="F30" s="1728"/>
      <c r="G30" s="1728"/>
      <c r="H30" s="1728"/>
      <c r="I30" s="1728"/>
      <c r="J30" s="1728"/>
      <c r="K30" s="1728"/>
      <c r="L30" s="1728"/>
      <c r="M30" s="1728"/>
      <c r="N30" s="2850" t="str">
        <f ca="1">'A&amp;L'!N14</f>
        <v/>
      </c>
      <c r="O30" s="2850"/>
      <c r="P30" s="2826" t="str">
        <f ca="1">'A&amp;L'!O14</f>
        <v/>
      </c>
      <c r="Q30" s="2826"/>
      <c r="R30" s="2826"/>
      <c r="S30" s="2826"/>
      <c r="T30" s="2826"/>
      <c r="U30" s="2826"/>
      <c r="V30" s="2826"/>
      <c r="W30" s="2826"/>
      <c r="X30" s="2826"/>
      <c r="Y30" s="2822"/>
      <c r="Z30" s="2822"/>
      <c r="AA30" s="2822"/>
      <c r="AB30" s="2822"/>
      <c r="AC30" s="2822"/>
      <c r="AD30" s="2822"/>
      <c r="AE30" s="2831" t="str">
        <f ca="1">'A&amp;L'!P14</f>
        <v/>
      </c>
      <c r="AF30" s="2831"/>
      <c r="AG30" s="2831"/>
      <c r="AH30" s="2831"/>
      <c r="AI30" s="2831"/>
      <c r="AJ30" s="2831"/>
      <c r="AK30" s="2831"/>
      <c r="AL30" s="2831"/>
      <c r="AM30" s="2831"/>
      <c r="AN30" s="2827"/>
      <c r="AO30" s="2827"/>
      <c r="AP30" s="2827"/>
      <c r="AQ30" s="2827"/>
      <c r="AR30" s="2827"/>
      <c r="AS30" s="2827"/>
      <c r="AT30" s="2827"/>
      <c r="AU30" s="2828"/>
      <c r="AV30" s="1827"/>
      <c r="AW30" s="64"/>
    </row>
    <row r="31" spans="1:61" ht="26.1" customHeight="1">
      <c r="A31" s="69"/>
      <c r="B31" s="2624">
        <v>8</v>
      </c>
      <c r="C31" s="2624"/>
      <c r="D31" s="1728"/>
      <c r="E31" s="1728"/>
      <c r="F31" s="1728"/>
      <c r="G31" s="1728"/>
      <c r="H31" s="1728"/>
      <c r="I31" s="1728"/>
      <c r="J31" s="1728"/>
      <c r="K31" s="1728"/>
      <c r="L31" s="1728"/>
      <c r="M31" s="1728"/>
      <c r="N31" s="2850" t="str">
        <f ca="1">'A&amp;L'!N15</f>
        <v/>
      </c>
      <c r="O31" s="2850"/>
      <c r="P31" s="2826" t="str">
        <f ca="1">'A&amp;L'!O15</f>
        <v/>
      </c>
      <c r="Q31" s="2826"/>
      <c r="R31" s="2826"/>
      <c r="S31" s="2826"/>
      <c r="T31" s="2826"/>
      <c r="U31" s="2826"/>
      <c r="V31" s="2826"/>
      <c r="W31" s="2826"/>
      <c r="X31" s="2826"/>
      <c r="Y31" s="2822"/>
      <c r="Z31" s="2822"/>
      <c r="AA31" s="2822"/>
      <c r="AB31" s="2822"/>
      <c r="AC31" s="2822"/>
      <c r="AD31" s="2822"/>
      <c r="AE31" s="2831" t="str">
        <f ca="1">'A&amp;L'!P15</f>
        <v/>
      </c>
      <c r="AF31" s="2831"/>
      <c r="AG31" s="2831"/>
      <c r="AH31" s="2831"/>
      <c r="AI31" s="2831"/>
      <c r="AJ31" s="2831"/>
      <c r="AK31" s="2831"/>
      <c r="AL31" s="2831"/>
      <c r="AM31" s="2831"/>
      <c r="AN31" s="2827"/>
      <c r="AO31" s="2827"/>
      <c r="AP31" s="2827"/>
      <c r="AQ31" s="2827"/>
      <c r="AR31" s="2827"/>
      <c r="AS31" s="2827"/>
      <c r="AT31" s="2827"/>
      <c r="AU31" s="2828"/>
      <c r="AV31" s="1827"/>
      <c r="AW31" s="64"/>
    </row>
    <row r="32" spans="1:61" ht="26.1" customHeight="1">
      <c r="A32" s="69"/>
      <c r="B32" s="2624">
        <v>9</v>
      </c>
      <c r="C32" s="2624"/>
      <c r="D32" s="1728"/>
      <c r="E32" s="1728"/>
      <c r="F32" s="1728"/>
      <c r="G32" s="1728"/>
      <c r="H32" s="1728"/>
      <c r="I32" s="1728"/>
      <c r="J32" s="1728"/>
      <c r="K32" s="1728"/>
      <c r="L32" s="1728"/>
      <c r="M32" s="1728"/>
      <c r="N32" s="2850" t="str">
        <f ca="1">'A&amp;L'!N16</f>
        <v/>
      </c>
      <c r="O32" s="2850"/>
      <c r="P32" s="2826" t="str">
        <f ca="1">'A&amp;L'!O16</f>
        <v/>
      </c>
      <c r="Q32" s="2826"/>
      <c r="R32" s="2826"/>
      <c r="S32" s="2826"/>
      <c r="T32" s="2826"/>
      <c r="U32" s="2826"/>
      <c r="V32" s="2826"/>
      <c r="W32" s="2826"/>
      <c r="X32" s="2826"/>
      <c r="Y32" s="2822"/>
      <c r="Z32" s="2822"/>
      <c r="AA32" s="2822"/>
      <c r="AB32" s="2822"/>
      <c r="AC32" s="2822"/>
      <c r="AD32" s="2822"/>
      <c r="AE32" s="2831" t="str">
        <f ca="1">'A&amp;L'!P16</f>
        <v/>
      </c>
      <c r="AF32" s="2831"/>
      <c r="AG32" s="2831"/>
      <c r="AH32" s="2831"/>
      <c r="AI32" s="2831"/>
      <c r="AJ32" s="2831"/>
      <c r="AK32" s="2831"/>
      <c r="AL32" s="2831"/>
      <c r="AM32" s="2831"/>
      <c r="AN32" s="2827"/>
      <c r="AO32" s="2827"/>
      <c r="AP32" s="2827"/>
      <c r="AQ32" s="2827"/>
      <c r="AR32" s="2827"/>
      <c r="AS32" s="2827"/>
      <c r="AT32" s="2827"/>
      <c r="AU32" s="2828"/>
      <c r="AV32" s="1827"/>
      <c r="AW32" s="64"/>
    </row>
    <row r="33" spans="1:66" ht="26.1" customHeight="1">
      <c r="A33" s="47"/>
      <c r="B33" s="2656" t="s">
        <v>1170</v>
      </c>
      <c r="C33" s="2656"/>
      <c r="D33" s="1729"/>
      <c r="E33" s="1729"/>
      <c r="F33" s="1729"/>
      <c r="G33" s="1729"/>
      <c r="H33" s="1729"/>
      <c r="I33" s="1729"/>
      <c r="J33" s="1729"/>
      <c r="K33" s="1729"/>
      <c r="L33" s="1729"/>
      <c r="M33" s="1729"/>
      <c r="N33" s="2850" t="str">
        <f ca="1">'A&amp;L'!N17</f>
        <v/>
      </c>
      <c r="O33" s="2850"/>
      <c r="P33" s="2826" t="str">
        <f ca="1">'A&amp;L'!O17</f>
        <v/>
      </c>
      <c r="Q33" s="2826"/>
      <c r="R33" s="2826"/>
      <c r="S33" s="2826"/>
      <c r="T33" s="2826"/>
      <c r="U33" s="2826"/>
      <c r="V33" s="2826"/>
      <c r="W33" s="2826"/>
      <c r="X33" s="2826"/>
      <c r="Y33" s="2822"/>
      <c r="Z33" s="2822"/>
      <c r="AA33" s="2822"/>
      <c r="AB33" s="2822"/>
      <c r="AC33" s="2822"/>
      <c r="AD33" s="2822"/>
      <c r="AE33" s="2831" t="str">
        <f ca="1">'A&amp;L'!P17</f>
        <v/>
      </c>
      <c r="AF33" s="2831"/>
      <c r="AG33" s="2831"/>
      <c r="AH33" s="2831"/>
      <c r="AI33" s="2831"/>
      <c r="AJ33" s="2831"/>
      <c r="AK33" s="2831"/>
      <c r="AL33" s="2831"/>
      <c r="AM33" s="2831"/>
      <c r="AN33" s="2827"/>
      <c r="AO33" s="2827"/>
      <c r="AP33" s="2827"/>
      <c r="AQ33" s="2827"/>
      <c r="AR33" s="2827"/>
      <c r="AS33" s="2827"/>
      <c r="AT33" s="2827"/>
      <c r="AU33" s="2827"/>
      <c r="AV33" s="2827"/>
      <c r="AW33" s="64"/>
    </row>
    <row r="34" spans="1:66" ht="21.95" customHeight="1">
      <c r="A34" s="47"/>
      <c r="B34" s="2858" t="s">
        <v>1130</v>
      </c>
      <c r="C34" s="2859"/>
      <c r="D34" s="2859"/>
      <c r="E34" s="2859"/>
      <c r="F34" s="2859"/>
      <c r="G34" s="2859"/>
      <c r="H34" s="2859"/>
      <c r="I34" s="2859"/>
      <c r="J34" s="2859"/>
      <c r="K34" s="2859"/>
      <c r="L34" s="2859"/>
      <c r="M34" s="2859"/>
      <c r="N34" s="2859"/>
      <c r="O34" s="2859"/>
      <c r="P34" s="2859"/>
      <c r="Q34" s="2859"/>
      <c r="R34" s="2859"/>
      <c r="S34" s="2859"/>
      <c r="T34" s="2859"/>
      <c r="U34" s="2859"/>
      <c r="V34" s="2859"/>
      <c r="W34" s="2859"/>
      <c r="X34" s="2860"/>
      <c r="Y34" s="2861"/>
      <c r="Z34" s="2862"/>
      <c r="AA34" s="2862"/>
      <c r="AB34" s="2863"/>
      <c r="AC34" s="2864" t="s">
        <v>1131</v>
      </c>
      <c r="AD34" s="2865"/>
      <c r="AE34" s="2813">
        <f ca="1">SUM(AE24:AM33)</f>
        <v>0</v>
      </c>
      <c r="AF34" s="2814"/>
      <c r="AG34" s="2814"/>
      <c r="AH34" s="2814"/>
      <c r="AI34" s="2814"/>
      <c r="AJ34" s="2814"/>
      <c r="AK34" s="2814"/>
      <c r="AL34" s="2814"/>
      <c r="AM34" s="2815"/>
      <c r="AN34" s="2866"/>
      <c r="AO34" s="2867"/>
      <c r="AP34" s="2867"/>
      <c r="AQ34" s="2867"/>
      <c r="AR34" s="2867"/>
      <c r="AS34" s="2867"/>
      <c r="AT34" s="2867"/>
      <c r="AU34" s="2867"/>
      <c r="AV34" s="2868"/>
      <c r="AW34" s="119"/>
    </row>
    <row r="35" spans="1:66" ht="6" customHeight="1">
      <c r="A35" s="47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203"/>
      <c r="O35" s="11"/>
      <c r="P35" s="11"/>
      <c r="Q35" s="11"/>
      <c r="R35" s="11"/>
      <c r="S35" s="11"/>
      <c r="T35" s="11"/>
      <c r="U35" s="11"/>
      <c r="V35" s="11"/>
      <c r="W35" s="11"/>
      <c r="X35" s="160"/>
      <c r="Y35" s="160"/>
      <c r="Z35" s="160"/>
      <c r="AA35" s="160"/>
      <c r="AB35" s="160"/>
      <c r="AC35" s="160"/>
      <c r="AD35" s="160"/>
      <c r="AE35" s="160"/>
      <c r="AF35" s="160"/>
      <c r="AG35" s="35"/>
      <c r="AH35" s="129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</row>
    <row r="36" spans="1:66" ht="19.5" customHeight="1">
      <c r="A36" s="47"/>
      <c r="B36" s="201" t="s">
        <v>1152</v>
      </c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39" t="s">
        <v>1163</v>
      </c>
      <c r="Q36" s="204"/>
      <c r="R36" s="204"/>
      <c r="S36" s="204"/>
      <c r="T36" s="204"/>
      <c r="U36" s="155"/>
      <c r="V36" s="155"/>
      <c r="W36" s="155"/>
      <c r="X36" s="155"/>
      <c r="Y36" s="155"/>
      <c r="Z36" s="155"/>
      <c r="AA36" s="155"/>
      <c r="AB36" s="155"/>
      <c r="AC36" s="155"/>
      <c r="AD36" s="155"/>
      <c r="AE36" s="155"/>
      <c r="AF36" s="155"/>
      <c r="AG36" s="155"/>
      <c r="AH36" s="137"/>
      <c r="AI36" s="155"/>
      <c r="AJ36" s="155"/>
      <c r="AK36" s="155"/>
      <c r="AL36" s="155"/>
      <c r="AM36" s="155"/>
      <c r="AN36" s="155"/>
      <c r="AO36" s="64"/>
      <c r="AP36" s="64"/>
      <c r="AQ36" s="64"/>
      <c r="AR36" s="64"/>
      <c r="AS36" s="64"/>
      <c r="AT36" s="64"/>
      <c r="AU36" s="64"/>
      <c r="AV36" s="64"/>
      <c r="AW36" s="64"/>
    </row>
    <row r="37" spans="1:66" ht="9.75" customHeight="1">
      <c r="A37" s="47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203"/>
      <c r="O37" s="11"/>
      <c r="P37" s="11"/>
      <c r="Q37" s="11"/>
      <c r="R37" s="11"/>
      <c r="S37" s="11"/>
      <c r="T37" s="11"/>
      <c r="U37" s="160"/>
      <c r="V37" s="11"/>
      <c r="W37" s="11"/>
      <c r="X37" s="160"/>
      <c r="Y37" s="160"/>
      <c r="Z37" s="160"/>
      <c r="AA37" s="160"/>
      <c r="AB37" s="160"/>
      <c r="AC37" s="160"/>
      <c r="AD37" s="160"/>
      <c r="AE37" s="160"/>
      <c r="AF37" s="160"/>
      <c r="AG37" s="35"/>
      <c r="AH37" s="129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</row>
    <row r="38" spans="1:66" ht="33" customHeight="1">
      <c r="A38" s="47"/>
      <c r="B38" s="2644" t="s">
        <v>123</v>
      </c>
      <c r="C38" s="2646"/>
      <c r="D38" s="767"/>
      <c r="E38" s="767"/>
      <c r="F38" s="767"/>
      <c r="G38" s="767"/>
      <c r="H38" s="767"/>
      <c r="I38" s="767"/>
      <c r="J38" s="767"/>
      <c r="K38" s="767"/>
      <c r="L38" s="767"/>
      <c r="M38" s="767"/>
      <c r="N38" s="2844" t="s">
        <v>1165</v>
      </c>
      <c r="O38" s="2845"/>
      <c r="P38" s="2846" t="s">
        <v>1171</v>
      </c>
      <c r="Q38" s="2856"/>
      <c r="R38" s="2856"/>
      <c r="S38" s="2856"/>
      <c r="T38" s="2856"/>
      <c r="U38" s="2856"/>
      <c r="V38" s="2856"/>
      <c r="W38" s="2856"/>
      <c r="X38" s="2856"/>
      <c r="Y38" s="2856"/>
      <c r="Z38" s="2857"/>
      <c r="AA38" s="2718" t="s">
        <v>1172</v>
      </c>
      <c r="AB38" s="2719"/>
      <c r="AC38" s="2719"/>
      <c r="AD38" s="2719"/>
      <c r="AE38" s="2719"/>
      <c r="AF38" s="2719"/>
      <c r="AG38" s="2719"/>
      <c r="AH38" s="2720"/>
      <c r="AI38" s="2718" t="s">
        <v>1167</v>
      </c>
      <c r="AJ38" s="2719"/>
      <c r="AK38" s="2719"/>
      <c r="AL38" s="2719"/>
      <c r="AM38" s="2720"/>
      <c r="AN38" s="2644" t="s">
        <v>1173</v>
      </c>
      <c r="AO38" s="2645"/>
      <c r="AP38" s="2645"/>
      <c r="AQ38" s="2645"/>
      <c r="AR38" s="2645"/>
      <c r="AS38" s="2645"/>
      <c r="AT38" s="2645"/>
      <c r="AU38" s="2645"/>
      <c r="AV38" s="2646"/>
      <c r="AW38" s="202"/>
    </row>
    <row r="39" spans="1:66" ht="12.75" customHeight="1">
      <c r="A39" s="47"/>
      <c r="B39" s="2651" t="s">
        <v>128</v>
      </c>
      <c r="C39" s="2653"/>
      <c r="D39" s="761"/>
      <c r="E39" s="761"/>
      <c r="F39" s="761"/>
      <c r="G39" s="761"/>
      <c r="H39" s="761"/>
      <c r="I39" s="761"/>
      <c r="J39" s="761"/>
      <c r="K39" s="761"/>
      <c r="L39" s="761"/>
      <c r="M39" s="761"/>
      <c r="N39" s="2851" t="s">
        <v>129</v>
      </c>
      <c r="O39" s="2852"/>
      <c r="P39" s="519"/>
      <c r="Q39" s="519"/>
      <c r="R39" s="519"/>
      <c r="S39" s="519"/>
      <c r="T39" s="519"/>
      <c r="U39" s="519" t="s">
        <v>130</v>
      </c>
      <c r="V39" s="519"/>
      <c r="W39" s="519"/>
      <c r="X39" s="519"/>
      <c r="Y39" s="519"/>
      <c r="Z39" s="520"/>
      <c r="AA39" s="2651" t="s">
        <v>131</v>
      </c>
      <c r="AB39" s="2608"/>
      <c r="AC39" s="2608"/>
      <c r="AD39" s="2608"/>
      <c r="AE39" s="2608"/>
      <c r="AF39" s="2608"/>
      <c r="AG39" s="2608"/>
      <c r="AH39" s="2653"/>
      <c r="AI39" s="2651" t="s">
        <v>132</v>
      </c>
      <c r="AJ39" s="2608"/>
      <c r="AK39" s="2608"/>
      <c r="AL39" s="2608"/>
      <c r="AM39" s="2653"/>
      <c r="AN39" s="2651" t="s">
        <v>153</v>
      </c>
      <c r="AO39" s="2608"/>
      <c r="AP39" s="2608"/>
      <c r="AQ39" s="2608"/>
      <c r="AR39" s="2608"/>
      <c r="AS39" s="2608"/>
      <c r="AT39" s="2608"/>
      <c r="AU39" s="2608"/>
      <c r="AV39" s="2653"/>
      <c r="AW39" s="137"/>
    </row>
    <row r="40" spans="1:66" ht="26.1" customHeight="1">
      <c r="A40" s="156"/>
      <c r="B40" s="2624">
        <v>1</v>
      </c>
      <c r="C40" s="2624"/>
      <c r="D40" s="1728"/>
      <c r="E40" s="1728"/>
      <c r="F40" s="1728"/>
      <c r="G40" s="1728"/>
      <c r="H40" s="1728"/>
      <c r="I40" s="1728"/>
      <c r="J40" s="1728"/>
      <c r="K40" s="1728"/>
      <c r="L40" s="1728"/>
      <c r="M40" s="1728"/>
      <c r="N40" s="2850" t="str">
        <f ca="1">'A&amp;L'!N40</f>
        <v/>
      </c>
      <c r="O40" s="2850"/>
      <c r="P40" s="2825" t="str">
        <f ca="1">'A&amp;L'!O40</f>
        <v/>
      </c>
      <c r="Q40" s="2825"/>
      <c r="R40" s="2825"/>
      <c r="S40" s="2825"/>
      <c r="T40" s="2825"/>
      <c r="U40" s="2825"/>
      <c r="V40" s="2825"/>
      <c r="W40" s="2825"/>
      <c r="X40" s="2825"/>
      <c r="Y40" s="2825"/>
      <c r="Z40" s="2825"/>
      <c r="AA40" s="2823"/>
      <c r="AB40" s="2823"/>
      <c r="AC40" s="2823"/>
      <c r="AD40" s="2823"/>
      <c r="AE40" s="2823"/>
      <c r="AF40" s="2823"/>
      <c r="AG40" s="2823"/>
      <c r="AH40" s="2823"/>
      <c r="AI40" s="2822"/>
      <c r="AJ40" s="2822"/>
      <c r="AK40" s="2822"/>
      <c r="AL40" s="2822"/>
      <c r="AM40" s="2822"/>
      <c r="AN40" s="2831" t="str">
        <f ca="1">'A&amp;L'!P40</f>
        <v/>
      </c>
      <c r="AO40" s="2831"/>
      <c r="AP40" s="2831"/>
      <c r="AQ40" s="2831"/>
      <c r="AR40" s="2831"/>
      <c r="AS40" s="2831"/>
      <c r="AT40" s="2831"/>
      <c r="AU40" s="2831"/>
      <c r="AV40" s="2831"/>
      <c r="AW40" s="65"/>
    </row>
    <row r="41" spans="1:66" ht="26.1" customHeight="1">
      <c r="A41" s="69"/>
      <c r="B41" s="2624">
        <v>2</v>
      </c>
      <c r="C41" s="2624"/>
      <c r="D41" s="1728"/>
      <c r="E41" s="1728"/>
      <c r="F41" s="1728"/>
      <c r="G41" s="1728"/>
      <c r="H41" s="1728"/>
      <c r="I41" s="1728"/>
      <c r="J41" s="1728"/>
      <c r="K41" s="1728"/>
      <c r="L41" s="1728"/>
      <c r="M41" s="1728"/>
      <c r="N41" s="2850" t="str">
        <f ca="1">'A&amp;L'!N45</f>
        <v/>
      </c>
      <c r="O41" s="2850"/>
      <c r="P41" s="2825" t="str">
        <f ca="1">'A&amp;L'!O45</f>
        <v/>
      </c>
      <c r="Q41" s="2825"/>
      <c r="R41" s="2825"/>
      <c r="S41" s="2825"/>
      <c r="T41" s="2825"/>
      <c r="U41" s="2825"/>
      <c r="V41" s="2825"/>
      <c r="W41" s="2825"/>
      <c r="X41" s="2825"/>
      <c r="Y41" s="2825"/>
      <c r="Z41" s="2825"/>
      <c r="AA41" s="2823"/>
      <c r="AB41" s="2823"/>
      <c r="AC41" s="2823"/>
      <c r="AD41" s="2823"/>
      <c r="AE41" s="2823"/>
      <c r="AF41" s="2823"/>
      <c r="AG41" s="2823"/>
      <c r="AH41" s="2823"/>
      <c r="AI41" s="2822"/>
      <c r="AJ41" s="2822"/>
      <c r="AK41" s="2822"/>
      <c r="AL41" s="2822"/>
      <c r="AM41" s="2822"/>
      <c r="AN41" s="2772" t="str">
        <f ca="1">'A&amp;L'!P45</f>
        <v/>
      </c>
      <c r="AO41" s="2772"/>
      <c r="AP41" s="2772"/>
      <c r="AQ41" s="2772"/>
      <c r="AR41" s="2772"/>
      <c r="AS41" s="2772"/>
      <c r="AT41" s="2772"/>
      <c r="AU41" s="2772"/>
      <c r="AV41" s="2772"/>
      <c r="AW41" s="64"/>
    </row>
    <row r="42" spans="1:66" ht="26.1" customHeight="1">
      <c r="A42" s="69"/>
      <c r="B42" s="2656">
        <v>3</v>
      </c>
      <c r="C42" s="2656"/>
      <c r="D42" s="1729"/>
      <c r="E42" s="1729"/>
      <c r="F42" s="1729"/>
      <c r="G42" s="1729"/>
      <c r="H42" s="1729"/>
      <c r="I42" s="1729"/>
      <c r="J42" s="1729"/>
      <c r="K42" s="1729"/>
      <c r="L42" s="1729"/>
      <c r="M42" s="1729"/>
      <c r="N42" s="2850" t="str">
        <f ca="1">'A&amp;L'!N46</f>
        <v/>
      </c>
      <c r="O42" s="2850"/>
      <c r="P42" s="2825" t="str">
        <f ca="1">'A&amp;L'!O46</f>
        <v/>
      </c>
      <c r="Q42" s="2825"/>
      <c r="R42" s="2825"/>
      <c r="S42" s="2825"/>
      <c r="T42" s="2825"/>
      <c r="U42" s="2825"/>
      <c r="V42" s="2825"/>
      <c r="W42" s="2825"/>
      <c r="X42" s="2825"/>
      <c r="Y42" s="2825"/>
      <c r="Z42" s="2825"/>
      <c r="AA42" s="2823"/>
      <c r="AB42" s="2823"/>
      <c r="AC42" s="2823"/>
      <c r="AD42" s="2823"/>
      <c r="AE42" s="2823"/>
      <c r="AF42" s="2823"/>
      <c r="AG42" s="2823"/>
      <c r="AH42" s="2823"/>
      <c r="AI42" s="2822"/>
      <c r="AJ42" s="2822"/>
      <c r="AK42" s="2822"/>
      <c r="AL42" s="2822"/>
      <c r="AM42" s="2822"/>
      <c r="AN42" s="2772" t="str">
        <f ca="1">'A&amp;L'!P46</f>
        <v/>
      </c>
      <c r="AO42" s="2772"/>
      <c r="AP42" s="2772"/>
      <c r="AQ42" s="2772"/>
      <c r="AR42" s="2772"/>
      <c r="AS42" s="2772"/>
      <c r="AT42" s="2772"/>
      <c r="AU42" s="2772"/>
      <c r="AV42" s="2772"/>
      <c r="AW42" s="64"/>
    </row>
    <row r="43" spans="1:66" ht="26.1" customHeight="1">
      <c r="A43" s="69"/>
      <c r="B43" s="2656">
        <v>4</v>
      </c>
      <c r="C43" s="2656"/>
      <c r="D43" s="1729"/>
      <c r="E43" s="1729"/>
      <c r="F43" s="1729"/>
      <c r="G43" s="1729"/>
      <c r="H43" s="1729"/>
      <c r="I43" s="1729"/>
      <c r="J43" s="1729"/>
      <c r="K43" s="1729"/>
      <c r="L43" s="1729"/>
      <c r="M43" s="1729"/>
      <c r="N43" s="2850" t="str">
        <f ca="1">'A&amp;L'!N47</f>
        <v/>
      </c>
      <c r="O43" s="2850"/>
      <c r="P43" s="2825" t="str">
        <f ca="1">'A&amp;L'!O47</f>
        <v/>
      </c>
      <c r="Q43" s="2825"/>
      <c r="R43" s="2825"/>
      <c r="S43" s="2825"/>
      <c r="T43" s="2825"/>
      <c r="U43" s="2825"/>
      <c r="V43" s="2825"/>
      <c r="W43" s="2825"/>
      <c r="X43" s="2825"/>
      <c r="Y43" s="2825"/>
      <c r="Z43" s="2825"/>
      <c r="AA43" s="2823"/>
      <c r="AB43" s="2823"/>
      <c r="AC43" s="2823"/>
      <c r="AD43" s="2823"/>
      <c r="AE43" s="2823"/>
      <c r="AF43" s="2823"/>
      <c r="AG43" s="2823"/>
      <c r="AH43" s="2823"/>
      <c r="AI43" s="2822"/>
      <c r="AJ43" s="2822"/>
      <c r="AK43" s="2822"/>
      <c r="AL43" s="2822"/>
      <c r="AM43" s="2822"/>
      <c r="AN43" s="2772" t="str">
        <f ca="1">'A&amp;L'!P47</f>
        <v/>
      </c>
      <c r="AO43" s="2772"/>
      <c r="AP43" s="2772"/>
      <c r="AQ43" s="2772"/>
      <c r="AR43" s="2772"/>
      <c r="AS43" s="2772"/>
      <c r="AT43" s="2772"/>
      <c r="AU43" s="2772"/>
      <c r="AV43" s="2772"/>
      <c r="AW43" s="64"/>
    </row>
    <row r="44" spans="1:66" ht="26.1" customHeight="1">
      <c r="A44" s="69"/>
      <c r="B44" s="2624">
        <v>5</v>
      </c>
      <c r="C44" s="2624"/>
      <c r="D44" s="1728"/>
      <c r="E44" s="1728"/>
      <c r="F44" s="1728"/>
      <c r="G44" s="1728"/>
      <c r="H44" s="1728"/>
      <c r="I44" s="1728"/>
      <c r="J44" s="1728"/>
      <c r="K44" s="1728"/>
      <c r="L44" s="1728"/>
      <c r="M44" s="1728"/>
      <c r="N44" s="2870"/>
      <c r="O44" s="2870"/>
      <c r="P44" s="2823"/>
      <c r="Q44" s="2823"/>
      <c r="R44" s="2823"/>
      <c r="S44" s="2823"/>
      <c r="T44" s="2823"/>
      <c r="U44" s="2823"/>
      <c r="V44" s="2823"/>
      <c r="W44" s="2823"/>
      <c r="X44" s="2823"/>
      <c r="Y44" s="2823"/>
      <c r="Z44" s="2823"/>
      <c r="AA44" s="2823"/>
      <c r="AB44" s="2823"/>
      <c r="AC44" s="2823"/>
      <c r="AD44" s="2823"/>
      <c r="AE44" s="2823"/>
      <c r="AF44" s="2823"/>
      <c r="AG44" s="2823"/>
      <c r="AH44" s="2823"/>
      <c r="AI44" s="2822"/>
      <c r="AJ44" s="2822"/>
      <c r="AK44" s="2822"/>
      <c r="AL44" s="2822"/>
      <c r="AM44" s="2822"/>
      <c r="AN44" s="2869"/>
      <c r="AO44" s="2869"/>
      <c r="AP44" s="2869"/>
      <c r="AQ44" s="2869"/>
      <c r="AR44" s="2869"/>
      <c r="AS44" s="2869"/>
      <c r="AT44" s="2869"/>
      <c r="AU44" s="2869"/>
      <c r="AV44" s="2869"/>
      <c r="AW44" s="64"/>
    </row>
    <row r="45" spans="1:66" ht="26.1" customHeight="1">
      <c r="A45" s="69"/>
      <c r="B45" s="2624">
        <v>6</v>
      </c>
      <c r="C45" s="2624"/>
      <c r="D45" s="1728"/>
      <c r="E45" s="1728"/>
      <c r="F45" s="1728"/>
      <c r="G45" s="1728"/>
      <c r="H45" s="1728"/>
      <c r="I45" s="1728"/>
      <c r="J45" s="1728"/>
      <c r="K45" s="1728"/>
      <c r="L45" s="1728"/>
      <c r="M45" s="1728"/>
      <c r="N45" s="2870"/>
      <c r="O45" s="2870"/>
      <c r="P45" s="2823"/>
      <c r="Q45" s="2823"/>
      <c r="R45" s="2823"/>
      <c r="S45" s="2823"/>
      <c r="T45" s="2823"/>
      <c r="U45" s="2823"/>
      <c r="V45" s="2823"/>
      <c r="W45" s="2823"/>
      <c r="X45" s="2823"/>
      <c r="Y45" s="2823"/>
      <c r="Z45" s="2823"/>
      <c r="AA45" s="2823"/>
      <c r="AB45" s="2823"/>
      <c r="AC45" s="2823"/>
      <c r="AD45" s="2823"/>
      <c r="AE45" s="2823"/>
      <c r="AF45" s="2823"/>
      <c r="AG45" s="2823"/>
      <c r="AH45" s="2823"/>
      <c r="AI45" s="2822"/>
      <c r="AJ45" s="2822"/>
      <c r="AK45" s="2822"/>
      <c r="AL45" s="2822"/>
      <c r="AM45" s="2822"/>
      <c r="AN45" s="2869"/>
      <c r="AO45" s="2869"/>
      <c r="AP45" s="2869"/>
      <c r="AQ45" s="2869"/>
      <c r="AR45" s="2869"/>
      <c r="AS45" s="2869"/>
      <c r="AT45" s="2869"/>
      <c r="AU45" s="2869"/>
      <c r="AV45" s="2869"/>
      <c r="AW45" s="64"/>
    </row>
    <row r="46" spans="1:66" ht="26.1" customHeight="1">
      <c r="A46" s="35"/>
      <c r="B46" s="2624">
        <v>7</v>
      </c>
      <c r="C46" s="2624"/>
      <c r="D46" s="1728"/>
      <c r="E46" s="1728"/>
      <c r="F46" s="1728"/>
      <c r="G46" s="1728"/>
      <c r="H46" s="1728"/>
      <c r="I46" s="1728"/>
      <c r="J46" s="1728"/>
      <c r="K46" s="1728"/>
      <c r="L46" s="1728"/>
      <c r="M46" s="1728"/>
      <c r="N46" s="2870"/>
      <c r="O46" s="2870"/>
      <c r="P46" s="2824"/>
      <c r="Q46" s="2824"/>
      <c r="R46" s="2824"/>
      <c r="S46" s="2824"/>
      <c r="T46" s="2824"/>
      <c r="U46" s="2824"/>
      <c r="V46" s="2824"/>
      <c r="W46" s="2824"/>
      <c r="X46" s="2824"/>
      <c r="Y46" s="2824"/>
      <c r="Z46" s="2824"/>
      <c r="AA46" s="2823"/>
      <c r="AB46" s="2823"/>
      <c r="AC46" s="2823"/>
      <c r="AD46" s="2823"/>
      <c r="AE46" s="2823"/>
      <c r="AF46" s="2823"/>
      <c r="AG46" s="2823"/>
      <c r="AH46" s="2823"/>
      <c r="AI46" s="2822"/>
      <c r="AJ46" s="2822"/>
      <c r="AK46" s="2822"/>
      <c r="AL46" s="2822"/>
      <c r="AM46" s="2822"/>
      <c r="AN46" s="2869"/>
      <c r="AO46" s="2869"/>
      <c r="AP46" s="2869"/>
      <c r="AQ46" s="2869"/>
      <c r="AR46" s="2869"/>
      <c r="AS46" s="2869"/>
      <c r="AT46" s="2869"/>
      <c r="AU46" s="2869"/>
      <c r="AV46" s="2869"/>
      <c r="AW46" s="35"/>
    </row>
    <row r="47" spans="1:66" ht="26.1" customHeight="1">
      <c r="A47" s="35"/>
      <c r="B47" s="2656">
        <v>8</v>
      </c>
      <c r="C47" s="2656"/>
      <c r="D47" s="1729"/>
      <c r="E47" s="1729"/>
      <c r="F47" s="1729"/>
      <c r="G47" s="1729"/>
      <c r="H47" s="1729"/>
      <c r="I47" s="1729"/>
      <c r="J47" s="1729"/>
      <c r="K47" s="1729"/>
      <c r="L47" s="1729"/>
      <c r="M47" s="1729"/>
      <c r="N47" s="2870"/>
      <c r="O47" s="2870"/>
      <c r="P47" s="2824"/>
      <c r="Q47" s="2824"/>
      <c r="R47" s="2824"/>
      <c r="S47" s="2824"/>
      <c r="T47" s="2824"/>
      <c r="U47" s="2824"/>
      <c r="V47" s="2824"/>
      <c r="W47" s="2824"/>
      <c r="X47" s="2824"/>
      <c r="Y47" s="2824"/>
      <c r="Z47" s="2824"/>
      <c r="AA47" s="2823"/>
      <c r="AB47" s="2823"/>
      <c r="AC47" s="2823"/>
      <c r="AD47" s="2823"/>
      <c r="AE47" s="2823"/>
      <c r="AF47" s="2823"/>
      <c r="AG47" s="2823"/>
      <c r="AH47" s="2823"/>
      <c r="AI47" s="2822"/>
      <c r="AJ47" s="2822"/>
      <c r="AK47" s="2822"/>
      <c r="AL47" s="2822"/>
      <c r="AM47" s="2822"/>
      <c r="AN47" s="2869"/>
      <c r="AO47" s="2869"/>
      <c r="AP47" s="2869"/>
      <c r="AQ47" s="2869"/>
      <c r="AR47" s="2869"/>
      <c r="AS47" s="2869"/>
      <c r="AT47" s="2869"/>
      <c r="AU47" s="2869"/>
      <c r="AV47" s="2869"/>
      <c r="AW47" s="35"/>
    </row>
    <row r="48" spans="1:66" s="64" customFormat="1" ht="26.1" customHeight="1">
      <c r="B48" s="2624">
        <v>9</v>
      </c>
      <c r="C48" s="2624"/>
      <c r="D48" s="1728"/>
      <c r="E48" s="1728"/>
      <c r="F48" s="1728"/>
      <c r="G48" s="1728"/>
      <c r="H48" s="1728"/>
      <c r="I48" s="1728"/>
      <c r="J48" s="1728"/>
      <c r="K48" s="1728"/>
      <c r="L48" s="1728"/>
      <c r="M48" s="1728"/>
      <c r="N48" s="2870"/>
      <c r="O48" s="2870"/>
      <c r="P48" s="2823"/>
      <c r="Q48" s="2823"/>
      <c r="R48" s="2823"/>
      <c r="S48" s="2823"/>
      <c r="T48" s="2823"/>
      <c r="U48" s="2823"/>
      <c r="V48" s="2823"/>
      <c r="W48" s="2823"/>
      <c r="X48" s="2823"/>
      <c r="Y48" s="2823"/>
      <c r="Z48" s="2823"/>
      <c r="AA48" s="2823"/>
      <c r="AB48" s="2823"/>
      <c r="AC48" s="2823"/>
      <c r="AD48" s="2823"/>
      <c r="AE48" s="2823"/>
      <c r="AF48" s="2823"/>
      <c r="AG48" s="2823"/>
      <c r="AH48" s="2823"/>
      <c r="AI48" s="2822"/>
      <c r="AJ48" s="2822"/>
      <c r="AK48" s="2822"/>
      <c r="AL48" s="2822"/>
      <c r="AM48" s="2822"/>
      <c r="AN48" s="2869"/>
      <c r="AO48" s="2869"/>
      <c r="AP48" s="2869"/>
      <c r="AQ48" s="2869"/>
      <c r="AR48" s="2869"/>
      <c r="AS48" s="2869"/>
      <c r="AT48" s="2869"/>
      <c r="AU48" s="2869"/>
      <c r="AV48" s="2869"/>
      <c r="AY48" s="102"/>
      <c r="AZ48" s="102"/>
      <c r="BA48" s="102"/>
      <c r="BB48" s="102"/>
      <c r="BC48" s="102"/>
      <c r="BD48" s="102"/>
      <c r="BE48" s="102"/>
      <c r="BF48" s="102"/>
      <c r="BG48" s="102"/>
      <c r="BH48" s="102"/>
      <c r="BI48" s="102"/>
      <c r="BJ48" s="102"/>
      <c r="BK48" s="102"/>
      <c r="BL48" s="102"/>
      <c r="BM48" s="102"/>
      <c r="BN48" s="102"/>
    </row>
    <row r="49" spans="1:66" s="64" customFormat="1" ht="26.1" customHeight="1">
      <c r="B49" s="2656" t="s">
        <v>1179</v>
      </c>
      <c r="C49" s="2656"/>
      <c r="D49" s="1725"/>
      <c r="E49" s="1725"/>
      <c r="F49" s="1725"/>
      <c r="G49" s="1725"/>
      <c r="H49" s="1725"/>
      <c r="I49" s="1725"/>
      <c r="J49" s="1725"/>
      <c r="K49" s="1725"/>
      <c r="L49" s="1725"/>
      <c r="M49" s="1725"/>
      <c r="N49" s="2870"/>
      <c r="O49" s="2870"/>
      <c r="P49" s="2823"/>
      <c r="Q49" s="2823"/>
      <c r="R49" s="2823"/>
      <c r="S49" s="2823"/>
      <c r="T49" s="2823"/>
      <c r="U49" s="2823"/>
      <c r="V49" s="2823"/>
      <c r="W49" s="2823"/>
      <c r="X49" s="2823"/>
      <c r="Y49" s="2823"/>
      <c r="Z49" s="2823"/>
      <c r="AA49" s="2823"/>
      <c r="AB49" s="2823"/>
      <c r="AC49" s="2823"/>
      <c r="AD49" s="2823"/>
      <c r="AE49" s="2823"/>
      <c r="AF49" s="2823"/>
      <c r="AG49" s="2823"/>
      <c r="AH49" s="2823"/>
      <c r="AI49" s="2822"/>
      <c r="AJ49" s="2822"/>
      <c r="AK49" s="2822"/>
      <c r="AL49" s="2822"/>
      <c r="AM49" s="2822"/>
      <c r="AN49" s="2869"/>
      <c r="AO49" s="2869"/>
      <c r="AP49" s="2869"/>
      <c r="AQ49" s="2869"/>
      <c r="AR49" s="2869"/>
      <c r="AS49" s="2869"/>
      <c r="AT49" s="2869"/>
      <c r="AU49" s="2869"/>
      <c r="AV49" s="2869"/>
      <c r="AY49" s="102"/>
      <c r="AZ49" s="102"/>
      <c r="BA49" s="102"/>
      <c r="BB49" s="102"/>
      <c r="BC49" s="102"/>
      <c r="BD49" s="102"/>
      <c r="BE49" s="102"/>
      <c r="BF49" s="102"/>
      <c r="BG49" s="102"/>
      <c r="BH49" s="102"/>
      <c r="BI49" s="102"/>
      <c r="BJ49" s="102"/>
      <c r="BK49" s="102"/>
      <c r="BL49" s="102"/>
      <c r="BM49" s="102"/>
      <c r="BN49" s="102"/>
    </row>
    <row r="50" spans="1:66" s="64" customFormat="1" ht="21.95" customHeight="1">
      <c r="B50" s="2625" t="s">
        <v>1088</v>
      </c>
      <c r="C50" s="2626"/>
      <c r="D50" s="2626"/>
      <c r="E50" s="2626"/>
      <c r="F50" s="2626"/>
      <c r="G50" s="2626"/>
      <c r="H50" s="2626"/>
      <c r="I50" s="2626"/>
      <c r="J50" s="2626"/>
      <c r="K50" s="2626"/>
      <c r="L50" s="2626"/>
      <c r="M50" s="2626"/>
      <c r="N50" s="2626"/>
      <c r="O50" s="2626"/>
      <c r="P50" s="2626"/>
      <c r="Q50" s="2626"/>
      <c r="R50" s="2626"/>
      <c r="S50" s="2626"/>
      <c r="T50" s="2626"/>
      <c r="U50" s="2626"/>
      <c r="V50" s="2626"/>
      <c r="W50" s="2626"/>
      <c r="X50" s="2626"/>
      <c r="Y50" s="2626"/>
      <c r="Z50" s="2626"/>
      <c r="AA50" s="2871"/>
      <c r="AB50" s="2871"/>
      <c r="AC50" s="2871"/>
      <c r="AD50" s="2871"/>
      <c r="AE50" s="2871"/>
      <c r="AF50" s="2871"/>
      <c r="AG50" s="2871"/>
      <c r="AH50" s="2871"/>
      <c r="AI50" s="2871"/>
      <c r="AJ50" s="2871"/>
      <c r="AK50" s="2872"/>
      <c r="AL50" s="2625" t="s">
        <v>1089</v>
      </c>
      <c r="AM50" s="2714"/>
      <c r="AN50" s="2629">
        <f ca="1">SUM(AN40:AV49)</f>
        <v>0</v>
      </c>
      <c r="AO50" s="2630"/>
      <c r="AP50" s="2630"/>
      <c r="AQ50" s="2630"/>
      <c r="AR50" s="2630"/>
      <c r="AS50" s="2630"/>
      <c r="AT50" s="2630"/>
      <c r="AU50" s="2630"/>
      <c r="AV50" s="2631"/>
      <c r="AW50" s="119"/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/>
      <c r="BK50" s="102"/>
      <c r="BL50" s="102"/>
      <c r="BM50" s="102"/>
      <c r="BN50" s="102"/>
    </row>
    <row r="51" spans="1:66" s="64" customFormat="1" ht="6.95" customHeight="1"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393"/>
      <c r="X51" s="393"/>
      <c r="Y51" s="393"/>
      <c r="Z51" s="393"/>
      <c r="AA51" s="393"/>
      <c r="AB51" s="393"/>
      <c r="AC51" s="393"/>
      <c r="AD51" s="393"/>
      <c r="AE51" s="393"/>
      <c r="AF51" s="393"/>
      <c r="AG51" s="393"/>
      <c r="AH51" s="393"/>
      <c r="AI51" s="393"/>
      <c r="AJ51" s="393"/>
      <c r="AK51" s="393"/>
      <c r="AL51" s="42"/>
      <c r="AM51" s="42"/>
      <c r="AN51" s="117"/>
      <c r="AO51" s="117"/>
      <c r="AP51" s="117"/>
      <c r="AQ51" s="117"/>
      <c r="AR51" s="117"/>
      <c r="AS51" s="117"/>
      <c r="AT51" s="117"/>
      <c r="AU51" s="117"/>
      <c r="AV51" s="117"/>
      <c r="AW51" s="119"/>
      <c r="AY51" s="102"/>
      <c r="AZ51" s="102"/>
      <c r="BA51" s="102"/>
      <c r="BB51" s="102"/>
      <c r="BC51" s="102"/>
      <c r="BD51" s="102"/>
      <c r="BE51" s="102"/>
      <c r="BF51" s="102"/>
      <c r="BG51" s="102"/>
      <c r="BH51" s="102"/>
      <c r="BI51" s="102"/>
      <c r="BJ51" s="102"/>
      <c r="BK51" s="102"/>
      <c r="BL51" s="102"/>
      <c r="BM51" s="102"/>
      <c r="BN51" s="102"/>
    </row>
    <row r="52" spans="1:66" ht="19.5" customHeight="1">
      <c r="A52" s="47"/>
      <c r="B52" s="201" t="s">
        <v>1091</v>
      </c>
      <c r="C52" s="204"/>
      <c r="D52" s="204"/>
      <c r="E52" s="204"/>
      <c r="F52" s="204"/>
      <c r="G52" s="204"/>
      <c r="H52" s="204"/>
      <c r="I52" s="204"/>
      <c r="J52" s="204"/>
      <c r="K52" s="204"/>
      <c r="L52" s="204"/>
      <c r="M52" s="204"/>
      <c r="N52" s="204"/>
      <c r="O52" s="204"/>
      <c r="P52" s="39" t="s">
        <v>1164</v>
      </c>
      <c r="Q52" s="204"/>
      <c r="R52" s="204"/>
      <c r="S52" s="204"/>
      <c r="T52" s="204"/>
      <c r="U52" s="155"/>
      <c r="V52" s="155"/>
      <c r="W52" s="155"/>
      <c r="X52" s="155"/>
      <c r="Y52" s="155"/>
      <c r="Z52" s="155"/>
      <c r="AA52" s="155"/>
      <c r="AB52" s="155"/>
      <c r="AC52" s="155"/>
      <c r="AD52" s="155"/>
      <c r="AE52" s="155"/>
      <c r="AF52" s="155"/>
      <c r="AG52" s="155"/>
      <c r="AH52" s="137"/>
      <c r="AI52" s="155"/>
      <c r="AJ52" s="155"/>
      <c r="AK52" s="155"/>
      <c r="AL52" s="155"/>
      <c r="AM52" s="155"/>
      <c r="AN52" s="155"/>
      <c r="AO52" s="64"/>
      <c r="AP52" s="64"/>
      <c r="AQ52" s="64"/>
      <c r="AR52" s="64"/>
      <c r="AS52" s="64"/>
      <c r="AT52" s="64"/>
      <c r="AU52" s="64"/>
      <c r="AV52" s="64"/>
      <c r="AW52" s="64"/>
    </row>
    <row r="53" spans="1:66" ht="9.75" customHeight="1">
      <c r="A53" s="47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203"/>
      <c r="O53" s="11"/>
      <c r="P53" s="11"/>
      <c r="Q53" s="11"/>
      <c r="R53" s="11"/>
      <c r="S53" s="11"/>
      <c r="T53" s="11"/>
      <c r="U53" s="160"/>
      <c r="V53" s="11"/>
      <c r="W53" s="11"/>
      <c r="X53" s="160"/>
      <c r="Y53" s="160"/>
      <c r="Z53" s="160"/>
      <c r="AA53" s="160"/>
      <c r="AB53" s="160"/>
      <c r="AC53" s="160"/>
      <c r="AD53" s="160"/>
      <c r="AE53" s="160"/>
      <c r="AF53" s="160"/>
      <c r="AG53" s="35"/>
      <c r="AH53" s="129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</row>
    <row r="54" spans="1:66" ht="33" customHeight="1">
      <c r="A54" s="47"/>
      <c r="B54" s="2642" t="s">
        <v>123</v>
      </c>
      <c r="C54" s="2643"/>
      <c r="D54" s="766"/>
      <c r="E54" s="766"/>
      <c r="F54" s="766"/>
      <c r="G54" s="766"/>
      <c r="H54" s="766"/>
      <c r="I54" s="766"/>
      <c r="J54" s="766"/>
      <c r="K54" s="766"/>
      <c r="L54" s="766"/>
      <c r="M54" s="766"/>
      <c r="N54" s="2718" t="s">
        <v>1174</v>
      </c>
      <c r="O54" s="2719"/>
      <c r="P54" s="2719"/>
      <c r="Q54" s="2719"/>
      <c r="R54" s="2719"/>
      <c r="S54" s="2719"/>
      <c r="T54" s="2719"/>
      <c r="U54" s="2719"/>
      <c r="V54" s="2719"/>
      <c r="W54" s="2719"/>
      <c r="X54" s="2720"/>
      <c r="Y54" s="2846" t="s">
        <v>1175</v>
      </c>
      <c r="Z54" s="2856"/>
      <c r="AA54" s="2856"/>
      <c r="AB54" s="2856"/>
      <c r="AC54" s="2856"/>
      <c r="AD54" s="2856"/>
      <c r="AE54" s="2857"/>
      <c r="AF54" s="2718" t="s">
        <v>1176</v>
      </c>
      <c r="AG54" s="2719"/>
      <c r="AH54" s="2719"/>
      <c r="AI54" s="2719"/>
      <c r="AJ54" s="2719"/>
      <c r="AK54" s="2719"/>
      <c r="AL54" s="2719"/>
      <c r="AM54" s="2720"/>
      <c r="AN54" s="2790" t="s">
        <v>1177</v>
      </c>
      <c r="AO54" s="2643"/>
      <c r="AP54" s="2643"/>
      <c r="AQ54" s="2643"/>
      <c r="AR54" s="2643"/>
      <c r="AS54" s="2643"/>
      <c r="AT54" s="2643"/>
      <c r="AU54" s="2643"/>
      <c r="AV54" s="2647"/>
      <c r="AW54" s="202"/>
    </row>
    <row r="55" spans="1:66" ht="12.75" customHeight="1">
      <c r="A55" s="47"/>
      <c r="B55" s="2651" t="s">
        <v>128</v>
      </c>
      <c r="C55" s="2652"/>
      <c r="D55" s="406"/>
      <c r="E55" s="406"/>
      <c r="F55" s="406"/>
      <c r="G55" s="406"/>
      <c r="H55" s="406"/>
      <c r="I55" s="406"/>
      <c r="J55" s="406"/>
      <c r="K55" s="406"/>
      <c r="L55" s="406"/>
      <c r="M55" s="406"/>
      <c r="N55" s="2873" t="s">
        <v>129</v>
      </c>
      <c r="O55" s="2874"/>
      <c r="P55" s="2874"/>
      <c r="Q55" s="2874"/>
      <c r="R55" s="2874"/>
      <c r="S55" s="2874"/>
      <c r="T55" s="2874"/>
      <c r="U55" s="2874"/>
      <c r="V55" s="2874"/>
      <c r="W55" s="2874"/>
      <c r="X55" s="2875"/>
      <c r="Y55" s="2651" t="s">
        <v>130</v>
      </c>
      <c r="Z55" s="2608"/>
      <c r="AA55" s="2608"/>
      <c r="AB55" s="2608"/>
      <c r="AC55" s="2608"/>
      <c r="AD55" s="2608"/>
      <c r="AE55" s="2653"/>
      <c r="AF55" s="2651" t="s">
        <v>131</v>
      </c>
      <c r="AG55" s="2608"/>
      <c r="AH55" s="2608"/>
      <c r="AI55" s="2608"/>
      <c r="AJ55" s="2608"/>
      <c r="AK55" s="2608"/>
      <c r="AL55" s="2608"/>
      <c r="AM55" s="2653"/>
      <c r="AN55" s="2608" t="s">
        <v>132</v>
      </c>
      <c r="AO55" s="2608"/>
      <c r="AP55" s="2608"/>
      <c r="AQ55" s="2608"/>
      <c r="AR55" s="2608"/>
      <c r="AS55" s="2608"/>
      <c r="AT55" s="2608"/>
      <c r="AU55" s="2608"/>
      <c r="AV55" s="2653"/>
      <c r="AW55" s="137"/>
    </row>
    <row r="56" spans="1:66" ht="26.1" customHeight="1">
      <c r="A56" s="156"/>
      <c r="B56" s="2624">
        <v>1</v>
      </c>
      <c r="C56" s="2624"/>
      <c r="D56" s="1728"/>
      <c r="E56" s="1728"/>
      <c r="F56" s="1728"/>
      <c r="G56" s="1728"/>
      <c r="H56" s="1728"/>
      <c r="I56" s="1728"/>
      <c r="J56" s="1728"/>
      <c r="K56" s="1728"/>
      <c r="L56" s="1728"/>
      <c r="M56" s="1728"/>
      <c r="N56" s="2876">
        <f>'GENERAL INFO'!C93</f>
        <v>0</v>
      </c>
      <c r="O56" s="2876"/>
      <c r="P56" s="2876"/>
      <c r="Q56" s="2876"/>
      <c r="R56" s="2876"/>
      <c r="S56" s="2876"/>
      <c r="T56" s="2876"/>
      <c r="U56" s="2876"/>
      <c r="V56" s="2876"/>
      <c r="W56" s="2876"/>
      <c r="X56" s="2876"/>
      <c r="Y56" s="2877">
        <f>'GENERAL INFO'!R93</f>
        <v>0</v>
      </c>
      <c r="Z56" s="2877"/>
      <c r="AA56" s="2877"/>
      <c r="AB56" s="2877"/>
      <c r="AC56" s="2877"/>
      <c r="AD56" s="2877"/>
      <c r="AE56" s="2877"/>
      <c r="AF56" s="2877">
        <f>'GENERAL INFO'!E93</f>
        <v>0</v>
      </c>
      <c r="AG56" s="2877"/>
      <c r="AH56" s="2877"/>
      <c r="AI56" s="2877"/>
      <c r="AJ56" s="2877"/>
      <c r="AK56" s="2877"/>
      <c r="AL56" s="2877"/>
      <c r="AM56" s="2877"/>
      <c r="AN56" s="2877">
        <f>'GENERAL INFO'!N93</f>
        <v>0</v>
      </c>
      <c r="AO56" s="2877"/>
      <c r="AP56" s="2877"/>
      <c r="AQ56" s="2877"/>
      <c r="AR56" s="2877"/>
      <c r="AS56" s="2877"/>
      <c r="AT56" s="2877"/>
      <c r="AU56" s="2877"/>
      <c r="AV56" s="2877"/>
      <c r="AW56" s="65"/>
    </row>
    <row r="57" spans="1:66" ht="26.1" customHeight="1">
      <c r="A57" s="69"/>
      <c r="B57" s="2624">
        <v>2</v>
      </c>
      <c r="C57" s="2624"/>
      <c r="D57" s="1728"/>
      <c r="E57" s="1728"/>
      <c r="F57" s="1728"/>
      <c r="G57" s="1728"/>
      <c r="H57" s="1728"/>
      <c r="I57" s="1728"/>
      <c r="J57" s="1728"/>
      <c r="K57" s="1728"/>
      <c r="L57" s="1728"/>
      <c r="M57" s="1728"/>
      <c r="N57" s="2876">
        <f>'GENERAL INFO'!C94</f>
        <v>0</v>
      </c>
      <c r="O57" s="2876"/>
      <c r="P57" s="2876"/>
      <c r="Q57" s="2876"/>
      <c r="R57" s="2876"/>
      <c r="S57" s="2876"/>
      <c r="T57" s="2876"/>
      <c r="U57" s="2876"/>
      <c r="V57" s="2876"/>
      <c r="W57" s="2876"/>
      <c r="X57" s="2876"/>
      <c r="Y57" s="2877">
        <f>'GENERAL INFO'!R94</f>
        <v>0</v>
      </c>
      <c r="Z57" s="2877"/>
      <c r="AA57" s="2877"/>
      <c r="AB57" s="2877"/>
      <c r="AC57" s="2877"/>
      <c r="AD57" s="2877"/>
      <c r="AE57" s="2877"/>
      <c r="AF57" s="2877">
        <f>'GENERAL INFO'!E94</f>
        <v>0</v>
      </c>
      <c r="AG57" s="2877"/>
      <c r="AH57" s="2877"/>
      <c r="AI57" s="2877"/>
      <c r="AJ57" s="2877"/>
      <c r="AK57" s="2877"/>
      <c r="AL57" s="2877"/>
      <c r="AM57" s="2877"/>
      <c r="AN57" s="2877">
        <f>'GENERAL INFO'!N94</f>
        <v>0</v>
      </c>
      <c r="AO57" s="2877"/>
      <c r="AP57" s="2877"/>
      <c r="AQ57" s="2877"/>
      <c r="AR57" s="2877"/>
      <c r="AS57" s="2877"/>
      <c r="AT57" s="2877"/>
      <c r="AU57" s="2877"/>
      <c r="AV57" s="2877"/>
      <c r="AW57" s="64"/>
    </row>
    <row r="58" spans="1:66" ht="26.1" customHeight="1">
      <c r="A58" s="69"/>
      <c r="B58" s="2656">
        <v>3</v>
      </c>
      <c r="C58" s="2656"/>
      <c r="D58" s="1729"/>
      <c r="E58" s="1729"/>
      <c r="F58" s="1729"/>
      <c r="G58" s="1729"/>
      <c r="H58" s="1729"/>
      <c r="I58" s="1729"/>
      <c r="J58" s="1729"/>
      <c r="K58" s="1729"/>
      <c r="L58" s="1729"/>
      <c r="M58" s="1729"/>
      <c r="N58" s="2876">
        <f>'GENERAL INFO'!C95</f>
        <v>0</v>
      </c>
      <c r="O58" s="2876"/>
      <c r="P58" s="2876"/>
      <c r="Q58" s="2876"/>
      <c r="R58" s="2876"/>
      <c r="S58" s="2876"/>
      <c r="T58" s="2876"/>
      <c r="U58" s="2876"/>
      <c r="V58" s="2876"/>
      <c r="W58" s="2876"/>
      <c r="X58" s="2876"/>
      <c r="Y58" s="2877">
        <f>'GENERAL INFO'!R95</f>
        <v>0</v>
      </c>
      <c r="Z58" s="2877"/>
      <c r="AA58" s="2877"/>
      <c r="AB58" s="2877"/>
      <c r="AC58" s="2877"/>
      <c r="AD58" s="2877"/>
      <c r="AE58" s="2877"/>
      <c r="AF58" s="2877">
        <f>'GENERAL INFO'!E95</f>
        <v>0</v>
      </c>
      <c r="AG58" s="2877"/>
      <c r="AH58" s="2877"/>
      <c r="AI58" s="2877"/>
      <c r="AJ58" s="2877"/>
      <c r="AK58" s="2877"/>
      <c r="AL58" s="2877"/>
      <c r="AM58" s="2877"/>
      <c r="AN58" s="2877">
        <f>'GENERAL INFO'!N95</f>
        <v>0</v>
      </c>
      <c r="AO58" s="2877"/>
      <c r="AP58" s="2877"/>
      <c r="AQ58" s="2877"/>
      <c r="AR58" s="2877"/>
      <c r="AS58" s="2877"/>
      <c r="AT58" s="2877"/>
      <c r="AU58" s="2877"/>
      <c r="AV58" s="2877"/>
      <c r="AW58" s="64"/>
    </row>
    <row r="59" spans="1:66" ht="26.1" customHeight="1">
      <c r="A59" s="69"/>
      <c r="B59" s="2656">
        <v>4</v>
      </c>
      <c r="C59" s="2656"/>
      <c r="D59" s="1729"/>
      <c r="E59" s="1729"/>
      <c r="F59" s="1729"/>
      <c r="G59" s="1729"/>
      <c r="H59" s="1729"/>
      <c r="I59" s="1729"/>
      <c r="J59" s="1729"/>
      <c r="K59" s="1729"/>
      <c r="L59" s="1729"/>
      <c r="M59" s="1729"/>
      <c r="N59" s="2876">
        <f>'GENERAL INFO'!C96</f>
        <v>0</v>
      </c>
      <c r="O59" s="2876"/>
      <c r="P59" s="2876"/>
      <c r="Q59" s="2876"/>
      <c r="R59" s="2876"/>
      <c r="S59" s="2876"/>
      <c r="T59" s="2876"/>
      <c r="U59" s="2876"/>
      <c r="V59" s="2876"/>
      <c r="W59" s="2876"/>
      <c r="X59" s="2876"/>
      <c r="Y59" s="2877">
        <f>'GENERAL INFO'!R96</f>
        <v>0</v>
      </c>
      <c r="Z59" s="2877"/>
      <c r="AA59" s="2877"/>
      <c r="AB59" s="2877"/>
      <c r="AC59" s="2877"/>
      <c r="AD59" s="2877"/>
      <c r="AE59" s="2877"/>
      <c r="AF59" s="2877">
        <f>'GENERAL INFO'!E96</f>
        <v>0</v>
      </c>
      <c r="AG59" s="2877"/>
      <c r="AH59" s="2877"/>
      <c r="AI59" s="2877"/>
      <c r="AJ59" s="2877"/>
      <c r="AK59" s="2877"/>
      <c r="AL59" s="2877"/>
      <c r="AM59" s="2877"/>
      <c r="AN59" s="2877">
        <f>'GENERAL INFO'!N96</f>
        <v>0</v>
      </c>
      <c r="AO59" s="2877"/>
      <c r="AP59" s="2877"/>
      <c r="AQ59" s="2877"/>
      <c r="AR59" s="2877"/>
      <c r="AS59" s="2877"/>
      <c r="AT59" s="2877"/>
      <c r="AU59" s="2877"/>
      <c r="AV59" s="2877"/>
      <c r="AW59" s="64"/>
    </row>
    <row r="60" spans="1:66" ht="26.1" customHeight="1">
      <c r="A60" s="69"/>
      <c r="B60" s="2656" t="s">
        <v>1178</v>
      </c>
      <c r="C60" s="2624"/>
      <c r="D60" s="1728"/>
      <c r="E60" s="1728"/>
      <c r="F60" s="1728"/>
      <c r="G60" s="1728"/>
      <c r="H60" s="1728"/>
      <c r="I60" s="1728"/>
      <c r="J60" s="1728"/>
      <c r="K60" s="1728"/>
      <c r="L60" s="1728"/>
      <c r="M60" s="1728"/>
      <c r="N60" s="2876">
        <f>'GENERAL INFO'!C97</f>
        <v>0</v>
      </c>
      <c r="O60" s="2876"/>
      <c r="P60" s="2876"/>
      <c r="Q60" s="2876"/>
      <c r="R60" s="2876"/>
      <c r="S60" s="2876"/>
      <c r="T60" s="2876"/>
      <c r="U60" s="2876"/>
      <c r="V60" s="2876"/>
      <c r="W60" s="2876"/>
      <c r="X60" s="2876"/>
      <c r="Y60" s="2877">
        <f>'GENERAL INFO'!R97</f>
        <v>0</v>
      </c>
      <c r="Z60" s="2877"/>
      <c r="AA60" s="2877"/>
      <c r="AB60" s="2877"/>
      <c r="AC60" s="2877"/>
      <c r="AD60" s="2877"/>
      <c r="AE60" s="2877"/>
      <c r="AF60" s="2877">
        <f>'GENERAL INFO'!E97</f>
        <v>0</v>
      </c>
      <c r="AG60" s="2877"/>
      <c r="AH60" s="2877"/>
      <c r="AI60" s="2877"/>
      <c r="AJ60" s="2877"/>
      <c r="AK60" s="2877"/>
      <c r="AL60" s="2877"/>
      <c r="AM60" s="2877"/>
      <c r="AN60" s="2877">
        <f>'GENERAL INFO'!N97</f>
        <v>0</v>
      </c>
      <c r="AO60" s="2877"/>
      <c r="AP60" s="2877"/>
      <c r="AQ60" s="2877"/>
      <c r="AR60" s="2877"/>
      <c r="AS60" s="2877"/>
      <c r="AT60" s="2877"/>
      <c r="AU60" s="2877"/>
      <c r="AV60" s="2877"/>
      <c r="AW60" s="64"/>
    </row>
    <row r="61" spans="1:66" s="64" customFormat="1" ht="9.9499999999999993" customHeight="1" thickBot="1"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13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V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102"/>
      <c r="BJ61" s="102"/>
      <c r="BK61" s="102"/>
      <c r="BL61" s="102"/>
      <c r="BM61" s="102"/>
      <c r="BN61" s="102"/>
    </row>
    <row r="62" spans="1:66" s="64" customFormat="1" ht="15" customHeight="1" thickBot="1">
      <c r="B62" s="2878" t="s">
        <v>1111</v>
      </c>
      <c r="C62" s="2879"/>
      <c r="D62" s="2879"/>
      <c r="E62" s="2879"/>
      <c r="F62" s="2879"/>
      <c r="G62" s="2879"/>
      <c r="H62" s="2879"/>
      <c r="I62" s="2879"/>
      <c r="J62" s="2879"/>
      <c r="K62" s="2879"/>
      <c r="L62" s="2879"/>
      <c r="M62" s="2879"/>
      <c r="N62" s="2879"/>
      <c r="O62" s="2879"/>
      <c r="P62" s="2879"/>
      <c r="Q62" s="2879"/>
      <c r="R62" s="2879"/>
      <c r="S62" s="2879"/>
      <c r="T62" s="2879"/>
      <c r="U62" s="2879"/>
      <c r="V62" s="2879"/>
      <c r="W62" s="2879"/>
      <c r="X62" s="2879"/>
      <c r="Y62" s="2879"/>
      <c r="Z62" s="2879"/>
      <c r="AA62" s="2879"/>
      <c r="AB62" s="2879"/>
      <c r="AC62" s="2879"/>
      <c r="AD62" s="2879"/>
      <c r="AE62" s="2879"/>
      <c r="AF62" s="2879"/>
      <c r="AG62" s="2879"/>
      <c r="AH62" s="2879"/>
      <c r="AI62" s="2880"/>
      <c r="AK62" s="8" t="s">
        <v>1112</v>
      </c>
      <c r="AL62" s="8"/>
      <c r="AM62" s="8"/>
      <c r="AN62" s="1712">
        <v>1</v>
      </c>
      <c r="AO62" s="63" t="s">
        <v>1113</v>
      </c>
      <c r="AP62" s="1712">
        <v>1</v>
      </c>
      <c r="AQ62" s="63" t="s">
        <v>1180</v>
      </c>
      <c r="AU62" s="617"/>
      <c r="AV62" s="617"/>
      <c r="AW62" s="617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102"/>
      <c r="BK62" s="102"/>
      <c r="BL62" s="102"/>
      <c r="BM62" s="102"/>
      <c r="BN62" s="102"/>
    </row>
    <row r="63" spans="1:66" s="64" customFormat="1" ht="15" customHeight="1">
      <c r="B63" s="380"/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0"/>
      <c r="N63" s="380"/>
      <c r="O63" s="380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102"/>
      <c r="BL63" s="102"/>
      <c r="BM63" s="102"/>
      <c r="BN63" s="102"/>
    </row>
    <row r="64" spans="1:66" s="64" customFormat="1" ht="12.75" customHeight="1">
      <c r="A64" s="163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1"/>
      <c r="AW64" s="103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102"/>
      <c r="BM64" s="102"/>
      <c r="BN64" s="102"/>
    </row>
    <row r="65" spans="2:66" s="64" customFormat="1" ht="15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  <c r="BN65" s="102"/>
    </row>
    <row r="66" spans="2:66" s="64" customFormat="1" ht="1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  <c r="BN66" s="102"/>
    </row>
    <row r="67" spans="2:66" s="64" customFormat="1" ht="1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Y67" s="102"/>
      <c r="AZ67" s="102"/>
      <c r="BA67" s="102"/>
      <c r="BB67" s="102"/>
      <c r="BC67" s="102"/>
      <c r="BD67" s="102"/>
      <c r="BE67" s="102"/>
      <c r="BF67" s="102"/>
      <c r="BG67" s="102"/>
      <c r="BH67" s="102"/>
      <c r="BI67" s="102"/>
      <c r="BJ67" s="102"/>
      <c r="BK67" s="102"/>
      <c r="BL67" s="102"/>
      <c r="BM67" s="102"/>
      <c r="BN67" s="102"/>
    </row>
    <row r="68" spans="2:66" s="64" customFormat="1" ht="1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Y68" s="102"/>
      <c r="AZ68" s="102"/>
      <c r="BA68" s="102"/>
      <c r="BB68" s="102"/>
      <c r="BC68" s="102"/>
      <c r="BD68" s="102"/>
      <c r="BE68" s="102"/>
      <c r="BF68" s="102"/>
      <c r="BG68" s="102"/>
      <c r="BH68" s="102"/>
      <c r="BI68" s="102"/>
      <c r="BJ68" s="102"/>
      <c r="BK68" s="102"/>
      <c r="BL68" s="102"/>
      <c r="BM68" s="102"/>
      <c r="BN68" s="102"/>
    </row>
    <row r="69" spans="2:66" s="64" customFormat="1" ht="1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Y69" s="102"/>
      <c r="AZ69" s="102"/>
      <c r="BA69" s="102"/>
      <c r="BB69" s="102"/>
      <c r="BC69" s="102"/>
      <c r="BD69" s="102"/>
      <c r="BE69" s="102"/>
      <c r="BF69" s="102"/>
      <c r="BG69" s="102"/>
      <c r="BH69" s="102"/>
      <c r="BI69" s="102"/>
      <c r="BJ69" s="102"/>
      <c r="BK69" s="102"/>
      <c r="BL69" s="102"/>
      <c r="BM69" s="102"/>
      <c r="BN69" s="102"/>
    </row>
    <row r="70" spans="2:66" s="64" customFormat="1" ht="15" customHeight="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Y70" s="102"/>
      <c r="AZ70" s="102"/>
      <c r="BA70" s="102"/>
      <c r="BB70" s="102"/>
      <c r="BC70" s="102"/>
      <c r="BD70" s="102"/>
      <c r="BE70" s="102"/>
      <c r="BF70" s="102"/>
      <c r="BG70" s="102"/>
      <c r="BH70" s="102"/>
      <c r="BI70" s="102"/>
      <c r="BJ70" s="102"/>
      <c r="BK70" s="102"/>
      <c r="BL70" s="102"/>
      <c r="BM70" s="102"/>
      <c r="BN70" s="102"/>
    </row>
    <row r="71" spans="2:66" s="64" customFormat="1" ht="15" customHeight="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Y71" s="102"/>
      <c r="AZ71" s="102"/>
      <c r="BA71" s="102"/>
      <c r="BB71" s="102"/>
      <c r="BC71" s="102"/>
      <c r="BD71" s="102"/>
      <c r="BE71" s="102"/>
      <c r="BF71" s="102"/>
      <c r="BG71" s="102"/>
      <c r="BH71" s="102"/>
      <c r="BI71" s="102"/>
      <c r="BJ71" s="102"/>
      <c r="BK71" s="102"/>
      <c r="BL71" s="102"/>
      <c r="BM71" s="102"/>
      <c r="BN71" s="102"/>
    </row>
    <row r="72" spans="2:66" s="64" customFormat="1" ht="15" customHeight="1"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Y72" s="102"/>
      <c r="AZ72" s="102"/>
      <c r="BA72" s="102"/>
      <c r="BB72" s="102"/>
      <c r="BC72" s="102"/>
      <c r="BD72" s="102"/>
      <c r="BE72" s="102"/>
      <c r="BF72" s="102"/>
      <c r="BG72" s="102"/>
      <c r="BH72" s="102"/>
      <c r="BI72" s="102"/>
      <c r="BJ72" s="102"/>
      <c r="BK72" s="102"/>
      <c r="BL72" s="102"/>
      <c r="BM72" s="102"/>
      <c r="BN72" s="102"/>
    </row>
    <row r="73" spans="2:66" s="64" customFormat="1" ht="15" customHeight="1"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Y73" s="102"/>
      <c r="AZ73" s="102"/>
      <c r="BA73" s="102"/>
      <c r="BB73" s="102"/>
      <c r="BC73" s="102"/>
      <c r="BD73" s="102"/>
      <c r="BE73" s="102"/>
      <c r="BF73" s="102"/>
      <c r="BG73" s="102"/>
      <c r="BH73" s="102"/>
      <c r="BI73" s="102"/>
      <c r="BJ73" s="102"/>
      <c r="BK73" s="102"/>
      <c r="BL73" s="102"/>
      <c r="BM73" s="102"/>
      <c r="BN73" s="102"/>
    </row>
    <row r="74" spans="2:66" s="64" customFormat="1" ht="15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Y74" s="102"/>
      <c r="AZ74" s="102"/>
      <c r="BA74" s="102"/>
      <c r="BB74" s="102"/>
      <c r="BC74" s="102"/>
      <c r="BD74" s="102"/>
      <c r="BE74" s="102"/>
      <c r="BF74" s="102"/>
      <c r="BG74" s="102"/>
      <c r="BH74" s="102"/>
      <c r="BI74" s="102"/>
      <c r="BJ74" s="102"/>
      <c r="BK74" s="102"/>
      <c r="BL74" s="102"/>
      <c r="BM74" s="102"/>
      <c r="BN74" s="102"/>
    </row>
    <row r="75" spans="2:66" s="64" customFormat="1" ht="1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Y75" s="102"/>
      <c r="AZ75" s="102"/>
      <c r="BA75" s="102"/>
      <c r="BB75" s="102"/>
      <c r="BC75" s="102"/>
      <c r="BD75" s="102"/>
      <c r="BE75" s="102"/>
      <c r="BF75" s="102"/>
      <c r="BG75" s="102"/>
      <c r="BH75" s="102"/>
      <c r="BI75" s="102"/>
      <c r="BJ75" s="102"/>
      <c r="BK75" s="102"/>
      <c r="BL75" s="102"/>
      <c r="BM75" s="102"/>
      <c r="BN75" s="102"/>
    </row>
    <row r="76" spans="2:66" s="64" customFormat="1" ht="1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Y76" s="102"/>
      <c r="AZ76" s="102"/>
      <c r="BA76" s="102"/>
      <c r="BB76" s="102"/>
      <c r="BC76" s="102"/>
      <c r="BD76" s="102"/>
      <c r="BE76" s="102"/>
      <c r="BF76" s="102"/>
      <c r="BG76" s="102"/>
      <c r="BH76" s="102"/>
      <c r="BI76" s="102"/>
      <c r="BJ76" s="102"/>
      <c r="BK76" s="102"/>
      <c r="BL76" s="102"/>
      <c r="BM76" s="102"/>
      <c r="BN76" s="102"/>
    </row>
    <row r="77" spans="2:66" s="64" customFormat="1" ht="1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</row>
    <row r="78" spans="2:66" s="64" customFormat="1" ht="1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Y78" s="102"/>
      <c r="AZ78" s="102"/>
      <c r="BA78" s="102"/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102"/>
      <c r="BM78" s="102"/>
      <c r="BN78" s="102"/>
    </row>
    <row r="79" spans="2:66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2"/>
    </row>
    <row r="80" spans="2:66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Y80" s="102"/>
      <c r="AZ80" s="102"/>
      <c r="BA80" s="102"/>
      <c r="BB80" s="102"/>
      <c r="BC80" s="102"/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2"/>
    </row>
    <row r="81" spans="2:66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Y81" s="102"/>
      <c r="AZ81" s="102"/>
      <c r="BA81" s="102"/>
      <c r="BB81" s="102"/>
      <c r="BC81" s="102"/>
      <c r="BD81" s="102"/>
      <c r="BE81" s="102"/>
      <c r="BF81" s="102"/>
      <c r="BG81" s="102"/>
      <c r="BH81" s="102"/>
      <c r="BI81" s="102"/>
      <c r="BJ81" s="102"/>
      <c r="BK81" s="102"/>
      <c r="BL81" s="102"/>
      <c r="BM81" s="102"/>
      <c r="BN81" s="102"/>
    </row>
    <row r="82" spans="2:66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Y82" s="102"/>
      <c r="AZ82" s="102"/>
      <c r="BA82" s="102"/>
      <c r="BB82" s="102"/>
      <c r="BC82" s="102"/>
      <c r="BD82" s="102"/>
      <c r="BE82" s="102"/>
      <c r="BF82" s="102"/>
      <c r="BG82" s="102"/>
      <c r="BH82" s="102"/>
      <c r="BI82" s="102"/>
      <c r="BJ82" s="102"/>
      <c r="BK82" s="102"/>
      <c r="BL82" s="102"/>
      <c r="BM82" s="102"/>
      <c r="BN82" s="102"/>
    </row>
    <row r="83" spans="2:66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Y83" s="102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102"/>
      <c r="BL83" s="102"/>
      <c r="BM83" s="102"/>
      <c r="BN83" s="102"/>
    </row>
    <row r="84" spans="2:66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Y84" s="102"/>
      <c r="AZ84" s="102"/>
      <c r="BA84" s="102"/>
      <c r="BB84" s="102"/>
      <c r="BC84" s="102"/>
      <c r="BD84" s="102"/>
      <c r="BE84" s="102"/>
      <c r="BF84" s="102"/>
      <c r="BG84" s="102"/>
      <c r="BH84" s="102"/>
      <c r="BI84" s="102"/>
      <c r="BJ84" s="102"/>
      <c r="BK84" s="102"/>
      <c r="BL84" s="102"/>
      <c r="BM84" s="102"/>
      <c r="BN84" s="102"/>
    </row>
    <row r="85" spans="2:66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</row>
    <row r="86" spans="2:66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</row>
    <row r="87" spans="2:66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</row>
    <row r="88" spans="2:66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</row>
    <row r="89" spans="2:66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</row>
    <row r="90" spans="2:66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</row>
    <row r="91" spans="2:66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</row>
    <row r="92" spans="2:66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</row>
    <row r="93" spans="2:66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</row>
    <row r="94" spans="2:66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</row>
    <row r="95" spans="2:66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</row>
    <row r="96" spans="2:66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</row>
    <row r="97" spans="2:66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</row>
    <row r="98" spans="2:66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</row>
    <row r="99" spans="2:66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</row>
    <row r="100" spans="2:66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</row>
    <row r="101" spans="2:66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</row>
    <row r="102" spans="2:66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Y102" s="102"/>
      <c r="AZ102" s="102"/>
      <c r="BA102" s="102"/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/>
      <c r="BN102" s="102"/>
    </row>
    <row r="103" spans="2:66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Y103" s="102"/>
      <c r="AZ103" s="102"/>
      <c r="BA103" s="102"/>
      <c r="BB103" s="10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2"/>
    </row>
    <row r="104" spans="2:66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</row>
    <row r="105" spans="2:66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Y105" s="102"/>
      <c r="AZ105" s="102"/>
      <c r="BA105" s="102"/>
      <c r="BB105" s="10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2"/>
    </row>
    <row r="106" spans="2:66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Y106" s="102"/>
      <c r="AZ106" s="102"/>
      <c r="BA106" s="102"/>
      <c r="BB106" s="10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102"/>
      <c r="BM106" s="102"/>
      <c r="BN106" s="102"/>
    </row>
    <row r="107" spans="2:66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Y107" s="102"/>
      <c r="AZ107" s="102"/>
      <c r="BA107" s="102"/>
      <c r="BB107" s="10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102"/>
      <c r="BM107" s="102"/>
      <c r="BN107" s="102"/>
    </row>
    <row r="108" spans="2:66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Y108" s="102"/>
      <c r="AZ108" s="102"/>
      <c r="BA108" s="102"/>
      <c r="BB108" s="102"/>
      <c r="BC108" s="102"/>
      <c r="BD108" s="102"/>
      <c r="BE108" s="102"/>
      <c r="BF108" s="102"/>
      <c r="BG108" s="102"/>
      <c r="BH108" s="102"/>
      <c r="BI108" s="102"/>
      <c r="BJ108" s="102"/>
      <c r="BK108" s="102"/>
      <c r="BL108" s="102"/>
      <c r="BM108" s="102"/>
      <c r="BN108" s="102"/>
    </row>
    <row r="109" spans="2:66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/>
      <c r="BI109" s="102"/>
      <c r="BJ109" s="102"/>
      <c r="BK109" s="102"/>
      <c r="BL109" s="102"/>
      <c r="BM109" s="102"/>
      <c r="BN109" s="102"/>
    </row>
    <row r="110" spans="2:66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/>
      <c r="BJ110" s="102"/>
      <c r="BK110" s="102"/>
      <c r="BL110" s="102"/>
      <c r="BM110" s="102"/>
      <c r="BN110" s="102"/>
    </row>
    <row r="111" spans="2:66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/>
      <c r="BK111" s="102"/>
      <c r="BL111" s="102"/>
      <c r="BM111" s="102"/>
      <c r="BN111" s="102"/>
    </row>
    <row r="112" spans="2:66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Y112" s="102"/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/>
      <c r="BL112" s="102"/>
      <c r="BM112" s="102"/>
      <c r="BN112" s="102"/>
    </row>
    <row r="113" spans="2:66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Y113" s="102"/>
      <c r="AZ113" s="102"/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/>
      <c r="BM113" s="102"/>
      <c r="BN113" s="102"/>
    </row>
    <row r="114" spans="2:66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Y114" s="102"/>
      <c r="AZ114" s="102"/>
      <c r="BA114" s="102"/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/>
      <c r="BN114" s="102"/>
    </row>
    <row r="115" spans="2:66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Y115" s="102"/>
      <c r="AZ115" s="102"/>
      <c r="BA115" s="102"/>
      <c r="BB115" s="102"/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2"/>
    </row>
    <row r="116" spans="2:66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2"/>
    </row>
    <row r="117" spans="2:66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Y117" s="102"/>
      <c r="AZ117" s="102"/>
      <c r="BA117" s="102"/>
      <c r="BB117" s="102"/>
      <c r="BC117" s="102"/>
      <c r="BD117" s="102"/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2"/>
    </row>
    <row r="118" spans="2:66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Y118" s="102"/>
      <c r="AZ118" s="102"/>
      <c r="BA118" s="102"/>
      <c r="BB118" s="102"/>
      <c r="BC118" s="102"/>
      <c r="BD118" s="102"/>
      <c r="BE118" s="102"/>
      <c r="BF118" s="102"/>
      <c r="BG118" s="102"/>
      <c r="BH118" s="102"/>
      <c r="BI118" s="102"/>
      <c r="BJ118" s="102"/>
      <c r="BK118" s="102"/>
      <c r="BL118" s="102"/>
      <c r="BM118" s="102"/>
      <c r="BN118" s="102"/>
    </row>
    <row r="119" spans="2:66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Y119" s="102"/>
      <c r="AZ119" s="102"/>
      <c r="BA119" s="102"/>
      <c r="BB119" s="102"/>
      <c r="BC119" s="102"/>
      <c r="BD119" s="102"/>
      <c r="BE119" s="102"/>
      <c r="BF119" s="102"/>
      <c r="BG119" s="102"/>
      <c r="BH119" s="102"/>
      <c r="BI119" s="102"/>
      <c r="BJ119" s="102"/>
      <c r="BK119" s="102"/>
      <c r="BL119" s="102"/>
      <c r="BM119" s="102"/>
      <c r="BN119" s="102"/>
    </row>
    <row r="120" spans="2:66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Y120" s="102"/>
      <c r="AZ120" s="102"/>
      <c r="BA120" s="102"/>
      <c r="BB120" s="102"/>
      <c r="BC120" s="102"/>
      <c r="BD120" s="102"/>
      <c r="BE120" s="102"/>
      <c r="BF120" s="102"/>
      <c r="BG120" s="102"/>
      <c r="BH120" s="102"/>
      <c r="BI120" s="102"/>
      <c r="BJ120" s="102"/>
      <c r="BK120" s="102"/>
      <c r="BL120" s="102"/>
      <c r="BM120" s="102"/>
      <c r="BN120" s="102"/>
    </row>
    <row r="121" spans="2:66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/>
      <c r="BI121" s="102"/>
      <c r="BJ121" s="102"/>
      <c r="BK121" s="102"/>
      <c r="BL121" s="102"/>
      <c r="BM121" s="102"/>
      <c r="BN121" s="102"/>
    </row>
    <row r="122" spans="2:66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</row>
    <row r="123" spans="2:66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</row>
    <row r="124" spans="2:66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</row>
    <row r="125" spans="2:66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</row>
    <row r="126" spans="2:66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</row>
    <row r="127" spans="2:66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Y127" s="102"/>
      <c r="AZ127" s="102"/>
      <c r="BA127" s="102"/>
      <c r="BB127" s="102"/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2"/>
    </row>
    <row r="128" spans="2:66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Y128" s="102"/>
      <c r="AZ128" s="102"/>
      <c r="BA128" s="102"/>
      <c r="BB128" s="102"/>
      <c r="BC128" s="102"/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2"/>
    </row>
    <row r="129" spans="2:66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Y129" s="102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</row>
    <row r="130" spans="2:66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Y130" s="102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</row>
    <row r="131" spans="2:66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Y131" s="102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</row>
    <row r="132" spans="2:66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Y132" s="102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</row>
    <row r="133" spans="2:66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102"/>
      <c r="BI133" s="102"/>
      <c r="BJ133" s="102"/>
      <c r="BK133" s="102"/>
      <c r="BL133" s="102"/>
      <c r="BM133" s="102"/>
      <c r="BN133" s="102"/>
    </row>
    <row r="134" spans="2:66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102"/>
      <c r="BJ134" s="102"/>
      <c r="BK134" s="102"/>
      <c r="BL134" s="102"/>
      <c r="BM134" s="102"/>
      <c r="BN134" s="102"/>
    </row>
    <row r="135" spans="2:66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102"/>
      <c r="BK135" s="102"/>
      <c r="BL135" s="102"/>
      <c r="BM135" s="102"/>
      <c r="BN135" s="102"/>
    </row>
    <row r="136" spans="2:66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102"/>
      <c r="BL136" s="102"/>
      <c r="BM136" s="102"/>
      <c r="BN136" s="102"/>
    </row>
    <row r="137" spans="2:66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102"/>
      <c r="BM137" s="102"/>
      <c r="BN137" s="102"/>
    </row>
    <row r="138" spans="2:66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  <c r="BN138" s="102"/>
    </row>
    <row r="139" spans="2:66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  <c r="BN139" s="102"/>
    </row>
    <row r="140" spans="2:66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</row>
    <row r="141" spans="2:66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</row>
    <row r="142" spans="2:66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Y142" s="102"/>
      <c r="AZ142" s="102"/>
      <c r="BA142" s="102"/>
      <c r="BB142" s="102"/>
      <c r="BC142" s="102"/>
      <c r="BD142" s="102"/>
      <c r="BE142" s="102"/>
      <c r="BF142" s="102"/>
      <c r="BG142" s="102"/>
      <c r="BH142" s="102"/>
      <c r="BI142" s="102"/>
      <c r="BJ142" s="102"/>
      <c r="BK142" s="102"/>
      <c r="BL142" s="102"/>
      <c r="BM142" s="102"/>
      <c r="BN142" s="102"/>
    </row>
    <row r="143" spans="2:66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Y143" s="102"/>
      <c r="AZ143" s="102"/>
      <c r="BA143" s="102"/>
      <c r="BB143" s="102"/>
      <c r="BC143" s="102"/>
      <c r="BD143" s="102"/>
      <c r="BE143" s="102"/>
      <c r="BF143" s="102"/>
      <c r="BG143" s="102"/>
      <c r="BH143" s="102"/>
      <c r="BI143" s="102"/>
      <c r="BJ143" s="102"/>
      <c r="BK143" s="102"/>
      <c r="BL143" s="102"/>
      <c r="BM143" s="102"/>
      <c r="BN143" s="102"/>
    </row>
    <row r="144" spans="2:66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Y144" s="102"/>
      <c r="AZ144" s="102"/>
      <c r="BA144" s="102"/>
      <c r="BB144" s="102"/>
      <c r="BC144" s="102"/>
      <c r="BD144" s="102"/>
      <c r="BE144" s="102"/>
      <c r="BF144" s="102"/>
      <c r="BG144" s="102"/>
      <c r="BH144" s="102"/>
      <c r="BI144" s="102"/>
      <c r="BJ144" s="102"/>
      <c r="BK144" s="102"/>
      <c r="BL144" s="102"/>
      <c r="BM144" s="102"/>
      <c r="BN144" s="102"/>
    </row>
    <row r="145" spans="2:66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Y145" s="102"/>
      <c r="AZ145" s="102"/>
      <c r="BA145" s="102"/>
      <c r="BB145" s="102"/>
      <c r="BC145" s="102"/>
      <c r="BD145" s="102"/>
      <c r="BE145" s="102"/>
      <c r="BF145" s="102"/>
      <c r="BG145" s="102"/>
      <c r="BH145" s="102"/>
      <c r="BI145" s="102"/>
      <c r="BJ145" s="102"/>
      <c r="BK145" s="102"/>
      <c r="BL145" s="102"/>
      <c r="BM145" s="102"/>
      <c r="BN145" s="102"/>
    </row>
    <row r="146" spans="2:66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Y146" s="102"/>
      <c r="AZ146" s="102"/>
      <c r="BA146" s="102"/>
      <c r="BB146" s="102"/>
      <c r="BC146" s="102"/>
      <c r="BD146" s="102"/>
      <c r="BE146" s="102"/>
      <c r="BF146" s="102"/>
      <c r="BG146" s="102"/>
      <c r="BH146" s="102"/>
      <c r="BI146" s="102"/>
      <c r="BJ146" s="102"/>
      <c r="BK146" s="102"/>
      <c r="BL146" s="102"/>
      <c r="BM146" s="102"/>
      <c r="BN146" s="102"/>
    </row>
    <row r="147" spans="2:66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Y147" s="102"/>
      <c r="AZ147" s="102"/>
      <c r="BA147" s="102"/>
      <c r="BB147" s="102"/>
      <c r="BC147" s="102"/>
      <c r="BD147" s="102"/>
      <c r="BE147" s="102"/>
      <c r="BF147" s="102"/>
      <c r="BG147" s="102"/>
      <c r="BH147" s="102"/>
      <c r="BI147" s="102"/>
      <c r="BJ147" s="102"/>
      <c r="BK147" s="102"/>
      <c r="BL147" s="102"/>
      <c r="BM147" s="102"/>
      <c r="BN147" s="102"/>
    </row>
    <row r="148" spans="2:66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Y148" s="102"/>
      <c r="AZ148" s="102"/>
      <c r="BA148" s="102"/>
      <c r="BB148" s="102"/>
      <c r="BC148" s="102"/>
      <c r="BD148" s="102"/>
      <c r="BE148" s="102"/>
      <c r="BF148" s="102"/>
      <c r="BG148" s="102"/>
      <c r="BH148" s="102"/>
      <c r="BI148" s="102"/>
      <c r="BJ148" s="102"/>
      <c r="BK148" s="102"/>
      <c r="BL148" s="102"/>
      <c r="BM148" s="102"/>
      <c r="BN148" s="102"/>
    </row>
    <row r="149" spans="2:66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Y149" s="102"/>
      <c r="AZ149" s="102"/>
      <c r="BA149" s="102"/>
      <c r="BB149" s="102"/>
      <c r="BC149" s="102"/>
      <c r="BD149" s="102"/>
      <c r="BE149" s="102"/>
      <c r="BF149" s="102"/>
      <c r="BG149" s="102"/>
      <c r="BH149" s="102"/>
      <c r="BI149" s="102"/>
      <c r="BJ149" s="102"/>
      <c r="BK149" s="102"/>
      <c r="BL149" s="102"/>
      <c r="BM149" s="102"/>
      <c r="BN149" s="102"/>
    </row>
    <row r="150" spans="2:66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Y150" s="102"/>
      <c r="AZ150" s="102"/>
      <c r="BA150" s="102"/>
      <c r="BB150" s="102"/>
      <c r="BC150" s="102"/>
      <c r="BD150" s="102"/>
      <c r="BE150" s="102"/>
      <c r="BF150" s="102"/>
      <c r="BG150" s="102"/>
      <c r="BH150" s="102"/>
      <c r="BI150" s="102"/>
      <c r="BJ150" s="102"/>
      <c r="BK150" s="102"/>
      <c r="BL150" s="102"/>
      <c r="BM150" s="102"/>
      <c r="BN150" s="102"/>
    </row>
    <row r="151" spans="2:66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Y151" s="102"/>
      <c r="AZ151" s="102"/>
      <c r="BA151" s="102"/>
      <c r="BB151" s="102"/>
      <c r="BC151" s="102"/>
      <c r="BD151" s="102"/>
      <c r="BE151" s="102"/>
      <c r="BF151" s="102"/>
      <c r="BG151" s="102"/>
      <c r="BH151" s="102"/>
      <c r="BI151" s="102"/>
      <c r="BJ151" s="102"/>
      <c r="BK151" s="102"/>
      <c r="BL151" s="102"/>
      <c r="BM151" s="102"/>
      <c r="BN151" s="102"/>
    </row>
    <row r="152" spans="2:66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Y152" s="102"/>
      <c r="AZ152" s="102"/>
      <c r="BA152" s="102"/>
      <c r="BB152" s="102"/>
      <c r="BC152" s="102"/>
      <c r="BD152" s="102"/>
      <c r="BE152" s="102"/>
      <c r="BF152" s="102"/>
      <c r="BG152" s="102"/>
      <c r="BH152" s="102"/>
      <c r="BI152" s="102"/>
      <c r="BJ152" s="102"/>
      <c r="BK152" s="102"/>
      <c r="BL152" s="102"/>
      <c r="BM152" s="102"/>
      <c r="BN152" s="102"/>
    </row>
    <row r="153" spans="2:66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Y153" s="102"/>
      <c r="AZ153" s="102"/>
      <c r="BA153" s="102"/>
      <c r="BB153" s="102"/>
      <c r="BC153" s="102"/>
      <c r="BD153" s="102"/>
      <c r="BE153" s="102"/>
      <c r="BF153" s="102"/>
      <c r="BG153" s="102"/>
      <c r="BH153" s="102"/>
      <c r="BI153" s="102"/>
      <c r="BJ153" s="102"/>
      <c r="BK153" s="102"/>
      <c r="BL153" s="102"/>
      <c r="BM153" s="102"/>
      <c r="BN153" s="102"/>
    </row>
    <row r="154" spans="2:66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Y154" s="102"/>
      <c r="AZ154" s="102"/>
      <c r="BA154" s="102"/>
      <c r="BB154" s="102"/>
      <c r="BC154" s="102"/>
      <c r="BD154" s="102"/>
      <c r="BE154" s="102"/>
      <c r="BF154" s="102"/>
      <c r="BG154" s="102"/>
      <c r="BH154" s="102"/>
      <c r="BI154" s="102"/>
      <c r="BJ154" s="102"/>
      <c r="BK154" s="102"/>
      <c r="BL154" s="102"/>
      <c r="BM154" s="102"/>
      <c r="BN154" s="102"/>
    </row>
    <row r="155" spans="2:66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Y155" s="102"/>
      <c r="AZ155" s="102"/>
      <c r="BA155" s="102"/>
      <c r="BB155" s="102"/>
      <c r="BC155" s="102"/>
      <c r="BD155" s="102"/>
      <c r="BE155" s="102"/>
      <c r="BF155" s="102"/>
      <c r="BG155" s="102"/>
      <c r="BH155" s="102"/>
      <c r="BI155" s="102"/>
      <c r="BJ155" s="102"/>
      <c r="BK155" s="102"/>
      <c r="BL155" s="102"/>
      <c r="BM155" s="102"/>
      <c r="BN155" s="102"/>
    </row>
    <row r="156" spans="2:66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Y156" s="102"/>
      <c r="AZ156" s="102"/>
      <c r="BA156" s="102"/>
      <c r="BB156" s="102"/>
      <c r="BC156" s="102"/>
      <c r="BD156" s="102"/>
      <c r="BE156" s="102"/>
      <c r="BF156" s="102"/>
      <c r="BG156" s="102"/>
      <c r="BH156" s="102"/>
      <c r="BI156" s="102"/>
      <c r="BJ156" s="102"/>
      <c r="BK156" s="102"/>
      <c r="BL156" s="102"/>
      <c r="BM156" s="102"/>
      <c r="BN156" s="102"/>
    </row>
    <row r="157" spans="2:66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Y157" s="102"/>
      <c r="AZ157" s="102"/>
      <c r="BA157" s="102"/>
      <c r="BB157" s="102"/>
      <c r="BC157" s="102"/>
      <c r="BD157" s="102"/>
      <c r="BE157" s="102"/>
      <c r="BF157" s="102"/>
      <c r="BG157" s="102"/>
      <c r="BH157" s="102"/>
      <c r="BI157" s="102"/>
      <c r="BJ157" s="102"/>
      <c r="BK157" s="102"/>
      <c r="BL157" s="102"/>
      <c r="BM157" s="102"/>
      <c r="BN157" s="102"/>
    </row>
    <row r="158" spans="2:66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Y158" s="102"/>
      <c r="AZ158" s="102"/>
      <c r="BA158" s="102"/>
      <c r="BB158" s="102"/>
      <c r="BC158" s="102"/>
      <c r="BD158" s="102"/>
      <c r="BE158" s="102"/>
      <c r="BF158" s="102"/>
      <c r="BG158" s="102"/>
      <c r="BH158" s="102"/>
      <c r="BI158" s="102"/>
      <c r="BJ158" s="102"/>
      <c r="BK158" s="102"/>
      <c r="BL158" s="102"/>
      <c r="BM158" s="102"/>
      <c r="BN158" s="102"/>
    </row>
    <row r="159" spans="2:66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Y159" s="102"/>
      <c r="AZ159" s="102"/>
      <c r="BA159" s="102"/>
      <c r="BB159" s="102"/>
      <c r="BC159" s="102"/>
      <c r="BD159" s="102"/>
      <c r="BE159" s="102"/>
      <c r="BF159" s="102"/>
      <c r="BG159" s="102"/>
      <c r="BH159" s="102"/>
      <c r="BI159" s="102"/>
      <c r="BJ159" s="102"/>
      <c r="BK159" s="102"/>
      <c r="BL159" s="102"/>
      <c r="BM159" s="102"/>
      <c r="BN159" s="102"/>
    </row>
    <row r="160" spans="2:66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Y160" s="102"/>
      <c r="AZ160" s="102"/>
      <c r="BA160" s="102"/>
      <c r="BB160" s="102"/>
      <c r="BC160" s="102"/>
      <c r="BD160" s="102"/>
      <c r="BE160" s="102"/>
      <c r="BF160" s="102"/>
      <c r="BG160" s="102"/>
      <c r="BH160" s="102"/>
      <c r="BI160" s="102"/>
      <c r="BJ160" s="102"/>
      <c r="BK160" s="102"/>
      <c r="BL160" s="102"/>
      <c r="BM160" s="102"/>
      <c r="BN160" s="102"/>
    </row>
    <row r="161" spans="2:66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Y161" s="102"/>
      <c r="AZ161" s="102"/>
      <c r="BA161" s="102"/>
      <c r="BB161" s="102"/>
      <c r="BC161" s="102"/>
      <c r="BD161" s="102"/>
      <c r="BE161" s="102"/>
      <c r="BF161" s="102"/>
      <c r="BG161" s="102"/>
      <c r="BH161" s="102"/>
      <c r="BI161" s="102"/>
      <c r="BJ161" s="102"/>
      <c r="BK161" s="102"/>
      <c r="BL161" s="102"/>
      <c r="BM161" s="102"/>
      <c r="BN161" s="102"/>
    </row>
    <row r="162" spans="2:66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Y162" s="102"/>
      <c r="AZ162" s="102"/>
      <c r="BA162" s="102"/>
      <c r="BB162" s="102"/>
      <c r="BC162" s="102"/>
      <c r="BD162" s="102"/>
      <c r="BE162" s="102"/>
      <c r="BF162" s="102"/>
      <c r="BG162" s="102"/>
      <c r="BH162" s="102"/>
      <c r="BI162" s="102"/>
      <c r="BJ162" s="102"/>
      <c r="BK162" s="102"/>
      <c r="BL162" s="102"/>
      <c r="BM162" s="102"/>
      <c r="BN162" s="102"/>
    </row>
    <row r="163" spans="2:66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Y163" s="102"/>
      <c r="AZ163" s="102"/>
      <c r="BA163" s="102"/>
      <c r="BB163" s="102"/>
      <c r="BC163" s="102"/>
      <c r="BD163" s="102"/>
      <c r="BE163" s="102"/>
      <c r="BF163" s="102"/>
      <c r="BG163" s="102"/>
      <c r="BH163" s="102"/>
      <c r="BI163" s="102"/>
      <c r="BJ163" s="102"/>
      <c r="BK163" s="102"/>
      <c r="BL163" s="102"/>
      <c r="BM163" s="102"/>
      <c r="BN163" s="102"/>
    </row>
    <row r="164" spans="2:66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</row>
    <row r="165" spans="2:66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Y165" s="102"/>
      <c r="AZ165" s="102"/>
      <c r="BA165" s="102"/>
      <c r="BB165" s="102"/>
      <c r="BC165" s="102"/>
      <c r="BD165" s="102"/>
      <c r="BE165" s="102"/>
      <c r="BF165" s="102"/>
      <c r="BG165" s="102"/>
      <c r="BH165" s="102"/>
      <c r="BI165" s="102"/>
      <c r="BJ165" s="102"/>
      <c r="BK165" s="102"/>
      <c r="BL165" s="102"/>
      <c r="BM165" s="102"/>
      <c r="BN165" s="102"/>
    </row>
    <row r="166" spans="2:66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Y166" s="102"/>
      <c r="AZ166" s="102"/>
      <c r="BA166" s="102"/>
      <c r="BB166" s="102"/>
      <c r="BC166" s="102"/>
      <c r="BD166" s="102"/>
      <c r="BE166" s="102"/>
      <c r="BF166" s="102"/>
      <c r="BG166" s="102"/>
      <c r="BH166" s="102"/>
      <c r="BI166" s="102"/>
      <c r="BJ166" s="102"/>
      <c r="BK166" s="102"/>
      <c r="BL166" s="102"/>
      <c r="BM166" s="102"/>
      <c r="BN166" s="102"/>
    </row>
    <row r="167" spans="2:66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Y167" s="102"/>
      <c r="AZ167" s="102"/>
      <c r="BA167" s="102"/>
      <c r="BB167" s="102"/>
      <c r="BC167" s="102"/>
      <c r="BD167" s="102"/>
      <c r="BE167" s="102"/>
      <c r="BF167" s="102"/>
      <c r="BG167" s="102"/>
      <c r="BH167" s="102"/>
      <c r="BI167" s="102"/>
      <c r="BJ167" s="102"/>
      <c r="BK167" s="102"/>
      <c r="BL167" s="102"/>
      <c r="BM167" s="102"/>
      <c r="BN167" s="102"/>
    </row>
    <row r="168" spans="2:66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Y168" s="102"/>
      <c r="AZ168" s="102"/>
      <c r="BA168" s="102"/>
      <c r="BB168" s="102"/>
      <c r="BC168" s="102"/>
      <c r="BD168" s="102"/>
      <c r="BE168" s="102"/>
      <c r="BF168" s="102"/>
      <c r="BG168" s="102"/>
      <c r="BH168" s="102"/>
      <c r="BI168" s="102"/>
      <c r="BJ168" s="102"/>
      <c r="BK168" s="102"/>
      <c r="BL168" s="102"/>
      <c r="BM168" s="102"/>
      <c r="BN168" s="102"/>
    </row>
    <row r="169" spans="2:66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Y169" s="102"/>
      <c r="AZ169" s="102"/>
      <c r="BA169" s="102"/>
      <c r="BB169" s="102"/>
      <c r="BC169" s="102"/>
      <c r="BD169" s="102"/>
      <c r="BE169" s="102"/>
      <c r="BF169" s="102"/>
      <c r="BG169" s="102"/>
      <c r="BH169" s="102"/>
      <c r="BI169" s="102"/>
      <c r="BJ169" s="102"/>
      <c r="BK169" s="102"/>
      <c r="BL169" s="102"/>
      <c r="BM169" s="102"/>
      <c r="BN169" s="102"/>
    </row>
    <row r="170" spans="2:66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Y170" s="102"/>
      <c r="AZ170" s="102"/>
      <c r="BA170" s="102"/>
      <c r="BB170" s="102"/>
      <c r="BC170" s="102"/>
      <c r="BD170" s="102"/>
      <c r="BE170" s="102"/>
      <c r="BF170" s="102"/>
      <c r="BG170" s="102"/>
      <c r="BH170" s="102"/>
      <c r="BI170" s="102"/>
      <c r="BJ170" s="102"/>
      <c r="BK170" s="102"/>
      <c r="BL170" s="102"/>
      <c r="BM170" s="102"/>
      <c r="BN170" s="102"/>
    </row>
    <row r="171" spans="2:66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Y171" s="102"/>
      <c r="AZ171" s="102"/>
      <c r="BA171" s="102"/>
      <c r="BB171" s="102"/>
      <c r="BC171" s="102"/>
      <c r="BD171" s="102"/>
      <c r="BE171" s="102"/>
      <c r="BF171" s="102"/>
      <c r="BG171" s="102"/>
      <c r="BH171" s="102"/>
      <c r="BI171" s="102"/>
      <c r="BJ171" s="102"/>
      <c r="BK171" s="102"/>
      <c r="BL171" s="102"/>
      <c r="BM171" s="102"/>
      <c r="BN171" s="102"/>
    </row>
    <row r="172" spans="2:66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Y172" s="102"/>
      <c r="AZ172" s="102"/>
      <c r="BA172" s="102"/>
      <c r="BB172" s="102"/>
      <c r="BC172" s="102"/>
      <c r="BD172" s="102"/>
      <c r="BE172" s="102"/>
      <c r="BF172" s="102"/>
      <c r="BG172" s="102"/>
      <c r="BH172" s="102"/>
      <c r="BI172" s="102"/>
      <c r="BJ172" s="102"/>
      <c r="BK172" s="102"/>
      <c r="BL172" s="102"/>
      <c r="BM172" s="102"/>
      <c r="BN172" s="102"/>
    </row>
    <row r="173" spans="2:66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Y173" s="102"/>
      <c r="AZ173" s="102"/>
      <c r="BA173" s="102"/>
      <c r="BB173" s="102"/>
      <c r="BC173" s="102"/>
      <c r="BD173" s="102"/>
      <c r="BE173" s="102"/>
      <c r="BF173" s="102"/>
      <c r="BG173" s="102"/>
      <c r="BH173" s="102"/>
      <c r="BI173" s="102"/>
      <c r="BJ173" s="102"/>
      <c r="BK173" s="102"/>
      <c r="BL173" s="102"/>
      <c r="BM173" s="102"/>
      <c r="BN173" s="102"/>
    </row>
    <row r="174" spans="2:66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Y174" s="102"/>
      <c r="AZ174" s="102"/>
      <c r="BA174" s="102"/>
      <c r="BB174" s="102"/>
      <c r="BC174" s="102"/>
      <c r="BD174" s="102"/>
      <c r="BE174" s="102"/>
      <c r="BF174" s="102"/>
      <c r="BG174" s="102"/>
      <c r="BH174" s="102"/>
      <c r="BI174" s="102"/>
      <c r="BJ174" s="102"/>
      <c r="BK174" s="102"/>
      <c r="BL174" s="102"/>
      <c r="BM174" s="102"/>
      <c r="BN174" s="102"/>
    </row>
    <row r="175" spans="2:66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Y175" s="102"/>
      <c r="AZ175" s="102"/>
      <c r="BA175" s="102"/>
      <c r="BB175" s="102"/>
      <c r="BC175" s="102"/>
      <c r="BD175" s="102"/>
      <c r="BE175" s="102"/>
      <c r="BF175" s="102"/>
      <c r="BG175" s="102"/>
      <c r="BH175" s="102"/>
      <c r="BI175" s="102"/>
      <c r="BJ175" s="102"/>
      <c r="BK175" s="102"/>
      <c r="BL175" s="102"/>
      <c r="BM175" s="102"/>
      <c r="BN175" s="102"/>
    </row>
    <row r="176" spans="2:66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Y176" s="102"/>
      <c r="AZ176" s="102"/>
      <c r="BA176" s="102"/>
      <c r="BB176" s="102"/>
      <c r="BC176" s="102"/>
      <c r="BD176" s="102"/>
      <c r="BE176" s="102"/>
      <c r="BF176" s="102"/>
      <c r="BG176" s="102"/>
      <c r="BH176" s="102"/>
      <c r="BI176" s="102"/>
      <c r="BJ176" s="102"/>
      <c r="BK176" s="102"/>
      <c r="BL176" s="102"/>
      <c r="BM176" s="102"/>
      <c r="BN176" s="102"/>
    </row>
    <row r="177" spans="2:66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Y177" s="102"/>
      <c r="AZ177" s="102"/>
      <c r="BA177" s="102"/>
      <c r="BB177" s="102"/>
      <c r="BC177" s="102"/>
      <c r="BD177" s="102"/>
      <c r="BE177" s="102"/>
      <c r="BF177" s="102"/>
      <c r="BG177" s="102"/>
      <c r="BH177" s="102"/>
      <c r="BI177" s="102"/>
      <c r="BJ177" s="102"/>
      <c r="BK177" s="102"/>
      <c r="BL177" s="102"/>
      <c r="BM177" s="102"/>
      <c r="BN177" s="102"/>
    </row>
    <row r="178" spans="2:66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Y178" s="102"/>
      <c r="AZ178" s="102"/>
      <c r="BA178" s="102"/>
      <c r="BB178" s="102"/>
      <c r="BC178" s="102"/>
      <c r="BD178" s="102"/>
      <c r="BE178" s="102"/>
      <c r="BF178" s="102"/>
      <c r="BG178" s="102"/>
      <c r="BH178" s="102"/>
      <c r="BI178" s="102"/>
      <c r="BJ178" s="102"/>
      <c r="BK178" s="102"/>
      <c r="BL178" s="102"/>
      <c r="BM178" s="102"/>
      <c r="BN178" s="102"/>
    </row>
    <row r="179" spans="2:66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Y179" s="102"/>
      <c r="AZ179" s="102"/>
      <c r="BA179" s="102"/>
      <c r="BB179" s="102"/>
      <c r="BC179" s="102"/>
      <c r="BD179" s="102"/>
      <c r="BE179" s="102"/>
      <c r="BF179" s="102"/>
      <c r="BG179" s="102"/>
      <c r="BH179" s="102"/>
      <c r="BI179" s="102"/>
      <c r="BJ179" s="102"/>
      <c r="BK179" s="102"/>
      <c r="BL179" s="102"/>
      <c r="BM179" s="102"/>
      <c r="BN179" s="102"/>
    </row>
    <row r="180" spans="2:66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Y180" s="102"/>
      <c r="AZ180" s="102"/>
      <c r="BA180" s="102"/>
      <c r="BB180" s="102"/>
      <c r="BC180" s="102"/>
      <c r="BD180" s="102"/>
      <c r="BE180" s="102"/>
      <c r="BF180" s="102"/>
      <c r="BG180" s="102"/>
      <c r="BH180" s="102"/>
      <c r="BI180" s="102"/>
      <c r="BJ180" s="102"/>
      <c r="BK180" s="102"/>
      <c r="BL180" s="102"/>
      <c r="BM180" s="102"/>
      <c r="BN180" s="102"/>
    </row>
    <row r="181" spans="2:66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Y181" s="102"/>
      <c r="AZ181" s="102"/>
      <c r="BA181" s="102"/>
      <c r="BB181" s="102"/>
      <c r="BC181" s="102"/>
      <c r="BD181" s="102"/>
      <c r="BE181" s="102"/>
      <c r="BF181" s="102"/>
      <c r="BG181" s="102"/>
      <c r="BH181" s="102"/>
      <c r="BI181" s="102"/>
      <c r="BJ181" s="102"/>
      <c r="BK181" s="102"/>
      <c r="BL181" s="102"/>
      <c r="BM181" s="102"/>
      <c r="BN181" s="102"/>
    </row>
    <row r="182" spans="2:66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Y182" s="102"/>
      <c r="AZ182" s="102"/>
      <c r="BA182" s="102"/>
      <c r="BB182" s="102"/>
      <c r="BC182" s="102"/>
      <c r="BD182" s="102"/>
      <c r="BE182" s="102"/>
      <c r="BF182" s="102"/>
      <c r="BG182" s="102"/>
      <c r="BH182" s="102"/>
      <c r="BI182" s="102"/>
      <c r="BJ182" s="102"/>
      <c r="BK182" s="102"/>
      <c r="BL182" s="102"/>
      <c r="BM182" s="102"/>
      <c r="BN182" s="102"/>
    </row>
    <row r="183" spans="2:66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Y183" s="102"/>
      <c r="AZ183" s="102"/>
      <c r="BA183" s="102"/>
      <c r="BB183" s="102"/>
      <c r="BC183" s="102"/>
      <c r="BD183" s="102"/>
      <c r="BE183" s="102"/>
      <c r="BF183" s="102"/>
      <c r="BG183" s="102"/>
      <c r="BH183" s="102"/>
      <c r="BI183" s="102"/>
      <c r="BJ183" s="102"/>
      <c r="BK183" s="102"/>
      <c r="BL183" s="102"/>
      <c r="BM183" s="102"/>
      <c r="BN183" s="102"/>
    </row>
    <row r="184" spans="2:66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Y184" s="102"/>
      <c r="AZ184" s="102"/>
      <c r="BA184" s="102"/>
      <c r="BB184" s="102"/>
      <c r="BC184" s="102"/>
      <c r="BD184" s="102"/>
      <c r="BE184" s="102"/>
      <c r="BF184" s="102"/>
      <c r="BG184" s="102"/>
      <c r="BH184" s="102"/>
      <c r="BI184" s="102"/>
      <c r="BJ184" s="102"/>
      <c r="BK184" s="102"/>
      <c r="BL184" s="102"/>
      <c r="BM184" s="102"/>
      <c r="BN184" s="102"/>
    </row>
    <row r="185" spans="2:66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Y185" s="102"/>
      <c r="AZ185" s="102"/>
      <c r="BA185" s="102"/>
      <c r="BB185" s="102"/>
      <c r="BC185" s="102"/>
      <c r="BD185" s="102"/>
      <c r="BE185" s="102"/>
      <c r="BF185" s="102"/>
      <c r="BG185" s="102"/>
      <c r="BH185" s="102"/>
      <c r="BI185" s="102"/>
      <c r="BJ185" s="102"/>
      <c r="BK185" s="102"/>
      <c r="BL185" s="102"/>
      <c r="BM185" s="102"/>
      <c r="BN185" s="102"/>
    </row>
    <row r="186" spans="2:66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Y186" s="102"/>
      <c r="AZ186" s="102"/>
      <c r="BA186" s="102"/>
      <c r="BB186" s="102"/>
      <c r="BC186" s="102"/>
      <c r="BD186" s="102"/>
      <c r="BE186" s="102"/>
      <c r="BF186" s="102"/>
      <c r="BG186" s="102"/>
      <c r="BH186" s="102"/>
      <c r="BI186" s="102"/>
      <c r="BJ186" s="102"/>
      <c r="BK186" s="102"/>
      <c r="BL186" s="102"/>
      <c r="BM186" s="102"/>
      <c r="BN186" s="102"/>
    </row>
    <row r="187" spans="2:66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Y187" s="102"/>
      <c r="AZ187" s="102"/>
      <c r="BA187" s="102"/>
      <c r="BB187" s="102"/>
      <c r="BC187" s="102"/>
      <c r="BD187" s="102"/>
      <c r="BE187" s="102"/>
      <c r="BF187" s="102"/>
      <c r="BG187" s="102"/>
      <c r="BH187" s="102"/>
      <c r="BI187" s="102"/>
      <c r="BJ187" s="102"/>
      <c r="BK187" s="102"/>
      <c r="BL187" s="102"/>
      <c r="BM187" s="102"/>
      <c r="BN187" s="102"/>
    </row>
    <row r="188" spans="2:66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Y188" s="102"/>
      <c r="AZ188" s="102"/>
      <c r="BA188" s="102"/>
      <c r="BB188" s="102"/>
      <c r="BC188" s="102"/>
      <c r="BD188" s="102"/>
      <c r="BE188" s="102"/>
      <c r="BF188" s="102"/>
      <c r="BG188" s="102"/>
      <c r="BH188" s="102"/>
      <c r="BI188" s="102"/>
      <c r="BJ188" s="102"/>
      <c r="BK188" s="102"/>
      <c r="BL188" s="102"/>
      <c r="BM188" s="102"/>
      <c r="BN188" s="102"/>
    </row>
    <row r="189" spans="2:66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Y189" s="102"/>
      <c r="AZ189" s="102"/>
      <c r="BA189" s="102"/>
      <c r="BB189" s="102"/>
      <c r="BC189" s="102"/>
      <c r="BD189" s="102"/>
      <c r="BE189" s="102"/>
      <c r="BF189" s="102"/>
      <c r="BG189" s="102"/>
      <c r="BH189" s="102"/>
      <c r="BI189" s="102"/>
      <c r="BJ189" s="102"/>
      <c r="BK189" s="102"/>
      <c r="BL189" s="102"/>
      <c r="BM189" s="102"/>
      <c r="BN189" s="102"/>
    </row>
    <row r="190" spans="2:66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Y190" s="102"/>
      <c r="AZ190" s="102"/>
      <c r="BA190" s="102"/>
      <c r="BB190" s="102"/>
      <c r="BC190" s="102"/>
      <c r="BD190" s="102"/>
      <c r="BE190" s="102"/>
      <c r="BF190" s="102"/>
      <c r="BG190" s="102"/>
      <c r="BH190" s="102"/>
      <c r="BI190" s="102"/>
      <c r="BJ190" s="102"/>
      <c r="BK190" s="102"/>
      <c r="BL190" s="102"/>
      <c r="BM190" s="102"/>
      <c r="BN190" s="102"/>
    </row>
    <row r="191" spans="2:66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Y191" s="102"/>
      <c r="AZ191" s="102"/>
      <c r="BA191" s="102"/>
      <c r="BB191" s="102"/>
      <c r="BC191" s="102"/>
      <c r="BD191" s="102"/>
      <c r="BE191" s="102"/>
      <c r="BF191" s="102"/>
      <c r="BG191" s="102"/>
      <c r="BH191" s="102"/>
      <c r="BI191" s="102"/>
      <c r="BJ191" s="102"/>
      <c r="BK191" s="102"/>
      <c r="BL191" s="102"/>
      <c r="BM191" s="102"/>
      <c r="BN191" s="102"/>
    </row>
    <row r="192" spans="2:66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Y192" s="102"/>
      <c r="AZ192" s="102"/>
      <c r="BA192" s="102"/>
      <c r="BB192" s="102"/>
      <c r="BC192" s="102"/>
      <c r="BD192" s="102"/>
      <c r="BE192" s="102"/>
      <c r="BF192" s="102"/>
      <c r="BG192" s="102"/>
      <c r="BH192" s="102"/>
      <c r="BI192" s="102"/>
      <c r="BJ192" s="102"/>
      <c r="BK192" s="102"/>
      <c r="BL192" s="102"/>
      <c r="BM192" s="102"/>
      <c r="BN192" s="102"/>
    </row>
    <row r="193" spans="2:66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Y193" s="102"/>
      <c r="AZ193" s="102"/>
      <c r="BA193" s="102"/>
      <c r="BB193" s="102"/>
      <c r="BC193" s="102"/>
      <c r="BD193" s="102"/>
      <c r="BE193" s="102"/>
      <c r="BF193" s="102"/>
      <c r="BG193" s="102"/>
      <c r="BH193" s="102"/>
      <c r="BI193" s="102"/>
      <c r="BJ193" s="102"/>
      <c r="BK193" s="102"/>
      <c r="BL193" s="102"/>
      <c r="BM193" s="102"/>
      <c r="BN193" s="102"/>
    </row>
    <row r="194" spans="2:66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Y194" s="102"/>
      <c r="AZ194" s="102"/>
      <c r="BA194" s="102"/>
      <c r="BB194" s="102"/>
      <c r="BC194" s="102"/>
      <c r="BD194" s="102"/>
      <c r="BE194" s="102"/>
      <c r="BF194" s="102"/>
      <c r="BG194" s="102"/>
      <c r="BH194" s="102"/>
      <c r="BI194" s="102"/>
      <c r="BJ194" s="102"/>
      <c r="BK194" s="102"/>
      <c r="BL194" s="102"/>
      <c r="BM194" s="102"/>
      <c r="BN194" s="102"/>
    </row>
    <row r="195" spans="2:66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Y195" s="102"/>
      <c r="AZ195" s="102"/>
      <c r="BA195" s="102"/>
      <c r="BB195" s="102"/>
      <c r="BC195" s="102"/>
      <c r="BD195" s="102"/>
      <c r="BE195" s="102"/>
      <c r="BF195" s="102"/>
      <c r="BG195" s="102"/>
      <c r="BH195" s="102"/>
      <c r="BI195" s="102"/>
      <c r="BJ195" s="102"/>
      <c r="BK195" s="102"/>
      <c r="BL195" s="102"/>
      <c r="BM195" s="102"/>
      <c r="BN195" s="102"/>
    </row>
    <row r="196" spans="2:66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Y196" s="102"/>
      <c r="AZ196" s="102"/>
      <c r="BA196" s="102"/>
      <c r="BB196" s="102"/>
      <c r="BC196" s="102"/>
      <c r="BD196" s="102"/>
      <c r="BE196" s="102"/>
      <c r="BF196" s="102"/>
      <c r="BG196" s="102"/>
      <c r="BH196" s="102"/>
      <c r="BI196" s="102"/>
      <c r="BJ196" s="102"/>
      <c r="BK196" s="102"/>
      <c r="BL196" s="102"/>
      <c r="BM196" s="102"/>
      <c r="BN196" s="102"/>
    </row>
    <row r="197" spans="2:66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Y197" s="102"/>
      <c r="AZ197" s="102"/>
      <c r="BA197" s="102"/>
      <c r="BB197" s="102"/>
      <c r="BC197" s="102"/>
      <c r="BD197" s="102"/>
      <c r="BE197" s="102"/>
      <c r="BF197" s="102"/>
      <c r="BG197" s="102"/>
      <c r="BH197" s="102"/>
      <c r="BI197" s="102"/>
      <c r="BJ197" s="102"/>
      <c r="BK197" s="102"/>
      <c r="BL197" s="102"/>
      <c r="BM197" s="102"/>
      <c r="BN197" s="102"/>
    </row>
    <row r="198" spans="2:66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Y198" s="102"/>
      <c r="AZ198" s="102"/>
      <c r="BA198" s="102"/>
      <c r="BB198" s="102"/>
      <c r="BC198" s="102"/>
      <c r="BD198" s="102"/>
      <c r="BE198" s="102"/>
      <c r="BF198" s="102"/>
      <c r="BG198" s="102"/>
      <c r="BH198" s="102"/>
      <c r="BI198" s="102"/>
      <c r="BJ198" s="102"/>
      <c r="BK198" s="102"/>
      <c r="BL198" s="102"/>
      <c r="BM198" s="102"/>
      <c r="BN198" s="102"/>
    </row>
    <row r="199" spans="2:66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Y199" s="102"/>
      <c r="AZ199" s="102"/>
      <c r="BA199" s="102"/>
      <c r="BB199" s="102"/>
      <c r="BC199" s="102"/>
      <c r="BD199" s="102"/>
      <c r="BE199" s="102"/>
      <c r="BF199" s="102"/>
      <c r="BG199" s="102"/>
      <c r="BH199" s="102"/>
      <c r="BI199" s="102"/>
      <c r="BJ199" s="102"/>
      <c r="BK199" s="102"/>
      <c r="BL199" s="102"/>
      <c r="BM199" s="102"/>
      <c r="BN199" s="102"/>
    </row>
    <row r="200" spans="2:66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Y200" s="102"/>
      <c r="AZ200" s="102"/>
      <c r="BA200" s="102"/>
      <c r="BB200" s="102"/>
      <c r="BC200" s="102"/>
      <c r="BD200" s="102"/>
      <c r="BE200" s="102"/>
      <c r="BF200" s="102"/>
      <c r="BG200" s="102"/>
      <c r="BH200" s="102"/>
      <c r="BI200" s="102"/>
      <c r="BJ200" s="102"/>
      <c r="BK200" s="102"/>
      <c r="BL200" s="102"/>
      <c r="BM200" s="102"/>
      <c r="BN200" s="102"/>
    </row>
    <row r="201" spans="2:66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Y201" s="102"/>
      <c r="AZ201" s="102"/>
      <c r="BA201" s="102"/>
      <c r="BB201" s="102"/>
      <c r="BC201" s="102"/>
      <c r="BD201" s="102"/>
      <c r="BE201" s="102"/>
      <c r="BF201" s="102"/>
      <c r="BG201" s="102"/>
      <c r="BH201" s="102"/>
      <c r="BI201" s="102"/>
      <c r="BJ201" s="102"/>
      <c r="BK201" s="102"/>
      <c r="BL201" s="102"/>
      <c r="BM201" s="102"/>
      <c r="BN201" s="102"/>
    </row>
    <row r="202" spans="2:66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Y202" s="102"/>
      <c r="AZ202" s="102"/>
      <c r="BA202" s="102"/>
      <c r="BB202" s="102"/>
      <c r="BC202" s="102"/>
      <c r="BD202" s="102"/>
      <c r="BE202" s="102"/>
      <c r="BF202" s="102"/>
      <c r="BG202" s="102"/>
      <c r="BH202" s="102"/>
      <c r="BI202" s="102"/>
      <c r="BJ202" s="102"/>
      <c r="BK202" s="102"/>
      <c r="BL202" s="102"/>
      <c r="BM202" s="102"/>
      <c r="BN202" s="102"/>
    </row>
    <row r="203" spans="2:66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Y203" s="102"/>
      <c r="AZ203" s="102"/>
      <c r="BA203" s="102"/>
      <c r="BB203" s="102"/>
      <c r="BC203" s="102"/>
      <c r="BD203" s="102"/>
      <c r="BE203" s="102"/>
      <c r="BF203" s="102"/>
      <c r="BG203" s="102"/>
      <c r="BH203" s="102"/>
      <c r="BI203" s="102"/>
      <c r="BJ203" s="102"/>
      <c r="BK203" s="102"/>
      <c r="BL203" s="102"/>
      <c r="BM203" s="102"/>
      <c r="BN203" s="102"/>
    </row>
    <row r="204" spans="2:66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Y204" s="102"/>
      <c r="AZ204" s="102"/>
      <c r="BA204" s="102"/>
      <c r="BB204" s="102"/>
      <c r="BC204" s="102"/>
      <c r="BD204" s="102"/>
      <c r="BE204" s="102"/>
      <c r="BF204" s="102"/>
      <c r="BG204" s="102"/>
      <c r="BH204" s="102"/>
      <c r="BI204" s="102"/>
      <c r="BJ204" s="102"/>
      <c r="BK204" s="102"/>
      <c r="BL204" s="102"/>
      <c r="BM204" s="102"/>
      <c r="BN204" s="102"/>
    </row>
    <row r="205" spans="2:66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Y205" s="102"/>
      <c r="AZ205" s="102"/>
      <c r="BA205" s="102"/>
      <c r="BB205" s="102"/>
      <c r="BC205" s="102"/>
      <c r="BD205" s="102"/>
      <c r="BE205" s="102"/>
      <c r="BF205" s="102"/>
      <c r="BG205" s="102"/>
      <c r="BH205" s="102"/>
      <c r="BI205" s="102"/>
      <c r="BJ205" s="102"/>
      <c r="BK205" s="102"/>
      <c r="BL205" s="102"/>
      <c r="BM205" s="102"/>
      <c r="BN205" s="102"/>
    </row>
    <row r="206" spans="2:66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Y206" s="102"/>
      <c r="AZ206" s="102"/>
      <c r="BA206" s="102"/>
      <c r="BB206" s="102"/>
      <c r="BC206" s="102"/>
      <c r="BD206" s="102"/>
      <c r="BE206" s="102"/>
      <c r="BF206" s="102"/>
      <c r="BG206" s="102"/>
      <c r="BH206" s="102"/>
      <c r="BI206" s="102"/>
      <c r="BJ206" s="102"/>
      <c r="BK206" s="102"/>
      <c r="BL206" s="102"/>
      <c r="BM206" s="102"/>
      <c r="BN206" s="102"/>
    </row>
    <row r="207" spans="2:66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Y207" s="102"/>
      <c r="AZ207" s="102"/>
      <c r="BA207" s="102"/>
      <c r="BB207" s="102"/>
      <c r="BC207" s="102"/>
      <c r="BD207" s="102"/>
      <c r="BE207" s="102"/>
      <c r="BF207" s="102"/>
      <c r="BG207" s="102"/>
      <c r="BH207" s="102"/>
      <c r="BI207" s="102"/>
      <c r="BJ207" s="102"/>
      <c r="BK207" s="102"/>
      <c r="BL207" s="102"/>
      <c r="BM207" s="102"/>
      <c r="BN207" s="102"/>
    </row>
    <row r="208" spans="2:66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Y208" s="102"/>
      <c r="AZ208" s="102"/>
      <c r="BA208" s="102"/>
      <c r="BB208" s="102"/>
      <c r="BC208" s="102"/>
      <c r="BD208" s="102"/>
      <c r="BE208" s="102"/>
      <c r="BF208" s="102"/>
      <c r="BG208" s="102"/>
      <c r="BH208" s="102"/>
      <c r="BI208" s="102"/>
      <c r="BJ208" s="102"/>
      <c r="BK208" s="102"/>
      <c r="BL208" s="102"/>
      <c r="BM208" s="102"/>
      <c r="BN208" s="102"/>
    </row>
    <row r="209" spans="2:66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Y209" s="102"/>
      <c r="AZ209" s="102"/>
      <c r="BA209" s="102"/>
      <c r="BB209" s="102"/>
      <c r="BC209" s="102"/>
      <c r="BD209" s="102"/>
      <c r="BE209" s="102"/>
      <c r="BF209" s="102"/>
      <c r="BG209" s="102"/>
      <c r="BH209" s="102"/>
      <c r="BI209" s="102"/>
      <c r="BJ209" s="102"/>
      <c r="BK209" s="102"/>
      <c r="BL209" s="102"/>
      <c r="BM209" s="102"/>
      <c r="BN209" s="102"/>
    </row>
    <row r="210" spans="2:66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Y210" s="102"/>
      <c r="AZ210" s="102"/>
      <c r="BA210" s="102"/>
      <c r="BB210" s="102"/>
      <c r="BC210" s="102"/>
      <c r="BD210" s="102"/>
      <c r="BE210" s="102"/>
      <c r="BF210" s="102"/>
      <c r="BG210" s="102"/>
      <c r="BH210" s="102"/>
      <c r="BI210" s="102"/>
      <c r="BJ210" s="102"/>
      <c r="BK210" s="102"/>
      <c r="BL210" s="102"/>
      <c r="BM210" s="102"/>
      <c r="BN210" s="102"/>
    </row>
    <row r="211" spans="2:66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Y211" s="102"/>
      <c r="AZ211" s="102"/>
      <c r="BA211" s="102"/>
      <c r="BB211" s="102"/>
      <c r="BC211" s="102"/>
      <c r="BD211" s="102"/>
      <c r="BE211" s="102"/>
      <c r="BF211" s="102"/>
      <c r="BG211" s="102"/>
      <c r="BH211" s="102"/>
      <c r="BI211" s="102"/>
      <c r="BJ211" s="102"/>
      <c r="BK211" s="102"/>
      <c r="BL211" s="102"/>
      <c r="BM211" s="102"/>
      <c r="BN211" s="102"/>
    </row>
    <row r="212" spans="2:66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Y212" s="102"/>
      <c r="AZ212" s="102"/>
      <c r="BA212" s="102"/>
      <c r="BB212" s="102"/>
      <c r="BC212" s="102"/>
      <c r="BD212" s="102"/>
      <c r="BE212" s="102"/>
      <c r="BF212" s="102"/>
      <c r="BG212" s="102"/>
      <c r="BH212" s="102"/>
      <c r="BI212" s="102"/>
      <c r="BJ212" s="102"/>
      <c r="BK212" s="102"/>
      <c r="BL212" s="102"/>
      <c r="BM212" s="102"/>
      <c r="BN212" s="102"/>
    </row>
    <row r="213" spans="2:66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Y213" s="102"/>
      <c r="AZ213" s="102"/>
      <c r="BA213" s="102"/>
      <c r="BB213" s="102"/>
      <c r="BC213" s="102"/>
      <c r="BD213" s="102"/>
      <c r="BE213" s="102"/>
      <c r="BF213" s="102"/>
      <c r="BG213" s="102"/>
      <c r="BH213" s="102"/>
      <c r="BI213" s="102"/>
      <c r="BJ213" s="102"/>
      <c r="BK213" s="102"/>
      <c r="BL213" s="102"/>
      <c r="BM213" s="102"/>
      <c r="BN213" s="102"/>
    </row>
    <row r="214" spans="2:66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Y214" s="102"/>
      <c r="AZ214" s="102"/>
      <c r="BA214" s="102"/>
      <c r="BB214" s="102"/>
      <c r="BC214" s="102"/>
      <c r="BD214" s="102"/>
      <c r="BE214" s="102"/>
      <c r="BF214" s="102"/>
      <c r="BG214" s="102"/>
      <c r="BH214" s="102"/>
      <c r="BI214" s="102"/>
      <c r="BJ214" s="102"/>
      <c r="BK214" s="102"/>
      <c r="BL214" s="102"/>
      <c r="BM214" s="102"/>
      <c r="BN214" s="102"/>
    </row>
    <row r="215" spans="2:66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Y215" s="102"/>
      <c r="AZ215" s="102"/>
      <c r="BA215" s="102"/>
      <c r="BB215" s="102"/>
      <c r="BC215" s="102"/>
      <c r="BD215" s="102"/>
      <c r="BE215" s="102"/>
      <c r="BF215" s="102"/>
      <c r="BG215" s="102"/>
      <c r="BH215" s="102"/>
      <c r="BI215" s="102"/>
      <c r="BJ215" s="102"/>
      <c r="BK215" s="102"/>
      <c r="BL215" s="102"/>
      <c r="BM215" s="102"/>
      <c r="BN215" s="102"/>
    </row>
    <row r="216" spans="2:66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Y216" s="102"/>
      <c r="AZ216" s="102"/>
      <c r="BA216" s="102"/>
      <c r="BB216" s="102"/>
      <c r="BC216" s="102"/>
      <c r="BD216" s="102"/>
      <c r="BE216" s="102"/>
      <c r="BF216" s="102"/>
      <c r="BG216" s="102"/>
      <c r="BH216" s="102"/>
      <c r="BI216" s="102"/>
      <c r="BJ216" s="102"/>
      <c r="BK216" s="102"/>
      <c r="BL216" s="102"/>
      <c r="BM216" s="102"/>
      <c r="BN216" s="102"/>
    </row>
    <row r="217" spans="2:66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Y217" s="102"/>
      <c r="AZ217" s="102"/>
      <c r="BA217" s="102"/>
      <c r="BB217" s="102"/>
      <c r="BC217" s="102"/>
      <c r="BD217" s="102"/>
      <c r="BE217" s="102"/>
      <c r="BF217" s="102"/>
      <c r="BG217" s="102"/>
      <c r="BH217" s="102"/>
      <c r="BI217" s="102"/>
      <c r="BJ217" s="102"/>
      <c r="BK217" s="102"/>
      <c r="BL217" s="102"/>
      <c r="BM217" s="102"/>
      <c r="BN217" s="102"/>
    </row>
    <row r="218" spans="2:66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Y218" s="102"/>
      <c r="AZ218" s="102"/>
      <c r="BA218" s="102"/>
      <c r="BB218" s="102"/>
      <c r="BC218" s="102"/>
      <c r="BD218" s="102"/>
      <c r="BE218" s="102"/>
      <c r="BF218" s="102"/>
      <c r="BG218" s="102"/>
      <c r="BH218" s="102"/>
      <c r="BI218" s="102"/>
      <c r="BJ218" s="102"/>
      <c r="BK218" s="102"/>
      <c r="BL218" s="102"/>
      <c r="BM218" s="102"/>
      <c r="BN218" s="102"/>
    </row>
    <row r="219" spans="2:66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Y219" s="102"/>
      <c r="AZ219" s="102"/>
      <c r="BA219" s="102"/>
      <c r="BB219" s="102"/>
      <c r="BC219" s="102"/>
      <c r="BD219" s="102"/>
      <c r="BE219" s="102"/>
      <c r="BF219" s="102"/>
      <c r="BG219" s="102"/>
      <c r="BH219" s="102"/>
      <c r="BI219" s="102"/>
      <c r="BJ219" s="102"/>
      <c r="BK219" s="102"/>
      <c r="BL219" s="102"/>
      <c r="BM219" s="102"/>
      <c r="BN219" s="102"/>
    </row>
    <row r="220" spans="2:66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Y220" s="102"/>
      <c r="AZ220" s="102"/>
      <c r="BA220" s="102"/>
      <c r="BB220" s="102"/>
      <c r="BC220" s="102"/>
      <c r="BD220" s="102"/>
      <c r="BE220" s="102"/>
      <c r="BF220" s="102"/>
      <c r="BG220" s="102"/>
      <c r="BH220" s="102"/>
      <c r="BI220" s="102"/>
      <c r="BJ220" s="102"/>
      <c r="BK220" s="102"/>
      <c r="BL220" s="102"/>
      <c r="BM220" s="102"/>
      <c r="BN220" s="102"/>
    </row>
    <row r="221" spans="2:66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Y221" s="102"/>
      <c r="AZ221" s="102"/>
      <c r="BA221" s="102"/>
      <c r="BB221" s="102"/>
      <c r="BC221" s="102"/>
      <c r="BD221" s="102"/>
      <c r="BE221" s="102"/>
      <c r="BF221" s="102"/>
      <c r="BG221" s="102"/>
      <c r="BH221" s="102"/>
      <c r="BI221" s="102"/>
      <c r="BJ221" s="102"/>
      <c r="BK221" s="102"/>
      <c r="BL221" s="102"/>
      <c r="BM221" s="102"/>
      <c r="BN221" s="102"/>
    </row>
    <row r="222" spans="2:66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Y222" s="102"/>
      <c r="AZ222" s="102"/>
      <c r="BA222" s="102"/>
      <c r="BB222" s="102"/>
      <c r="BC222" s="102"/>
      <c r="BD222" s="102"/>
      <c r="BE222" s="102"/>
      <c r="BF222" s="102"/>
      <c r="BG222" s="102"/>
      <c r="BH222" s="102"/>
      <c r="BI222" s="102"/>
      <c r="BJ222" s="102"/>
      <c r="BK222" s="102"/>
      <c r="BL222" s="102"/>
      <c r="BM222" s="102"/>
      <c r="BN222" s="102"/>
    </row>
    <row r="223" spans="2:66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Y223" s="102"/>
      <c r="AZ223" s="102"/>
      <c r="BA223" s="102"/>
      <c r="BB223" s="102"/>
      <c r="BC223" s="102"/>
      <c r="BD223" s="102"/>
      <c r="BE223" s="102"/>
      <c r="BF223" s="102"/>
      <c r="BG223" s="102"/>
      <c r="BH223" s="102"/>
      <c r="BI223" s="102"/>
      <c r="BJ223" s="102"/>
      <c r="BK223" s="102"/>
      <c r="BL223" s="102"/>
      <c r="BM223" s="102"/>
      <c r="BN223" s="102"/>
    </row>
    <row r="224" spans="2:66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Y224" s="102"/>
      <c r="AZ224" s="102"/>
      <c r="BA224" s="102"/>
      <c r="BB224" s="102"/>
      <c r="BC224" s="102"/>
      <c r="BD224" s="102"/>
      <c r="BE224" s="102"/>
      <c r="BF224" s="102"/>
      <c r="BG224" s="102"/>
      <c r="BH224" s="102"/>
      <c r="BI224" s="102"/>
      <c r="BJ224" s="102"/>
      <c r="BK224" s="102"/>
      <c r="BL224" s="102"/>
      <c r="BM224" s="102"/>
      <c r="BN224" s="102"/>
    </row>
    <row r="225" spans="2:66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Y225" s="102"/>
      <c r="AZ225" s="102"/>
      <c r="BA225" s="102"/>
      <c r="BB225" s="102"/>
      <c r="BC225" s="102"/>
      <c r="BD225" s="102"/>
      <c r="BE225" s="102"/>
      <c r="BF225" s="102"/>
      <c r="BG225" s="102"/>
      <c r="BH225" s="102"/>
      <c r="BI225" s="102"/>
      <c r="BJ225" s="102"/>
      <c r="BK225" s="102"/>
      <c r="BL225" s="102"/>
      <c r="BM225" s="102"/>
      <c r="BN225" s="102"/>
    </row>
    <row r="226" spans="2:66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Y226" s="102"/>
      <c r="AZ226" s="102"/>
      <c r="BA226" s="102"/>
      <c r="BB226" s="102"/>
      <c r="BC226" s="102"/>
      <c r="BD226" s="102"/>
      <c r="BE226" s="102"/>
      <c r="BF226" s="102"/>
      <c r="BG226" s="102"/>
      <c r="BH226" s="102"/>
      <c r="BI226" s="102"/>
      <c r="BJ226" s="102"/>
      <c r="BK226" s="102"/>
      <c r="BL226" s="102"/>
      <c r="BM226" s="102"/>
      <c r="BN226" s="102"/>
    </row>
    <row r="227" spans="2:66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Y227" s="102"/>
      <c r="AZ227" s="102"/>
      <c r="BA227" s="102"/>
      <c r="BB227" s="102"/>
      <c r="BC227" s="102"/>
      <c r="BD227" s="102"/>
      <c r="BE227" s="102"/>
      <c r="BF227" s="102"/>
      <c r="BG227" s="102"/>
      <c r="BH227" s="102"/>
      <c r="BI227" s="102"/>
      <c r="BJ227" s="102"/>
      <c r="BK227" s="102"/>
      <c r="BL227" s="102"/>
      <c r="BM227" s="102"/>
      <c r="BN227" s="102"/>
    </row>
    <row r="228" spans="2:66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Y228" s="102"/>
      <c r="AZ228" s="102"/>
      <c r="BA228" s="102"/>
      <c r="BB228" s="102"/>
      <c r="BC228" s="102"/>
      <c r="BD228" s="102"/>
      <c r="BE228" s="102"/>
      <c r="BF228" s="102"/>
      <c r="BG228" s="102"/>
      <c r="BH228" s="102"/>
      <c r="BI228" s="102"/>
      <c r="BJ228" s="102"/>
      <c r="BK228" s="102"/>
      <c r="BL228" s="102"/>
      <c r="BM228" s="102"/>
      <c r="BN228" s="102"/>
    </row>
    <row r="229" spans="2:66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Y229" s="102"/>
      <c r="AZ229" s="102"/>
      <c r="BA229" s="102"/>
      <c r="BB229" s="102"/>
      <c r="BC229" s="102"/>
      <c r="BD229" s="102"/>
      <c r="BE229" s="102"/>
      <c r="BF229" s="102"/>
      <c r="BG229" s="102"/>
      <c r="BH229" s="102"/>
      <c r="BI229" s="102"/>
      <c r="BJ229" s="102"/>
      <c r="BK229" s="102"/>
      <c r="BL229" s="102"/>
      <c r="BM229" s="102"/>
      <c r="BN229" s="102"/>
    </row>
    <row r="230" spans="2:66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Y230" s="102"/>
      <c r="AZ230" s="102"/>
      <c r="BA230" s="102"/>
      <c r="BB230" s="102"/>
      <c r="BC230" s="102"/>
      <c r="BD230" s="102"/>
      <c r="BE230" s="102"/>
      <c r="BF230" s="102"/>
      <c r="BG230" s="102"/>
      <c r="BH230" s="102"/>
      <c r="BI230" s="102"/>
      <c r="BJ230" s="102"/>
      <c r="BK230" s="102"/>
      <c r="BL230" s="102"/>
      <c r="BM230" s="102"/>
      <c r="BN230" s="102"/>
    </row>
    <row r="231" spans="2:66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Y231" s="102"/>
      <c r="AZ231" s="102"/>
      <c r="BA231" s="102"/>
      <c r="BB231" s="102"/>
      <c r="BC231" s="102"/>
      <c r="BD231" s="102"/>
      <c r="BE231" s="102"/>
      <c r="BF231" s="102"/>
      <c r="BG231" s="102"/>
      <c r="BH231" s="102"/>
      <c r="BI231" s="102"/>
      <c r="BJ231" s="102"/>
      <c r="BK231" s="102"/>
      <c r="BL231" s="102"/>
      <c r="BM231" s="102"/>
      <c r="BN231" s="102"/>
    </row>
    <row r="232" spans="2:66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Y232" s="102"/>
      <c r="AZ232" s="102"/>
      <c r="BA232" s="102"/>
      <c r="BB232" s="102"/>
      <c r="BC232" s="102"/>
      <c r="BD232" s="102"/>
      <c r="BE232" s="102"/>
      <c r="BF232" s="102"/>
      <c r="BG232" s="102"/>
      <c r="BH232" s="102"/>
      <c r="BI232" s="102"/>
      <c r="BJ232" s="102"/>
      <c r="BK232" s="102"/>
      <c r="BL232" s="102"/>
      <c r="BM232" s="102"/>
      <c r="BN232" s="102"/>
    </row>
    <row r="233" spans="2:66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Y233" s="102"/>
      <c r="AZ233" s="102"/>
      <c r="BA233" s="102"/>
      <c r="BB233" s="102"/>
      <c r="BC233" s="102"/>
      <c r="BD233" s="102"/>
      <c r="BE233" s="102"/>
      <c r="BF233" s="102"/>
      <c r="BG233" s="102"/>
      <c r="BH233" s="102"/>
      <c r="BI233" s="102"/>
      <c r="BJ233" s="102"/>
      <c r="BK233" s="102"/>
      <c r="BL233" s="102"/>
      <c r="BM233" s="102"/>
      <c r="BN233" s="102"/>
    </row>
    <row r="234" spans="2:66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Y234" s="102"/>
      <c r="AZ234" s="102"/>
      <c r="BA234" s="102"/>
      <c r="BB234" s="102"/>
      <c r="BC234" s="102"/>
      <c r="BD234" s="102"/>
      <c r="BE234" s="102"/>
      <c r="BF234" s="102"/>
      <c r="BG234" s="102"/>
      <c r="BH234" s="102"/>
      <c r="BI234" s="102"/>
      <c r="BJ234" s="102"/>
      <c r="BK234" s="102"/>
      <c r="BL234" s="102"/>
      <c r="BM234" s="102"/>
      <c r="BN234" s="102"/>
    </row>
    <row r="235" spans="2:66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Y235" s="102"/>
      <c r="AZ235" s="102"/>
      <c r="BA235" s="102"/>
      <c r="BB235" s="102"/>
      <c r="BC235" s="102"/>
      <c r="BD235" s="102"/>
      <c r="BE235" s="102"/>
      <c r="BF235" s="102"/>
      <c r="BG235" s="102"/>
      <c r="BH235" s="102"/>
      <c r="BI235" s="102"/>
      <c r="BJ235" s="102"/>
      <c r="BK235" s="102"/>
      <c r="BL235" s="102"/>
      <c r="BM235" s="102"/>
      <c r="BN235" s="102"/>
    </row>
    <row r="236" spans="2:66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Y236" s="102"/>
      <c r="AZ236" s="102"/>
      <c r="BA236" s="102"/>
      <c r="BB236" s="102"/>
      <c r="BC236" s="102"/>
      <c r="BD236" s="102"/>
      <c r="BE236" s="102"/>
      <c r="BF236" s="102"/>
      <c r="BG236" s="102"/>
      <c r="BH236" s="102"/>
      <c r="BI236" s="102"/>
      <c r="BJ236" s="102"/>
      <c r="BK236" s="102"/>
      <c r="BL236" s="102"/>
      <c r="BM236" s="102"/>
      <c r="BN236" s="102"/>
    </row>
    <row r="237" spans="2:66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Y237" s="102"/>
      <c r="AZ237" s="102"/>
      <c r="BA237" s="102"/>
      <c r="BB237" s="102"/>
      <c r="BC237" s="102"/>
      <c r="BD237" s="102"/>
      <c r="BE237" s="102"/>
      <c r="BF237" s="102"/>
      <c r="BG237" s="102"/>
      <c r="BH237" s="102"/>
      <c r="BI237" s="102"/>
      <c r="BJ237" s="102"/>
      <c r="BK237" s="102"/>
      <c r="BL237" s="102"/>
      <c r="BM237" s="102"/>
      <c r="BN237" s="102"/>
    </row>
    <row r="238" spans="2:66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Y238" s="102"/>
      <c r="AZ238" s="102"/>
      <c r="BA238" s="102"/>
      <c r="BB238" s="102"/>
      <c r="BC238" s="102"/>
      <c r="BD238" s="102"/>
      <c r="BE238" s="102"/>
      <c r="BF238" s="102"/>
      <c r="BG238" s="102"/>
      <c r="BH238" s="102"/>
      <c r="BI238" s="102"/>
      <c r="BJ238" s="102"/>
      <c r="BK238" s="102"/>
      <c r="BL238" s="102"/>
      <c r="BM238" s="102"/>
      <c r="BN238" s="102"/>
    </row>
    <row r="239" spans="2:66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Y239" s="102"/>
      <c r="AZ239" s="102"/>
      <c r="BA239" s="102"/>
      <c r="BB239" s="102"/>
      <c r="BC239" s="102"/>
      <c r="BD239" s="102"/>
      <c r="BE239" s="102"/>
      <c r="BF239" s="102"/>
      <c r="BG239" s="102"/>
      <c r="BH239" s="102"/>
      <c r="BI239" s="102"/>
      <c r="BJ239" s="102"/>
      <c r="BK239" s="102"/>
      <c r="BL239" s="102"/>
      <c r="BM239" s="102"/>
      <c r="BN239" s="102"/>
    </row>
    <row r="240" spans="2:66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Y240" s="102"/>
      <c r="AZ240" s="102"/>
      <c r="BA240" s="102"/>
      <c r="BB240" s="102"/>
      <c r="BC240" s="102"/>
      <c r="BD240" s="102"/>
      <c r="BE240" s="102"/>
      <c r="BF240" s="102"/>
      <c r="BG240" s="102"/>
      <c r="BH240" s="102"/>
      <c r="BI240" s="102"/>
      <c r="BJ240" s="102"/>
      <c r="BK240" s="102"/>
      <c r="BL240" s="102"/>
      <c r="BM240" s="102"/>
      <c r="BN240" s="102"/>
    </row>
    <row r="241" spans="2:66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Y241" s="102"/>
      <c r="AZ241" s="102"/>
      <c r="BA241" s="102"/>
      <c r="BB241" s="102"/>
      <c r="BC241" s="102"/>
      <c r="BD241" s="102"/>
      <c r="BE241" s="102"/>
      <c r="BF241" s="102"/>
      <c r="BG241" s="102"/>
      <c r="BH241" s="102"/>
      <c r="BI241" s="102"/>
      <c r="BJ241" s="102"/>
      <c r="BK241" s="102"/>
      <c r="BL241" s="102"/>
      <c r="BM241" s="102"/>
      <c r="BN241" s="102"/>
    </row>
    <row r="242" spans="2:66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Y242" s="102"/>
      <c r="AZ242" s="102"/>
      <c r="BA242" s="102"/>
      <c r="BB242" s="102"/>
      <c r="BC242" s="102"/>
      <c r="BD242" s="102"/>
      <c r="BE242" s="102"/>
      <c r="BF242" s="102"/>
      <c r="BG242" s="102"/>
      <c r="BH242" s="102"/>
      <c r="BI242" s="102"/>
      <c r="BJ242" s="102"/>
      <c r="BK242" s="102"/>
      <c r="BL242" s="102"/>
      <c r="BM242" s="102"/>
      <c r="BN242" s="102"/>
    </row>
    <row r="243" spans="2:66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</row>
    <row r="244" spans="2:66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</row>
    <row r="245" spans="2:66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</row>
    <row r="246" spans="2:66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Y246" s="102"/>
      <c r="AZ246" s="102"/>
      <c r="BA246" s="102"/>
      <c r="BB246" s="102"/>
      <c r="BC246" s="102"/>
      <c r="BD246" s="102"/>
      <c r="BE246" s="102"/>
      <c r="BF246" s="102"/>
      <c r="BG246" s="102"/>
      <c r="BH246" s="102"/>
      <c r="BI246" s="102"/>
      <c r="BJ246" s="102"/>
      <c r="BK246" s="102"/>
      <c r="BL246" s="102"/>
      <c r="BM246" s="102"/>
      <c r="BN246" s="102"/>
    </row>
    <row r="247" spans="2:66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Y247" s="102"/>
      <c r="AZ247" s="102"/>
      <c r="BA247" s="102"/>
      <c r="BB247" s="102"/>
      <c r="BC247" s="102"/>
      <c r="BD247" s="102"/>
      <c r="BE247" s="102"/>
      <c r="BF247" s="102"/>
      <c r="BG247" s="102"/>
      <c r="BH247" s="102"/>
      <c r="BI247" s="102"/>
      <c r="BJ247" s="102"/>
      <c r="BK247" s="102"/>
      <c r="BL247" s="102"/>
      <c r="BM247" s="102"/>
      <c r="BN247" s="102"/>
    </row>
    <row r="248" spans="2:66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Y248" s="102"/>
      <c r="AZ248" s="102"/>
      <c r="BA248" s="102"/>
      <c r="BB248" s="102"/>
      <c r="BC248" s="102"/>
      <c r="BD248" s="102"/>
      <c r="BE248" s="102"/>
      <c r="BF248" s="102"/>
      <c r="BG248" s="102"/>
      <c r="BH248" s="102"/>
      <c r="BI248" s="102"/>
      <c r="BJ248" s="102"/>
      <c r="BK248" s="102"/>
      <c r="BL248" s="102"/>
      <c r="BM248" s="102"/>
      <c r="BN248" s="102"/>
    </row>
    <row r="249" spans="2:66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Y249" s="102"/>
      <c r="AZ249" s="102"/>
      <c r="BA249" s="102"/>
      <c r="BB249" s="102"/>
      <c r="BC249" s="102"/>
      <c r="BD249" s="102"/>
      <c r="BE249" s="102"/>
      <c r="BF249" s="102"/>
      <c r="BG249" s="102"/>
      <c r="BH249" s="102"/>
      <c r="BI249" s="102"/>
      <c r="BJ249" s="102"/>
      <c r="BK249" s="102"/>
      <c r="BL249" s="102"/>
      <c r="BM249" s="102"/>
      <c r="BN249" s="102"/>
    </row>
    <row r="250" spans="2:66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Y250" s="102"/>
      <c r="AZ250" s="102"/>
      <c r="BA250" s="102"/>
      <c r="BB250" s="102"/>
      <c r="BC250" s="102"/>
      <c r="BD250" s="102"/>
      <c r="BE250" s="102"/>
      <c r="BF250" s="102"/>
      <c r="BG250" s="102"/>
      <c r="BH250" s="102"/>
      <c r="BI250" s="102"/>
      <c r="BJ250" s="102"/>
      <c r="BK250" s="102"/>
      <c r="BL250" s="102"/>
      <c r="BM250" s="102"/>
      <c r="BN250" s="102"/>
    </row>
    <row r="251" spans="2:66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Y251" s="102"/>
      <c r="AZ251" s="102"/>
      <c r="BA251" s="102"/>
      <c r="BB251" s="102"/>
      <c r="BC251" s="102"/>
      <c r="BD251" s="102"/>
      <c r="BE251" s="102"/>
      <c r="BF251" s="102"/>
      <c r="BG251" s="102"/>
      <c r="BH251" s="102"/>
      <c r="BI251" s="102"/>
      <c r="BJ251" s="102"/>
      <c r="BK251" s="102"/>
      <c r="BL251" s="102"/>
      <c r="BM251" s="102"/>
      <c r="BN251" s="102"/>
    </row>
    <row r="252" spans="2:66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Y252" s="102"/>
      <c r="AZ252" s="102"/>
      <c r="BA252" s="102"/>
      <c r="BB252" s="102"/>
      <c r="BC252" s="102"/>
      <c r="BD252" s="102"/>
      <c r="BE252" s="102"/>
      <c r="BF252" s="102"/>
      <c r="BG252" s="102"/>
      <c r="BH252" s="102"/>
      <c r="BI252" s="102"/>
      <c r="BJ252" s="102"/>
      <c r="BK252" s="102"/>
      <c r="BL252" s="102"/>
      <c r="BM252" s="102"/>
      <c r="BN252" s="102"/>
    </row>
    <row r="253" spans="2:66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Y253" s="102"/>
      <c r="AZ253" s="102"/>
      <c r="BA253" s="102"/>
      <c r="BB253" s="102"/>
      <c r="BC253" s="102"/>
      <c r="BD253" s="102"/>
      <c r="BE253" s="102"/>
      <c r="BF253" s="102"/>
      <c r="BG253" s="102"/>
      <c r="BH253" s="102"/>
      <c r="BI253" s="102"/>
      <c r="BJ253" s="102"/>
      <c r="BK253" s="102"/>
      <c r="BL253" s="102"/>
      <c r="BM253" s="102"/>
      <c r="BN253" s="102"/>
    </row>
    <row r="254" spans="2:66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Y254" s="102"/>
      <c r="AZ254" s="102"/>
      <c r="BA254" s="102"/>
      <c r="BB254" s="102"/>
      <c r="BC254" s="102"/>
      <c r="BD254" s="102"/>
      <c r="BE254" s="102"/>
      <c r="BF254" s="102"/>
      <c r="BG254" s="102"/>
      <c r="BH254" s="102"/>
      <c r="BI254" s="102"/>
      <c r="BJ254" s="102"/>
      <c r="BK254" s="102"/>
      <c r="BL254" s="102"/>
      <c r="BM254" s="102"/>
      <c r="BN254" s="102"/>
    </row>
    <row r="255" spans="2:66" s="64" customFormat="1" ht="1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Y255" s="102"/>
      <c r="AZ255" s="102"/>
      <c r="BA255" s="102"/>
      <c r="BB255" s="102"/>
      <c r="BC255" s="102"/>
      <c r="BD255" s="102"/>
      <c r="BE255" s="102"/>
      <c r="BF255" s="102"/>
      <c r="BG255" s="102"/>
      <c r="BH255" s="102"/>
      <c r="BI255" s="102"/>
      <c r="BJ255" s="102"/>
      <c r="BK255" s="102"/>
      <c r="BL255" s="102"/>
      <c r="BM255" s="102"/>
      <c r="BN255" s="102"/>
    </row>
    <row r="256" spans="2:66" s="64" customFormat="1" ht="1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Y256" s="102"/>
      <c r="AZ256" s="102"/>
      <c r="BA256" s="102"/>
      <c r="BB256" s="102"/>
      <c r="BC256" s="102"/>
      <c r="BD256" s="102"/>
      <c r="BE256" s="102"/>
      <c r="BF256" s="102"/>
      <c r="BG256" s="102"/>
      <c r="BH256" s="102"/>
      <c r="BI256" s="102"/>
      <c r="BJ256" s="102"/>
      <c r="BK256" s="102"/>
      <c r="BL256" s="102"/>
      <c r="BM256" s="102"/>
      <c r="BN256" s="102"/>
    </row>
    <row r="257" spans="2:66" s="64" customFormat="1" ht="1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Y257" s="102"/>
      <c r="AZ257" s="102"/>
      <c r="BA257" s="102"/>
      <c r="BB257" s="102"/>
      <c r="BC257" s="102"/>
      <c r="BD257" s="102"/>
      <c r="BE257" s="102"/>
      <c r="BF257" s="102"/>
      <c r="BG257" s="102"/>
      <c r="BH257" s="102"/>
      <c r="BI257" s="102"/>
      <c r="BJ257" s="102"/>
      <c r="BK257" s="102"/>
      <c r="BL257" s="102"/>
      <c r="BM257" s="102"/>
      <c r="BN257" s="102"/>
    </row>
    <row r="258" spans="2:66" s="64" customFormat="1" ht="1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Y258" s="102"/>
      <c r="AZ258" s="102"/>
      <c r="BA258" s="102"/>
      <c r="BB258" s="102"/>
      <c r="BC258" s="102"/>
      <c r="BD258" s="102"/>
      <c r="BE258" s="102"/>
      <c r="BF258" s="102"/>
      <c r="BG258" s="102"/>
      <c r="BH258" s="102"/>
      <c r="BI258" s="102"/>
      <c r="BJ258" s="102"/>
      <c r="BK258" s="102"/>
      <c r="BL258" s="102"/>
      <c r="BM258" s="102"/>
      <c r="BN258" s="102"/>
    </row>
    <row r="259" spans="2:66" s="64" customFormat="1" ht="1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Y259" s="102"/>
      <c r="AZ259" s="102"/>
      <c r="BA259" s="102"/>
      <c r="BB259" s="102"/>
      <c r="BC259" s="102"/>
      <c r="BD259" s="102"/>
      <c r="BE259" s="102"/>
      <c r="BF259" s="102"/>
      <c r="BG259" s="102"/>
      <c r="BH259" s="102"/>
      <c r="BI259" s="102"/>
      <c r="BJ259" s="102"/>
      <c r="BK259" s="102"/>
      <c r="BL259" s="102"/>
      <c r="BM259" s="102"/>
      <c r="BN259" s="102"/>
    </row>
    <row r="260" spans="2:66" s="64" customFormat="1" ht="1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Y260" s="102"/>
      <c r="AZ260" s="102"/>
      <c r="BA260" s="102"/>
      <c r="BB260" s="102"/>
      <c r="BC260" s="102"/>
      <c r="BD260" s="102"/>
      <c r="BE260" s="102"/>
      <c r="BF260" s="102"/>
      <c r="BG260" s="102"/>
      <c r="BH260" s="102"/>
      <c r="BI260" s="102"/>
      <c r="BJ260" s="102"/>
      <c r="BK260" s="102"/>
      <c r="BL260" s="102"/>
      <c r="BM260" s="102"/>
      <c r="BN260" s="102"/>
    </row>
    <row r="261" spans="2:66" s="64" customFormat="1" ht="1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Y261" s="102"/>
      <c r="AZ261" s="102"/>
      <c r="BA261" s="102"/>
      <c r="BB261" s="102"/>
      <c r="BC261" s="102"/>
      <c r="BD261" s="102"/>
      <c r="BE261" s="102"/>
      <c r="BF261" s="102"/>
      <c r="BG261" s="102"/>
      <c r="BH261" s="102"/>
      <c r="BI261" s="102"/>
      <c r="BJ261" s="102"/>
      <c r="BK261" s="102"/>
      <c r="BL261" s="102"/>
      <c r="BM261" s="102"/>
      <c r="BN261" s="102"/>
    </row>
    <row r="262" spans="2:66" s="64" customFormat="1" ht="1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Y262" s="102"/>
      <c r="AZ262" s="102"/>
      <c r="BA262" s="102"/>
      <c r="BB262" s="102"/>
      <c r="BC262" s="102"/>
      <c r="BD262" s="102"/>
      <c r="BE262" s="102"/>
      <c r="BF262" s="102"/>
      <c r="BG262" s="102"/>
      <c r="BH262" s="102"/>
      <c r="BI262" s="102"/>
      <c r="BJ262" s="102"/>
      <c r="BK262" s="102"/>
      <c r="BL262" s="102"/>
      <c r="BM262" s="102"/>
      <c r="BN262" s="102"/>
    </row>
    <row r="263" spans="2:66" s="64" customFormat="1" ht="1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Y263" s="102"/>
      <c r="AZ263" s="102"/>
      <c r="BA263" s="102"/>
      <c r="BB263" s="102"/>
      <c r="BC263" s="102"/>
      <c r="BD263" s="102"/>
      <c r="BE263" s="102"/>
      <c r="BF263" s="102"/>
      <c r="BG263" s="102"/>
      <c r="BH263" s="102"/>
      <c r="BI263" s="102"/>
      <c r="BJ263" s="102"/>
      <c r="BK263" s="102"/>
      <c r="BL263" s="102"/>
      <c r="BM263" s="102"/>
      <c r="BN263" s="102"/>
    </row>
    <row r="264" spans="2:66" s="64" customFormat="1" ht="1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Y264" s="102"/>
      <c r="AZ264" s="102"/>
      <c r="BA264" s="102"/>
      <c r="BB264" s="102"/>
      <c r="BC264" s="102"/>
      <c r="BD264" s="102"/>
      <c r="BE264" s="102"/>
      <c r="BF264" s="102"/>
      <c r="BG264" s="102"/>
      <c r="BH264" s="102"/>
      <c r="BI264" s="102"/>
      <c r="BJ264" s="102"/>
      <c r="BK264" s="102"/>
      <c r="BL264" s="102"/>
      <c r="BM264" s="102"/>
      <c r="BN264" s="102"/>
    </row>
    <row r="265" spans="2:66" s="64" customFormat="1" ht="20.2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Y265" s="102"/>
      <c r="AZ265" s="102"/>
      <c r="BA265" s="102"/>
      <c r="BB265" s="102"/>
      <c r="BC265" s="102"/>
      <c r="BD265" s="102"/>
      <c r="BE265" s="102"/>
      <c r="BF265" s="102"/>
      <c r="BG265" s="102"/>
      <c r="BH265" s="102"/>
      <c r="BI265" s="102"/>
      <c r="BJ265" s="102"/>
      <c r="BK265" s="102"/>
      <c r="BL265" s="102"/>
      <c r="BM265" s="102"/>
      <c r="BN265" s="102"/>
    </row>
    <row r="266" spans="2:66" s="64" customFormat="1" ht="20.2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Y266" s="102"/>
      <c r="AZ266" s="102"/>
      <c r="BA266" s="102"/>
      <c r="BB266" s="102"/>
      <c r="BC266" s="102"/>
      <c r="BD266" s="102"/>
      <c r="BE266" s="102"/>
      <c r="BF266" s="102"/>
      <c r="BG266" s="102"/>
      <c r="BH266" s="102"/>
      <c r="BI266" s="102"/>
      <c r="BJ266" s="102"/>
      <c r="BK266" s="102"/>
      <c r="BL266" s="102"/>
      <c r="BM266" s="102"/>
      <c r="BN266" s="102"/>
    </row>
    <row r="267" spans="2:66" s="64" customFormat="1" ht="20.2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Y267" s="102"/>
      <c r="AZ267" s="102"/>
      <c r="BA267" s="102"/>
      <c r="BB267" s="102"/>
      <c r="BC267" s="102"/>
      <c r="BD267" s="102"/>
      <c r="BE267" s="102"/>
      <c r="BF267" s="102"/>
      <c r="BG267" s="102"/>
      <c r="BH267" s="102"/>
      <c r="BI267" s="102"/>
      <c r="BJ267" s="102"/>
      <c r="BK267" s="102"/>
      <c r="BL267" s="102"/>
      <c r="BM267" s="102"/>
      <c r="BN267" s="102"/>
    </row>
    <row r="268" spans="2:66" s="64" customFormat="1" ht="20.2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Y268" s="102"/>
      <c r="AZ268" s="102"/>
      <c r="BA268" s="102"/>
      <c r="BB268" s="102"/>
      <c r="BC268" s="102"/>
      <c r="BD268" s="102"/>
      <c r="BE268" s="102"/>
      <c r="BF268" s="102"/>
      <c r="BG268" s="102"/>
      <c r="BH268" s="102"/>
      <c r="BI268" s="102"/>
      <c r="BJ268" s="102"/>
      <c r="BK268" s="102"/>
      <c r="BL268" s="102"/>
      <c r="BM268" s="102"/>
      <c r="BN268" s="102"/>
    </row>
    <row r="269" spans="2:66" s="64" customFormat="1" ht="20.2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Y269" s="102"/>
      <c r="AZ269" s="102"/>
      <c r="BA269" s="102"/>
      <c r="BB269" s="102"/>
      <c r="BC269" s="102"/>
      <c r="BD269" s="102"/>
      <c r="BE269" s="102"/>
      <c r="BF269" s="102"/>
      <c r="BG269" s="102"/>
      <c r="BH269" s="102"/>
      <c r="BI269" s="102"/>
      <c r="BJ269" s="102"/>
      <c r="BK269" s="102"/>
      <c r="BL269" s="102"/>
      <c r="BM269" s="102"/>
      <c r="BN269" s="102"/>
    </row>
    <row r="270" spans="2:66" s="64" customFormat="1" ht="20.2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Y270" s="102"/>
      <c r="AZ270" s="102"/>
      <c r="BA270" s="102"/>
      <c r="BB270" s="102"/>
      <c r="BC270" s="102"/>
      <c r="BD270" s="102"/>
      <c r="BE270" s="102"/>
      <c r="BF270" s="102"/>
      <c r="BG270" s="102"/>
      <c r="BH270" s="102"/>
      <c r="BI270" s="102"/>
      <c r="BJ270" s="102"/>
      <c r="BK270" s="102"/>
      <c r="BL270" s="102"/>
      <c r="BM270" s="102"/>
      <c r="BN270" s="102"/>
    </row>
    <row r="271" spans="2:66" s="64" customFormat="1" ht="20.2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Y271" s="102"/>
      <c r="AZ271" s="102"/>
      <c r="BA271" s="102"/>
      <c r="BB271" s="102"/>
      <c r="BC271" s="102"/>
      <c r="BD271" s="102"/>
      <c r="BE271" s="102"/>
      <c r="BF271" s="102"/>
      <c r="BG271" s="102"/>
      <c r="BH271" s="102"/>
      <c r="BI271" s="102"/>
      <c r="BJ271" s="102"/>
      <c r="BK271" s="102"/>
      <c r="BL271" s="102"/>
      <c r="BM271" s="102"/>
      <c r="BN271" s="102"/>
    </row>
    <row r="272" spans="2:66" s="64" customFormat="1" ht="20.2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Y272" s="102"/>
      <c r="AZ272" s="102"/>
      <c r="BA272" s="102"/>
      <c r="BB272" s="102"/>
      <c r="BC272" s="102"/>
      <c r="BD272" s="102"/>
      <c r="BE272" s="102"/>
      <c r="BF272" s="102"/>
      <c r="BG272" s="102"/>
      <c r="BH272" s="102"/>
      <c r="BI272" s="102"/>
      <c r="BJ272" s="102"/>
      <c r="BK272" s="102"/>
      <c r="BL272" s="102"/>
      <c r="BM272" s="102"/>
      <c r="BN272" s="102"/>
    </row>
    <row r="273" spans="2:66" s="64" customFormat="1" ht="20.2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Y273" s="102"/>
      <c r="AZ273" s="102"/>
      <c r="BA273" s="102"/>
      <c r="BB273" s="102"/>
      <c r="BC273" s="102"/>
      <c r="BD273" s="102"/>
      <c r="BE273" s="102"/>
      <c r="BF273" s="102"/>
      <c r="BG273" s="102"/>
      <c r="BH273" s="102"/>
      <c r="BI273" s="102"/>
      <c r="BJ273" s="102"/>
      <c r="BK273" s="102"/>
      <c r="BL273" s="102"/>
      <c r="BM273" s="102"/>
      <c r="BN273" s="102"/>
    </row>
    <row r="274" spans="2:66" s="64" customFormat="1" ht="20.2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Y274" s="102"/>
      <c r="AZ274" s="102"/>
      <c r="BA274" s="102"/>
      <c r="BB274" s="102"/>
      <c r="BC274" s="102"/>
      <c r="BD274" s="102"/>
      <c r="BE274" s="102"/>
      <c r="BF274" s="102"/>
      <c r="BG274" s="102"/>
      <c r="BH274" s="102"/>
      <c r="BI274" s="102"/>
      <c r="BJ274" s="102"/>
      <c r="BK274" s="102"/>
      <c r="BL274" s="102"/>
      <c r="BM274" s="102"/>
      <c r="BN274" s="102"/>
    </row>
    <row r="275" spans="2:66" s="64" customFormat="1" ht="20.2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Y275" s="102"/>
      <c r="AZ275" s="102"/>
      <c r="BA275" s="102"/>
      <c r="BB275" s="102"/>
      <c r="BC275" s="102"/>
      <c r="BD275" s="102"/>
      <c r="BE275" s="102"/>
      <c r="BF275" s="102"/>
      <c r="BG275" s="102"/>
      <c r="BH275" s="102"/>
      <c r="BI275" s="102"/>
      <c r="BJ275" s="102"/>
      <c r="BK275" s="102"/>
      <c r="BL275" s="102"/>
      <c r="BM275" s="102"/>
      <c r="BN275" s="102"/>
    </row>
    <row r="276" spans="2:66" s="64" customFormat="1" ht="20.2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Y276" s="102"/>
      <c r="AZ276" s="102"/>
      <c r="BA276" s="102"/>
      <c r="BB276" s="102"/>
      <c r="BC276" s="102"/>
      <c r="BD276" s="102"/>
      <c r="BE276" s="102"/>
      <c r="BF276" s="102"/>
      <c r="BG276" s="102"/>
      <c r="BH276" s="102"/>
      <c r="BI276" s="102"/>
      <c r="BJ276" s="102"/>
      <c r="BK276" s="102"/>
      <c r="BL276" s="102"/>
      <c r="BM276" s="102"/>
      <c r="BN276" s="102"/>
    </row>
    <row r="277" spans="2:66" s="64" customFormat="1" ht="20.2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Y277" s="102"/>
      <c r="AZ277" s="102"/>
      <c r="BA277" s="102"/>
      <c r="BB277" s="102"/>
      <c r="BC277" s="102"/>
      <c r="BD277" s="102"/>
      <c r="BE277" s="102"/>
      <c r="BF277" s="102"/>
      <c r="BG277" s="102"/>
      <c r="BH277" s="102"/>
      <c r="BI277" s="102"/>
      <c r="BJ277" s="102"/>
      <c r="BK277" s="102"/>
      <c r="BL277" s="102"/>
      <c r="BM277" s="102"/>
      <c r="BN277" s="102"/>
    </row>
    <row r="278" spans="2:66" s="64" customFormat="1" ht="20.2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Y278" s="102"/>
      <c r="AZ278" s="102"/>
      <c r="BA278" s="102"/>
      <c r="BB278" s="102"/>
      <c r="BC278" s="102"/>
      <c r="BD278" s="102"/>
      <c r="BE278" s="102"/>
      <c r="BF278" s="102"/>
      <c r="BG278" s="102"/>
      <c r="BH278" s="102"/>
      <c r="BI278" s="102"/>
      <c r="BJ278" s="102"/>
      <c r="BK278" s="102"/>
      <c r="BL278" s="102"/>
      <c r="BM278" s="102"/>
      <c r="BN278" s="102"/>
    </row>
    <row r="279" spans="2:66" s="64" customFormat="1" ht="20.2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Y279" s="102"/>
      <c r="AZ279" s="102"/>
      <c r="BA279" s="102"/>
      <c r="BB279" s="102"/>
      <c r="BC279" s="102"/>
      <c r="BD279" s="102"/>
      <c r="BE279" s="102"/>
      <c r="BF279" s="102"/>
      <c r="BG279" s="102"/>
      <c r="BH279" s="102"/>
      <c r="BI279" s="102"/>
      <c r="BJ279" s="102"/>
      <c r="BK279" s="102"/>
      <c r="BL279" s="102"/>
      <c r="BM279" s="102"/>
      <c r="BN279" s="102"/>
    </row>
    <row r="280" spans="2:66" s="64" customFormat="1" ht="20.2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Y280" s="102"/>
      <c r="AZ280" s="102"/>
      <c r="BA280" s="102"/>
      <c r="BB280" s="102"/>
      <c r="BC280" s="102"/>
      <c r="BD280" s="102"/>
      <c r="BE280" s="102"/>
      <c r="BF280" s="102"/>
      <c r="BG280" s="102"/>
      <c r="BH280" s="102"/>
      <c r="BI280" s="102"/>
      <c r="BJ280" s="102"/>
      <c r="BK280" s="102"/>
      <c r="BL280" s="102"/>
      <c r="BM280" s="102"/>
      <c r="BN280" s="102"/>
    </row>
    <row r="281" spans="2:66" s="64" customFormat="1" ht="20.2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Y281" s="102"/>
      <c r="AZ281" s="102"/>
      <c r="BA281" s="102"/>
      <c r="BB281" s="102"/>
      <c r="BC281" s="102"/>
      <c r="BD281" s="102"/>
      <c r="BE281" s="102"/>
      <c r="BF281" s="102"/>
      <c r="BG281" s="102"/>
      <c r="BH281" s="102"/>
      <c r="BI281" s="102"/>
      <c r="BJ281" s="102"/>
      <c r="BK281" s="102"/>
      <c r="BL281" s="102"/>
      <c r="BM281" s="102"/>
      <c r="BN281" s="102"/>
    </row>
    <row r="282" spans="2:66" s="64" customFormat="1" ht="20.2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Y282" s="102"/>
      <c r="AZ282" s="102"/>
      <c r="BA282" s="102"/>
      <c r="BB282" s="102"/>
      <c r="BC282" s="102"/>
      <c r="BD282" s="102"/>
      <c r="BE282" s="102"/>
      <c r="BF282" s="102"/>
      <c r="BG282" s="102"/>
      <c r="BH282" s="102"/>
      <c r="BI282" s="102"/>
      <c r="BJ282" s="102"/>
      <c r="BK282" s="102"/>
      <c r="BL282" s="102"/>
      <c r="BM282" s="102"/>
      <c r="BN282" s="102"/>
    </row>
    <row r="283" spans="2:66" s="64" customFormat="1" ht="20.2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Y283" s="102"/>
      <c r="AZ283" s="102"/>
      <c r="BA283" s="102"/>
      <c r="BB283" s="102"/>
      <c r="BC283" s="102"/>
      <c r="BD283" s="102"/>
      <c r="BE283" s="102"/>
      <c r="BF283" s="102"/>
      <c r="BG283" s="102"/>
      <c r="BH283" s="102"/>
      <c r="BI283" s="102"/>
      <c r="BJ283" s="102"/>
      <c r="BK283" s="102"/>
      <c r="BL283" s="102"/>
      <c r="BM283" s="102"/>
      <c r="BN283" s="102"/>
    </row>
    <row r="284" spans="2:66" s="64" customFormat="1" ht="20.2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Y284" s="102"/>
      <c r="AZ284" s="102"/>
      <c r="BA284" s="102"/>
      <c r="BB284" s="102"/>
      <c r="BC284" s="102"/>
      <c r="BD284" s="102"/>
      <c r="BE284" s="102"/>
      <c r="BF284" s="102"/>
      <c r="BG284" s="102"/>
      <c r="BH284" s="102"/>
      <c r="BI284" s="102"/>
      <c r="BJ284" s="102"/>
      <c r="BK284" s="102"/>
      <c r="BL284" s="102"/>
      <c r="BM284" s="102"/>
      <c r="BN284" s="102"/>
    </row>
    <row r="285" spans="2:66" s="64" customFormat="1" ht="20.2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Y285" s="102"/>
      <c r="AZ285" s="102"/>
      <c r="BA285" s="102"/>
      <c r="BB285" s="102"/>
      <c r="BC285" s="102"/>
      <c r="BD285" s="102"/>
      <c r="BE285" s="102"/>
      <c r="BF285" s="102"/>
      <c r="BG285" s="102"/>
      <c r="BH285" s="102"/>
      <c r="BI285" s="102"/>
      <c r="BJ285" s="102"/>
      <c r="BK285" s="102"/>
      <c r="BL285" s="102"/>
      <c r="BM285" s="102"/>
      <c r="BN285" s="102"/>
    </row>
    <row r="286" spans="2:66" s="64" customFormat="1" ht="20.2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Y286" s="102"/>
      <c r="AZ286" s="102"/>
      <c r="BA286" s="102"/>
      <c r="BB286" s="102"/>
      <c r="BC286" s="102"/>
      <c r="BD286" s="102"/>
      <c r="BE286" s="102"/>
      <c r="BF286" s="102"/>
      <c r="BG286" s="102"/>
      <c r="BH286" s="102"/>
      <c r="BI286" s="102"/>
      <c r="BJ286" s="102"/>
      <c r="BK286" s="102"/>
      <c r="BL286" s="102"/>
      <c r="BM286" s="102"/>
      <c r="BN286" s="102"/>
    </row>
    <row r="287" spans="2:66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Y287" s="102"/>
      <c r="AZ287" s="102"/>
      <c r="BA287" s="102"/>
      <c r="BB287" s="102"/>
      <c r="BC287" s="102"/>
      <c r="BD287" s="102"/>
      <c r="BE287" s="102"/>
      <c r="BF287" s="102"/>
      <c r="BG287" s="102"/>
      <c r="BH287" s="102"/>
      <c r="BI287" s="102"/>
      <c r="BJ287" s="102"/>
      <c r="BK287" s="102"/>
      <c r="BL287" s="102"/>
      <c r="BM287" s="102"/>
      <c r="BN287" s="102"/>
    </row>
    <row r="288" spans="2:66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Y288" s="102"/>
      <c r="AZ288" s="102"/>
      <c r="BA288" s="102"/>
      <c r="BB288" s="102"/>
      <c r="BC288" s="102"/>
      <c r="BD288" s="102"/>
      <c r="BE288" s="102"/>
      <c r="BF288" s="102"/>
      <c r="BG288" s="102"/>
      <c r="BH288" s="102"/>
      <c r="BI288" s="102"/>
      <c r="BJ288" s="102"/>
      <c r="BK288" s="102"/>
      <c r="BL288" s="102"/>
      <c r="BM288" s="102"/>
      <c r="BN288" s="102"/>
    </row>
    <row r="289" spans="2:66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  <c r="BJ289" s="102"/>
      <c r="BK289" s="102"/>
      <c r="BL289" s="102"/>
      <c r="BM289" s="102"/>
      <c r="BN289" s="102"/>
    </row>
    <row r="290" spans="2:66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Y290" s="102"/>
      <c r="AZ290" s="102"/>
      <c r="BA290" s="102"/>
      <c r="BB290" s="102"/>
      <c r="BC290" s="102"/>
      <c r="BD290" s="102"/>
      <c r="BE290" s="102"/>
      <c r="BF290" s="102"/>
      <c r="BG290" s="102"/>
      <c r="BH290" s="102"/>
      <c r="BI290" s="102"/>
      <c r="BJ290" s="102"/>
      <c r="BK290" s="102"/>
      <c r="BL290" s="102"/>
      <c r="BM290" s="102"/>
      <c r="BN290" s="102"/>
    </row>
    <row r="291" spans="2:66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Y291" s="102"/>
      <c r="AZ291" s="102"/>
      <c r="BA291" s="102"/>
      <c r="BB291" s="102"/>
      <c r="BC291" s="102"/>
      <c r="BD291" s="102"/>
      <c r="BE291" s="102"/>
      <c r="BF291" s="102"/>
      <c r="BG291" s="102"/>
      <c r="BH291" s="102"/>
      <c r="BI291" s="102"/>
      <c r="BJ291" s="102"/>
      <c r="BK291" s="102"/>
      <c r="BL291" s="102"/>
      <c r="BM291" s="102"/>
      <c r="BN291" s="102"/>
    </row>
    <row r="292" spans="2:66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Y292" s="102"/>
      <c r="AZ292" s="102"/>
      <c r="BA292" s="102"/>
      <c r="BB292" s="102"/>
      <c r="BC292" s="102"/>
      <c r="BD292" s="102"/>
      <c r="BE292" s="102"/>
      <c r="BF292" s="102"/>
      <c r="BG292" s="102"/>
      <c r="BH292" s="102"/>
      <c r="BI292" s="102"/>
      <c r="BJ292" s="102"/>
      <c r="BK292" s="102"/>
      <c r="BL292" s="102"/>
      <c r="BM292" s="102"/>
      <c r="BN292" s="102"/>
    </row>
    <row r="293" spans="2:66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Y293" s="102"/>
      <c r="AZ293" s="102"/>
      <c r="BA293" s="102"/>
      <c r="BB293" s="102"/>
      <c r="BC293" s="102"/>
      <c r="BD293" s="102"/>
      <c r="BE293" s="102"/>
      <c r="BF293" s="102"/>
      <c r="BG293" s="102"/>
      <c r="BH293" s="102"/>
      <c r="BI293" s="102"/>
      <c r="BJ293" s="102"/>
      <c r="BK293" s="102"/>
      <c r="BL293" s="102"/>
      <c r="BM293" s="102"/>
      <c r="BN293" s="102"/>
    </row>
    <row r="294" spans="2:66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Y294" s="102"/>
      <c r="AZ294" s="102"/>
      <c r="BA294" s="102"/>
      <c r="BB294" s="102"/>
      <c r="BC294" s="102"/>
      <c r="BD294" s="102"/>
      <c r="BE294" s="102"/>
      <c r="BF294" s="102"/>
      <c r="BG294" s="102"/>
      <c r="BH294" s="102"/>
      <c r="BI294" s="102"/>
      <c r="BJ294" s="102"/>
      <c r="BK294" s="102"/>
      <c r="BL294" s="102"/>
      <c r="BM294" s="102"/>
      <c r="BN294" s="102"/>
    </row>
    <row r="295" spans="2:66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Y295" s="102"/>
      <c r="AZ295" s="102"/>
      <c r="BA295" s="102"/>
      <c r="BB295" s="102"/>
      <c r="BC295" s="102"/>
      <c r="BD295" s="102"/>
      <c r="BE295" s="102"/>
      <c r="BF295" s="102"/>
      <c r="BG295" s="102"/>
      <c r="BH295" s="102"/>
      <c r="BI295" s="102"/>
      <c r="BJ295" s="102"/>
      <c r="BK295" s="102"/>
      <c r="BL295" s="102"/>
      <c r="BM295" s="102"/>
      <c r="BN295" s="102"/>
    </row>
    <row r="296" spans="2:66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Y296" s="102"/>
      <c r="AZ296" s="102"/>
      <c r="BA296" s="102"/>
      <c r="BB296" s="102"/>
      <c r="BC296" s="102"/>
      <c r="BD296" s="102"/>
      <c r="BE296" s="102"/>
      <c r="BF296" s="102"/>
      <c r="BG296" s="102"/>
      <c r="BH296" s="102"/>
      <c r="BI296" s="102"/>
      <c r="BJ296" s="102"/>
      <c r="BK296" s="102"/>
      <c r="BL296" s="102"/>
      <c r="BM296" s="102"/>
      <c r="BN296" s="102"/>
    </row>
    <row r="297" spans="2:66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Y297" s="102"/>
      <c r="AZ297" s="102"/>
      <c r="BA297" s="102"/>
      <c r="BB297" s="102"/>
      <c r="BC297" s="102"/>
      <c r="BD297" s="102"/>
      <c r="BE297" s="102"/>
      <c r="BF297" s="102"/>
      <c r="BG297" s="102"/>
      <c r="BH297" s="102"/>
      <c r="BI297" s="102"/>
      <c r="BJ297" s="102"/>
      <c r="BK297" s="102"/>
      <c r="BL297" s="102"/>
      <c r="BM297" s="102"/>
      <c r="BN297" s="102"/>
    </row>
    <row r="298" spans="2:66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Y298" s="102"/>
      <c r="AZ298" s="102"/>
      <c r="BA298" s="102"/>
      <c r="BB298" s="102"/>
      <c r="BC298" s="102"/>
      <c r="BD298" s="102"/>
      <c r="BE298" s="102"/>
      <c r="BF298" s="102"/>
      <c r="BG298" s="102"/>
      <c r="BH298" s="102"/>
      <c r="BI298" s="102"/>
      <c r="BJ298" s="102"/>
      <c r="BK298" s="102"/>
      <c r="BL298" s="102"/>
      <c r="BM298" s="102"/>
      <c r="BN298" s="102"/>
    </row>
    <row r="299" spans="2:66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Y299" s="102"/>
      <c r="AZ299" s="102"/>
      <c r="BA299" s="102"/>
      <c r="BB299" s="102"/>
      <c r="BC299" s="102"/>
      <c r="BD299" s="102"/>
      <c r="BE299" s="102"/>
      <c r="BF299" s="102"/>
      <c r="BG299" s="102"/>
      <c r="BH299" s="102"/>
      <c r="BI299" s="102"/>
      <c r="BJ299" s="102"/>
      <c r="BK299" s="102"/>
      <c r="BL299" s="102"/>
      <c r="BM299" s="102"/>
      <c r="BN299" s="102"/>
    </row>
    <row r="300" spans="2:66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Y300" s="102"/>
      <c r="AZ300" s="102"/>
      <c r="BA300" s="102"/>
      <c r="BB300" s="102"/>
      <c r="BC300" s="102"/>
      <c r="BD300" s="102"/>
      <c r="BE300" s="102"/>
      <c r="BF300" s="102"/>
      <c r="BG300" s="102"/>
      <c r="BH300" s="102"/>
      <c r="BI300" s="102"/>
      <c r="BJ300" s="102"/>
      <c r="BK300" s="102"/>
      <c r="BL300" s="102"/>
      <c r="BM300" s="102"/>
      <c r="BN300" s="102"/>
    </row>
    <row r="301" spans="2:66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Y301" s="102"/>
      <c r="AZ301" s="102"/>
      <c r="BA301" s="102"/>
      <c r="BB301" s="102"/>
      <c r="BC301" s="102"/>
      <c r="BD301" s="102"/>
      <c r="BE301" s="102"/>
      <c r="BF301" s="102"/>
      <c r="BG301" s="102"/>
      <c r="BH301" s="102"/>
      <c r="BI301" s="102"/>
      <c r="BJ301" s="102"/>
      <c r="BK301" s="102"/>
      <c r="BL301" s="102"/>
      <c r="BM301" s="102"/>
      <c r="BN301" s="102"/>
    </row>
    <row r="302" spans="2:66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Y302" s="102"/>
      <c r="AZ302" s="102"/>
      <c r="BA302" s="102"/>
      <c r="BB302" s="102"/>
      <c r="BC302" s="102"/>
      <c r="BD302" s="102"/>
      <c r="BE302" s="102"/>
      <c r="BF302" s="102"/>
      <c r="BG302" s="102"/>
      <c r="BH302" s="102"/>
      <c r="BI302" s="102"/>
      <c r="BJ302" s="102"/>
      <c r="BK302" s="102"/>
      <c r="BL302" s="102"/>
      <c r="BM302" s="102"/>
      <c r="BN302" s="102"/>
    </row>
    <row r="303" spans="2:66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Y303" s="102"/>
      <c r="AZ303" s="102"/>
      <c r="BA303" s="102"/>
      <c r="BB303" s="102"/>
      <c r="BC303" s="102"/>
      <c r="BD303" s="102"/>
      <c r="BE303" s="102"/>
      <c r="BF303" s="102"/>
      <c r="BG303" s="102"/>
      <c r="BH303" s="102"/>
      <c r="BI303" s="102"/>
      <c r="BJ303" s="102"/>
      <c r="BK303" s="102"/>
      <c r="BL303" s="102"/>
      <c r="BM303" s="102"/>
      <c r="BN303" s="102"/>
    </row>
    <row r="304" spans="2:66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Y304" s="102"/>
      <c r="AZ304" s="102"/>
      <c r="BA304" s="102"/>
      <c r="BB304" s="102"/>
      <c r="BC304" s="102"/>
      <c r="BD304" s="102"/>
      <c r="BE304" s="102"/>
      <c r="BF304" s="102"/>
      <c r="BG304" s="102"/>
      <c r="BH304" s="102"/>
      <c r="BI304" s="102"/>
      <c r="BJ304" s="102"/>
      <c r="BK304" s="102"/>
      <c r="BL304" s="102"/>
      <c r="BM304" s="102"/>
      <c r="BN304" s="102"/>
    </row>
    <row r="305" spans="2:66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Y305" s="102"/>
      <c r="AZ305" s="102"/>
      <c r="BA305" s="102"/>
      <c r="BB305" s="102"/>
      <c r="BC305" s="102"/>
      <c r="BD305" s="102"/>
      <c r="BE305" s="102"/>
      <c r="BF305" s="102"/>
      <c r="BG305" s="102"/>
      <c r="BH305" s="102"/>
      <c r="BI305" s="102"/>
      <c r="BJ305" s="102"/>
      <c r="BK305" s="102"/>
      <c r="BL305" s="102"/>
      <c r="BM305" s="102"/>
      <c r="BN305" s="102"/>
    </row>
    <row r="306" spans="2:66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Y306" s="102"/>
      <c r="AZ306" s="102"/>
      <c r="BA306" s="102"/>
      <c r="BB306" s="102"/>
      <c r="BC306" s="102"/>
      <c r="BD306" s="102"/>
      <c r="BE306" s="102"/>
      <c r="BF306" s="102"/>
      <c r="BG306" s="102"/>
      <c r="BH306" s="102"/>
      <c r="BI306" s="102"/>
      <c r="BJ306" s="102"/>
      <c r="BK306" s="102"/>
      <c r="BL306" s="102"/>
      <c r="BM306" s="102"/>
      <c r="BN306" s="102"/>
    </row>
    <row r="307" spans="2:66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Y307" s="102"/>
      <c r="AZ307" s="102"/>
      <c r="BA307" s="102"/>
      <c r="BB307" s="102"/>
      <c r="BC307" s="102"/>
      <c r="BD307" s="102"/>
      <c r="BE307" s="102"/>
      <c r="BF307" s="102"/>
      <c r="BG307" s="102"/>
      <c r="BH307" s="102"/>
      <c r="BI307" s="102"/>
      <c r="BJ307" s="102"/>
      <c r="BK307" s="102"/>
      <c r="BL307" s="102"/>
      <c r="BM307" s="102"/>
      <c r="BN307" s="102"/>
    </row>
    <row r="308" spans="2:66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Y308" s="102"/>
      <c r="AZ308" s="102"/>
      <c r="BA308" s="102"/>
      <c r="BB308" s="102"/>
      <c r="BC308" s="102"/>
      <c r="BD308" s="102"/>
      <c r="BE308" s="102"/>
      <c r="BF308" s="102"/>
      <c r="BG308" s="102"/>
      <c r="BH308" s="102"/>
      <c r="BI308" s="102"/>
      <c r="BJ308" s="102"/>
      <c r="BK308" s="102"/>
      <c r="BL308" s="102"/>
      <c r="BM308" s="102"/>
      <c r="BN308" s="102"/>
    </row>
    <row r="309" spans="2:66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Y309" s="102"/>
      <c r="AZ309" s="102"/>
      <c r="BA309" s="102"/>
      <c r="BB309" s="102"/>
      <c r="BC309" s="102"/>
      <c r="BD309" s="102"/>
      <c r="BE309" s="102"/>
      <c r="BF309" s="102"/>
      <c r="BG309" s="102"/>
      <c r="BH309" s="102"/>
      <c r="BI309" s="102"/>
      <c r="BJ309" s="102"/>
      <c r="BK309" s="102"/>
      <c r="BL309" s="102"/>
      <c r="BM309" s="102"/>
      <c r="BN309" s="102"/>
    </row>
    <row r="310" spans="2:66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Y310" s="102"/>
      <c r="AZ310" s="102"/>
      <c r="BA310" s="102"/>
      <c r="BB310" s="102"/>
      <c r="BC310" s="102"/>
      <c r="BD310" s="102"/>
      <c r="BE310" s="102"/>
      <c r="BF310" s="102"/>
      <c r="BG310" s="102"/>
      <c r="BH310" s="102"/>
      <c r="BI310" s="102"/>
      <c r="BJ310" s="102"/>
      <c r="BK310" s="102"/>
      <c r="BL310" s="102"/>
      <c r="BM310" s="102"/>
      <c r="BN310" s="102"/>
    </row>
    <row r="311" spans="2:66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Y311" s="102"/>
      <c r="AZ311" s="102"/>
      <c r="BA311" s="102"/>
      <c r="BB311" s="102"/>
      <c r="BC311" s="102"/>
      <c r="BD311" s="102"/>
      <c r="BE311" s="102"/>
      <c r="BF311" s="102"/>
      <c r="BG311" s="102"/>
      <c r="BH311" s="102"/>
      <c r="BI311" s="102"/>
      <c r="BJ311" s="102"/>
      <c r="BK311" s="102"/>
      <c r="BL311" s="102"/>
      <c r="BM311" s="102"/>
      <c r="BN311" s="102"/>
    </row>
    <row r="312" spans="2:66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Y312" s="102"/>
      <c r="AZ312" s="102"/>
      <c r="BA312" s="102"/>
      <c r="BB312" s="102"/>
      <c r="BC312" s="102"/>
      <c r="BD312" s="102"/>
      <c r="BE312" s="102"/>
      <c r="BF312" s="102"/>
      <c r="BG312" s="102"/>
      <c r="BH312" s="102"/>
      <c r="BI312" s="102"/>
      <c r="BJ312" s="102"/>
      <c r="BK312" s="102"/>
      <c r="BL312" s="102"/>
      <c r="BM312" s="102"/>
      <c r="BN312" s="102"/>
    </row>
    <row r="313" spans="2:66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Y313" s="102"/>
      <c r="AZ313" s="102"/>
      <c r="BA313" s="102"/>
      <c r="BB313" s="102"/>
      <c r="BC313" s="102"/>
      <c r="BD313" s="102"/>
      <c r="BE313" s="102"/>
      <c r="BF313" s="102"/>
      <c r="BG313" s="102"/>
      <c r="BH313" s="102"/>
      <c r="BI313" s="102"/>
      <c r="BJ313" s="102"/>
      <c r="BK313" s="102"/>
      <c r="BL313" s="102"/>
      <c r="BM313" s="102"/>
      <c r="BN313" s="102"/>
    </row>
    <row r="314" spans="2:66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Y314" s="102"/>
      <c r="AZ314" s="102"/>
      <c r="BA314" s="102"/>
      <c r="BB314" s="102"/>
      <c r="BC314" s="102"/>
      <c r="BD314" s="102"/>
      <c r="BE314" s="102"/>
      <c r="BF314" s="102"/>
      <c r="BG314" s="102"/>
      <c r="BH314" s="102"/>
      <c r="BI314" s="102"/>
      <c r="BJ314" s="102"/>
      <c r="BK314" s="102"/>
      <c r="BL314" s="102"/>
      <c r="BM314" s="102"/>
      <c r="BN314" s="102"/>
    </row>
    <row r="315" spans="2:66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Y315" s="102"/>
      <c r="AZ315" s="102"/>
      <c r="BA315" s="102"/>
      <c r="BB315" s="102"/>
      <c r="BC315" s="102"/>
      <c r="BD315" s="102"/>
      <c r="BE315" s="102"/>
      <c r="BF315" s="102"/>
      <c r="BG315" s="102"/>
      <c r="BH315" s="102"/>
      <c r="BI315" s="102"/>
      <c r="BJ315" s="102"/>
      <c r="BK315" s="102"/>
      <c r="BL315" s="102"/>
      <c r="BM315" s="102"/>
      <c r="BN315" s="102"/>
    </row>
    <row r="316" spans="2:66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Y316" s="102"/>
      <c r="AZ316" s="102"/>
      <c r="BA316" s="102"/>
      <c r="BB316" s="102"/>
      <c r="BC316" s="102"/>
      <c r="BD316" s="102"/>
      <c r="BE316" s="102"/>
      <c r="BF316" s="102"/>
      <c r="BG316" s="102"/>
      <c r="BH316" s="102"/>
      <c r="BI316" s="102"/>
      <c r="BJ316" s="102"/>
      <c r="BK316" s="102"/>
      <c r="BL316" s="102"/>
      <c r="BM316" s="102"/>
      <c r="BN316" s="102"/>
    </row>
    <row r="317" spans="2:66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Y317" s="102"/>
      <c r="AZ317" s="102"/>
      <c r="BA317" s="102"/>
      <c r="BB317" s="102"/>
      <c r="BC317" s="102"/>
      <c r="BD317" s="102"/>
      <c r="BE317" s="102"/>
      <c r="BF317" s="102"/>
      <c r="BG317" s="102"/>
      <c r="BH317" s="102"/>
      <c r="BI317" s="102"/>
      <c r="BJ317" s="102"/>
      <c r="BK317" s="102"/>
      <c r="BL317" s="102"/>
      <c r="BM317" s="102"/>
      <c r="BN317" s="102"/>
    </row>
    <row r="318" spans="2:66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Y318" s="102"/>
      <c r="AZ318" s="102"/>
      <c r="BA318" s="102"/>
      <c r="BB318" s="102"/>
      <c r="BC318" s="102"/>
      <c r="BD318" s="102"/>
      <c r="BE318" s="102"/>
      <c r="BF318" s="102"/>
      <c r="BG318" s="102"/>
      <c r="BH318" s="102"/>
      <c r="BI318" s="102"/>
      <c r="BJ318" s="102"/>
      <c r="BK318" s="102"/>
      <c r="BL318" s="102"/>
      <c r="BM318" s="102"/>
      <c r="BN318" s="102"/>
    </row>
    <row r="319" spans="2:66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Y319" s="102"/>
      <c r="AZ319" s="102"/>
      <c r="BA319" s="102"/>
      <c r="BB319" s="102"/>
      <c r="BC319" s="102"/>
      <c r="BD319" s="102"/>
      <c r="BE319" s="102"/>
      <c r="BF319" s="102"/>
      <c r="BG319" s="102"/>
      <c r="BH319" s="102"/>
      <c r="BI319" s="102"/>
      <c r="BJ319" s="102"/>
      <c r="BK319" s="102"/>
      <c r="BL319" s="102"/>
      <c r="BM319" s="102"/>
      <c r="BN319" s="102"/>
    </row>
    <row r="320" spans="2:66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Y320" s="102"/>
      <c r="AZ320" s="102"/>
      <c r="BA320" s="102"/>
      <c r="BB320" s="102"/>
      <c r="BC320" s="102"/>
      <c r="BD320" s="102"/>
      <c r="BE320" s="102"/>
      <c r="BF320" s="102"/>
      <c r="BG320" s="102"/>
      <c r="BH320" s="102"/>
      <c r="BI320" s="102"/>
      <c r="BJ320" s="102"/>
      <c r="BK320" s="102"/>
      <c r="BL320" s="102"/>
      <c r="BM320" s="102"/>
      <c r="BN320" s="102"/>
    </row>
    <row r="321" spans="2:66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Y321" s="102"/>
      <c r="AZ321" s="102"/>
      <c r="BA321" s="102"/>
      <c r="BB321" s="102"/>
      <c r="BC321" s="102"/>
      <c r="BD321" s="102"/>
      <c r="BE321" s="102"/>
      <c r="BF321" s="102"/>
      <c r="BG321" s="102"/>
      <c r="BH321" s="102"/>
      <c r="BI321" s="102"/>
      <c r="BJ321" s="102"/>
      <c r="BK321" s="102"/>
      <c r="BL321" s="102"/>
      <c r="BM321" s="102"/>
      <c r="BN321" s="102"/>
    </row>
    <row r="322" spans="2:66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Y322" s="102"/>
      <c r="AZ322" s="102"/>
      <c r="BA322" s="102"/>
      <c r="BB322" s="102"/>
      <c r="BC322" s="102"/>
      <c r="BD322" s="102"/>
      <c r="BE322" s="102"/>
      <c r="BF322" s="102"/>
      <c r="BG322" s="102"/>
      <c r="BH322" s="102"/>
      <c r="BI322" s="102"/>
      <c r="BJ322" s="102"/>
      <c r="BK322" s="102"/>
      <c r="BL322" s="102"/>
      <c r="BM322" s="102"/>
      <c r="BN322" s="102"/>
    </row>
    <row r="323" spans="2:66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Y323" s="102"/>
      <c r="AZ323" s="102"/>
      <c r="BA323" s="102"/>
      <c r="BB323" s="102"/>
      <c r="BC323" s="102"/>
      <c r="BD323" s="102"/>
      <c r="BE323" s="102"/>
      <c r="BF323" s="102"/>
      <c r="BG323" s="102"/>
      <c r="BH323" s="102"/>
      <c r="BI323" s="102"/>
      <c r="BJ323" s="102"/>
      <c r="BK323" s="102"/>
      <c r="BL323" s="102"/>
      <c r="BM323" s="102"/>
      <c r="BN323" s="102"/>
    </row>
    <row r="324" spans="2:66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Y324" s="102"/>
      <c r="AZ324" s="102"/>
      <c r="BA324" s="102"/>
      <c r="BB324" s="102"/>
      <c r="BC324" s="102"/>
      <c r="BD324" s="102"/>
      <c r="BE324" s="102"/>
      <c r="BF324" s="102"/>
      <c r="BG324" s="102"/>
      <c r="BH324" s="102"/>
      <c r="BI324" s="102"/>
      <c r="BJ324" s="102"/>
      <c r="BK324" s="102"/>
      <c r="BL324" s="102"/>
      <c r="BM324" s="102"/>
      <c r="BN324" s="102"/>
    </row>
    <row r="325" spans="2:66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Y325" s="102"/>
      <c r="AZ325" s="102"/>
      <c r="BA325" s="102"/>
      <c r="BB325" s="102"/>
      <c r="BC325" s="102"/>
      <c r="BD325" s="102"/>
      <c r="BE325" s="102"/>
      <c r="BF325" s="102"/>
      <c r="BG325" s="102"/>
      <c r="BH325" s="102"/>
      <c r="BI325" s="102"/>
      <c r="BJ325" s="102"/>
      <c r="BK325" s="102"/>
      <c r="BL325" s="102"/>
      <c r="BM325" s="102"/>
      <c r="BN325" s="102"/>
    </row>
    <row r="326" spans="2:66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Y326" s="102"/>
      <c r="AZ326" s="102"/>
      <c r="BA326" s="102"/>
      <c r="BB326" s="102"/>
      <c r="BC326" s="102"/>
      <c r="BD326" s="102"/>
      <c r="BE326" s="102"/>
      <c r="BF326" s="102"/>
      <c r="BG326" s="102"/>
      <c r="BH326" s="102"/>
      <c r="BI326" s="102"/>
      <c r="BJ326" s="102"/>
      <c r="BK326" s="102"/>
      <c r="BL326" s="102"/>
      <c r="BM326" s="102"/>
      <c r="BN326" s="102"/>
    </row>
    <row r="327" spans="2:66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Y327" s="102"/>
      <c r="AZ327" s="102"/>
      <c r="BA327" s="102"/>
      <c r="BB327" s="102"/>
      <c r="BC327" s="102"/>
      <c r="BD327" s="102"/>
      <c r="BE327" s="102"/>
      <c r="BF327" s="102"/>
      <c r="BG327" s="102"/>
      <c r="BH327" s="102"/>
      <c r="BI327" s="102"/>
      <c r="BJ327" s="102"/>
      <c r="BK327" s="102"/>
      <c r="BL327" s="102"/>
      <c r="BM327" s="102"/>
      <c r="BN327" s="102"/>
    </row>
    <row r="328" spans="2:66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Y328" s="102"/>
      <c r="AZ328" s="102"/>
      <c r="BA328" s="102"/>
      <c r="BB328" s="102"/>
      <c r="BC328" s="102"/>
      <c r="BD328" s="102"/>
      <c r="BE328" s="102"/>
      <c r="BF328" s="102"/>
      <c r="BG328" s="102"/>
      <c r="BH328" s="102"/>
      <c r="BI328" s="102"/>
      <c r="BJ328" s="102"/>
      <c r="BK328" s="102"/>
      <c r="BL328" s="102"/>
      <c r="BM328" s="102"/>
      <c r="BN328" s="102"/>
    </row>
    <row r="329" spans="2:66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Y329" s="102"/>
      <c r="AZ329" s="102"/>
      <c r="BA329" s="102"/>
      <c r="BB329" s="102"/>
      <c r="BC329" s="102"/>
      <c r="BD329" s="102"/>
      <c r="BE329" s="102"/>
      <c r="BF329" s="102"/>
      <c r="BG329" s="102"/>
      <c r="BH329" s="102"/>
      <c r="BI329" s="102"/>
      <c r="BJ329" s="102"/>
      <c r="BK329" s="102"/>
      <c r="BL329" s="102"/>
      <c r="BM329" s="102"/>
      <c r="BN329" s="102"/>
    </row>
    <row r="330" spans="2:66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Y330" s="102"/>
      <c r="AZ330" s="102"/>
      <c r="BA330" s="102"/>
      <c r="BB330" s="102"/>
      <c r="BC330" s="102"/>
      <c r="BD330" s="102"/>
      <c r="BE330" s="102"/>
      <c r="BF330" s="102"/>
      <c r="BG330" s="102"/>
      <c r="BH330" s="102"/>
      <c r="BI330" s="102"/>
      <c r="BJ330" s="102"/>
      <c r="BK330" s="102"/>
      <c r="BL330" s="102"/>
      <c r="BM330" s="102"/>
      <c r="BN330" s="102"/>
    </row>
    <row r="331" spans="2:66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Y331" s="102"/>
      <c r="AZ331" s="102"/>
      <c r="BA331" s="102"/>
      <c r="BB331" s="102"/>
      <c r="BC331" s="102"/>
      <c r="BD331" s="102"/>
      <c r="BE331" s="102"/>
      <c r="BF331" s="102"/>
      <c r="BG331" s="102"/>
      <c r="BH331" s="102"/>
      <c r="BI331" s="102"/>
      <c r="BJ331" s="102"/>
      <c r="BK331" s="102"/>
      <c r="BL331" s="102"/>
      <c r="BM331" s="102"/>
      <c r="BN331" s="102"/>
    </row>
    <row r="332" spans="2:66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Y332" s="102"/>
      <c r="AZ332" s="102"/>
      <c r="BA332" s="102"/>
      <c r="BB332" s="102"/>
      <c r="BC332" s="102"/>
      <c r="BD332" s="102"/>
      <c r="BE332" s="102"/>
      <c r="BF332" s="102"/>
      <c r="BG332" s="102"/>
      <c r="BH332" s="102"/>
      <c r="BI332" s="102"/>
      <c r="BJ332" s="102"/>
      <c r="BK332" s="102"/>
      <c r="BL332" s="102"/>
      <c r="BM332" s="102"/>
      <c r="BN332" s="102"/>
    </row>
    <row r="333" spans="2:66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Y333" s="102"/>
      <c r="AZ333" s="102"/>
      <c r="BA333" s="102"/>
      <c r="BB333" s="102"/>
      <c r="BC333" s="102"/>
      <c r="BD333" s="102"/>
      <c r="BE333" s="102"/>
      <c r="BF333" s="102"/>
      <c r="BG333" s="102"/>
      <c r="BH333" s="102"/>
      <c r="BI333" s="102"/>
      <c r="BJ333" s="102"/>
      <c r="BK333" s="102"/>
      <c r="BL333" s="102"/>
      <c r="BM333" s="102"/>
      <c r="BN333" s="102"/>
    </row>
    <row r="334" spans="2:66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Y334" s="102"/>
      <c r="AZ334" s="102"/>
      <c r="BA334" s="102"/>
      <c r="BB334" s="102"/>
      <c r="BC334" s="102"/>
      <c r="BD334" s="102"/>
      <c r="BE334" s="102"/>
      <c r="BF334" s="102"/>
      <c r="BG334" s="102"/>
      <c r="BH334" s="102"/>
      <c r="BI334" s="102"/>
      <c r="BJ334" s="102"/>
      <c r="BK334" s="102"/>
      <c r="BL334" s="102"/>
      <c r="BM334" s="102"/>
      <c r="BN334" s="102"/>
    </row>
    <row r="335" spans="2:66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Y335" s="102"/>
      <c r="AZ335" s="102"/>
      <c r="BA335" s="102"/>
      <c r="BB335" s="102"/>
      <c r="BC335" s="102"/>
      <c r="BD335" s="102"/>
      <c r="BE335" s="102"/>
      <c r="BF335" s="102"/>
      <c r="BG335" s="102"/>
      <c r="BH335" s="102"/>
      <c r="BI335" s="102"/>
      <c r="BJ335" s="102"/>
      <c r="BK335" s="102"/>
      <c r="BL335" s="102"/>
      <c r="BM335" s="102"/>
      <c r="BN335" s="102"/>
    </row>
    <row r="336" spans="2:66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Y336" s="102"/>
      <c r="AZ336" s="102"/>
      <c r="BA336" s="102"/>
      <c r="BB336" s="102"/>
      <c r="BC336" s="102"/>
      <c r="BD336" s="102"/>
      <c r="BE336" s="102"/>
      <c r="BF336" s="102"/>
      <c r="BG336" s="102"/>
      <c r="BH336" s="102"/>
      <c r="BI336" s="102"/>
      <c r="BJ336" s="102"/>
      <c r="BK336" s="102"/>
      <c r="BL336" s="102"/>
      <c r="BM336" s="102"/>
      <c r="BN336" s="102"/>
    </row>
    <row r="337" spans="2:66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Y337" s="102"/>
      <c r="AZ337" s="102"/>
      <c r="BA337" s="102"/>
      <c r="BB337" s="102"/>
      <c r="BC337" s="102"/>
      <c r="BD337" s="102"/>
      <c r="BE337" s="102"/>
      <c r="BF337" s="102"/>
      <c r="BG337" s="102"/>
      <c r="BH337" s="102"/>
      <c r="BI337" s="102"/>
      <c r="BJ337" s="102"/>
      <c r="BK337" s="102"/>
      <c r="BL337" s="102"/>
      <c r="BM337" s="102"/>
      <c r="BN337" s="102"/>
    </row>
    <row r="338" spans="2:66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Y338" s="102"/>
      <c r="AZ338" s="102"/>
      <c r="BA338" s="102"/>
      <c r="BB338" s="102"/>
      <c r="BC338" s="102"/>
      <c r="BD338" s="102"/>
      <c r="BE338" s="102"/>
      <c r="BF338" s="102"/>
      <c r="BG338" s="102"/>
      <c r="BH338" s="102"/>
      <c r="BI338" s="102"/>
      <c r="BJ338" s="102"/>
      <c r="BK338" s="102"/>
      <c r="BL338" s="102"/>
      <c r="BM338" s="102"/>
      <c r="BN338" s="102"/>
    </row>
    <row r="339" spans="2:66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Y339" s="102"/>
      <c r="AZ339" s="102"/>
      <c r="BA339" s="102"/>
      <c r="BB339" s="102"/>
      <c r="BC339" s="102"/>
      <c r="BD339" s="102"/>
      <c r="BE339" s="102"/>
      <c r="BF339" s="102"/>
      <c r="BG339" s="102"/>
      <c r="BH339" s="102"/>
      <c r="BI339" s="102"/>
      <c r="BJ339" s="102"/>
      <c r="BK339" s="102"/>
      <c r="BL339" s="102"/>
      <c r="BM339" s="102"/>
      <c r="BN339" s="102"/>
    </row>
    <row r="340" spans="2:66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Y340" s="102"/>
      <c r="AZ340" s="102"/>
      <c r="BA340" s="102"/>
      <c r="BB340" s="102"/>
      <c r="BC340" s="102"/>
      <c r="BD340" s="102"/>
      <c r="BE340" s="102"/>
      <c r="BF340" s="102"/>
      <c r="BG340" s="102"/>
      <c r="BH340" s="102"/>
      <c r="BI340" s="102"/>
      <c r="BJ340" s="102"/>
      <c r="BK340" s="102"/>
      <c r="BL340" s="102"/>
      <c r="BM340" s="102"/>
      <c r="BN340" s="102"/>
    </row>
    <row r="341" spans="2:66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Y341" s="102"/>
      <c r="AZ341" s="102"/>
      <c r="BA341" s="102"/>
      <c r="BB341" s="102"/>
      <c r="BC341" s="102"/>
      <c r="BD341" s="102"/>
      <c r="BE341" s="102"/>
      <c r="BF341" s="102"/>
      <c r="BG341" s="102"/>
      <c r="BH341" s="102"/>
      <c r="BI341" s="102"/>
      <c r="BJ341" s="102"/>
      <c r="BK341" s="102"/>
      <c r="BL341" s="102"/>
      <c r="BM341" s="102"/>
      <c r="BN341" s="102"/>
    </row>
    <row r="342" spans="2:66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Y342" s="102"/>
      <c r="AZ342" s="102"/>
      <c r="BA342" s="102"/>
      <c r="BB342" s="102"/>
      <c r="BC342" s="102"/>
      <c r="BD342" s="102"/>
      <c r="BE342" s="102"/>
      <c r="BF342" s="102"/>
      <c r="BG342" s="102"/>
      <c r="BH342" s="102"/>
      <c r="BI342" s="102"/>
      <c r="BJ342" s="102"/>
      <c r="BK342" s="102"/>
      <c r="BL342" s="102"/>
      <c r="BM342" s="102"/>
      <c r="BN342" s="102"/>
    </row>
    <row r="343" spans="2:66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Y343" s="102"/>
      <c r="AZ343" s="102"/>
      <c r="BA343" s="102"/>
      <c r="BB343" s="102"/>
      <c r="BC343" s="102"/>
      <c r="BD343" s="102"/>
      <c r="BE343" s="102"/>
      <c r="BF343" s="102"/>
      <c r="BG343" s="102"/>
      <c r="BH343" s="102"/>
      <c r="BI343" s="102"/>
      <c r="BJ343" s="102"/>
      <c r="BK343" s="102"/>
      <c r="BL343" s="102"/>
      <c r="BM343" s="102"/>
      <c r="BN343" s="102"/>
    </row>
    <row r="344" spans="2:66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Y344" s="102"/>
      <c r="AZ344" s="102"/>
      <c r="BA344" s="102"/>
      <c r="BB344" s="102"/>
      <c r="BC344" s="102"/>
      <c r="BD344" s="102"/>
      <c r="BE344" s="102"/>
      <c r="BF344" s="102"/>
      <c r="BG344" s="102"/>
      <c r="BH344" s="102"/>
      <c r="BI344" s="102"/>
      <c r="BJ344" s="102"/>
      <c r="BK344" s="102"/>
      <c r="BL344" s="102"/>
      <c r="BM344" s="102"/>
      <c r="BN344" s="102"/>
    </row>
    <row r="345" spans="2:66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Y345" s="102"/>
      <c r="AZ345" s="102"/>
      <c r="BA345" s="102"/>
      <c r="BB345" s="102"/>
      <c r="BC345" s="102"/>
      <c r="BD345" s="102"/>
      <c r="BE345" s="102"/>
      <c r="BF345" s="102"/>
      <c r="BG345" s="102"/>
      <c r="BH345" s="102"/>
      <c r="BI345" s="102"/>
      <c r="BJ345" s="102"/>
      <c r="BK345" s="102"/>
      <c r="BL345" s="102"/>
      <c r="BM345" s="102"/>
      <c r="BN345" s="102"/>
    </row>
    <row r="346" spans="2:66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Y346" s="102"/>
      <c r="AZ346" s="102"/>
      <c r="BA346" s="102"/>
      <c r="BB346" s="102"/>
      <c r="BC346" s="102"/>
      <c r="BD346" s="102"/>
      <c r="BE346" s="102"/>
      <c r="BF346" s="102"/>
      <c r="BG346" s="102"/>
      <c r="BH346" s="102"/>
      <c r="BI346" s="102"/>
      <c r="BJ346" s="102"/>
      <c r="BK346" s="102"/>
      <c r="BL346" s="102"/>
      <c r="BM346" s="102"/>
      <c r="BN346" s="102"/>
    </row>
    <row r="347" spans="2:66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Y347" s="102"/>
      <c r="AZ347" s="102"/>
      <c r="BA347" s="102"/>
      <c r="BB347" s="102"/>
      <c r="BC347" s="102"/>
      <c r="BD347" s="102"/>
      <c r="BE347" s="102"/>
      <c r="BF347" s="102"/>
      <c r="BG347" s="102"/>
      <c r="BH347" s="102"/>
      <c r="BI347" s="102"/>
      <c r="BJ347" s="102"/>
      <c r="BK347" s="102"/>
      <c r="BL347" s="102"/>
      <c r="BM347" s="102"/>
      <c r="BN347" s="102"/>
    </row>
    <row r="348" spans="2:66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Y348" s="102"/>
      <c r="AZ348" s="102"/>
      <c r="BA348" s="102"/>
      <c r="BB348" s="102"/>
      <c r="BC348" s="102"/>
      <c r="BD348" s="102"/>
      <c r="BE348" s="102"/>
      <c r="BF348" s="102"/>
      <c r="BG348" s="102"/>
      <c r="BH348" s="102"/>
      <c r="BI348" s="102"/>
      <c r="BJ348" s="102"/>
      <c r="BK348" s="102"/>
      <c r="BL348" s="102"/>
      <c r="BM348" s="102"/>
      <c r="BN348" s="102"/>
    </row>
    <row r="349" spans="2:66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Y349" s="102"/>
      <c r="AZ349" s="102"/>
      <c r="BA349" s="102"/>
      <c r="BB349" s="102"/>
      <c r="BC349" s="102"/>
      <c r="BD349" s="102"/>
      <c r="BE349" s="102"/>
      <c r="BF349" s="102"/>
      <c r="BG349" s="102"/>
      <c r="BH349" s="102"/>
      <c r="BI349" s="102"/>
      <c r="BJ349" s="102"/>
      <c r="BK349" s="102"/>
      <c r="BL349" s="102"/>
      <c r="BM349" s="102"/>
      <c r="BN349" s="102"/>
    </row>
    <row r="350" spans="2:66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Y350" s="102"/>
      <c r="AZ350" s="102"/>
      <c r="BA350" s="102"/>
      <c r="BB350" s="102"/>
      <c r="BC350" s="102"/>
      <c r="BD350" s="102"/>
      <c r="BE350" s="102"/>
      <c r="BF350" s="102"/>
      <c r="BG350" s="102"/>
      <c r="BH350" s="102"/>
      <c r="BI350" s="102"/>
      <c r="BJ350" s="102"/>
      <c r="BK350" s="102"/>
      <c r="BL350" s="102"/>
      <c r="BM350" s="102"/>
      <c r="BN350" s="102"/>
    </row>
    <row r="351" spans="2:66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Y351" s="102"/>
      <c r="AZ351" s="102"/>
      <c r="BA351" s="102"/>
      <c r="BB351" s="102"/>
      <c r="BC351" s="102"/>
      <c r="BD351" s="102"/>
      <c r="BE351" s="102"/>
      <c r="BF351" s="102"/>
      <c r="BG351" s="102"/>
      <c r="BH351" s="102"/>
      <c r="BI351" s="102"/>
      <c r="BJ351" s="102"/>
      <c r="BK351" s="102"/>
      <c r="BL351" s="102"/>
      <c r="BM351" s="102"/>
      <c r="BN351" s="102"/>
    </row>
    <row r="352" spans="2:66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Y352" s="102"/>
      <c r="AZ352" s="102"/>
      <c r="BA352" s="102"/>
      <c r="BB352" s="102"/>
      <c r="BC352" s="102"/>
      <c r="BD352" s="102"/>
      <c r="BE352" s="102"/>
      <c r="BF352" s="102"/>
      <c r="BG352" s="102"/>
      <c r="BH352" s="102"/>
      <c r="BI352" s="102"/>
      <c r="BJ352" s="102"/>
      <c r="BK352" s="102"/>
      <c r="BL352" s="102"/>
      <c r="BM352" s="102"/>
      <c r="BN352" s="102"/>
    </row>
    <row r="353" spans="2:66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Y353" s="102"/>
      <c r="AZ353" s="102"/>
      <c r="BA353" s="102"/>
      <c r="BB353" s="102"/>
      <c r="BC353" s="102"/>
      <c r="BD353" s="102"/>
      <c r="BE353" s="102"/>
      <c r="BF353" s="102"/>
      <c r="BG353" s="102"/>
      <c r="BH353" s="102"/>
      <c r="BI353" s="102"/>
      <c r="BJ353" s="102"/>
      <c r="BK353" s="102"/>
      <c r="BL353" s="102"/>
      <c r="BM353" s="102"/>
      <c r="BN353" s="102"/>
    </row>
    <row r="354" spans="2:66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Y354" s="102"/>
      <c r="AZ354" s="102"/>
      <c r="BA354" s="102"/>
      <c r="BB354" s="102"/>
      <c r="BC354" s="102"/>
      <c r="BD354" s="102"/>
      <c r="BE354" s="102"/>
      <c r="BF354" s="102"/>
      <c r="BG354" s="102"/>
      <c r="BH354" s="102"/>
      <c r="BI354" s="102"/>
      <c r="BJ354" s="102"/>
      <c r="BK354" s="102"/>
      <c r="BL354" s="102"/>
      <c r="BM354" s="102"/>
      <c r="BN354" s="102"/>
    </row>
    <row r="355" spans="2:66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Y355" s="102"/>
      <c r="AZ355" s="102"/>
      <c r="BA355" s="102"/>
      <c r="BB355" s="102"/>
      <c r="BC355" s="102"/>
      <c r="BD355" s="102"/>
      <c r="BE355" s="102"/>
      <c r="BF355" s="102"/>
      <c r="BG355" s="102"/>
      <c r="BH355" s="102"/>
      <c r="BI355" s="102"/>
      <c r="BJ355" s="102"/>
      <c r="BK355" s="102"/>
      <c r="BL355" s="102"/>
      <c r="BM355" s="102"/>
      <c r="BN355" s="102"/>
    </row>
    <row r="356" spans="2:66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Y356" s="102"/>
      <c r="AZ356" s="102"/>
      <c r="BA356" s="102"/>
      <c r="BB356" s="102"/>
      <c r="BC356" s="102"/>
      <c r="BD356" s="102"/>
      <c r="BE356" s="102"/>
      <c r="BF356" s="102"/>
      <c r="BG356" s="102"/>
      <c r="BH356" s="102"/>
      <c r="BI356" s="102"/>
      <c r="BJ356" s="102"/>
      <c r="BK356" s="102"/>
      <c r="BL356" s="102"/>
      <c r="BM356" s="102"/>
      <c r="BN356" s="102"/>
    </row>
    <row r="357" spans="2:66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Y357" s="102"/>
      <c r="AZ357" s="102"/>
      <c r="BA357" s="102"/>
      <c r="BB357" s="102"/>
      <c r="BC357" s="102"/>
      <c r="BD357" s="102"/>
      <c r="BE357" s="102"/>
      <c r="BF357" s="102"/>
      <c r="BG357" s="102"/>
      <c r="BH357" s="102"/>
      <c r="BI357" s="102"/>
      <c r="BJ357" s="102"/>
      <c r="BK357" s="102"/>
      <c r="BL357" s="102"/>
      <c r="BM357" s="102"/>
      <c r="BN357" s="102"/>
    </row>
    <row r="358" spans="2:66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Y358" s="102"/>
      <c r="AZ358" s="102"/>
      <c r="BA358" s="102"/>
      <c r="BB358" s="102"/>
      <c r="BC358" s="102"/>
      <c r="BD358" s="102"/>
      <c r="BE358" s="102"/>
      <c r="BF358" s="102"/>
      <c r="BG358" s="102"/>
      <c r="BH358" s="102"/>
      <c r="BI358" s="102"/>
      <c r="BJ358" s="102"/>
      <c r="BK358" s="102"/>
      <c r="BL358" s="102"/>
      <c r="BM358" s="102"/>
      <c r="BN358" s="102"/>
    </row>
    <row r="359" spans="2:66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Y359" s="102"/>
      <c r="AZ359" s="102"/>
      <c r="BA359" s="102"/>
      <c r="BB359" s="102"/>
      <c r="BC359" s="102"/>
      <c r="BD359" s="102"/>
      <c r="BE359" s="102"/>
      <c r="BF359" s="102"/>
      <c r="BG359" s="102"/>
      <c r="BH359" s="102"/>
      <c r="BI359" s="102"/>
      <c r="BJ359" s="102"/>
      <c r="BK359" s="102"/>
      <c r="BL359" s="102"/>
      <c r="BM359" s="102"/>
      <c r="BN359" s="102"/>
    </row>
    <row r="360" spans="2:66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Y360" s="102"/>
      <c r="AZ360" s="102"/>
      <c r="BA360" s="102"/>
      <c r="BB360" s="102"/>
      <c r="BC360" s="102"/>
      <c r="BD360" s="102"/>
      <c r="BE360" s="102"/>
      <c r="BF360" s="102"/>
      <c r="BG360" s="102"/>
      <c r="BH360" s="102"/>
      <c r="BI360" s="102"/>
      <c r="BJ360" s="102"/>
      <c r="BK360" s="102"/>
      <c r="BL360" s="102"/>
      <c r="BM360" s="102"/>
      <c r="BN360" s="102"/>
    </row>
    <row r="361" spans="2:66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Y361" s="102"/>
      <c r="AZ361" s="102"/>
      <c r="BA361" s="102"/>
      <c r="BB361" s="102"/>
      <c r="BC361" s="102"/>
      <c r="BD361" s="102"/>
      <c r="BE361" s="102"/>
      <c r="BF361" s="102"/>
      <c r="BG361" s="102"/>
      <c r="BH361" s="102"/>
      <c r="BI361" s="102"/>
      <c r="BJ361" s="102"/>
      <c r="BK361" s="102"/>
      <c r="BL361" s="102"/>
      <c r="BM361" s="102"/>
      <c r="BN361" s="102"/>
    </row>
    <row r="362" spans="2:66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Y362" s="102"/>
      <c r="AZ362" s="102"/>
      <c r="BA362" s="102"/>
      <c r="BB362" s="102"/>
      <c r="BC362" s="102"/>
      <c r="BD362" s="102"/>
      <c r="BE362" s="102"/>
      <c r="BF362" s="102"/>
      <c r="BG362" s="102"/>
      <c r="BH362" s="102"/>
      <c r="BI362" s="102"/>
      <c r="BJ362" s="102"/>
      <c r="BK362" s="102"/>
      <c r="BL362" s="102"/>
      <c r="BM362" s="102"/>
      <c r="BN362" s="102"/>
    </row>
    <row r="363" spans="2:66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Y363" s="102"/>
      <c r="AZ363" s="102"/>
      <c r="BA363" s="102"/>
      <c r="BB363" s="102"/>
      <c r="BC363" s="102"/>
      <c r="BD363" s="102"/>
      <c r="BE363" s="102"/>
      <c r="BF363" s="102"/>
      <c r="BG363" s="102"/>
      <c r="BH363" s="102"/>
      <c r="BI363" s="102"/>
      <c r="BJ363" s="102"/>
      <c r="BK363" s="102"/>
      <c r="BL363" s="102"/>
      <c r="BM363" s="102"/>
      <c r="BN363" s="102"/>
    </row>
    <row r="364" spans="2:66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Y364" s="102"/>
      <c r="AZ364" s="102"/>
      <c r="BA364" s="102"/>
      <c r="BB364" s="102"/>
      <c r="BC364" s="102"/>
      <c r="BD364" s="102"/>
      <c r="BE364" s="102"/>
      <c r="BF364" s="102"/>
      <c r="BG364" s="102"/>
      <c r="BH364" s="102"/>
      <c r="BI364" s="102"/>
      <c r="BJ364" s="102"/>
      <c r="BK364" s="102"/>
      <c r="BL364" s="102"/>
      <c r="BM364" s="102"/>
      <c r="BN364" s="102"/>
    </row>
    <row r="365" spans="2:66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Y365" s="102"/>
      <c r="AZ365" s="102"/>
      <c r="BA365" s="102"/>
      <c r="BB365" s="102"/>
      <c r="BC365" s="102"/>
      <c r="BD365" s="102"/>
      <c r="BE365" s="102"/>
      <c r="BF365" s="102"/>
      <c r="BG365" s="102"/>
      <c r="BH365" s="102"/>
      <c r="BI365" s="102"/>
      <c r="BJ365" s="102"/>
      <c r="BK365" s="102"/>
      <c r="BL365" s="102"/>
      <c r="BM365" s="102"/>
      <c r="BN365" s="102"/>
    </row>
    <row r="366" spans="2:66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Y366" s="102"/>
      <c r="AZ366" s="102"/>
      <c r="BA366" s="102"/>
      <c r="BB366" s="102"/>
      <c r="BC366" s="102"/>
      <c r="BD366" s="102"/>
      <c r="BE366" s="102"/>
      <c r="BF366" s="102"/>
      <c r="BG366" s="102"/>
      <c r="BH366" s="102"/>
      <c r="BI366" s="102"/>
      <c r="BJ366" s="102"/>
      <c r="BK366" s="102"/>
      <c r="BL366" s="102"/>
      <c r="BM366" s="102"/>
      <c r="BN366" s="102"/>
    </row>
    <row r="367" spans="2:66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Y367" s="102"/>
      <c r="AZ367" s="102"/>
      <c r="BA367" s="102"/>
      <c r="BB367" s="102"/>
      <c r="BC367" s="102"/>
      <c r="BD367" s="102"/>
      <c r="BE367" s="102"/>
      <c r="BF367" s="102"/>
      <c r="BG367" s="102"/>
      <c r="BH367" s="102"/>
      <c r="BI367" s="102"/>
      <c r="BJ367" s="102"/>
      <c r="BK367" s="102"/>
      <c r="BL367" s="102"/>
      <c r="BM367" s="102"/>
      <c r="BN367" s="102"/>
    </row>
    <row r="368" spans="2:66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Y368" s="102"/>
      <c r="AZ368" s="102"/>
      <c r="BA368" s="102"/>
      <c r="BB368" s="102"/>
      <c r="BC368" s="102"/>
      <c r="BD368" s="102"/>
      <c r="BE368" s="102"/>
      <c r="BF368" s="102"/>
      <c r="BG368" s="102"/>
      <c r="BH368" s="102"/>
      <c r="BI368" s="102"/>
      <c r="BJ368" s="102"/>
      <c r="BK368" s="102"/>
      <c r="BL368" s="102"/>
      <c r="BM368" s="102"/>
      <c r="BN368" s="102"/>
    </row>
    <row r="369" spans="2:66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Y369" s="102"/>
      <c r="AZ369" s="102"/>
      <c r="BA369" s="102"/>
      <c r="BB369" s="102"/>
      <c r="BC369" s="102"/>
      <c r="BD369" s="102"/>
      <c r="BE369" s="102"/>
      <c r="BF369" s="102"/>
      <c r="BG369" s="102"/>
      <c r="BH369" s="102"/>
      <c r="BI369" s="102"/>
      <c r="BJ369" s="102"/>
      <c r="BK369" s="102"/>
      <c r="BL369" s="102"/>
      <c r="BM369" s="102"/>
      <c r="BN369" s="102"/>
    </row>
    <row r="370" spans="2:66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Y370" s="102"/>
      <c r="AZ370" s="102"/>
      <c r="BA370" s="102"/>
      <c r="BB370" s="102"/>
      <c r="BC370" s="102"/>
      <c r="BD370" s="102"/>
      <c r="BE370" s="102"/>
      <c r="BF370" s="102"/>
      <c r="BG370" s="102"/>
      <c r="BH370" s="102"/>
      <c r="BI370" s="102"/>
      <c r="BJ370" s="102"/>
      <c r="BK370" s="102"/>
      <c r="BL370" s="102"/>
      <c r="BM370" s="102"/>
      <c r="BN370" s="102"/>
    </row>
    <row r="371" spans="2:66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Y371" s="102"/>
      <c r="AZ371" s="102"/>
      <c r="BA371" s="102"/>
      <c r="BB371" s="102"/>
      <c r="BC371" s="102"/>
      <c r="BD371" s="102"/>
      <c r="BE371" s="102"/>
      <c r="BF371" s="102"/>
      <c r="BG371" s="102"/>
      <c r="BH371" s="102"/>
      <c r="BI371" s="102"/>
      <c r="BJ371" s="102"/>
      <c r="BK371" s="102"/>
      <c r="BL371" s="102"/>
      <c r="BM371" s="102"/>
      <c r="BN371" s="102"/>
    </row>
    <row r="372" spans="2:66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Y372" s="102"/>
      <c r="AZ372" s="102"/>
      <c r="BA372" s="102"/>
      <c r="BB372" s="102"/>
      <c r="BC372" s="102"/>
      <c r="BD372" s="102"/>
      <c r="BE372" s="102"/>
      <c r="BF372" s="102"/>
      <c r="BG372" s="102"/>
      <c r="BH372" s="102"/>
      <c r="BI372" s="102"/>
      <c r="BJ372" s="102"/>
      <c r="BK372" s="102"/>
      <c r="BL372" s="102"/>
      <c r="BM372" s="102"/>
      <c r="BN372" s="102"/>
    </row>
    <row r="373" spans="2:66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Y373" s="102"/>
      <c r="AZ373" s="102"/>
      <c r="BA373" s="102"/>
      <c r="BB373" s="102"/>
      <c r="BC373" s="102"/>
      <c r="BD373" s="102"/>
      <c r="BE373" s="102"/>
      <c r="BF373" s="102"/>
      <c r="BG373" s="102"/>
      <c r="BH373" s="102"/>
      <c r="BI373" s="102"/>
      <c r="BJ373" s="102"/>
      <c r="BK373" s="102"/>
      <c r="BL373" s="102"/>
      <c r="BM373" s="102"/>
      <c r="BN373" s="102"/>
    </row>
    <row r="374" spans="2:66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Y374" s="102"/>
      <c r="AZ374" s="102"/>
      <c r="BA374" s="102"/>
      <c r="BB374" s="102"/>
      <c r="BC374" s="102"/>
      <c r="BD374" s="102"/>
      <c r="BE374" s="102"/>
      <c r="BF374" s="102"/>
      <c r="BG374" s="102"/>
      <c r="BH374" s="102"/>
      <c r="BI374" s="102"/>
      <c r="BJ374" s="102"/>
      <c r="BK374" s="102"/>
      <c r="BL374" s="102"/>
      <c r="BM374" s="102"/>
      <c r="BN374" s="102"/>
    </row>
    <row r="375" spans="2:66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Y375" s="102"/>
      <c r="AZ375" s="102"/>
      <c r="BA375" s="102"/>
      <c r="BB375" s="102"/>
      <c r="BC375" s="102"/>
      <c r="BD375" s="102"/>
      <c r="BE375" s="102"/>
      <c r="BF375" s="102"/>
      <c r="BG375" s="102"/>
      <c r="BH375" s="102"/>
      <c r="BI375" s="102"/>
      <c r="BJ375" s="102"/>
      <c r="BK375" s="102"/>
      <c r="BL375" s="102"/>
      <c r="BM375" s="102"/>
      <c r="BN375" s="102"/>
    </row>
    <row r="376" spans="2:66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Y376" s="102"/>
      <c r="AZ376" s="102"/>
      <c r="BA376" s="102"/>
      <c r="BB376" s="102"/>
      <c r="BC376" s="102"/>
      <c r="BD376" s="102"/>
      <c r="BE376" s="102"/>
      <c r="BF376" s="102"/>
      <c r="BG376" s="102"/>
      <c r="BH376" s="102"/>
      <c r="BI376" s="102"/>
      <c r="BJ376" s="102"/>
      <c r="BK376" s="102"/>
      <c r="BL376" s="102"/>
      <c r="BM376" s="102"/>
      <c r="BN376" s="102"/>
    </row>
    <row r="377" spans="2:66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Y377" s="102"/>
      <c r="AZ377" s="102"/>
      <c r="BA377" s="102"/>
      <c r="BB377" s="102"/>
      <c r="BC377" s="102"/>
      <c r="BD377" s="102"/>
      <c r="BE377" s="102"/>
      <c r="BF377" s="102"/>
      <c r="BG377" s="102"/>
      <c r="BH377" s="102"/>
      <c r="BI377" s="102"/>
      <c r="BJ377" s="102"/>
      <c r="BK377" s="102"/>
      <c r="BL377" s="102"/>
      <c r="BM377" s="102"/>
      <c r="BN377" s="102"/>
    </row>
    <row r="378" spans="2:66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Y378" s="102"/>
      <c r="AZ378" s="102"/>
      <c r="BA378" s="102"/>
      <c r="BB378" s="102"/>
      <c r="BC378" s="102"/>
      <c r="BD378" s="102"/>
      <c r="BE378" s="102"/>
      <c r="BF378" s="102"/>
      <c r="BG378" s="102"/>
      <c r="BH378" s="102"/>
      <c r="BI378" s="102"/>
      <c r="BJ378" s="102"/>
      <c r="BK378" s="102"/>
      <c r="BL378" s="102"/>
      <c r="BM378" s="102"/>
      <c r="BN378" s="102"/>
    </row>
    <row r="379" spans="2:66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Y379" s="102"/>
      <c r="AZ379" s="102"/>
      <c r="BA379" s="102"/>
      <c r="BB379" s="102"/>
      <c r="BC379" s="102"/>
      <c r="BD379" s="102"/>
      <c r="BE379" s="102"/>
      <c r="BF379" s="102"/>
      <c r="BG379" s="102"/>
      <c r="BH379" s="102"/>
      <c r="BI379" s="102"/>
      <c r="BJ379" s="102"/>
      <c r="BK379" s="102"/>
      <c r="BL379" s="102"/>
      <c r="BM379" s="102"/>
      <c r="BN379" s="102"/>
    </row>
    <row r="380" spans="2:66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Y380" s="102"/>
      <c r="AZ380" s="102"/>
      <c r="BA380" s="102"/>
      <c r="BB380" s="102"/>
      <c r="BC380" s="102"/>
      <c r="BD380" s="102"/>
      <c r="BE380" s="102"/>
      <c r="BF380" s="102"/>
      <c r="BG380" s="102"/>
      <c r="BH380" s="102"/>
      <c r="BI380" s="102"/>
      <c r="BJ380" s="102"/>
      <c r="BK380" s="102"/>
      <c r="BL380" s="102"/>
      <c r="BM380" s="102"/>
      <c r="BN380" s="102"/>
    </row>
    <row r="381" spans="2:66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Y381" s="102"/>
      <c r="AZ381" s="102"/>
      <c r="BA381" s="102"/>
      <c r="BB381" s="102"/>
      <c r="BC381" s="102"/>
      <c r="BD381" s="102"/>
      <c r="BE381" s="102"/>
      <c r="BF381" s="102"/>
      <c r="BG381" s="102"/>
      <c r="BH381" s="102"/>
      <c r="BI381" s="102"/>
      <c r="BJ381" s="102"/>
      <c r="BK381" s="102"/>
      <c r="BL381" s="102"/>
      <c r="BM381" s="102"/>
      <c r="BN381" s="102"/>
    </row>
    <row r="382" spans="2:66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Y382" s="102"/>
      <c r="AZ382" s="102"/>
      <c r="BA382" s="102"/>
      <c r="BB382" s="102"/>
      <c r="BC382" s="102"/>
      <c r="BD382" s="102"/>
      <c r="BE382" s="102"/>
      <c r="BF382" s="102"/>
      <c r="BG382" s="102"/>
      <c r="BH382" s="102"/>
      <c r="BI382" s="102"/>
      <c r="BJ382" s="102"/>
      <c r="BK382" s="102"/>
      <c r="BL382" s="102"/>
      <c r="BM382" s="102"/>
      <c r="BN382" s="102"/>
    </row>
    <row r="383" spans="2:66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Y383" s="102"/>
      <c r="AZ383" s="102"/>
      <c r="BA383" s="102"/>
      <c r="BB383" s="102"/>
      <c r="BC383" s="102"/>
      <c r="BD383" s="102"/>
      <c r="BE383" s="102"/>
      <c r="BF383" s="102"/>
      <c r="BG383" s="102"/>
      <c r="BH383" s="102"/>
      <c r="BI383" s="102"/>
      <c r="BJ383" s="102"/>
      <c r="BK383" s="102"/>
      <c r="BL383" s="102"/>
      <c r="BM383" s="102"/>
      <c r="BN383" s="102"/>
    </row>
    <row r="384" spans="2:66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Y384" s="102"/>
      <c r="AZ384" s="102"/>
      <c r="BA384" s="102"/>
      <c r="BB384" s="102"/>
      <c r="BC384" s="102"/>
      <c r="BD384" s="102"/>
      <c r="BE384" s="102"/>
      <c r="BF384" s="102"/>
      <c r="BG384" s="102"/>
      <c r="BH384" s="102"/>
      <c r="BI384" s="102"/>
      <c r="BJ384" s="102"/>
      <c r="BK384" s="102"/>
      <c r="BL384" s="102"/>
      <c r="BM384" s="102"/>
      <c r="BN384" s="102"/>
    </row>
    <row r="385" spans="2:66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Y385" s="102"/>
      <c r="AZ385" s="102"/>
      <c r="BA385" s="102"/>
      <c r="BB385" s="102"/>
      <c r="BC385" s="102"/>
      <c r="BD385" s="102"/>
      <c r="BE385" s="102"/>
      <c r="BF385" s="102"/>
      <c r="BG385" s="102"/>
      <c r="BH385" s="102"/>
      <c r="BI385" s="102"/>
      <c r="BJ385" s="102"/>
      <c r="BK385" s="102"/>
      <c r="BL385" s="102"/>
      <c r="BM385" s="102"/>
      <c r="BN385" s="102"/>
    </row>
    <row r="386" spans="2:66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Y386" s="102"/>
      <c r="AZ386" s="102"/>
      <c r="BA386" s="102"/>
      <c r="BB386" s="102"/>
      <c r="BC386" s="102"/>
      <c r="BD386" s="102"/>
      <c r="BE386" s="102"/>
      <c r="BF386" s="102"/>
      <c r="BG386" s="102"/>
      <c r="BH386" s="102"/>
      <c r="BI386" s="102"/>
      <c r="BJ386" s="102"/>
      <c r="BK386" s="102"/>
      <c r="BL386" s="102"/>
      <c r="BM386" s="102"/>
      <c r="BN386" s="102"/>
    </row>
    <row r="387" spans="2:66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Y387" s="102"/>
      <c r="AZ387" s="102"/>
      <c r="BA387" s="102"/>
      <c r="BB387" s="102"/>
      <c r="BC387" s="102"/>
      <c r="BD387" s="102"/>
      <c r="BE387" s="102"/>
      <c r="BF387" s="102"/>
      <c r="BG387" s="102"/>
      <c r="BH387" s="102"/>
      <c r="BI387" s="102"/>
      <c r="BJ387" s="102"/>
      <c r="BK387" s="102"/>
      <c r="BL387" s="102"/>
      <c r="BM387" s="102"/>
      <c r="BN387" s="102"/>
    </row>
    <row r="388" spans="2:66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Y388" s="102"/>
      <c r="AZ388" s="102"/>
      <c r="BA388" s="102"/>
      <c r="BB388" s="102"/>
      <c r="BC388" s="102"/>
      <c r="BD388" s="102"/>
      <c r="BE388" s="102"/>
      <c r="BF388" s="102"/>
      <c r="BG388" s="102"/>
      <c r="BH388" s="102"/>
      <c r="BI388" s="102"/>
      <c r="BJ388" s="102"/>
      <c r="BK388" s="102"/>
      <c r="BL388" s="102"/>
      <c r="BM388" s="102"/>
      <c r="BN388" s="102"/>
    </row>
    <row r="389" spans="2:66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Y389" s="102"/>
      <c r="AZ389" s="102"/>
      <c r="BA389" s="102"/>
      <c r="BB389" s="102"/>
      <c r="BC389" s="102"/>
      <c r="BD389" s="102"/>
      <c r="BE389" s="102"/>
      <c r="BF389" s="102"/>
      <c r="BG389" s="102"/>
      <c r="BH389" s="102"/>
      <c r="BI389" s="102"/>
      <c r="BJ389" s="102"/>
      <c r="BK389" s="102"/>
      <c r="BL389" s="102"/>
      <c r="BM389" s="102"/>
      <c r="BN389" s="102"/>
    </row>
    <row r="390" spans="2:66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Y390" s="102"/>
      <c r="AZ390" s="102"/>
      <c r="BA390" s="102"/>
      <c r="BB390" s="102"/>
      <c r="BC390" s="102"/>
      <c r="BD390" s="102"/>
      <c r="BE390" s="102"/>
      <c r="BF390" s="102"/>
      <c r="BG390" s="102"/>
      <c r="BH390" s="102"/>
      <c r="BI390" s="102"/>
      <c r="BJ390" s="102"/>
      <c r="BK390" s="102"/>
      <c r="BL390" s="102"/>
      <c r="BM390" s="102"/>
      <c r="BN390" s="102"/>
    </row>
    <row r="391" spans="2:66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Y391" s="102"/>
      <c r="AZ391" s="102"/>
      <c r="BA391" s="102"/>
      <c r="BB391" s="102"/>
      <c r="BC391" s="102"/>
      <c r="BD391" s="102"/>
      <c r="BE391" s="102"/>
      <c r="BF391" s="102"/>
      <c r="BG391" s="102"/>
      <c r="BH391" s="102"/>
      <c r="BI391" s="102"/>
      <c r="BJ391" s="102"/>
      <c r="BK391" s="102"/>
      <c r="BL391" s="102"/>
      <c r="BM391" s="102"/>
      <c r="BN391" s="102"/>
    </row>
    <row r="392" spans="2:66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Y392" s="102"/>
      <c r="AZ392" s="102"/>
      <c r="BA392" s="102"/>
      <c r="BB392" s="102"/>
      <c r="BC392" s="102"/>
      <c r="BD392" s="102"/>
      <c r="BE392" s="102"/>
      <c r="BF392" s="102"/>
      <c r="BG392" s="102"/>
      <c r="BH392" s="102"/>
      <c r="BI392" s="102"/>
      <c r="BJ392" s="102"/>
      <c r="BK392" s="102"/>
      <c r="BL392" s="102"/>
      <c r="BM392" s="102"/>
      <c r="BN392" s="102"/>
    </row>
    <row r="393" spans="2:66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Y393" s="102"/>
      <c r="AZ393" s="102"/>
      <c r="BA393" s="102"/>
      <c r="BB393" s="102"/>
      <c r="BC393" s="102"/>
      <c r="BD393" s="102"/>
      <c r="BE393" s="102"/>
      <c r="BF393" s="102"/>
      <c r="BG393" s="102"/>
      <c r="BH393" s="102"/>
      <c r="BI393" s="102"/>
      <c r="BJ393" s="102"/>
      <c r="BK393" s="102"/>
      <c r="BL393" s="102"/>
      <c r="BM393" s="102"/>
      <c r="BN393" s="102"/>
    </row>
    <row r="394" spans="2:66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Y394" s="102"/>
      <c r="AZ394" s="102"/>
      <c r="BA394" s="102"/>
      <c r="BB394" s="102"/>
      <c r="BC394" s="102"/>
      <c r="BD394" s="102"/>
      <c r="BE394" s="102"/>
      <c r="BF394" s="102"/>
      <c r="BG394" s="102"/>
      <c r="BH394" s="102"/>
      <c r="BI394" s="102"/>
      <c r="BJ394" s="102"/>
      <c r="BK394" s="102"/>
      <c r="BL394" s="102"/>
      <c r="BM394" s="102"/>
      <c r="BN394" s="102"/>
    </row>
    <row r="395" spans="2:66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Y395" s="102"/>
      <c r="AZ395" s="102"/>
      <c r="BA395" s="102"/>
      <c r="BB395" s="102"/>
      <c r="BC395" s="102"/>
      <c r="BD395" s="102"/>
      <c r="BE395" s="102"/>
      <c r="BF395" s="102"/>
      <c r="BG395" s="102"/>
      <c r="BH395" s="102"/>
      <c r="BI395" s="102"/>
      <c r="BJ395" s="102"/>
      <c r="BK395" s="102"/>
      <c r="BL395" s="102"/>
      <c r="BM395" s="102"/>
      <c r="BN395" s="102"/>
    </row>
    <row r="396" spans="2:66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Y396" s="102"/>
      <c r="AZ396" s="102"/>
      <c r="BA396" s="102"/>
      <c r="BB396" s="102"/>
      <c r="BC396" s="102"/>
      <c r="BD396" s="102"/>
      <c r="BE396" s="102"/>
      <c r="BF396" s="102"/>
      <c r="BG396" s="102"/>
      <c r="BH396" s="102"/>
      <c r="BI396" s="102"/>
      <c r="BJ396" s="102"/>
      <c r="BK396" s="102"/>
      <c r="BL396" s="102"/>
      <c r="BM396" s="102"/>
      <c r="BN396" s="102"/>
    </row>
    <row r="397" spans="2:66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Y397" s="102"/>
      <c r="AZ397" s="102"/>
      <c r="BA397" s="102"/>
      <c r="BB397" s="102"/>
      <c r="BC397" s="102"/>
      <c r="BD397" s="102"/>
      <c r="BE397" s="102"/>
      <c r="BF397" s="102"/>
      <c r="BG397" s="102"/>
      <c r="BH397" s="102"/>
      <c r="BI397" s="102"/>
      <c r="BJ397" s="102"/>
      <c r="BK397" s="102"/>
      <c r="BL397" s="102"/>
      <c r="BM397" s="102"/>
      <c r="BN397" s="102"/>
    </row>
    <row r="398" spans="2:66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Y398" s="102"/>
      <c r="AZ398" s="102"/>
      <c r="BA398" s="102"/>
      <c r="BB398" s="102"/>
      <c r="BC398" s="102"/>
      <c r="BD398" s="102"/>
      <c r="BE398" s="102"/>
      <c r="BF398" s="102"/>
      <c r="BG398" s="102"/>
      <c r="BH398" s="102"/>
      <c r="BI398" s="102"/>
      <c r="BJ398" s="102"/>
      <c r="BK398" s="102"/>
      <c r="BL398" s="102"/>
      <c r="BM398" s="102"/>
      <c r="BN398" s="102"/>
    </row>
    <row r="399" spans="2:66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Y399" s="102"/>
      <c r="AZ399" s="102"/>
      <c r="BA399" s="102"/>
      <c r="BB399" s="102"/>
      <c r="BC399" s="102"/>
      <c r="BD399" s="102"/>
      <c r="BE399" s="102"/>
      <c r="BF399" s="102"/>
      <c r="BG399" s="102"/>
      <c r="BH399" s="102"/>
      <c r="BI399" s="102"/>
      <c r="BJ399" s="102"/>
      <c r="BK399" s="102"/>
      <c r="BL399" s="102"/>
      <c r="BM399" s="102"/>
      <c r="BN399" s="102"/>
    </row>
    <row r="400" spans="2:66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Y400" s="102"/>
      <c r="AZ400" s="102"/>
      <c r="BA400" s="102"/>
      <c r="BB400" s="102"/>
      <c r="BC400" s="102"/>
      <c r="BD400" s="102"/>
      <c r="BE400" s="102"/>
      <c r="BF400" s="102"/>
      <c r="BG400" s="102"/>
      <c r="BH400" s="102"/>
      <c r="BI400" s="102"/>
      <c r="BJ400" s="102"/>
      <c r="BK400" s="102"/>
      <c r="BL400" s="102"/>
      <c r="BM400" s="102"/>
      <c r="BN400" s="102"/>
    </row>
    <row r="401" spans="2:66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Y401" s="102"/>
      <c r="AZ401" s="102"/>
      <c r="BA401" s="102"/>
      <c r="BB401" s="102"/>
      <c r="BC401" s="102"/>
      <c r="BD401" s="102"/>
      <c r="BE401" s="102"/>
      <c r="BF401" s="102"/>
      <c r="BG401" s="102"/>
      <c r="BH401" s="102"/>
      <c r="BI401" s="102"/>
      <c r="BJ401" s="102"/>
      <c r="BK401" s="102"/>
      <c r="BL401" s="102"/>
      <c r="BM401" s="102"/>
      <c r="BN401" s="102"/>
    </row>
    <row r="402" spans="2:66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Y402" s="102"/>
      <c r="AZ402" s="102"/>
      <c r="BA402" s="102"/>
      <c r="BB402" s="102"/>
      <c r="BC402" s="102"/>
      <c r="BD402" s="102"/>
      <c r="BE402" s="102"/>
      <c r="BF402" s="102"/>
      <c r="BG402" s="102"/>
      <c r="BH402" s="102"/>
      <c r="BI402" s="102"/>
      <c r="BJ402" s="102"/>
      <c r="BK402" s="102"/>
      <c r="BL402" s="102"/>
      <c r="BM402" s="102"/>
      <c r="BN402" s="102"/>
    </row>
    <row r="403" spans="2:66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Y403" s="102"/>
      <c r="AZ403" s="102"/>
      <c r="BA403" s="102"/>
      <c r="BB403" s="102"/>
      <c r="BC403" s="102"/>
      <c r="BD403" s="102"/>
      <c r="BE403" s="102"/>
      <c r="BF403" s="102"/>
      <c r="BG403" s="102"/>
      <c r="BH403" s="102"/>
      <c r="BI403" s="102"/>
      <c r="BJ403" s="102"/>
      <c r="BK403" s="102"/>
      <c r="BL403" s="102"/>
      <c r="BM403" s="102"/>
      <c r="BN403" s="102"/>
    </row>
    <row r="404" spans="2:66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Y404" s="102"/>
      <c r="AZ404" s="102"/>
      <c r="BA404" s="102"/>
      <c r="BB404" s="102"/>
      <c r="BC404" s="102"/>
      <c r="BD404" s="102"/>
      <c r="BE404" s="102"/>
      <c r="BF404" s="102"/>
      <c r="BG404" s="102"/>
      <c r="BH404" s="102"/>
      <c r="BI404" s="102"/>
      <c r="BJ404" s="102"/>
      <c r="BK404" s="102"/>
      <c r="BL404" s="102"/>
      <c r="BM404" s="102"/>
      <c r="BN404" s="102"/>
    </row>
    <row r="405" spans="2:66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Y405" s="102"/>
      <c r="AZ405" s="102"/>
      <c r="BA405" s="102"/>
      <c r="BB405" s="102"/>
      <c r="BC405" s="102"/>
      <c r="BD405" s="102"/>
      <c r="BE405" s="102"/>
      <c r="BF405" s="102"/>
      <c r="BG405" s="102"/>
      <c r="BH405" s="102"/>
      <c r="BI405" s="102"/>
      <c r="BJ405" s="102"/>
      <c r="BK405" s="102"/>
      <c r="BL405" s="102"/>
      <c r="BM405" s="102"/>
      <c r="BN405" s="102"/>
    </row>
    <row r="406" spans="2:66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Y406" s="102"/>
      <c r="AZ406" s="102"/>
      <c r="BA406" s="102"/>
      <c r="BB406" s="102"/>
      <c r="BC406" s="102"/>
      <c r="BD406" s="102"/>
      <c r="BE406" s="102"/>
      <c r="BF406" s="102"/>
      <c r="BG406" s="102"/>
      <c r="BH406" s="102"/>
      <c r="BI406" s="102"/>
      <c r="BJ406" s="102"/>
      <c r="BK406" s="102"/>
      <c r="BL406" s="102"/>
      <c r="BM406" s="102"/>
      <c r="BN406" s="102"/>
    </row>
    <row r="407" spans="2:66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Y407" s="102"/>
      <c r="AZ407" s="102"/>
      <c r="BA407" s="102"/>
      <c r="BB407" s="102"/>
      <c r="BC407" s="102"/>
      <c r="BD407" s="102"/>
      <c r="BE407" s="102"/>
      <c r="BF407" s="102"/>
      <c r="BG407" s="102"/>
      <c r="BH407" s="102"/>
      <c r="BI407" s="102"/>
      <c r="BJ407" s="102"/>
      <c r="BK407" s="102"/>
      <c r="BL407" s="102"/>
      <c r="BM407" s="102"/>
      <c r="BN407" s="102"/>
    </row>
    <row r="408" spans="2:66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Y408" s="102"/>
      <c r="AZ408" s="102"/>
      <c r="BA408" s="102"/>
      <c r="BB408" s="102"/>
      <c r="BC408" s="102"/>
      <c r="BD408" s="102"/>
      <c r="BE408" s="102"/>
      <c r="BF408" s="102"/>
      <c r="BG408" s="102"/>
      <c r="BH408" s="102"/>
      <c r="BI408" s="102"/>
      <c r="BJ408" s="102"/>
      <c r="BK408" s="102"/>
      <c r="BL408" s="102"/>
      <c r="BM408" s="102"/>
      <c r="BN408" s="102"/>
    </row>
    <row r="409" spans="2:66" s="64" customFormat="1" ht="20.25" customHeight="1"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  <c r="AE409" s="102"/>
      <c r="AF409" s="102"/>
      <c r="AG409" s="102"/>
      <c r="AH409" s="102"/>
      <c r="AI409" s="102"/>
      <c r="AJ409" s="102"/>
      <c r="AK409" s="102"/>
      <c r="AL409" s="102"/>
      <c r="AM409" s="102"/>
      <c r="AN409" s="102"/>
      <c r="AO409" s="102"/>
      <c r="AP409" s="102"/>
      <c r="AQ409" s="102"/>
      <c r="AR409" s="102"/>
      <c r="AS409" s="102"/>
      <c r="AT409" s="102"/>
      <c r="AU409" s="102"/>
      <c r="AV409" s="102"/>
      <c r="AW409" s="102"/>
      <c r="AY409" s="102"/>
      <c r="AZ409" s="102"/>
      <c r="BA409" s="102"/>
      <c r="BB409" s="102"/>
      <c r="BC409" s="102"/>
      <c r="BD409" s="102"/>
      <c r="BE409" s="102"/>
      <c r="BF409" s="102"/>
      <c r="BG409" s="102"/>
      <c r="BH409" s="102"/>
      <c r="BI409" s="102"/>
      <c r="BJ409" s="102"/>
      <c r="BK409" s="102"/>
      <c r="BL409" s="102"/>
      <c r="BM409" s="102"/>
      <c r="BN409" s="102"/>
    </row>
    <row r="410" spans="2:66" s="64" customFormat="1" ht="20.25" customHeight="1"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  <c r="AD410" s="102"/>
      <c r="AE410" s="102"/>
      <c r="AF410" s="102"/>
      <c r="AG410" s="102"/>
      <c r="AH410" s="102"/>
      <c r="AI410" s="102"/>
      <c r="AJ410" s="102"/>
      <c r="AK410" s="102"/>
      <c r="AL410" s="102"/>
      <c r="AM410" s="102"/>
      <c r="AN410" s="102"/>
      <c r="AO410" s="102"/>
      <c r="AP410" s="102"/>
      <c r="AQ410" s="102"/>
      <c r="AR410" s="102"/>
      <c r="AS410" s="102"/>
      <c r="AT410" s="102"/>
      <c r="AU410" s="102"/>
      <c r="AV410" s="102"/>
      <c r="AW410" s="102"/>
      <c r="AY410" s="102"/>
      <c r="AZ410" s="102"/>
      <c r="BA410" s="102"/>
      <c r="BB410" s="102"/>
      <c r="BC410" s="102"/>
      <c r="BD410" s="102"/>
      <c r="BE410" s="102"/>
      <c r="BF410" s="102"/>
      <c r="BG410" s="102"/>
      <c r="BH410" s="102"/>
      <c r="BI410" s="102"/>
      <c r="BJ410" s="102"/>
      <c r="BK410" s="102"/>
      <c r="BL410" s="102"/>
      <c r="BM410" s="102"/>
      <c r="BN410" s="102"/>
    </row>
    <row r="411" spans="2:66" s="64" customFormat="1" ht="20.25" customHeight="1"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  <c r="AC411" s="102"/>
      <c r="AD411" s="102"/>
      <c r="AE411" s="102"/>
      <c r="AF411" s="102"/>
      <c r="AG411" s="102"/>
      <c r="AH411" s="102"/>
      <c r="AI411" s="102"/>
      <c r="AJ411" s="102"/>
      <c r="AK411" s="102"/>
      <c r="AL411" s="102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02"/>
      <c r="AW411" s="102"/>
      <c r="AY411" s="102"/>
      <c r="AZ411" s="102"/>
      <c r="BA411" s="102"/>
      <c r="BB411" s="102"/>
      <c r="BC411" s="102"/>
      <c r="BD411" s="102"/>
      <c r="BE411" s="102"/>
      <c r="BF411" s="102"/>
      <c r="BG411" s="102"/>
      <c r="BH411" s="102"/>
      <c r="BI411" s="102"/>
      <c r="BJ411" s="102"/>
      <c r="BK411" s="102"/>
      <c r="BL411" s="102"/>
      <c r="BM411" s="102"/>
      <c r="BN411" s="102"/>
    </row>
    <row r="412" spans="2:66" s="64" customFormat="1" ht="20.25" customHeight="1"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  <c r="AA412" s="102"/>
      <c r="AB412" s="102"/>
      <c r="AC412" s="102"/>
      <c r="AD412" s="102"/>
      <c r="AE412" s="102"/>
      <c r="AF412" s="102"/>
      <c r="AG412" s="102"/>
      <c r="AH412" s="102"/>
      <c r="AI412" s="102"/>
      <c r="AJ412" s="102"/>
      <c r="AK412" s="102"/>
      <c r="AL412" s="102"/>
      <c r="AM412" s="102"/>
      <c r="AN412" s="102"/>
      <c r="AO412" s="102"/>
      <c r="AP412" s="102"/>
      <c r="AQ412" s="102"/>
      <c r="AR412" s="102"/>
      <c r="AS412" s="102"/>
      <c r="AT412" s="102"/>
      <c r="AU412" s="102"/>
      <c r="AV412" s="102"/>
      <c r="AW412" s="102"/>
      <c r="AY412" s="102"/>
      <c r="AZ412" s="102"/>
      <c r="BA412" s="102"/>
      <c r="BB412" s="102"/>
      <c r="BC412" s="102"/>
      <c r="BD412" s="102"/>
      <c r="BE412" s="102"/>
      <c r="BF412" s="102"/>
      <c r="BG412" s="102"/>
      <c r="BH412" s="102"/>
      <c r="BI412" s="102"/>
      <c r="BJ412" s="102"/>
      <c r="BK412" s="102"/>
      <c r="BL412" s="102"/>
      <c r="BM412" s="102"/>
      <c r="BN412" s="102"/>
    </row>
    <row r="413" spans="2:66" s="64" customFormat="1" ht="20.25" customHeight="1"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  <c r="AA413" s="102"/>
      <c r="AB413" s="102"/>
      <c r="AC413" s="102"/>
      <c r="AD413" s="102"/>
      <c r="AE413" s="102"/>
      <c r="AF413" s="102"/>
      <c r="AG413" s="102"/>
      <c r="AH413" s="102"/>
      <c r="AI413" s="102"/>
      <c r="AJ413" s="102"/>
      <c r="AK413" s="102"/>
      <c r="AL413" s="102"/>
      <c r="AM413" s="102"/>
      <c r="AN413" s="102"/>
      <c r="AO413" s="102"/>
      <c r="AP413" s="102"/>
      <c r="AQ413" s="102"/>
      <c r="AR413" s="102"/>
      <c r="AS413" s="102"/>
      <c r="AT413" s="102"/>
      <c r="AU413" s="102"/>
      <c r="AV413" s="102"/>
      <c r="AW413" s="102"/>
      <c r="AY413" s="102"/>
      <c r="AZ413" s="102"/>
      <c r="BA413" s="102"/>
      <c r="BB413" s="102"/>
      <c r="BC413" s="102"/>
      <c r="BD413" s="102"/>
      <c r="BE413" s="102"/>
      <c r="BF413" s="102"/>
      <c r="BG413" s="102"/>
      <c r="BH413" s="102"/>
      <c r="BI413" s="102"/>
      <c r="BJ413" s="102"/>
      <c r="BK413" s="102"/>
      <c r="BL413" s="102"/>
      <c r="BM413" s="102"/>
      <c r="BN413" s="102"/>
    </row>
    <row r="414" spans="2:66" s="64" customFormat="1" ht="20.25" customHeight="1"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  <c r="AA414" s="102"/>
      <c r="AB414" s="102"/>
      <c r="AC414" s="102"/>
      <c r="AD414" s="102"/>
      <c r="AE414" s="102"/>
      <c r="AF414" s="102"/>
      <c r="AG414" s="102"/>
      <c r="AH414" s="102"/>
      <c r="AI414" s="102"/>
      <c r="AJ414" s="102"/>
      <c r="AK414" s="102"/>
      <c r="AL414" s="102"/>
      <c r="AM414" s="102"/>
      <c r="AN414" s="102"/>
      <c r="AO414" s="102"/>
      <c r="AP414" s="102"/>
      <c r="AQ414" s="102"/>
      <c r="AR414" s="102"/>
      <c r="AS414" s="102"/>
      <c r="AT414" s="102"/>
      <c r="AU414" s="102"/>
      <c r="AV414" s="102"/>
      <c r="AW414" s="102"/>
      <c r="AY414" s="102"/>
      <c r="AZ414" s="102"/>
      <c r="BA414" s="102"/>
      <c r="BB414" s="102"/>
      <c r="BC414" s="102"/>
      <c r="BD414" s="102"/>
      <c r="BE414" s="102"/>
      <c r="BF414" s="102"/>
      <c r="BG414" s="102"/>
      <c r="BH414" s="102"/>
      <c r="BI414" s="102"/>
      <c r="BJ414" s="102"/>
      <c r="BK414" s="102"/>
      <c r="BL414" s="102"/>
      <c r="BM414" s="102"/>
      <c r="BN414" s="102"/>
    </row>
    <row r="415" spans="2:66" s="64" customFormat="1" ht="20.25" customHeight="1"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  <c r="AA415" s="102"/>
      <c r="AB415" s="102"/>
      <c r="AC415" s="102"/>
      <c r="AD415" s="102"/>
      <c r="AE415" s="102"/>
      <c r="AF415" s="102"/>
      <c r="AG415" s="102"/>
      <c r="AH415" s="102"/>
      <c r="AI415" s="102"/>
      <c r="AJ415" s="102"/>
      <c r="AK415" s="102"/>
      <c r="AL415" s="102"/>
      <c r="AM415" s="102"/>
      <c r="AN415" s="102"/>
      <c r="AO415" s="102"/>
      <c r="AP415" s="102"/>
      <c r="AQ415" s="102"/>
      <c r="AR415" s="102"/>
      <c r="AS415" s="102"/>
      <c r="AT415" s="102"/>
      <c r="AU415" s="102"/>
      <c r="AV415" s="102"/>
      <c r="AW415" s="102"/>
      <c r="AY415" s="102"/>
      <c r="AZ415" s="102"/>
      <c r="BA415" s="102"/>
      <c r="BB415" s="102"/>
      <c r="BC415" s="102"/>
      <c r="BD415" s="102"/>
      <c r="BE415" s="102"/>
      <c r="BF415" s="102"/>
      <c r="BG415" s="102"/>
      <c r="BH415" s="102"/>
      <c r="BI415" s="102"/>
      <c r="BJ415" s="102"/>
      <c r="BK415" s="102"/>
      <c r="BL415" s="102"/>
      <c r="BM415" s="102"/>
      <c r="BN415" s="102"/>
    </row>
    <row r="416" spans="2:66" s="64" customFormat="1" ht="20.25" customHeight="1"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  <c r="AA416" s="102"/>
      <c r="AB416" s="102"/>
      <c r="AC416" s="102"/>
      <c r="AD416" s="102"/>
      <c r="AE416" s="102"/>
      <c r="AF416" s="102"/>
      <c r="AG416" s="102"/>
      <c r="AH416" s="102"/>
      <c r="AI416" s="102"/>
      <c r="AJ416" s="102"/>
      <c r="AK416" s="102"/>
      <c r="AL416" s="102"/>
      <c r="AM416" s="102"/>
      <c r="AN416" s="102"/>
      <c r="AO416" s="102"/>
      <c r="AP416" s="102"/>
      <c r="AQ416" s="102"/>
      <c r="AR416" s="102"/>
      <c r="AS416" s="102"/>
      <c r="AT416" s="102"/>
      <c r="AU416" s="102"/>
      <c r="AV416" s="102"/>
      <c r="AW416" s="102"/>
      <c r="AY416" s="102"/>
      <c r="AZ416" s="102"/>
      <c r="BA416" s="102"/>
      <c r="BB416" s="102"/>
      <c r="BC416" s="102"/>
      <c r="BD416" s="102"/>
      <c r="BE416" s="102"/>
      <c r="BF416" s="102"/>
      <c r="BG416" s="102"/>
      <c r="BH416" s="102"/>
      <c r="BI416" s="102"/>
      <c r="BJ416" s="102"/>
      <c r="BK416" s="102"/>
      <c r="BL416" s="102"/>
      <c r="BM416" s="102"/>
      <c r="BN416" s="102"/>
    </row>
    <row r="417" spans="2:66" s="64" customFormat="1" ht="20.25" customHeight="1"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  <c r="AA417" s="102"/>
      <c r="AB417" s="102"/>
      <c r="AC417" s="102"/>
      <c r="AD417" s="102"/>
      <c r="AE417" s="102"/>
      <c r="AF417" s="102"/>
      <c r="AG417" s="102"/>
      <c r="AH417" s="102"/>
      <c r="AI417" s="102"/>
      <c r="AJ417" s="102"/>
      <c r="AK417" s="102"/>
      <c r="AL417" s="102"/>
      <c r="AM417" s="102"/>
      <c r="AN417" s="102"/>
      <c r="AO417" s="102"/>
      <c r="AP417" s="102"/>
      <c r="AQ417" s="102"/>
      <c r="AR417" s="102"/>
      <c r="AS417" s="102"/>
      <c r="AT417" s="102"/>
      <c r="AU417" s="102"/>
      <c r="AV417" s="102"/>
      <c r="AW417" s="102"/>
      <c r="AY417" s="102"/>
      <c r="AZ417" s="102"/>
      <c r="BA417" s="102"/>
      <c r="BB417" s="102"/>
      <c r="BC417" s="102"/>
      <c r="BD417" s="102"/>
      <c r="BE417" s="102"/>
      <c r="BF417" s="102"/>
      <c r="BG417" s="102"/>
      <c r="BH417" s="102"/>
      <c r="BI417" s="102"/>
      <c r="BJ417" s="102"/>
      <c r="BK417" s="102"/>
      <c r="BL417" s="102"/>
      <c r="BM417" s="102"/>
      <c r="BN417" s="102"/>
    </row>
    <row r="418" spans="2:66" s="64" customFormat="1" ht="20.25" customHeight="1"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  <c r="AA418" s="102"/>
      <c r="AB418" s="102"/>
      <c r="AC418" s="102"/>
      <c r="AD418" s="102"/>
      <c r="AE418" s="102"/>
      <c r="AF418" s="102"/>
      <c r="AG418" s="102"/>
      <c r="AH418" s="102"/>
      <c r="AI418" s="102"/>
      <c r="AJ418" s="102"/>
      <c r="AK418" s="102"/>
      <c r="AL418" s="102"/>
      <c r="AM418" s="102"/>
      <c r="AN418" s="102"/>
      <c r="AO418" s="102"/>
      <c r="AP418" s="102"/>
      <c r="AQ418" s="102"/>
      <c r="AR418" s="102"/>
      <c r="AS418" s="102"/>
      <c r="AT418" s="102"/>
      <c r="AU418" s="102"/>
      <c r="AV418" s="102"/>
      <c r="AW418" s="102"/>
      <c r="AY418" s="102"/>
      <c r="AZ418" s="102"/>
      <c r="BA418" s="102"/>
      <c r="BB418" s="102"/>
      <c r="BC418" s="102"/>
      <c r="BD418" s="102"/>
      <c r="BE418" s="102"/>
      <c r="BF418" s="102"/>
      <c r="BG418" s="102"/>
      <c r="BH418" s="102"/>
      <c r="BI418" s="102"/>
      <c r="BJ418" s="102"/>
      <c r="BK418" s="102"/>
      <c r="BL418" s="102"/>
      <c r="BM418" s="102"/>
      <c r="BN418" s="102"/>
    </row>
  </sheetData>
  <mergeCells count="209">
    <mergeCell ref="B60:C60"/>
    <mergeCell ref="N60:X60"/>
    <mergeCell ref="Y60:AE60"/>
    <mergeCell ref="AF60:AM60"/>
    <mergeCell ref="AN60:AV60"/>
    <mergeCell ref="B62:AI62"/>
    <mergeCell ref="B58:C58"/>
    <mergeCell ref="N58:X58"/>
    <mergeCell ref="Y58:AE58"/>
    <mergeCell ref="AF58:AM58"/>
    <mergeCell ref="AN58:AV58"/>
    <mergeCell ref="B59:C59"/>
    <mergeCell ref="N59:X59"/>
    <mergeCell ref="Y59:AE59"/>
    <mergeCell ref="AF59:AM59"/>
    <mergeCell ref="AN59:AV59"/>
    <mergeCell ref="B56:C56"/>
    <mergeCell ref="N56:X56"/>
    <mergeCell ref="Y56:AE56"/>
    <mergeCell ref="AF56:AM56"/>
    <mergeCell ref="AN56:AV56"/>
    <mergeCell ref="B57:C57"/>
    <mergeCell ref="N57:X57"/>
    <mergeCell ref="Y57:AE57"/>
    <mergeCell ref="AF57:AM57"/>
    <mergeCell ref="AN57:AV57"/>
    <mergeCell ref="B54:C54"/>
    <mergeCell ref="N54:X54"/>
    <mergeCell ref="Y54:AE54"/>
    <mergeCell ref="AF54:AM54"/>
    <mergeCell ref="AN54:AV54"/>
    <mergeCell ref="B55:C55"/>
    <mergeCell ref="N55:X55"/>
    <mergeCell ref="Y55:AE55"/>
    <mergeCell ref="AF55:AM55"/>
    <mergeCell ref="AN55:AV55"/>
    <mergeCell ref="B49:C49"/>
    <mergeCell ref="AA49:AH49"/>
    <mergeCell ref="AI49:AM49"/>
    <mergeCell ref="AN49:AV49"/>
    <mergeCell ref="B50:Z50"/>
    <mergeCell ref="AA50:AK50"/>
    <mergeCell ref="AL50:AM50"/>
    <mergeCell ref="AN50:AV50"/>
    <mergeCell ref="B47:C47"/>
    <mergeCell ref="AA47:AH47"/>
    <mergeCell ref="AI47:AM47"/>
    <mergeCell ref="AN47:AV47"/>
    <mergeCell ref="B48:C48"/>
    <mergeCell ref="AA48:AH48"/>
    <mergeCell ref="AI48:AM48"/>
    <mergeCell ref="AN48:AV48"/>
    <mergeCell ref="N49:O49"/>
    <mergeCell ref="N48:O48"/>
    <mergeCell ref="N47:O47"/>
    <mergeCell ref="B45:C45"/>
    <mergeCell ref="AA45:AH45"/>
    <mergeCell ref="AI45:AM45"/>
    <mergeCell ref="AN45:AV45"/>
    <mergeCell ref="B46:C46"/>
    <mergeCell ref="AA46:AH46"/>
    <mergeCell ref="AI46:AM46"/>
    <mergeCell ref="AN46:AV46"/>
    <mergeCell ref="B43:C43"/>
    <mergeCell ref="AA43:AH43"/>
    <mergeCell ref="AI43:AM43"/>
    <mergeCell ref="AN43:AV43"/>
    <mergeCell ref="B44:C44"/>
    <mergeCell ref="AA44:AH44"/>
    <mergeCell ref="AI44:AM44"/>
    <mergeCell ref="AN44:AV44"/>
    <mergeCell ref="N46:O46"/>
    <mergeCell ref="N45:O45"/>
    <mergeCell ref="N44:O44"/>
    <mergeCell ref="N43:O43"/>
    <mergeCell ref="B41:C41"/>
    <mergeCell ref="AA41:AH41"/>
    <mergeCell ref="AI41:AM41"/>
    <mergeCell ref="AN41:AV41"/>
    <mergeCell ref="B42:C42"/>
    <mergeCell ref="AA42:AH42"/>
    <mergeCell ref="AI42:AM42"/>
    <mergeCell ref="AN42:AV42"/>
    <mergeCell ref="B39:C39"/>
    <mergeCell ref="N39:O39"/>
    <mergeCell ref="AA39:AH39"/>
    <mergeCell ref="AI39:AM39"/>
    <mergeCell ref="AN39:AV39"/>
    <mergeCell ref="B40:C40"/>
    <mergeCell ref="AA40:AH40"/>
    <mergeCell ref="AI40:AM40"/>
    <mergeCell ref="AN40:AV40"/>
    <mergeCell ref="N42:O42"/>
    <mergeCell ref="N41:O41"/>
    <mergeCell ref="N40:O40"/>
    <mergeCell ref="B38:C38"/>
    <mergeCell ref="N38:O38"/>
    <mergeCell ref="P38:Z38"/>
    <mergeCell ref="AA38:AH38"/>
    <mergeCell ref="AI38:AM38"/>
    <mergeCell ref="AN38:AV38"/>
    <mergeCell ref="AE33:AM33"/>
    <mergeCell ref="AN33:AV33"/>
    <mergeCell ref="B34:X34"/>
    <mergeCell ref="Y34:AB34"/>
    <mergeCell ref="AC34:AD34"/>
    <mergeCell ref="AE34:AM34"/>
    <mergeCell ref="AN34:AV34"/>
    <mergeCell ref="B31:C31"/>
    <mergeCell ref="B32:C32"/>
    <mergeCell ref="B33:C33"/>
    <mergeCell ref="N33:O33"/>
    <mergeCell ref="P33:X33"/>
    <mergeCell ref="Y33:AD33"/>
    <mergeCell ref="B25:C25"/>
    <mergeCell ref="B26:C26"/>
    <mergeCell ref="B27:C27"/>
    <mergeCell ref="B28:C28"/>
    <mergeCell ref="B29:C29"/>
    <mergeCell ref="B30:C30"/>
    <mergeCell ref="N32:O32"/>
    <mergeCell ref="N31:O31"/>
    <mergeCell ref="N30:O30"/>
    <mergeCell ref="N29:O29"/>
    <mergeCell ref="N28:O28"/>
    <mergeCell ref="N27:O27"/>
    <mergeCell ref="N26:O26"/>
    <mergeCell ref="N25:O25"/>
    <mergeCell ref="P32:X32"/>
    <mergeCell ref="P31:X31"/>
    <mergeCell ref="P30:X30"/>
    <mergeCell ref="P29:X29"/>
    <mergeCell ref="B24:C24"/>
    <mergeCell ref="N24:O24"/>
    <mergeCell ref="P24:X24"/>
    <mergeCell ref="Y24:AD24"/>
    <mergeCell ref="AE24:AM24"/>
    <mergeCell ref="AN24:AV24"/>
    <mergeCell ref="B23:C23"/>
    <mergeCell ref="N23:O23"/>
    <mergeCell ref="P23:X23"/>
    <mergeCell ref="Y23:AD23"/>
    <mergeCell ref="AE23:AM23"/>
    <mergeCell ref="AN23:AV23"/>
    <mergeCell ref="AQ12:AW12"/>
    <mergeCell ref="P20:AW20"/>
    <mergeCell ref="B21:C21"/>
    <mergeCell ref="B22:C22"/>
    <mergeCell ref="N22:O22"/>
    <mergeCell ref="P22:X22"/>
    <mergeCell ref="Y22:AD22"/>
    <mergeCell ref="AE22:AM22"/>
    <mergeCell ref="AN22:AV22"/>
    <mergeCell ref="AQ3:AR4"/>
    <mergeCell ref="AS3:AT4"/>
    <mergeCell ref="V6:AI6"/>
    <mergeCell ref="B7:R7"/>
    <mergeCell ref="U7:U8"/>
    <mergeCell ref="V7:AJ8"/>
    <mergeCell ref="AM7:AN7"/>
    <mergeCell ref="AO7:AP7"/>
    <mergeCell ref="AR7:AS7"/>
    <mergeCell ref="AT7:AU7"/>
    <mergeCell ref="B2:C6"/>
    <mergeCell ref="N3:R5"/>
    <mergeCell ref="S3:AK3"/>
    <mergeCell ref="AL3:AL10"/>
    <mergeCell ref="AM3:AN4"/>
    <mergeCell ref="AO3:AP4"/>
    <mergeCell ref="B8:R8"/>
    <mergeCell ref="V9:AK9"/>
    <mergeCell ref="AN32:AU32"/>
    <mergeCell ref="AN31:AU31"/>
    <mergeCell ref="AN30:AU30"/>
    <mergeCell ref="AN29:AV29"/>
    <mergeCell ref="AN28:AU28"/>
    <mergeCell ref="AN27:AU27"/>
    <mergeCell ref="AN26:AU26"/>
    <mergeCell ref="AN25:AU25"/>
    <mergeCell ref="AE32:AM32"/>
    <mergeCell ref="AE31:AM31"/>
    <mergeCell ref="AE30:AM30"/>
    <mergeCell ref="AE29:AM29"/>
    <mergeCell ref="AE28:AM28"/>
    <mergeCell ref="AE27:AM27"/>
    <mergeCell ref="AE26:AM26"/>
    <mergeCell ref="AE25:AM25"/>
    <mergeCell ref="Y28:AD28"/>
    <mergeCell ref="Y27:AD27"/>
    <mergeCell ref="Y26:AD26"/>
    <mergeCell ref="Y25:AD25"/>
    <mergeCell ref="P49:Z49"/>
    <mergeCell ref="P48:Z48"/>
    <mergeCell ref="P47:Z47"/>
    <mergeCell ref="P46:Z46"/>
    <mergeCell ref="P45:Z45"/>
    <mergeCell ref="P44:Z44"/>
    <mergeCell ref="P43:Z43"/>
    <mergeCell ref="P42:Z42"/>
    <mergeCell ref="P41:Z41"/>
    <mergeCell ref="P40:Z40"/>
    <mergeCell ref="P28:X28"/>
    <mergeCell ref="P27:X27"/>
    <mergeCell ref="P26:X26"/>
    <mergeCell ref="P25:X25"/>
    <mergeCell ref="Y32:AD32"/>
    <mergeCell ref="Y31:AD31"/>
    <mergeCell ref="Y30:AD30"/>
    <mergeCell ref="Y29:AD29"/>
  </mergeCells>
  <printOptions horizontalCentered="1"/>
  <pageMargins left="0.11811023622047245" right="0.11811023622047245" top="0.59055118110236227" bottom="0.39370078740157483" header="0" footer="0"/>
  <pageSetup paperSize="5" scale="75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9" tint="0.39997558519241921"/>
  </sheetPr>
  <dimension ref="A1:AQ292"/>
  <sheetViews>
    <sheetView view="pageBreakPreview" topLeftCell="A97" zoomScaleNormal="100" zoomScaleSheetLayoutView="100" workbookViewId="0">
      <selection activeCell="AE104" sqref="AE104:AH104"/>
    </sheetView>
  </sheetViews>
  <sheetFormatPr defaultColWidth="4.5703125" defaultRowHeight="12.75"/>
  <cols>
    <col min="1" max="1" width="3.5703125" style="1468" customWidth="1"/>
    <col min="2" max="2" width="4.5703125" style="1468" customWidth="1"/>
    <col min="3" max="3" width="3.42578125" style="1468" customWidth="1"/>
    <col min="4" max="4" width="9.7109375" style="1468" customWidth="1"/>
    <col min="5" max="5" width="4.5703125" style="1468" customWidth="1"/>
    <col min="6" max="6" width="3.85546875" style="1468" customWidth="1"/>
    <col min="7" max="7" width="3.42578125" style="1468" customWidth="1"/>
    <col min="8" max="9" width="4.5703125" style="1468" customWidth="1"/>
    <col min="10" max="10" width="4" style="1468" customWidth="1"/>
    <col min="11" max="11" width="5.85546875" style="1468" customWidth="1"/>
    <col min="12" max="12" width="5.5703125" style="1468" customWidth="1"/>
    <col min="13" max="14" width="5.140625" style="1468" customWidth="1"/>
    <col min="15" max="16" width="4.5703125" style="1468" customWidth="1"/>
    <col min="17" max="17" width="4.7109375" style="1468" customWidth="1"/>
    <col min="18" max="18" width="4.85546875" style="1468" customWidth="1"/>
    <col min="19" max="19" width="4.5703125" style="1468" customWidth="1"/>
    <col min="20" max="20" width="5.28515625" style="1468" customWidth="1"/>
    <col min="21" max="21" width="4.5703125" style="1468" customWidth="1"/>
    <col min="22" max="22" width="6" style="1468" customWidth="1"/>
    <col min="23" max="24" width="4.5703125" style="1468" customWidth="1"/>
    <col min="25" max="25" width="7.140625" style="1468" customWidth="1"/>
    <col min="26" max="26" width="4.5703125" style="1468" customWidth="1"/>
    <col min="27" max="27" width="5.7109375" style="1468" customWidth="1"/>
    <col min="28" max="28" width="3.42578125" style="1468" customWidth="1"/>
    <col min="29" max="31" width="6.85546875" style="1468" customWidth="1"/>
    <col min="32" max="32" width="16.5703125" style="1468" customWidth="1"/>
    <col min="33" max="35" width="6.85546875" style="1468" customWidth="1"/>
    <col min="36" max="37" width="4.5703125" style="1468" customWidth="1"/>
    <col min="38" max="38" width="7.140625" style="1468" customWidth="1"/>
    <col min="39" max="16384" width="4.5703125" style="1468"/>
  </cols>
  <sheetData>
    <row r="1" spans="1:31" ht="11.25" customHeight="1">
      <c r="AE1" s="802"/>
    </row>
    <row r="2" spans="1:31" ht="3.75" customHeight="1">
      <c r="A2" s="1469"/>
      <c r="AD2" s="1469"/>
    </row>
    <row r="3" spans="1:31" ht="6" customHeight="1">
      <c r="A3" s="1469"/>
      <c r="AD3" s="1469"/>
    </row>
    <row r="4" spans="1:31" ht="33" customHeight="1">
      <c r="A4" s="3056" t="s">
        <v>1229</v>
      </c>
      <c r="B4" s="3056"/>
      <c r="C4" s="3056"/>
      <c r="D4" s="3056"/>
      <c r="E4" s="3056"/>
      <c r="F4" s="3056"/>
      <c r="G4" s="3056"/>
      <c r="H4" s="3056"/>
      <c r="I4" s="3056"/>
      <c r="J4" s="3056"/>
      <c r="K4" s="3056"/>
      <c r="L4" s="3056"/>
      <c r="M4" s="3056"/>
      <c r="N4" s="3056"/>
      <c r="O4" s="3056"/>
      <c r="P4" s="3056"/>
      <c r="Q4" s="3056"/>
      <c r="R4" s="3056"/>
      <c r="S4" s="3056"/>
      <c r="T4" s="3056"/>
      <c r="U4" s="3056"/>
      <c r="V4" s="3056"/>
      <c r="W4" s="3056"/>
      <c r="X4" s="3056"/>
      <c r="Y4" s="3056"/>
      <c r="Z4" s="3056"/>
      <c r="AA4" s="3056"/>
      <c r="AB4" s="3056"/>
      <c r="AC4" s="3056"/>
      <c r="AD4" s="3056"/>
      <c r="AE4" s="3056"/>
    </row>
    <row r="5" spans="1:31" ht="33" customHeight="1">
      <c r="A5" s="1470" t="str">
        <f>'FE-1770-I-hal 1'!N16</f>
        <v/>
      </c>
      <c r="B5" s="1471"/>
      <c r="C5" s="1471"/>
      <c r="D5" s="1471"/>
      <c r="E5" s="1472"/>
      <c r="F5" s="1471"/>
      <c r="G5" s="1471"/>
      <c r="H5" s="1471"/>
      <c r="I5" s="1471"/>
      <c r="J5" s="1471"/>
      <c r="K5" s="1471"/>
      <c r="L5" s="1471"/>
      <c r="M5" s="1471"/>
      <c r="N5" s="1471"/>
      <c r="O5" s="1471"/>
      <c r="P5" s="1471"/>
      <c r="Q5" s="1471"/>
      <c r="R5" s="1471"/>
      <c r="S5" s="1471"/>
      <c r="T5" s="1471"/>
      <c r="U5" s="1471"/>
      <c r="V5" s="1471"/>
      <c r="W5" s="1471"/>
      <c r="X5" s="1471"/>
      <c r="Y5" s="1471"/>
      <c r="Z5" s="1471"/>
      <c r="AA5" s="1471"/>
      <c r="AB5" s="1471"/>
      <c r="AC5" s="1471"/>
      <c r="AD5" s="1472"/>
      <c r="AE5" s="1471"/>
    </row>
    <row r="6" spans="1:31" ht="33" customHeight="1">
      <c r="A6" s="1470" t="str">
        <f>LEFT(npwp01,2)&amp;"."&amp;MID(npwp01,3,3)&amp;"."&amp;MID(npwp01,6,3)&amp;"."&amp;MID(npwp01,9,1)&amp;"."&amp;MID(npwp01,10,3)&amp;"."&amp;MID(npwp01,13,3)</f>
        <v>.....</v>
      </c>
      <c r="B6" s="1471"/>
      <c r="C6" s="1471"/>
      <c r="D6" s="1471"/>
      <c r="E6" s="1472"/>
      <c r="F6" s="1471"/>
      <c r="G6" s="1471"/>
      <c r="H6" s="1471"/>
      <c r="I6" s="1471"/>
      <c r="J6" s="1471"/>
      <c r="K6" s="1471"/>
      <c r="L6" s="1471"/>
      <c r="M6" s="1471"/>
      <c r="N6" s="1471"/>
      <c r="O6" s="1471"/>
      <c r="P6" s="1471"/>
      <c r="Q6" s="1471"/>
      <c r="R6" s="1471"/>
      <c r="S6" s="1471"/>
      <c r="T6" s="1471"/>
      <c r="U6" s="1471"/>
      <c r="V6" s="1471"/>
      <c r="W6" s="1471"/>
      <c r="X6" s="1471"/>
      <c r="Y6" s="1471"/>
      <c r="Z6" s="1471"/>
      <c r="AA6" s="1471"/>
      <c r="AB6" s="1471"/>
      <c r="AC6" s="1471"/>
      <c r="AD6" s="1472"/>
      <c r="AE6" s="1471"/>
    </row>
    <row r="7" spans="1:31" ht="5.25" customHeight="1">
      <c r="A7" s="1473"/>
      <c r="B7" s="1473"/>
      <c r="C7" s="1473"/>
      <c r="D7" s="1473"/>
      <c r="E7" s="1473"/>
      <c r="F7" s="1473"/>
      <c r="G7" s="1473"/>
      <c r="H7" s="1473"/>
      <c r="I7" s="1473"/>
      <c r="J7" s="1473"/>
      <c r="K7" s="1473"/>
      <c r="L7" s="1473"/>
      <c r="M7" s="1473"/>
      <c r="N7" s="1473"/>
      <c r="O7" s="1473"/>
      <c r="P7" s="1473"/>
      <c r="Q7" s="1473"/>
      <c r="R7" s="1473"/>
      <c r="S7" s="1473"/>
      <c r="T7" s="1473"/>
      <c r="U7" s="1473"/>
      <c r="V7" s="1473"/>
      <c r="W7" s="1473"/>
      <c r="X7" s="1473"/>
      <c r="Y7" s="1473"/>
      <c r="Z7" s="1473"/>
      <c r="AA7" s="1473"/>
      <c r="AB7" s="1473"/>
      <c r="AC7" s="1473"/>
      <c r="AD7" s="1473"/>
      <c r="AE7" s="1473"/>
    </row>
    <row r="8" spans="1:31" ht="3.75" customHeight="1">
      <c r="A8" s="1473"/>
      <c r="B8" s="1473"/>
      <c r="C8" s="1473"/>
      <c r="D8" s="1473"/>
      <c r="E8" s="1473"/>
      <c r="F8" s="1473"/>
      <c r="G8" s="1473"/>
      <c r="H8" s="1473"/>
      <c r="I8" s="1473"/>
      <c r="J8" s="1473"/>
      <c r="K8" s="1473"/>
      <c r="L8" s="1473"/>
      <c r="M8" s="1473"/>
      <c r="N8" s="1473"/>
      <c r="O8" s="1473"/>
      <c r="P8" s="1473"/>
      <c r="Q8" s="1473"/>
      <c r="R8" s="1473"/>
      <c r="S8" s="1473"/>
      <c r="T8" s="1473"/>
      <c r="U8" s="1473"/>
      <c r="V8" s="1473"/>
      <c r="W8" s="1473"/>
      <c r="X8" s="1473"/>
      <c r="Y8" s="1473"/>
      <c r="Z8" s="1473"/>
      <c r="AA8" s="1473"/>
      <c r="AB8" s="1473"/>
      <c r="AC8" s="1473"/>
      <c r="AD8" s="1473"/>
      <c r="AE8" s="802"/>
    </row>
    <row r="14" spans="1:31" ht="20.25">
      <c r="C14" s="1472" t="s">
        <v>1182</v>
      </c>
      <c r="X14" s="2938"/>
      <c r="Y14" s="2938"/>
      <c r="Z14" s="2938"/>
      <c r="AA14" s="2938"/>
    </row>
    <row r="15" spans="1:31" ht="20.25">
      <c r="C15" s="1472" t="s">
        <v>762</v>
      </c>
      <c r="G15" s="1470" t="str">
        <f>taxyear</f>
        <v/>
      </c>
      <c r="X15" s="1474"/>
      <c r="Y15" s="1474"/>
      <c r="Z15" s="1474"/>
      <c r="AA15" s="1474"/>
    </row>
    <row r="16" spans="1:31" ht="37.5" customHeight="1"/>
    <row r="17" spans="3:32">
      <c r="C17" s="890" t="s">
        <v>1183</v>
      </c>
      <c r="D17" s="1475"/>
      <c r="E17" s="1475"/>
      <c r="F17" s="1476"/>
      <c r="G17" s="1476"/>
      <c r="H17" s="1476"/>
      <c r="I17" s="1476"/>
      <c r="J17" s="1476"/>
      <c r="K17" s="1476"/>
      <c r="L17" s="1476"/>
      <c r="M17" s="1476"/>
      <c r="N17" s="1476"/>
      <c r="O17" s="1476"/>
      <c r="P17" s="1476"/>
      <c r="Q17" s="1476"/>
      <c r="R17" s="1476"/>
      <c r="S17" s="1476"/>
      <c r="T17" s="1476"/>
      <c r="U17" s="1476"/>
      <c r="V17" s="1476"/>
      <c r="W17" s="1476"/>
      <c r="X17" s="1476"/>
      <c r="Y17" s="1476"/>
      <c r="Z17" s="1476"/>
      <c r="AA17" s="1476"/>
    </row>
    <row r="18" spans="3:32">
      <c r="C18" s="890"/>
      <c r="D18" s="1475" t="s">
        <v>1392</v>
      </c>
      <c r="E18" s="1475"/>
      <c r="F18" s="1476"/>
      <c r="G18" s="1476"/>
      <c r="H18" s="1476"/>
      <c r="I18" s="1476"/>
      <c r="J18" s="1476"/>
      <c r="K18" s="1476"/>
      <c r="L18" s="1476"/>
      <c r="M18" s="1476"/>
      <c r="N18" s="1476"/>
      <c r="O18" s="1476"/>
      <c r="P18" s="1476"/>
      <c r="Q18" s="1476"/>
      <c r="R18" s="1476"/>
      <c r="S18" s="3050">
        <f>IF('GENERAL INFO'!G135="X",CalculationSheet!N15,CalculationSheet!N112)</f>
        <v>0</v>
      </c>
      <c r="T18" s="3050"/>
      <c r="U18" s="3050"/>
      <c r="V18" s="3050"/>
      <c r="W18" s="1476"/>
      <c r="X18" s="1476"/>
      <c r="Y18" s="1476"/>
      <c r="Z18" s="1476"/>
      <c r="AA18" s="1476"/>
    </row>
    <row r="19" spans="3:32" ht="16.5" customHeight="1">
      <c r="C19" s="1476"/>
      <c r="D19" s="1477" t="s">
        <v>1230</v>
      </c>
      <c r="E19" s="1475"/>
      <c r="F19" s="1476"/>
      <c r="G19" s="1476"/>
      <c r="H19" s="1476"/>
      <c r="I19" s="1476"/>
      <c r="J19" s="1476"/>
      <c r="K19" s="1476"/>
      <c r="L19" s="1476"/>
      <c r="M19" s="1476"/>
      <c r="N19" s="1476"/>
      <c r="O19" s="1476"/>
      <c r="P19" s="1476"/>
      <c r="Q19" s="1476"/>
      <c r="R19" s="1476"/>
      <c r="S19" s="3050">
        <f>IF('GENERAL INFO'!G135="X",CalculationSheet!N16,CalculationSheet!N113)</f>
        <v>0</v>
      </c>
      <c r="T19" s="3050"/>
      <c r="U19" s="3050"/>
      <c r="V19" s="3050"/>
      <c r="W19" s="1478"/>
      <c r="X19" s="1476"/>
      <c r="Y19" s="1476"/>
      <c r="Z19" s="1476"/>
      <c r="AA19" s="1476"/>
    </row>
    <row r="20" spans="3:32" ht="15.75" customHeight="1">
      <c r="C20" s="1476"/>
      <c r="D20" s="1475" t="s">
        <v>1187</v>
      </c>
      <c r="E20" s="1475"/>
      <c r="F20" s="1476"/>
      <c r="G20" s="1476"/>
      <c r="H20" s="1476"/>
      <c r="I20" s="1476"/>
      <c r="J20" s="1476"/>
      <c r="K20" s="1476"/>
      <c r="L20" s="1476"/>
      <c r="M20" s="1476"/>
      <c r="N20" s="1476"/>
      <c r="O20" s="1476"/>
      <c r="P20" s="1476"/>
      <c r="Q20" s="1476"/>
      <c r="R20" s="1476"/>
      <c r="S20" s="3050">
        <f>IF('GENERAL INFO'!G135="X",CalculationSheet!N17,CalculationSheet!N114)</f>
        <v>0</v>
      </c>
      <c r="T20" s="3050"/>
      <c r="U20" s="3050"/>
      <c r="V20" s="3050"/>
      <c r="W20" s="1478"/>
      <c r="X20" s="1476"/>
      <c r="Y20" s="1476"/>
      <c r="Z20" s="1476"/>
      <c r="AA20" s="1476"/>
    </row>
    <row r="21" spans="3:32" ht="15" customHeight="1">
      <c r="C21" s="1476"/>
      <c r="D21" s="1475" t="s">
        <v>1188</v>
      </c>
      <c r="E21" s="1475"/>
      <c r="F21" s="1476"/>
      <c r="G21" s="1476"/>
      <c r="H21" s="1476"/>
      <c r="I21" s="1476"/>
      <c r="J21" s="1476"/>
      <c r="K21" s="1476"/>
      <c r="L21" s="1476"/>
      <c r="M21" s="1476"/>
      <c r="N21" s="1476"/>
      <c r="O21" s="1476"/>
      <c r="P21" s="1476"/>
      <c r="Q21" s="1476"/>
      <c r="R21" s="1476"/>
      <c r="S21" s="3057">
        <f>IF('GENERAL INFO'!G135="X",CalculationSheet!N18,CalculationSheet!N115)</f>
        <v>0</v>
      </c>
      <c r="T21" s="3057"/>
      <c r="U21" s="3057"/>
      <c r="V21" s="3057"/>
      <c r="W21" s="1479"/>
      <c r="X21" s="1476"/>
      <c r="Y21" s="1476"/>
      <c r="Z21" s="1476"/>
      <c r="AA21" s="1476"/>
    </row>
    <row r="22" spans="3:32" ht="19.5" customHeight="1">
      <c r="C22" s="1476"/>
      <c r="D22" s="1475" t="s">
        <v>1189</v>
      </c>
      <c r="E22" s="1475"/>
      <c r="F22" s="1476"/>
      <c r="G22" s="1476"/>
      <c r="H22" s="1476"/>
      <c r="I22" s="1476"/>
      <c r="J22" s="1476"/>
      <c r="K22" s="1476"/>
      <c r="L22" s="1476"/>
      <c r="M22" s="1476"/>
      <c r="N22" s="1476"/>
      <c r="O22" s="1476"/>
      <c r="P22" s="1476"/>
      <c r="Q22" s="1476"/>
      <c r="R22" s="1476"/>
      <c r="S22" s="1476"/>
      <c r="T22" s="1476"/>
      <c r="U22" s="1476"/>
      <c r="V22" s="1476"/>
      <c r="W22" s="1476"/>
      <c r="X22" s="3050">
        <f>SUM(S19:V21)</f>
        <v>0</v>
      </c>
      <c r="Y22" s="3050"/>
      <c r="Z22" s="3050"/>
      <c r="AA22" s="3050"/>
    </row>
    <row r="23" spans="3:32" ht="8.25" customHeight="1">
      <c r="C23" s="1476"/>
      <c r="D23" s="1475"/>
      <c r="E23" s="1475"/>
      <c r="F23" s="1476"/>
      <c r="G23" s="1476"/>
      <c r="H23" s="1476"/>
      <c r="I23" s="1476"/>
      <c r="J23" s="1476"/>
      <c r="K23" s="1476"/>
      <c r="L23" s="1476"/>
      <c r="M23" s="1476"/>
      <c r="N23" s="1476"/>
      <c r="O23" s="1476"/>
      <c r="P23" s="1476"/>
      <c r="Q23" s="1476"/>
      <c r="R23" s="1476"/>
      <c r="S23" s="1476"/>
      <c r="T23" s="1476"/>
      <c r="U23" s="1476"/>
      <c r="V23" s="1476"/>
      <c r="W23" s="1476"/>
      <c r="X23" s="1756"/>
      <c r="Y23" s="1757"/>
      <c r="Z23" s="1757"/>
      <c r="AA23" s="1757"/>
    </row>
    <row r="24" spans="3:32" ht="6.75" customHeight="1">
      <c r="C24" s="1476"/>
      <c r="D24" s="1475"/>
      <c r="E24" s="1475"/>
      <c r="F24" s="1476"/>
      <c r="G24" s="1476"/>
      <c r="H24" s="1476"/>
      <c r="I24" s="1476"/>
      <c r="J24" s="1476"/>
      <c r="K24" s="1476"/>
      <c r="L24" s="1476"/>
      <c r="M24" s="1476"/>
      <c r="N24" s="1476"/>
      <c r="O24" s="1476"/>
      <c r="P24" s="1476"/>
      <c r="Q24" s="1476"/>
      <c r="R24" s="1476"/>
      <c r="S24" s="1476"/>
      <c r="T24" s="1476"/>
      <c r="U24" s="1476"/>
      <c r="V24" s="1476"/>
      <c r="W24" s="1476"/>
      <c r="X24" s="1758"/>
      <c r="Y24" s="1759"/>
      <c r="Z24" s="1759"/>
      <c r="AA24" s="1759"/>
    </row>
    <row r="25" spans="3:32">
      <c r="C25" s="890" t="s">
        <v>1190</v>
      </c>
      <c r="D25" s="1475"/>
      <c r="E25" s="1475"/>
      <c r="F25" s="1476"/>
      <c r="G25" s="1476"/>
      <c r="H25" s="1476"/>
      <c r="I25" s="1476"/>
      <c r="J25" s="1476"/>
      <c r="K25" s="1476"/>
      <c r="L25" s="1476"/>
      <c r="M25" s="1476"/>
      <c r="N25" s="1476"/>
      <c r="O25" s="1476"/>
      <c r="P25" s="1476"/>
      <c r="Q25" s="1476"/>
      <c r="R25" s="1476"/>
      <c r="S25" s="1476"/>
      <c r="T25" s="1476"/>
      <c r="U25" s="1476"/>
      <c r="V25" s="1476"/>
      <c r="W25" s="1476"/>
      <c r="X25" s="3050">
        <f>IF('GENERAL INFO'!G135="X",CalculationSheet!R28,CalculationSheet!R125)</f>
        <v>0</v>
      </c>
      <c r="Y25" s="3050"/>
      <c r="Z25" s="3050"/>
      <c r="AA25" s="3050"/>
    </row>
    <row r="26" spans="3:32">
      <c r="C26" s="1475"/>
      <c r="D26" s="1475"/>
      <c r="E26" s="1475"/>
      <c r="F26" s="1476"/>
      <c r="G26" s="1476"/>
      <c r="H26" s="1476"/>
      <c r="I26" s="1476"/>
      <c r="J26" s="1476"/>
      <c r="K26" s="1476"/>
      <c r="L26" s="1476"/>
      <c r="M26" s="1476"/>
      <c r="N26" s="1476"/>
      <c r="O26" s="1476"/>
      <c r="P26" s="1476"/>
      <c r="Q26" s="1476"/>
      <c r="R26" s="1476"/>
      <c r="S26" s="1476"/>
      <c r="T26" s="1476"/>
      <c r="U26" s="1476"/>
      <c r="V26" s="1476"/>
      <c r="W26" s="1476"/>
      <c r="X26" s="3054"/>
      <c r="Y26" s="3054"/>
      <c r="Z26" s="3054"/>
      <c r="AA26" s="3054"/>
    </row>
    <row r="27" spans="3:32">
      <c r="C27" s="890" t="s">
        <v>438</v>
      </c>
      <c r="D27" s="1475"/>
      <c r="E27" s="1475"/>
      <c r="F27" s="1476"/>
      <c r="G27" s="1476"/>
      <c r="H27" s="1476"/>
      <c r="I27" s="1476"/>
      <c r="J27" s="1476"/>
      <c r="K27" s="1476"/>
      <c r="L27" s="1476"/>
      <c r="M27" s="1476"/>
      <c r="N27" s="1476"/>
      <c r="O27" s="1476"/>
      <c r="P27" s="1476"/>
      <c r="Q27" s="1476"/>
      <c r="R27" s="1476"/>
      <c r="S27" s="1476"/>
      <c r="T27" s="1476"/>
      <c r="U27" s="1476"/>
      <c r="V27" s="1476"/>
      <c r="W27" s="1476"/>
      <c r="X27" s="3050">
        <f>CalculationSheet!R30</f>
        <v>0</v>
      </c>
      <c r="Y27" s="3050"/>
      <c r="Z27" s="3050"/>
      <c r="AA27" s="3050"/>
      <c r="AF27" s="1481">
        <v>-13200000</v>
      </c>
    </row>
    <row r="28" spans="3:32" ht="6" customHeight="1">
      <c r="C28" s="890"/>
      <c r="D28" s="1475"/>
      <c r="E28" s="1475"/>
      <c r="F28" s="1476"/>
      <c r="G28" s="1476"/>
      <c r="H28" s="1476"/>
      <c r="I28" s="1476"/>
      <c r="J28" s="1476"/>
      <c r="K28" s="1476"/>
      <c r="L28" s="1476"/>
      <c r="M28" s="1476"/>
      <c r="N28" s="1476"/>
      <c r="O28" s="1476"/>
      <c r="P28" s="1476"/>
      <c r="Q28" s="1476"/>
      <c r="R28" s="1476"/>
      <c r="S28" s="1476"/>
      <c r="T28" s="1476"/>
      <c r="U28" s="1476"/>
      <c r="V28" s="1476"/>
      <c r="W28" s="1476"/>
      <c r="X28" s="1760"/>
      <c r="Y28" s="1760"/>
      <c r="Z28" s="1760"/>
      <c r="AA28" s="1760"/>
    </row>
    <row r="29" spans="3:32" ht="9" customHeight="1">
      <c r="C29" s="890"/>
      <c r="D29" s="1475"/>
      <c r="E29" s="1475"/>
      <c r="F29" s="1476"/>
      <c r="G29" s="1476"/>
      <c r="H29" s="1476"/>
      <c r="I29" s="1476"/>
      <c r="J29" s="1476"/>
      <c r="K29" s="1476"/>
      <c r="L29" s="1476"/>
      <c r="M29" s="1476"/>
      <c r="N29" s="1476"/>
      <c r="O29" s="1476"/>
      <c r="P29" s="1476"/>
      <c r="Q29" s="1476"/>
      <c r="R29" s="1476"/>
      <c r="S29" s="1476"/>
      <c r="T29" s="1476"/>
      <c r="U29" s="1476"/>
      <c r="V29" s="1476"/>
      <c r="W29" s="1476"/>
      <c r="X29" s="1761"/>
      <c r="Y29" s="1761"/>
      <c r="Z29" s="1761"/>
      <c r="AA29" s="1761"/>
    </row>
    <row r="30" spans="3:32">
      <c r="C30" s="890" t="s">
        <v>1196</v>
      </c>
      <c r="D30" s="1475"/>
      <c r="E30" s="1475"/>
      <c r="F30" s="1476"/>
      <c r="G30" s="1476"/>
      <c r="H30" s="1476"/>
      <c r="I30" s="1476"/>
      <c r="J30" s="1476"/>
      <c r="K30" s="1476"/>
      <c r="L30" s="1476"/>
      <c r="M30" s="1476"/>
      <c r="N30" s="1476"/>
      <c r="O30" s="1476"/>
      <c r="P30" s="1476"/>
      <c r="Q30" s="1476"/>
      <c r="R30" s="1476"/>
      <c r="S30" s="1476"/>
      <c r="T30" s="1476"/>
      <c r="U30" s="1476"/>
      <c r="V30" s="1476"/>
      <c r="W30" s="1476"/>
      <c r="X30" s="3055">
        <f>IF('GENERAL INFO'!G135="X",CalculationSheet!R32,CalculationSheet!R129)</f>
        <v>0</v>
      </c>
      <c r="Y30" s="3055"/>
      <c r="Z30" s="3055"/>
      <c r="AA30" s="3055"/>
      <c r="AC30" s="1481"/>
    </row>
    <row r="31" spans="3:32">
      <c r="C31" s="890"/>
      <c r="D31" s="1475"/>
      <c r="E31" s="1475"/>
      <c r="F31" s="1476"/>
      <c r="G31" s="1476"/>
      <c r="H31" s="1476"/>
      <c r="I31" s="1476"/>
      <c r="J31" s="1476"/>
      <c r="K31" s="1476"/>
      <c r="L31" s="1476"/>
      <c r="M31" s="1476"/>
      <c r="N31" s="1476"/>
      <c r="O31" s="1476"/>
      <c r="P31" s="1476"/>
      <c r="Q31" s="1476"/>
      <c r="R31" s="1476"/>
      <c r="S31" s="1476"/>
      <c r="T31" s="1476"/>
      <c r="U31" s="1476"/>
      <c r="V31" s="1476"/>
      <c r="W31" s="1476"/>
      <c r="X31" s="1476"/>
      <c r="Y31" s="1476"/>
      <c r="Z31" s="1476"/>
      <c r="AA31" s="1476"/>
      <c r="AF31" s="1483">
        <v>0</v>
      </c>
    </row>
    <row r="32" spans="3:32">
      <c r="C32" s="890" t="s">
        <v>1197</v>
      </c>
      <c r="D32" s="1475"/>
      <c r="E32" s="1475"/>
      <c r="F32" s="1476"/>
      <c r="G32" s="1476"/>
      <c r="H32" s="1476"/>
      <c r="I32" s="1476"/>
      <c r="J32" s="1476"/>
      <c r="K32" s="1476"/>
      <c r="L32" s="1476"/>
      <c r="M32" s="1476"/>
      <c r="N32" s="1476"/>
      <c r="O32" s="1476"/>
      <c r="P32" s="1476"/>
      <c r="Q32" s="1476"/>
      <c r="R32" s="1476"/>
      <c r="S32" s="1476"/>
      <c r="T32" s="1476"/>
      <c r="U32" s="1476"/>
      <c r="V32" s="1476"/>
      <c r="W32" s="1476"/>
      <c r="X32" s="1476"/>
      <c r="Y32" s="1476"/>
      <c r="Z32" s="1476"/>
      <c r="AA32" s="1476"/>
    </row>
    <row r="33" spans="1:35">
      <c r="C33" s="1475"/>
      <c r="D33" s="1475" t="s">
        <v>1231</v>
      </c>
      <c r="E33" s="1475"/>
      <c r="F33" s="1476"/>
      <c r="G33" s="1476"/>
      <c r="H33" s="1476"/>
      <c r="I33" s="1476"/>
      <c r="J33" s="1476"/>
      <c r="K33" s="1476"/>
      <c r="L33" s="1476"/>
      <c r="M33" s="1476"/>
      <c r="N33" s="1476"/>
      <c r="O33" s="1476"/>
      <c r="P33" s="1476"/>
      <c r="Q33" s="1476"/>
      <c r="R33" s="1476"/>
      <c r="S33" s="3050">
        <f>IF('GENERAL INFO'!G135="X",CalculationSheet!N37,CalculationSheet!N134)</f>
        <v>0</v>
      </c>
      <c r="T33" s="3050"/>
      <c r="U33" s="3050"/>
      <c r="V33" s="3050"/>
      <c r="W33" s="1478"/>
      <c r="X33" s="1476"/>
      <c r="Y33" s="1476"/>
      <c r="Z33" s="1476"/>
      <c r="AA33" s="1476"/>
    </row>
    <row r="34" spans="1:35">
      <c r="C34" s="890"/>
      <c r="D34" s="1476" t="s">
        <v>1199</v>
      </c>
      <c r="E34" s="1475"/>
      <c r="F34" s="1476"/>
      <c r="G34" s="1476"/>
      <c r="H34" s="1476"/>
      <c r="I34" s="1476"/>
      <c r="J34" s="1476"/>
      <c r="K34" s="1476"/>
      <c r="L34" s="1476"/>
      <c r="M34" s="1476"/>
      <c r="N34" s="1476"/>
      <c r="O34" s="1476"/>
      <c r="P34" s="1476"/>
      <c r="Q34" s="1476"/>
      <c r="R34" s="1476"/>
      <c r="S34" s="3050">
        <f>IF('GENERAL INFO'!G135="X",CalculationSheet!N38,CalculationSheet!N135)</f>
        <v>0</v>
      </c>
      <c r="T34" s="3050"/>
      <c r="U34" s="3050"/>
      <c r="V34" s="3050"/>
      <c r="W34" s="1479"/>
      <c r="X34" s="1476"/>
      <c r="Y34" s="1476"/>
      <c r="Z34" s="1476"/>
      <c r="AA34" s="1476"/>
    </row>
    <row r="35" spans="1:35" ht="6" customHeight="1">
      <c r="C35" s="890"/>
      <c r="D35" s="1476"/>
      <c r="E35" s="1475"/>
      <c r="F35" s="1476"/>
      <c r="G35" s="1476"/>
      <c r="H35" s="1476"/>
      <c r="I35" s="1476"/>
      <c r="J35" s="1476"/>
      <c r="K35" s="1476"/>
      <c r="L35" s="1476"/>
      <c r="M35" s="1476"/>
      <c r="N35" s="1476"/>
      <c r="O35" s="1476"/>
      <c r="P35" s="1476"/>
      <c r="Q35" s="1476"/>
      <c r="R35" s="1476"/>
      <c r="S35" s="1482"/>
      <c r="T35" s="1482"/>
      <c r="U35" s="1482"/>
      <c r="V35" s="1482"/>
      <c r="W35" s="1479"/>
      <c r="X35" s="1476"/>
      <c r="Y35" s="1476"/>
      <c r="Z35" s="1476"/>
      <c r="AA35" s="1476"/>
    </row>
    <row r="36" spans="1:35" ht="18.75" customHeight="1">
      <c r="C36" s="890"/>
      <c r="D36" s="1476" t="s">
        <v>1200</v>
      </c>
      <c r="E36" s="1475"/>
      <c r="F36" s="1476"/>
      <c r="G36" s="1476"/>
      <c r="H36" s="1476"/>
      <c r="I36" s="1476"/>
      <c r="J36" s="1476"/>
      <c r="K36" s="1476"/>
      <c r="L36" s="1476"/>
      <c r="M36" s="1476"/>
      <c r="N36" s="1476"/>
      <c r="O36" s="1476"/>
      <c r="P36" s="1476"/>
      <c r="Q36" s="1476"/>
      <c r="R36" s="1476"/>
      <c r="S36" s="1476"/>
      <c r="T36" s="1476"/>
      <c r="U36" s="1476"/>
      <c r="V36" s="1476"/>
      <c r="W36" s="1476"/>
      <c r="X36" s="3050">
        <f>SUM(S33:V34)</f>
        <v>0</v>
      </c>
      <c r="Y36" s="3050"/>
      <c r="Z36" s="3050"/>
      <c r="AA36" s="3050"/>
      <c r="AE36" s="3058"/>
      <c r="AF36" s="3058"/>
      <c r="AG36" s="3058"/>
      <c r="AH36" s="3058"/>
      <c r="AI36" s="3058"/>
    </row>
    <row r="37" spans="1:35">
      <c r="C37" s="890"/>
      <c r="D37" s="1476"/>
      <c r="E37" s="1475"/>
      <c r="F37" s="1476"/>
      <c r="G37" s="1476"/>
      <c r="H37" s="1476"/>
      <c r="I37" s="1476"/>
      <c r="J37" s="1476"/>
      <c r="K37" s="1476"/>
      <c r="L37" s="1476"/>
      <c r="M37" s="1476"/>
      <c r="N37" s="1476"/>
      <c r="O37" s="1476"/>
      <c r="P37" s="1476"/>
      <c r="Q37" s="1476"/>
      <c r="R37" s="1476"/>
      <c r="S37" s="1476"/>
      <c r="T37" s="1476"/>
      <c r="U37" s="1476"/>
      <c r="V37" s="1476"/>
      <c r="W37" s="1476"/>
      <c r="X37" s="1476"/>
      <c r="Y37" s="1476"/>
      <c r="Z37" s="1476"/>
      <c r="AA37" s="1476"/>
      <c r="AE37" s="3058"/>
      <c r="AF37" s="3058"/>
      <c r="AG37" s="3058"/>
      <c r="AH37" s="3058"/>
      <c r="AI37" s="3058"/>
    </row>
    <row r="38" spans="1:35">
      <c r="C38" s="890" t="s">
        <v>1202</v>
      </c>
      <c r="D38" s="1475"/>
      <c r="E38" s="1475"/>
      <c r="F38" s="1476"/>
      <c r="G38" s="1476"/>
      <c r="H38" s="1476"/>
      <c r="I38" s="1476"/>
      <c r="J38" s="1476"/>
      <c r="K38" s="1476"/>
      <c r="L38" s="1476"/>
      <c r="M38" s="1476"/>
      <c r="N38" s="1476"/>
      <c r="O38" s="1476"/>
      <c r="P38" s="1476"/>
      <c r="Q38" s="1476"/>
      <c r="R38" s="1476"/>
      <c r="S38" s="1476"/>
      <c r="T38" s="1476"/>
      <c r="U38" s="1476"/>
      <c r="V38" s="1476"/>
      <c r="W38" s="1476"/>
      <c r="X38" s="1476"/>
      <c r="Y38" s="1476"/>
      <c r="Z38" s="1476"/>
      <c r="AA38" s="1476"/>
    </row>
    <row r="39" spans="1:35">
      <c r="C39" s="1475"/>
      <c r="D39" s="1475" t="s">
        <v>1231</v>
      </c>
      <c r="E39" s="1475"/>
      <c r="F39" s="1476"/>
      <c r="G39" s="1476"/>
      <c r="H39" s="1476"/>
      <c r="I39" s="1476"/>
      <c r="J39" s="1476"/>
      <c r="K39" s="1476"/>
      <c r="L39" s="1476"/>
      <c r="M39" s="1476"/>
      <c r="N39" s="1476"/>
      <c r="O39" s="1476"/>
      <c r="P39" s="1476"/>
      <c r="Q39" s="1476"/>
      <c r="R39" s="1476"/>
      <c r="S39" s="3050">
        <f>IF('GENERAL INFO'!G135="X",CalculationSheet!N44,CalculationSheet!N141)</f>
        <v>0</v>
      </c>
      <c r="T39" s="3050"/>
      <c r="U39" s="3050"/>
      <c r="V39" s="3050"/>
      <c r="W39" s="1478"/>
      <c r="X39" s="1476"/>
      <c r="Y39" s="1476"/>
      <c r="Z39" s="1476"/>
      <c r="AA39" s="1476"/>
    </row>
    <row r="40" spans="1:35">
      <c r="C40" s="1475"/>
      <c r="D40" s="1476" t="s">
        <v>1199</v>
      </c>
      <c r="E40" s="1475"/>
      <c r="F40" s="1476"/>
      <c r="G40" s="1476"/>
      <c r="H40" s="1476"/>
      <c r="I40" s="1476"/>
      <c r="J40" s="1476"/>
      <c r="K40" s="1476"/>
      <c r="L40" s="1476"/>
      <c r="M40" s="1476"/>
      <c r="N40" s="1476"/>
      <c r="O40" s="1476"/>
      <c r="P40" s="1476"/>
      <c r="Q40" s="1476"/>
      <c r="R40" s="1476"/>
      <c r="S40" s="3050">
        <f>IF('GENERAL INFO'!G135="X",CalculationSheet!N45,CalculationSheet!N142)</f>
        <v>0</v>
      </c>
      <c r="T40" s="3050"/>
      <c r="U40" s="3050"/>
      <c r="V40" s="3050"/>
      <c r="W40" s="1479"/>
      <c r="X40" s="1476"/>
      <c r="Y40" s="1476"/>
      <c r="Z40" s="1476"/>
      <c r="AA40" s="1476"/>
    </row>
    <row r="41" spans="1:35" ht="6" customHeight="1">
      <c r="C41" s="1475"/>
      <c r="D41" s="1476"/>
      <c r="E41" s="1475"/>
      <c r="F41" s="1476"/>
      <c r="G41" s="1476"/>
      <c r="H41" s="1476"/>
      <c r="I41" s="1476"/>
      <c r="J41" s="1476"/>
      <c r="K41" s="1476"/>
      <c r="L41" s="1476"/>
      <c r="M41" s="1476"/>
      <c r="N41" s="1476"/>
      <c r="O41" s="1476"/>
      <c r="P41" s="1476"/>
      <c r="Q41" s="1476"/>
      <c r="R41" s="1476"/>
      <c r="S41" s="1482"/>
      <c r="T41" s="1482"/>
      <c r="U41" s="1482"/>
      <c r="V41" s="1482"/>
      <c r="W41" s="1479"/>
      <c r="X41" s="1476"/>
      <c r="Y41" s="1476"/>
      <c r="Z41" s="1476"/>
      <c r="AA41" s="1476"/>
    </row>
    <row r="42" spans="1:35" s="1484" customFormat="1" ht="24" customHeight="1">
      <c r="C42" s="1485"/>
      <c r="D42" s="1485" t="s">
        <v>1204</v>
      </c>
      <c r="E42" s="1485"/>
      <c r="F42" s="1486"/>
      <c r="G42" s="1486"/>
      <c r="H42" s="1486"/>
      <c r="I42" s="1486"/>
      <c r="J42" s="1486"/>
      <c r="K42" s="1486"/>
      <c r="L42" s="1486"/>
      <c r="M42" s="1486"/>
      <c r="N42" s="1486"/>
      <c r="O42" s="1486"/>
      <c r="P42" s="1486"/>
      <c r="Q42" s="1486"/>
      <c r="R42" s="1486"/>
      <c r="S42" s="1486"/>
      <c r="T42" s="1486"/>
      <c r="U42" s="1486"/>
      <c r="V42" s="1486"/>
      <c r="W42" s="1486"/>
      <c r="X42" s="3051">
        <f>SUM(S39:V40)</f>
        <v>0</v>
      </c>
      <c r="Y42" s="3052"/>
      <c r="Z42" s="3052"/>
      <c r="AA42" s="3053"/>
    </row>
    <row r="43" spans="1:35">
      <c r="C43" s="1475"/>
      <c r="D43" s="1475"/>
      <c r="E43" s="886"/>
    </row>
    <row r="47" spans="1:35" ht="20.25">
      <c r="A47" s="1472" t="s">
        <v>589</v>
      </c>
    </row>
    <row r="48" spans="1:35" ht="18" customHeight="1" thickBot="1">
      <c r="A48" s="1472"/>
    </row>
    <row r="49" spans="1:39" ht="18.75" customHeight="1">
      <c r="A49" s="3036" t="s">
        <v>582</v>
      </c>
      <c r="B49" s="3037"/>
      <c r="C49" s="3037"/>
      <c r="D49" s="3037"/>
      <c r="E49" s="3038"/>
      <c r="F49" s="3042" t="s">
        <v>1232</v>
      </c>
      <c r="G49" s="3043"/>
      <c r="H49" s="3043"/>
      <c r="I49" s="3043"/>
      <c r="J49" s="3043"/>
      <c r="K49" s="3043"/>
      <c r="L49" s="3043"/>
      <c r="M49" s="3044"/>
      <c r="N49" s="3042" t="s">
        <v>1233</v>
      </c>
      <c r="O49" s="3043"/>
      <c r="P49" s="3043"/>
      <c r="Q49" s="3043"/>
      <c r="R49" s="3043"/>
      <c r="S49" s="3043"/>
      <c r="T49" s="3043"/>
      <c r="U49" s="3044"/>
      <c r="V49" s="3042" t="s">
        <v>1234</v>
      </c>
      <c r="W49" s="3043"/>
      <c r="X49" s="3043"/>
      <c r="Y49" s="3043"/>
      <c r="Z49" s="3043"/>
      <c r="AA49" s="3043"/>
      <c r="AB49" s="3043"/>
      <c r="AC49" s="3045"/>
      <c r="AD49" s="1487"/>
      <c r="AE49" s="1487"/>
      <c r="AF49" s="1487"/>
      <c r="AG49" s="1487"/>
      <c r="AH49" s="1487"/>
      <c r="AI49" s="1487"/>
      <c r="AJ49" s="1487"/>
      <c r="AK49" s="1487"/>
      <c r="AL49" s="1487"/>
      <c r="AM49" s="1487"/>
    </row>
    <row r="50" spans="1:39" ht="19.5" customHeight="1" thickBot="1">
      <c r="A50" s="3039"/>
      <c r="B50" s="3040"/>
      <c r="C50" s="3040"/>
      <c r="D50" s="3040"/>
      <c r="E50" s="3041"/>
      <c r="F50" s="3046" t="s">
        <v>1235</v>
      </c>
      <c r="G50" s="3047"/>
      <c r="H50" s="3047"/>
      <c r="I50" s="3048"/>
      <c r="J50" s="3046" t="s">
        <v>841</v>
      </c>
      <c r="K50" s="3047"/>
      <c r="L50" s="3047"/>
      <c r="M50" s="3048"/>
      <c r="N50" s="3046" t="s">
        <v>1235</v>
      </c>
      <c r="O50" s="3047"/>
      <c r="P50" s="3047"/>
      <c r="Q50" s="3048"/>
      <c r="R50" s="3046" t="s">
        <v>841</v>
      </c>
      <c r="S50" s="3047"/>
      <c r="T50" s="3047"/>
      <c r="U50" s="3048"/>
      <c r="V50" s="3046" t="s">
        <v>1236</v>
      </c>
      <c r="W50" s="3047"/>
      <c r="X50" s="3047"/>
      <c r="Y50" s="3048"/>
      <c r="Z50" s="3046" t="s">
        <v>1237</v>
      </c>
      <c r="AA50" s="3047"/>
      <c r="AB50" s="3047"/>
      <c r="AC50" s="3049"/>
      <c r="AD50" s="1487"/>
      <c r="AE50" s="1487"/>
      <c r="AF50" s="1487"/>
      <c r="AG50" s="1487"/>
      <c r="AH50" s="1487"/>
      <c r="AI50" s="1487"/>
      <c r="AJ50" s="1487"/>
      <c r="AK50" s="1487"/>
      <c r="AL50" s="1487"/>
      <c r="AM50" s="1487"/>
    </row>
    <row r="51" spans="1:39" ht="13.5" thickTop="1">
      <c r="A51" s="1488"/>
      <c r="B51" s="1489"/>
      <c r="C51" s="1489"/>
      <c r="D51" s="1489"/>
      <c r="E51" s="1489"/>
      <c r="F51" s="1490"/>
      <c r="G51" s="1490"/>
      <c r="H51" s="1490"/>
      <c r="I51" s="1490"/>
      <c r="J51" s="1490"/>
      <c r="K51" s="1490"/>
      <c r="L51" s="1490"/>
      <c r="M51" s="1490"/>
      <c r="N51" s="1490"/>
      <c r="O51" s="1490"/>
      <c r="P51" s="1490"/>
      <c r="Q51" s="1490"/>
      <c r="R51" s="1490"/>
      <c r="S51" s="1490"/>
      <c r="T51" s="1490"/>
      <c r="U51" s="1490"/>
      <c r="V51" s="1490"/>
      <c r="W51" s="1490"/>
      <c r="X51" s="1490"/>
      <c r="Y51" s="1490"/>
      <c r="Z51" s="1490"/>
      <c r="AA51" s="1490"/>
      <c r="AB51" s="1490"/>
      <c r="AC51" s="1491"/>
    </row>
    <row r="52" spans="1:39">
      <c r="A52" s="1492" t="s">
        <v>1238</v>
      </c>
      <c r="B52" s="1493"/>
      <c r="C52" s="1493"/>
      <c r="D52" s="1493"/>
      <c r="E52" s="1493"/>
      <c r="F52" s="3059" t="str">
        <f>'OVERSEAS INCOME'!K8</f>
        <v xml:space="preserve"> </v>
      </c>
      <c r="G52" s="3059"/>
      <c r="H52" s="3059"/>
      <c r="I52" s="3059"/>
      <c r="J52" s="3059"/>
      <c r="K52" s="3059"/>
      <c r="L52" s="3059"/>
      <c r="M52" s="3059"/>
      <c r="N52" s="1494"/>
      <c r="O52" s="1494"/>
      <c r="P52" s="1494"/>
      <c r="Q52" s="1494"/>
      <c r="R52" s="1494"/>
      <c r="S52" s="1494"/>
      <c r="T52" s="1494"/>
      <c r="U52" s="1494"/>
      <c r="V52" s="1494"/>
      <c r="W52" s="1494"/>
      <c r="X52" s="1494"/>
      <c r="Y52" s="1494"/>
      <c r="Z52" s="1494"/>
      <c r="AA52" s="1494"/>
      <c r="AB52" s="1494"/>
      <c r="AC52" s="1495"/>
    </row>
    <row r="53" spans="1:39">
      <c r="A53" s="3033" t="s">
        <v>1239</v>
      </c>
      <c r="B53" s="3034"/>
      <c r="C53" s="3034"/>
      <c r="D53" s="3034"/>
      <c r="E53" s="3035"/>
      <c r="F53" s="3018">
        <f>'OVERSEAS INCOME'!G33</f>
        <v>0</v>
      </c>
      <c r="G53" s="3019"/>
      <c r="H53" s="3019"/>
      <c r="I53" s="3020"/>
      <c r="J53" s="3021">
        <f>'OVERSEAS INCOME'!Q33</f>
        <v>0</v>
      </c>
      <c r="K53" s="3022"/>
      <c r="L53" s="3022"/>
      <c r="M53" s="3023"/>
      <c r="N53" s="3018">
        <f>'OVERSEAS INCOME'!K33</f>
        <v>0</v>
      </c>
      <c r="O53" s="3019"/>
      <c r="P53" s="3019"/>
      <c r="Q53" s="3020"/>
      <c r="R53" s="3021">
        <f>'OVERSEAS INCOME'!U33</f>
        <v>0</v>
      </c>
      <c r="S53" s="3022"/>
      <c r="T53" s="3022"/>
      <c r="U53" s="3023"/>
      <c r="V53" s="3021">
        <f>'OVERSEAS INCOME'!AA33</f>
        <v>0</v>
      </c>
      <c r="W53" s="3022"/>
      <c r="X53" s="3022"/>
      <c r="Y53" s="3023"/>
      <c r="Z53" s="3030"/>
      <c r="AA53" s="3031"/>
      <c r="AB53" s="3031"/>
      <c r="AC53" s="3032"/>
    </row>
    <row r="54" spans="1:39">
      <c r="A54" s="1746" t="s">
        <v>1240</v>
      </c>
      <c r="B54" s="1501"/>
      <c r="C54" s="1501"/>
      <c r="D54" s="1747"/>
      <c r="E54" s="1748"/>
      <c r="F54" s="3018">
        <f>'OVERSEAS INCOME'!G58</f>
        <v>0</v>
      </c>
      <c r="G54" s="3019"/>
      <c r="H54" s="3019"/>
      <c r="I54" s="3020"/>
      <c r="J54" s="3021">
        <f>'OVERSEAS INCOME'!Q58</f>
        <v>0</v>
      </c>
      <c r="K54" s="3022"/>
      <c r="L54" s="3022"/>
      <c r="M54" s="3023"/>
      <c r="N54" s="3018">
        <f>'OVERSEAS INCOME'!K58</f>
        <v>0</v>
      </c>
      <c r="O54" s="3019"/>
      <c r="P54" s="3019"/>
      <c r="Q54" s="3020"/>
      <c r="R54" s="3021">
        <f>'OVERSEAS INCOME'!U58</f>
        <v>0</v>
      </c>
      <c r="S54" s="3022"/>
      <c r="T54" s="3022"/>
      <c r="U54" s="3023"/>
      <c r="V54" s="3021">
        <f>'OVERSEAS INCOME'!AA58</f>
        <v>0</v>
      </c>
      <c r="W54" s="3022"/>
      <c r="X54" s="3022"/>
      <c r="Y54" s="3023"/>
      <c r="Z54" s="3027"/>
      <c r="AA54" s="3028"/>
      <c r="AB54" s="3028"/>
      <c r="AC54" s="3029"/>
    </row>
    <row r="55" spans="1:39">
      <c r="A55" s="1746" t="s">
        <v>1241</v>
      </c>
      <c r="B55" s="1501"/>
      <c r="C55" s="1501"/>
      <c r="D55" s="1747"/>
      <c r="E55" s="1748"/>
      <c r="F55" s="3018">
        <f>'OVERSEAS INCOME'!G83</f>
        <v>0</v>
      </c>
      <c r="G55" s="3019"/>
      <c r="H55" s="3019"/>
      <c r="I55" s="3020"/>
      <c r="J55" s="3021">
        <f>'OVERSEAS INCOME'!Q83</f>
        <v>0</v>
      </c>
      <c r="K55" s="3022"/>
      <c r="L55" s="3022"/>
      <c r="M55" s="3023"/>
      <c r="N55" s="3018">
        <f>'OVERSEAS INCOME'!K83</f>
        <v>0</v>
      </c>
      <c r="O55" s="3019"/>
      <c r="P55" s="3019"/>
      <c r="Q55" s="3020"/>
      <c r="R55" s="3021">
        <f>'OVERSEAS INCOME'!U83</f>
        <v>0</v>
      </c>
      <c r="S55" s="3022"/>
      <c r="T55" s="3022"/>
      <c r="U55" s="3023"/>
      <c r="V55" s="3021">
        <f>'OVERSEAS INCOME'!AA83</f>
        <v>0</v>
      </c>
      <c r="W55" s="3022"/>
      <c r="X55" s="3022"/>
      <c r="Y55" s="3023"/>
      <c r="Z55" s="3027"/>
      <c r="AA55" s="3028"/>
      <c r="AB55" s="3028"/>
      <c r="AC55" s="3029"/>
    </row>
    <row r="56" spans="1:39">
      <c r="A56" s="1746" t="s">
        <v>1242</v>
      </c>
      <c r="B56" s="1501"/>
      <c r="C56" s="1501"/>
      <c r="D56" s="1747"/>
      <c r="E56" s="1748"/>
      <c r="F56" s="3018">
        <f>'OVERSEAS INCOME'!R108</f>
        <v>0</v>
      </c>
      <c r="G56" s="3019"/>
      <c r="H56" s="3019"/>
      <c r="I56" s="3020"/>
      <c r="J56" s="3021">
        <f>'OVERSEAS INCOME'!AB108</f>
        <v>0</v>
      </c>
      <c r="K56" s="3022"/>
      <c r="L56" s="3022"/>
      <c r="M56" s="3023"/>
      <c r="N56" s="3018">
        <f>'OVERSEAS INCOME'!V108</f>
        <v>0</v>
      </c>
      <c r="O56" s="3019"/>
      <c r="P56" s="3019"/>
      <c r="Q56" s="3020"/>
      <c r="R56" s="3021">
        <f>'OVERSEAS INCOME'!AF108</f>
        <v>0</v>
      </c>
      <c r="S56" s="3022"/>
      <c r="T56" s="3022"/>
      <c r="U56" s="3023"/>
      <c r="V56" s="3021">
        <f>R56</f>
        <v>0</v>
      </c>
      <c r="W56" s="3022"/>
      <c r="X56" s="3022"/>
      <c r="Y56" s="3023"/>
      <c r="Z56" s="3027"/>
      <c r="AA56" s="3028"/>
      <c r="AB56" s="3028"/>
      <c r="AC56" s="3029"/>
    </row>
    <row r="57" spans="1:39">
      <c r="A57" s="1746" t="s">
        <v>1243</v>
      </c>
      <c r="B57" s="1501"/>
      <c r="C57" s="1501"/>
      <c r="D57" s="1747"/>
      <c r="E57" s="1748"/>
      <c r="F57" s="3018">
        <f>'OVERSEAS INCOME'!P154</f>
        <v>0</v>
      </c>
      <c r="G57" s="3019"/>
      <c r="H57" s="3019"/>
      <c r="I57" s="3020"/>
      <c r="J57" s="3021">
        <f>'OVERSEAS INCOME'!X154</f>
        <v>0</v>
      </c>
      <c r="K57" s="3022"/>
      <c r="L57" s="3022"/>
      <c r="M57" s="3023"/>
      <c r="N57" s="3018">
        <f>'OVERSEAS INCOME'!P156</f>
        <v>0</v>
      </c>
      <c r="O57" s="3019"/>
      <c r="P57" s="3019"/>
      <c r="Q57" s="3020"/>
      <c r="R57" s="3021">
        <f>'OVERSEAS INCOME'!X156</f>
        <v>0</v>
      </c>
      <c r="S57" s="3022"/>
      <c r="T57" s="3022"/>
      <c r="U57" s="3023"/>
      <c r="V57" s="3021">
        <f>R57</f>
        <v>0</v>
      </c>
      <c r="W57" s="3022"/>
      <c r="X57" s="3022"/>
      <c r="Y57" s="3023"/>
      <c r="Z57" s="3024"/>
      <c r="AA57" s="3025"/>
      <c r="AB57" s="3025"/>
      <c r="AC57" s="3026"/>
    </row>
    <row r="58" spans="1:39">
      <c r="A58" s="1496" t="s">
        <v>597</v>
      </c>
      <c r="B58" s="1497"/>
      <c r="C58" s="1497"/>
      <c r="D58" s="1497"/>
      <c r="E58" s="1498"/>
      <c r="F58" s="3011">
        <f>SUM(F53:I57)</f>
        <v>0</v>
      </c>
      <c r="G58" s="3012"/>
      <c r="H58" s="3012"/>
      <c r="I58" s="3013"/>
      <c r="J58" s="3014">
        <f>SUM(J53:M57)</f>
        <v>0</v>
      </c>
      <c r="K58" s="3015"/>
      <c r="L58" s="3015"/>
      <c r="M58" s="3016"/>
      <c r="N58" s="3011">
        <f>SUM(N53:Q57)</f>
        <v>0</v>
      </c>
      <c r="O58" s="3012"/>
      <c r="P58" s="3012"/>
      <c r="Q58" s="3013"/>
      <c r="R58" s="3014">
        <f>SUM(R53:U57)</f>
        <v>0</v>
      </c>
      <c r="S58" s="3015"/>
      <c r="T58" s="3015"/>
      <c r="U58" s="3016"/>
      <c r="V58" s="3014">
        <f>SUM(V53:Y57)</f>
        <v>0</v>
      </c>
      <c r="W58" s="3015"/>
      <c r="X58" s="3015"/>
      <c r="Y58" s="3016"/>
      <c r="Z58" s="3014">
        <f>+'OVERSEAS INCOME'!AC652</f>
        <v>0</v>
      </c>
      <c r="AA58" s="3015"/>
      <c r="AB58" s="3015"/>
      <c r="AC58" s="3017"/>
      <c r="AH58" s="1499">
        <f>IF(F58&lt;0,0,F58)</f>
        <v>0</v>
      </c>
      <c r="AI58" s="1499">
        <f>IF(J58&lt;0,0,J58)</f>
        <v>0</v>
      </c>
      <c r="AJ58" s="1499">
        <f>IF(N58&lt;0,0,N58)</f>
        <v>0</v>
      </c>
      <c r="AK58" s="1499">
        <f>IF(R58&lt;0,0,R58)</f>
        <v>0</v>
      </c>
      <c r="AL58" s="1499">
        <f>IF(V58&lt;0,0,V58)</f>
        <v>0</v>
      </c>
      <c r="AM58" s="1499">
        <f>IF(Z58&lt;0,0,Z58)</f>
        <v>0</v>
      </c>
    </row>
    <row r="59" spans="1:39">
      <c r="A59" s="1492" t="s">
        <v>1238</v>
      </c>
      <c r="B59" s="1493"/>
      <c r="C59" s="1493"/>
      <c r="D59" s="1493"/>
      <c r="E59" s="1493"/>
      <c r="F59" s="3059" t="str">
        <f>'OVERSEAS INCOME'!K159</f>
        <v xml:space="preserve"> </v>
      </c>
      <c r="G59" s="3059"/>
      <c r="H59" s="3059"/>
      <c r="I59" s="3059"/>
      <c r="J59" s="3059"/>
      <c r="K59" s="3059"/>
      <c r="L59" s="3059"/>
      <c r="M59" s="3059"/>
      <c r="N59" s="1828"/>
      <c r="O59" s="1828"/>
      <c r="P59" s="1828"/>
      <c r="Q59" s="1828"/>
      <c r="R59" s="1828"/>
      <c r="S59" s="1828"/>
      <c r="T59" s="1828"/>
      <c r="U59" s="1828"/>
      <c r="V59" s="1828"/>
      <c r="W59" s="1828"/>
      <c r="X59" s="1828"/>
      <c r="Y59" s="1828"/>
      <c r="Z59" s="1828"/>
      <c r="AA59" s="1828"/>
      <c r="AB59" s="1828"/>
      <c r="AC59" s="1829"/>
    </row>
    <row r="60" spans="1:39">
      <c r="A60" s="3033" t="s">
        <v>1239</v>
      </c>
      <c r="B60" s="3034"/>
      <c r="C60" s="3034"/>
      <c r="D60" s="3034"/>
      <c r="E60" s="3035"/>
      <c r="F60" s="3018">
        <f>'OVERSEAS INCOME'!G184</f>
        <v>0</v>
      </c>
      <c r="G60" s="3019"/>
      <c r="H60" s="3019"/>
      <c r="I60" s="3020"/>
      <c r="J60" s="3021">
        <f>'OVERSEAS INCOME'!Q184</f>
        <v>0</v>
      </c>
      <c r="K60" s="3022"/>
      <c r="L60" s="3022"/>
      <c r="M60" s="3023"/>
      <c r="N60" s="3018">
        <f>'OVERSEAS INCOME'!K184</f>
        <v>0</v>
      </c>
      <c r="O60" s="3019"/>
      <c r="P60" s="3019"/>
      <c r="Q60" s="3020"/>
      <c r="R60" s="3021">
        <f>'OVERSEAS INCOME'!U184</f>
        <v>0</v>
      </c>
      <c r="S60" s="3022"/>
      <c r="T60" s="3022"/>
      <c r="U60" s="3023"/>
      <c r="V60" s="3021">
        <f>'OVERSEAS INCOME'!AA184</f>
        <v>0</v>
      </c>
      <c r="W60" s="3022"/>
      <c r="X60" s="3022"/>
      <c r="Y60" s="3023"/>
      <c r="Z60" s="3030"/>
      <c r="AA60" s="3031"/>
      <c r="AB60" s="3031"/>
      <c r="AC60" s="3032"/>
    </row>
    <row r="61" spans="1:39">
      <c r="A61" s="1746" t="s">
        <v>1240</v>
      </c>
      <c r="B61" s="1501"/>
      <c r="C61" s="1501"/>
      <c r="D61" s="1747"/>
      <c r="E61" s="1748"/>
      <c r="F61" s="3018">
        <f>'OVERSEAS INCOME'!G209</f>
        <v>0</v>
      </c>
      <c r="G61" s="3019"/>
      <c r="H61" s="3019"/>
      <c r="I61" s="3020"/>
      <c r="J61" s="3021">
        <f>'OVERSEAS INCOME'!Q209</f>
        <v>0</v>
      </c>
      <c r="K61" s="3022"/>
      <c r="L61" s="3022"/>
      <c r="M61" s="3023"/>
      <c r="N61" s="3018">
        <f>'OVERSEAS INCOME'!K209</f>
        <v>0</v>
      </c>
      <c r="O61" s="3019"/>
      <c r="P61" s="3019"/>
      <c r="Q61" s="3020"/>
      <c r="R61" s="3021">
        <f>'OVERSEAS INCOME'!U209</f>
        <v>0</v>
      </c>
      <c r="S61" s="3022"/>
      <c r="T61" s="3022"/>
      <c r="U61" s="3023"/>
      <c r="V61" s="3021">
        <f>'OVERSEAS INCOME'!AA209</f>
        <v>0</v>
      </c>
      <c r="W61" s="3022"/>
      <c r="X61" s="3022"/>
      <c r="Y61" s="3023"/>
      <c r="Z61" s="3027"/>
      <c r="AA61" s="3028"/>
      <c r="AB61" s="3028"/>
      <c r="AC61" s="3029"/>
    </row>
    <row r="62" spans="1:39">
      <c r="A62" s="1746" t="s">
        <v>1241</v>
      </c>
      <c r="B62" s="1501"/>
      <c r="C62" s="1501"/>
      <c r="D62" s="1747"/>
      <c r="E62" s="1748"/>
      <c r="F62" s="3018">
        <f>'OVERSEAS INCOME'!G234</f>
        <v>0</v>
      </c>
      <c r="G62" s="3019"/>
      <c r="H62" s="3019"/>
      <c r="I62" s="3020"/>
      <c r="J62" s="3021">
        <f>'OVERSEAS INCOME'!Q234</f>
        <v>0</v>
      </c>
      <c r="K62" s="3022"/>
      <c r="L62" s="3022"/>
      <c r="M62" s="3023"/>
      <c r="N62" s="3018">
        <f>'OVERSEAS INCOME'!K234</f>
        <v>0</v>
      </c>
      <c r="O62" s="3019"/>
      <c r="P62" s="3019"/>
      <c r="Q62" s="3020"/>
      <c r="R62" s="3021">
        <f>'OVERSEAS INCOME'!U234</f>
        <v>0</v>
      </c>
      <c r="S62" s="3022"/>
      <c r="T62" s="3022"/>
      <c r="U62" s="3023"/>
      <c r="V62" s="3021">
        <f>'OVERSEAS INCOME'!AA234</f>
        <v>0</v>
      </c>
      <c r="W62" s="3022"/>
      <c r="X62" s="3022"/>
      <c r="Y62" s="3023"/>
      <c r="Z62" s="3027"/>
      <c r="AA62" s="3028"/>
      <c r="AB62" s="3028"/>
      <c r="AC62" s="3029"/>
    </row>
    <row r="63" spans="1:39">
      <c r="A63" s="1746" t="s">
        <v>1242</v>
      </c>
      <c r="B63" s="1501"/>
      <c r="C63" s="1501"/>
      <c r="D63" s="1747"/>
      <c r="E63" s="1748"/>
      <c r="F63" s="3018">
        <f>'OVERSEAS INCOME'!R259</f>
        <v>0</v>
      </c>
      <c r="G63" s="3019"/>
      <c r="H63" s="3019"/>
      <c r="I63" s="3020"/>
      <c r="J63" s="3021">
        <f>'OVERSEAS INCOME'!AB259</f>
        <v>0</v>
      </c>
      <c r="K63" s="3022"/>
      <c r="L63" s="3022"/>
      <c r="M63" s="3023"/>
      <c r="N63" s="3018">
        <f>'OVERSEAS INCOME'!V259</f>
        <v>0</v>
      </c>
      <c r="O63" s="3019"/>
      <c r="P63" s="3019"/>
      <c r="Q63" s="3020"/>
      <c r="R63" s="3021">
        <f>'OVERSEAS INCOME'!AF259</f>
        <v>0</v>
      </c>
      <c r="S63" s="3022"/>
      <c r="T63" s="3022"/>
      <c r="U63" s="3023"/>
      <c r="V63" s="3021">
        <f>R63</f>
        <v>0</v>
      </c>
      <c r="W63" s="3022"/>
      <c r="X63" s="3022"/>
      <c r="Y63" s="3023"/>
      <c r="Z63" s="3027"/>
      <c r="AA63" s="3028"/>
      <c r="AB63" s="3028"/>
      <c r="AC63" s="3029"/>
    </row>
    <row r="64" spans="1:39" ht="15">
      <c r="A64" s="1746" t="s">
        <v>1243</v>
      </c>
      <c r="B64" s="1501"/>
      <c r="C64" s="1501"/>
      <c r="D64" s="1747"/>
      <c r="E64" s="1748"/>
      <c r="F64" s="3018">
        <f>'OVERSEAS INCOME'!P305</f>
        <v>0</v>
      </c>
      <c r="G64" s="3019"/>
      <c r="H64" s="3019"/>
      <c r="I64" s="3020"/>
      <c r="J64" s="3021">
        <f>'OVERSEAS INCOME'!X305</f>
        <v>0</v>
      </c>
      <c r="K64" s="3022"/>
      <c r="L64" s="3022"/>
      <c r="M64" s="3023"/>
      <c r="N64" s="3018">
        <f>'OVERSEAS INCOME'!P307</f>
        <v>0</v>
      </c>
      <c r="O64" s="3019"/>
      <c r="P64" s="3019"/>
      <c r="Q64" s="3020"/>
      <c r="R64" s="3021">
        <f>'OVERSEAS INCOME'!X307</f>
        <v>0</v>
      </c>
      <c r="S64" s="3022"/>
      <c r="T64" s="3022"/>
      <c r="U64" s="3023"/>
      <c r="V64" s="3021">
        <f>R64</f>
        <v>0</v>
      </c>
      <c r="W64" s="3022"/>
      <c r="X64" s="3022"/>
      <c r="Y64" s="3023"/>
      <c r="Z64" s="3024"/>
      <c r="AA64" s="3025"/>
      <c r="AB64" s="3025"/>
      <c r="AC64" s="3026"/>
      <c r="AD64" s="1500"/>
      <c r="AE64" s="1500"/>
      <c r="AF64" s="1500"/>
      <c r="AG64" s="1500"/>
      <c r="AH64" s="1500"/>
      <c r="AI64" s="1500"/>
      <c r="AJ64" s="1500"/>
      <c r="AK64" s="1500"/>
      <c r="AL64" s="1500"/>
      <c r="AM64" s="1500"/>
    </row>
    <row r="65" spans="1:40" ht="20.25" customHeight="1">
      <c r="A65" s="1496" t="s">
        <v>597</v>
      </c>
      <c r="B65" s="1497"/>
      <c r="C65" s="1497"/>
      <c r="D65" s="1497"/>
      <c r="E65" s="1498"/>
      <c r="F65" s="3011">
        <f>SUM(F60:I64)</f>
        <v>0</v>
      </c>
      <c r="G65" s="3012"/>
      <c r="H65" s="3012"/>
      <c r="I65" s="3013"/>
      <c r="J65" s="3014">
        <f>SUM(J60:M64)</f>
        <v>0</v>
      </c>
      <c r="K65" s="3015"/>
      <c r="L65" s="3015"/>
      <c r="M65" s="3016"/>
      <c r="N65" s="3011">
        <f>SUM(N60:Q64)</f>
        <v>0</v>
      </c>
      <c r="O65" s="3012"/>
      <c r="P65" s="3012"/>
      <c r="Q65" s="3013"/>
      <c r="R65" s="3014">
        <f>SUM(R60:U64)</f>
        <v>0</v>
      </c>
      <c r="S65" s="3015"/>
      <c r="T65" s="3015"/>
      <c r="U65" s="3016"/>
      <c r="V65" s="3014">
        <f>SUM(V60:Y64)</f>
        <v>0</v>
      </c>
      <c r="W65" s="3015"/>
      <c r="X65" s="3015"/>
      <c r="Y65" s="3016"/>
      <c r="Z65" s="3014">
        <f>+'OVERSEAS INCOME'!AC658</f>
        <v>0</v>
      </c>
      <c r="AA65" s="3015"/>
      <c r="AB65" s="3015"/>
      <c r="AC65" s="3017"/>
      <c r="AH65" s="1499">
        <f>IF(F65&lt;0,0,F65)</f>
        <v>0</v>
      </c>
      <c r="AI65" s="1499">
        <f>IF(J65&lt;0,0,J65)</f>
        <v>0</v>
      </c>
      <c r="AJ65" s="1499">
        <f>IF(N65&lt;0,0,N65)</f>
        <v>0</v>
      </c>
      <c r="AK65" s="1499">
        <f>IF(R65&lt;0,0,R65)</f>
        <v>0</v>
      </c>
      <c r="AL65" s="1499">
        <f>IF(V65&lt;0,0,V65)</f>
        <v>0</v>
      </c>
      <c r="AM65" s="1499">
        <f>IF(Z65&lt;0,0,Z65)</f>
        <v>0</v>
      </c>
    </row>
    <row r="66" spans="1:40">
      <c r="A66" s="1492" t="s">
        <v>1238</v>
      </c>
      <c r="B66" s="1493"/>
      <c r="C66" s="1493"/>
      <c r="D66" s="1493"/>
      <c r="E66" s="1493"/>
      <c r="F66" s="3059" t="str">
        <f>'OVERSEAS INCOME'!K310</f>
        <v xml:space="preserve"> </v>
      </c>
      <c r="G66" s="3059"/>
      <c r="H66" s="3059"/>
      <c r="I66" s="3059"/>
      <c r="J66" s="3059"/>
      <c r="K66" s="3059"/>
      <c r="L66" s="3059"/>
      <c r="M66" s="3059"/>
      <c r="N66" s="1828"/>
      <c r="O66" s="1828"/>
      <c r="P66" s="1828"/>
      <c r="Q66" s="1828"/>
      <c r="R66" s="1828"/>
      <c r="S66" s="1828"/>
      <c r="T66" s="1828"/>
      <c r="U66" s="1828"/>
      <c r="V66" s="1828"/>
      <c r="W66" s="1828"/>
      <c r="X66" s="1828"/>
      <c r="Y66" s="1828"/>
      <c r="Z66" s="1828"/>
      <c r="AA66" s="1828"/>
      <c r="AB66" s="1828"/>
      <c r="AC66" s="1829"/>
    </row>
    <row r="67" spans="1:40">
      <c r="A67" s="3033" t="s">
        <v>1239</v>
      </c>
      <c r="B67" s="3034"/>
      <c r="C67" s="3034"/>
      <c r="D67" s="3034"/>
      <c r="E67" s="3035"/>
      <c r="F67" s="3018">
        <f>'OVERSEAS INCOME'!G335</f>
        <v>0</v>
      </c>
      <c r="G67" s="3019"/>
      <c r="H67" s="3019"/>
      <c r="I67" s="3020"/>
      <c r="J67" s="3021">
        <f>'OVERSEAS INCOME'!Q335</f>
        <v>0</v>
      </c>
      <c r="K67" s="3022"/>
      <c r="L67" s="3022"/>
      <c r="M67" s="3023"/>
      <c r="N67" s="3018">
        <f>'OVERSEAS INCOME'!K335</f>
        <v>0</v>
      </c>
      <c r="O67" s="3019"/>
      <c r="P67" s="3019"/>
      <c r="Q67" s="3020"/>
      <c r="R67" s="3021">
        <f>'OVERSEAS INCOME'!U335</f>
        <v>0</v>
      </c>
      <c r="S67" s="3022"/>
      <c r="T67" s="3022"/>
      <c r="U67" s="3023"/>
      <c r="V67" s="3021">
        <f>'OVERSEAS INCOME'!AA335</f>
        <v>0</v>
      </c>
      <c r="W67" s="3022"/>
      <c r="X67" s="3022"/>
      <c r="Y67" s="3023"/>
      <c r="Z67" s="3030"/>
      <c r="AA67" s="3031"/>
      <c r="AB67" s="3031"/>
      <c r="AC67" s="3032"/>
    </row>
    <row r="68" spans="1:40">
      <c r="A68" s="1746" t="s">
        <v>1240</v>
      </c>
      <c r="B68" s="1501"/>
      <c r="C68" s="1501"/>
      <c r="D68" s="1747"/>
      <c r="E68" s="1748"/>
      <c r="F68" s="3018">
        <f>'OVERSEAS INCOME'!G360</f>
        <v>0</v>
      </c>
      <c r="G68" s="3019"/>
      <c r="H68" s="3019"/>
      <c r="I68" s="3020"/>
      <c r="J68" s="3021">
        <f>'OVERSEAS INCOME'!Q360</f>
        <v>0</v>
      </c>
      <c r="K68" s="3022"/>
      <c r="L68" s="3022"/>
      <c r="M68" s="3023"/>
      <c r="N68" s="3018">
        <f>'OVERSEAS INCOME'!K360</f>
        <v>0</v>
      </c>
      <c r="O68" s="3019"/>
      <c r="P68" s="3019"/>
      <c r="Q68" s="3020"/>
      <c r="R68" s="3021">
        <f>'OVERSEAS INCOME'!U360</f>
        <v>0</v>
      </c>
      <c r="S68" s="3022"/>
      <c r="T68" s="3022"/>
      <c r="U68" s="3023"/>
      <c r="V68" s="3021">
        <f>'OVERSEAS INCOME'!AA360</f>
        <v>0</v>
      </c>
      <c r="W68" s="3022"/>
      <c r="X68" s="3022"/>
      <c r="Y68" s="3023"/>
      <c r="Z68" s="3027"/>
      <c r="AA68" s="3028"/>
      <c r="AB68" s="3028"/>
      <c r="AC68" s="3029"/>
    </row>
    <row r="69" spans="1:40" ht="12.75" customHeight="1">
      <c r="A69" s="1746" t="s">
        <v>1241</v>
      </c>
      <c r="B69" s="1501"/>
      <c r="C69" s="1501"/>
      <c r="D69" s="1747"/>
      <c r="E69" s="1748"/>
      <c r="F69" s="3018">
        <f>'OVERSEAS INCOME'!G385</f>
        <v>0</v>
      </c>
      <c r="G69" s="3019"/>
      <c r="H69" s="3019"/>
      <c r="I69" s="3020"/>
      <c r="J69" s="3021">
        <f>'OVERSEAS INCOME'!Q385</f>
        <v>0</v>
      </c>
      <c r="K69" s="3022"/>
      <c r="L69" s="3022"/>
      <c r="M69" s="3023"/>
      <c r="N69" s="3018">
        <f>'OVERSEAS INCOME'!K385</f>
        <v>0</v>
      </c>
      <c r="O69" s="3019"/>
      <c r="P69" s="3019"/>
      <c r="Q69" s="3020"/>
      <c r="R69" s="3021">
        <f>'OVERSEAS INCOME'!U385</f>
        <v>0</v>
      </c>
      <c r="S69" s="3022"/>
      <c r="T69" s="3022"/>
      <c r="U69" s="3023"/>
      <c r="V69" s="3021">
        <f>'OVERSEAS INCOME'!AA385</f>
        <v>0</v>
      </c>
      <c r="W69" s="3022"/>
      <c r="X69" s="3022"/>
      <c r="Y69" s="3023"/>
      <c r="Z69" s="3027"/>
      <c r="AA69" s="3028"/>
      <c r="AB69" s="3028"/>
      <c r="AC69" s="3029"/>
    </row>
    <row r="70" spans="1:40" s="1484" customFormat="1">
      <c r="A70" s="1746" t="s">
        <v>1242</v>
      </c>
      <c r="B70" s="1501"/>
      <c r="C70" s="1501"/>
      <c r="D70" s="1747"/>
      <c r="E70" s="1748"/>
      <c r="F70" s="3018">
        <f>'OVERSEAS INCOME'!R410</f>
        <v>0</v>
      </c>
      <c r="G70" s="3019"/>
      <c r="H70" s="3019"/>
      <c r="I70" s="3020"/>
      <c r="J70" s="3021">
        <f>'OVERSEAS INCOME'!AB410</f>
        <v>0</v>
      </c>
      <c r="K70" s="3022"/>
      <c r="L70" s="3022"/>
      <c r="M70" s="3023"/>
      <c r="N70" s="3018">
        <f>'OVERSEAS INCOME'!V410</f>
        <v>0</v>
      </c>
      <c r="O70" s="3019"/>
      <c r="P70" s="3019"/>
      <c r="Q70" s="3020"/>
      <c r="R70" s="3021">
        <f>'OVERSEAS INCOME'!AF410</f>
        <v>0</v>
      </c>
      <c r="S70" s="3022"/>
      <c r="T70" s="3022"/>
      <c r="U70" s="3023"/>
      <c r="V70" s="3021">
        <f>R70</f>
        <v>0</v>
      </c>
      <c r="W70" s="3022"/>
      <c r="X70" s="3022"/>
      <c r="Y70" s="3023"/>
      <c r="Z70" s="3027"/>
      <c r="AA70" s="3028"/>
      <c r="AB70" s="3028"/>
      <c r="AC70" s="3029"/>
      <c r="AD70" s="1468"/>
      <c r="AE70" s="1468"/>
      <c r="AF70" s="1468"/>
      <c r="AG70" s="1468"/>
      <c r="AH70" s="1468"/>
      <c r="AI70" s="1468"/>
      <c r="AJ70" s="1468"/>
      <c r="AK70" s="1468"/>
      <c r="AL70" s="1468"/>
      <c r="AM70" s="1468"/>
    </row>
    <row r="71" spans="1:40" s="1484" customFormat="1" ht="24.75" customHeight="1">
      <c r="A71" s="1746" t="s">
        <v>1243</v>
      </c>
      <c r="B71" s="1501"/>
      <c r="C71" s="1501"/>
      <c r="D71" s="1747"/>
      <c r="E71" s="1748"/>
      <c r="F71" s="3018">
        <f>'OVERSEAS INCOME'!P456</f>
        <v>0</v>
      </c>
      <c r="G71" s="3019"/>
      <c r="H71" s="3019"/>
      <c r="I71" s="3020"/>
      <c r="J71" s="3021">
        <f>'OVERSEAS INCOME'!X456</f>
        <v>0</v>
      </c>
      <c r="K71" s="3022"/>
      <c r="L71" s="3022"/>
      <c r="M71" s="3023"/>
      <c r="N71" s="3018">
        <f>'OVERSEAS INCOME'!P458</f>
        <v>0</v>
      </c>
      <c r="O71" s="3019"/>
      <c r="P71" s="3019"/>
      <c r="Q71" s="3020"/>
      <c r="R71" s="3021">
        <f>'OVERSEAS INCOME'!X458</f>
        <v>0</v>
      </c>
      <c r="S71" s="3022"/>
      <c r="T71" s="3022"/>
      <c r="U71" s="3023"/>
      <c r="V71" s="3021">
        <f>R71</f>
        <v>0</v>
      </c>
      <c r="W71" s="3022"/>
      <c r="X71" s="3022"/>
      <c r="Y71" s="3023"/>
      <c r="Z71" s="3024"/>
      <c r="AA71" s="3025"/>
      <c r="AB71" s="3025"/>
      <c r="AC71" s="3026"/>
      <c r="AD71" s="1468"/>
      <c r="AE71" s="1468"/>
      <c r="AF71" s="1468"/>
      <c r="AG71" s="1468"/>
      <c r="AH71" s="1468"/>
      <c r="AI71" s="1468"/>
      <c r="AJ71" s="1468"/>
      <c r="AK71" s="1468"/>
      <c r="AL71" s="1468"/>
      <c r="AM71" s="1468"/>
    </row>
    <row r="72" spans="1:40" s="1484" customFormat="1" ht="24.75" customHeight="1">
      <c r="A72" s="1496" t="s">
        <v>597</v>
      </c>
      <c r="B72" s="1497"/>
      <c r="C72" s="1497"/>
      <c r="D72" s="1497"/>
      <c r="E72" s="1498"/>
      <c r="F72" s="3011">
        <f>SUM(F67:I71)</f>
        <v>0</v>
      </c>
      <c r="G72" s="3012"/>
      <c r="H72" s="3012"/>
      <c r="I72" s="3013"/>
      <c r="J72" s="3014">
        <f>SUM(J67:M71)</f>
        <v>0</v>
      </c>
      <c r="K72" s="3015"/>
      <c r="L72" s="3015"/>
      <c r="M72" s="3016"/>
      <c r="N72" s="3011">
        <f>SUM(N67:Q71)</f>
        <v>0</v>
      </c>
      <c r="O72" s="3012"/>
      <c r="P72" s="3012"/>
      <c r="Q72" s="3013"/>
      <c r="R72" s="3014">
        <f>SUM(R67:U71)</f>
        <v>0</v>
      </c>
      <c r="S72" s="3015"/>
      <c r="T72" s="3015"/>
      <c r="U72" s="3016"/>
      <c r="V72" s="3014">
        <f>SUM(V67:Y71)</f>
        <v>0</v>
      </c>
      <c r="W72" s="3015"/>
      <c r="X72" s="3015"/>
      <c r="Y72" s="3016"/>
      <c r="Z72" s="3014">
        <f>+'OVERSEAS INCOME'!AC664</f>
        <v>0</v>
      </c>
      <c r="AA72" s="3015"/>
      <c r="AB72" s="3015"/>
      <c r="AC72" s="3017"/>
      <c r="AD72" s="1468"/>
      <c r="AE72" s="1468"/>
      <c r="AF72" s="1468"/>
      <c r="AG72" s="1468"/>
      <c r="AH72" s="1499">
        <f>IF(F72&lt;0,0,F72)</f>
        <v>0</v>
      </c>
      <c r="AI72" s="1499">
        <f>IF(J72&lt;0,0,J72)</f>
        <v>0</v>
      </c>
      <c r="AJ72" s="1499">
        <f>IF(N72&lt;0,0,N72)</f>
        <v>0</v>
      </c>
      <c r="AK72" s="1499">
        <f>IF(R72&lt;0,0,R72)</f>
        <v>0</v>
      </c>
      <c r="AL72" s="1499">
        <f>IF(V72&lt;0,0,V72)</f>
        <v>0</v>
      </c>
      <c r="AM72" s="1499">
        <f>IF(Z72&lt;0,0,Z72)</f>
        <v>0</v>
      </c>
    </row>
    <row r="73" spans="1:40" s="1484" customFormat="1" ht="16.5" customHeight="1">
      <c r="A73" s="1492" t="s">
        <v>1238</v>
      </c>
      <c r="B73" s="1493"/>
      <c r="C73" s="1501"/>
      <c r="D73" s="1493"/>
      <c r="E73" s="1493"/>
      <c r="F73" s="3059" t="str">
        <f>'OVERSEAS INCOME'!K461</f>
        <v xml:space="preserve"> </v>
      </c>
      <c r="G73" s="3059"/>
      <c r="H73" s="3059"/>
      <c r="I73" s="3059"/>
      <c r="J73" s="3059"/>
      <c r="K73" s="3059"/>
      <c r="L73" s="3059"/>
      <c r="M73" s="3059"/>
      <c r="N73" s="1828"/>
      <c r="O73" s="1828"/>
      <c r="P73" s="1828"/>
      <c r="Q73" s="1828"/>
      <c r="R73" s="1830"/>
      <c r="S73" s="1830"/>
      <c r="T73" s="1830"/>
      <c r="U73" s="1830"/>
      <c r="V73" s="1830"/>
      <c r="W73" s="1830"/>
      <c r="X73" s="1830"/>
      <c r="Y73" s="1830"/>
      <c r="Z73" s="1830"/>
      <c r="AA73" s="1830"/>
      <c r="AB73" s="1830"/>
      <c r="AC73" s="1831"/>
      <c r="AD73" s="1468"/>
      <c r="AE73" s="1468"/>
      <c r="AF73" s="1468"/>
      <c r="AG73" s="1468"/>
      <c r="AH73" s="1468"/>
      <c r="AI73" s="1468"/>
      <c r="AJ73" s="1468"/>
      <c r="AK73" s="1468"/>
      <c r="AL73" s="1468"/>
      <c r="AM73" s="1468"/>
    </row>
    <row r="74" spans="1:40" s="1484" customFormat="1" ht="16.5" customHeight="1">
      <c r="A74" s="3033" t="s">
        <v>1239</v>
      </c>
      <c r="B74" s="3034"/>
      <c r="C74" s="3034"/>
      <c r="D74" s="3034"/>
      <c r="E74" s="3035"/>
      <c r="F74" s="3018">
        <f>'OVERSEAS INCOME'!G486</f>
        <v>0</v>
      </c>
      <c r="G74" s="3019"/>
      <c r="H74" s="3019"/>
      <c r="I74" s="3020"/>
      <c r="J74" s="3021">
        <f>'OVERSEAS INCOME'!Q486</f>
        <v>0</v>
      </c>
      <c r="K74" s="3022"/>
      <c r="L74" s="3022"/>
      <c r="M74" s="3023"/>
      <c r="N74" s="3018">
        <f>'OVERSEAS INCOME'!K486</f>
        <v>0</v>
      </c>
      <c r="O74" s="3019"/>
      <c r="P74" s="3019"/>
      <c r="Q74" s="3020"/>
      <c r="R74" s="3021">
        <f>'OVERSEAS INCOME'!U486</f>
        <v>0</v>
      </c>
      <c r="S74" s="3022"/>
      <c r="T74" s="3022"/>
      <c r="U74" s="3023"/>
      <c r="V74" s="3021">
        <f>'OVERSEAS INCOME'!AA486</f>
        <v>0</v>
      </c>
      <c r="W74" s="3022"/>
      <c r="X74" s="3022"/>
      <c r="Y74" s="3023"/>
      <c r="Z74" s="3030"/>
      <c r="AA74" s="3031"/>
      <c r="AB74" s="3031"/>
      <c r="AC74" s="3032"/>
      <c r="AD74" s="1468"/>
      <c r="AE74" s="1468"/>
      <c r="AF74" s="1468"/>
      <c r="AG74" s="1468"/>
      <c r="AH74" s="1468"/>
      <c r="AI74" s="1468"/>
      <c r="AJ74" s="1468"/>
      <c r="AK74" s="1468"/>
      <c r="AL74" s="1468"/>
      <c r="AM74" s="1468"/>
    </row>
    <row r="75" spans="1:40">
      <c r="A75" s="1746" t="s">
        <v>1240</v>
      </c>
      <c r="B75" s="1501"/>
      <c r="C75" s="1501"/>
      <c r="D75" s="1747"/>
      <c r="E75" s="1748"/>
      <c r="F75" s="3018">
        <f>'OVERSEAS INCOME'!G511</f>
        <v>0</v>
      </c>
      <c r="G75" s="3019"/>
      <c r="H75" s="3019"/>
      <c r="I75" s="3020"/>
      <c r="J75" s="3021">
        <f>'OVERSEAS INCOME'!Q511</f>
        <v>0</v>
      </c>
      <c r="K75" s="3022"/>
      <c r="L75" s="3022"/>
      <c r="M75" s="3023"/>
      <c r="N75" s="3018">
        <f>'OVERSEAS INCOME'!K511</f>
        <v>0</v>
      </c>
      <c r="O75" s="3019"/>
      <c r="P75" s="3019"/>
      <c r="Q75" s="3020"/>
      <c r="R75" s="3021">
        <f>'OVERSEAS INCOME'!U511</f>
        <v>0</v>
      </c>
      <c r="S75" s="3022"/>
      <c r="T75" s="3022"/>
      <c r="U75" s="3023"/>
      <c r="V75" s="3021">
        <f>'OVERSEAS INCOME'!AA511</f>
        <v>0</v>
      </c>
      <c r="W75" s="3022"/>
      <c r="X75" s="3022"/>
      <c r="Y75" s="3023"/>
      <c r="Z75" s="3027"/>
      <c r="AA75" s="3028"/>
      <c r="AB75" s="3028"/>
      <c r="AC75" s="3029"/>
    </row>
    <row r="76" spans="1:40">
      <c r="A76" s="1746" t="s">
        <v>1241</v>
      </c>
      <c r="B76" s="1501"/>
      <c r="C76" s="1501"/>
      <c r="D76" s="1747"/>
      <c r="E76" s="1748"/>
      <c r="F76" s="3018">
        <f>'OVERSEAS INCOME'!G536</f>
        <v>0</v>
      </c>
      <c r="G76" s="3019"/>
      <c r="H76" s="3019"/>
      <c r="I76" s="3020"/>
      <c r="J76" s="3021">
        <f>'OVERSEAS INCOME'!Q536</f>
        <v>0</v>
      </c>
      <c r="K76" s="3022"/>
      <c r="L76" s="3022"/>
      <c r="M76" s="3023"/>
      <c r="N76" s="3018">
        <f>'OVERSEAS INCOME'!K536</f>
        <v>0</v>
      </c>
      <c r="O76" s="3019"/>
      <c r="P76" s="3019"/>
      <c r="Q76" s="3020"/>
      <c r="R76" s="3021">
        <f>'OVERSEAS INCOME'!U536</f>
        <v>0</v>
      </c>
      <c r="S76" s="3022"/>
      <c r="T76" s="3022"/>
      <c r="U76" s="3023"/>
      <c r="V76" s="3021">
        <f>'OVERSEAS INCOME'!AA536</f>
        <v>0</v>
      </c>
      <c r="W76" s="3022"/>
      <c r="X76" s="3022"/>
      <c r="Y76" s="3023"/>
      <c r="Z76" s="3027"/>
      <c r="AA76" s="3028"/>
      <c r="AB76" s="3028"/>
      <c r="AC76" s="3029"/>
    </row>
    <row r="77" spans="1:40">
      <c r="A77" s="1746" t="s">
        <v>1242</v>
      </c>
      <c r="B77" s="1501"/>
      <c r="C77" s="1501"/>
      <c r="D77" s="1747"/>
      <c r="E77" s="1748"/>
      <c r="F77" s="3018">
        <f>'OVERSEAS INCOME'!R560</f>
        <v>0</v>
      </c>
      <c r="G77" s="3019"/>
      <c r="H77" s="3019"/>
      <c r="I77" s="3020"/>
      <c r="J77" s="3021">
        <f>'OVERSEAS INCOME'!AB560</f>
        <v>0</v>
      </c>
      <c r="K77" s="3022"/>
      <c r="L77" s="3022"/>
      <c r="M77" s="3023"/>
      <c r="N77" s="3018">
        <f>'OVERSEAS INCOME'!V560</f>
        <v>0</v>
      </c>
      <c r="O77" s="3019"/>
      <c r="P77" s="3019"/>
      <c r="Q77" s="3020"/>
      <c r="R77" s="3021">
        <f>'OVERSEAS INCOME'!AF560</f>
        <v>0</v>
      </c>
      <c r="S77" s="3022"/>
      <c r="T77" s="3022"/>
      <c r="U77" s="3023"/>
      <c r="V77" s="3021">
        <f>R77</f>
        <v>0</v>
      </c>
      <c r="W77" s="3022"/>
      <c r="X77" s="3022"/>
      <c r="Y77" s="3023"/>
      <c r="Z77" s="3027"/>
      <c r="AA77" s="3028"/>
      <c r="AB77" s="3028"/>
      <c r="AC77" s="3029"/>
    </row>
    <row r="78" spans="1:40" ht="37.5" customHeight="1">
      <c r="A78" s="1746" t="s">
        <v>1243</v>
      </c>
      <c r="B78" s="1501"/>
      <c r="C78" s="1501"/>
      <c r="D78" s="1747"/>
      <c r="E78" s="1748"/>
      <c r="F78" s="3018">
        <f>'OVERSEAS INCOME'!P607</f>
        <v>0</v>
      </c>
      <c r="G78" s="3019"/>
      <c r="H78" s="3019"/>
      <c r="I78" s="3020"/>
      <c r="J78" s="3021">
        <f>'OVERSEAS INCOME'!X607</f>
        <v>0</v>
      </c>
      <c r="K78" s="3022"/>
      <c r="L78" s="3022"/>
      <c r="M78" s="3023"/>
      <c r="N78" s="3018">
        <f>'OVERSEAS INCOME'!P609</f>
        <v>0</v>
      </c>
      <c r="O78" s="3019"/>
      <c r="P78" s="3019"/>
      <c r="Q78" s="3020"/>
      <c r="R78" s="3021">
        <f>'OVERSEAS INCOME'!X609</f>
        <v>0</v>
      </c>
      <c r="S78" s="3022"/>
      <c r="T78" s="3022"/>
      <c r="U78" s="3023"/>
      <c r="V78" s="3021">
        <f>R78</f>
        <v>0</v>
      </c>
      <c r="W78" s="3022"/>
      <c r="X78" s="3022"/>
      <c r="Y78" s="3023"/>
      <c r="Z78" s="3024"/>
      <c r="AA78" s="3025"/>
      <c r="AB78" s="3025"/>
      <c r="AC78" s="3026"/>
    </row>
    <row r="79" spans="1:40" s="1471" customFormat="1">
      <c r="A79" s="1496" t="s">
        <v>597</v>
      </c>
      <c r="B79" s="1497"/>
      <c r="C79" s="1497"/>
      <c r="D79" s="1497"/>
      <c r="E79" s="1498"/>
      <c r="F79" s="3011">
        <f>SUM(F74:I78)</f>
        <v>0</v>
      </c>
      <c r="G79" s="3012"/>
      <c r="H79" s="3012"/>
      <c r="I79" s="3013"/>
      <c r="J79" s="3014">
        <f>SUM(J74:M78)</f>
        <v>0</v>
      </c>
      <c r="K79" s="3015"/>
      <c r="L79" s="3015"/>
      <c r="M79" s="3016"/>
      <c r="N79" s="3011">
        <f>SUM(N74:Q78)</f>
        <v>0</v>
      </c>
      <c r="O79" s="3012"/>
      <c r="P79" s="3012"/>
      <c r="Q79" s="3013"/>
      <c r="R79" s="3014">
        <f>SUM(R74:U78)</f>
        <v>0</v>
      </c>
      <c r="S79" s="3015"/>
      <c r="T79" s="3015"/>
      <c r="U79" s="3016"/>
      <c r="V79" s="3014">
        <f>SUM(V74:Y78)</f>
        <v>0</v>
      </c>
      <c r="W79" s="3015"/>
      <c r="X79" s="3015"/>
      <c r="Y79" s="3016"/>
      <c r="Z79" s="3014">
        <f>+'OVERSEAS INCOME'!AC670</f>
        <v>0</v>
      </c>
      <c r="AA79" s="3015"/>
      <c r="AB79" s="3015"/>
      <c r="AC79" s="3017"/>
      <c r="AD79" s="1468"/>
      <c r="AE79" s="1468"/>
      <c r="AF79" s="1468"/>
      <c r="AG79" s="1468"/>
      <c r="AH79" s="1499">
        <f>IF(F79&lt;0,0,F79)</f>
        <v>0</v>
      </c>
      <c r="AI79" s="1499">
        <f>IF(J79&lt;0,0,J79)</f>
        <v>0</v>
      </c>
      <c r="AJ79" s="1499">
        <f>IF(N79&lt;0,0,N79)</f>
        <v>0</v>
      </c>
      <c r="AK79" s="1499">
        <f>IF(R79&lt;0,0,R79)</f>
        <v>0</v>
      </c>
      <c r="AL79" s="1499">
        <f>IF(V79&lt;0,0,V79)</f>
        <v>0</v>
      </c>
      <c r="AM79" s="1499">
        <f>IF(Z79&lt;0,0,Z79)</f>
        <v>0</v>
      </c>
      <c r="AN79" s="1476"/>
    </row>
    <row r="80" spans="1:40" s="1471" customFormat="1" ht="16.5" customHeight="1">
      <c r="A80" s="1502"/>
      <c r="B80" s="1503"/>
      <c r="C80" s="1504"/>
      <c r="D80" s="1503"/>
      <c r="E80" s="1503"/>
      <c r="F80" s="1832"/>
      <c r="G80" s="1832"/>
      <c r="H80" s="1832"/>
      <c r="I80" s="1832"/>
      <c r="J80" s="1833"/>
      <c r="K80" s="1833"/>
      <c r="L80" s="1833"/>
      <c r="M80" s="1833"/>
      <c r="N80" s="1832"/>
      <c r="O80" s="1832"/>
      <c r="P80" s="1832"/>
      <c r="Q80" s="1832"/>
      <c r="R80" s="1833"/>
      <c r="S80" s="1833"/>
      <c r="T80" s="1833"/>
      <c r="U80" s="1833"/>
      <c r="V80" s="1833"/>
      <c r="W80" s="1833"/>
      <c r="X80" s="1833"/>
      <c r="Y80" s="1833"/>
      <c r="Z80" s="1833"/>
      <c r="AA80" s="1833"/>
      <c r="AB80" s="1833"/>
      <c r="AC80" s="1834"/>
      <c r="AD80" s="1468"/>
      <c r="AE80" s="1468"/>
      <c r="AF80" s="1468"/>
      <c r="AG80" s="1468"/>
      <c r="AH80" s="1468"/>
      <c r="AI80" s="1468"/>
      <c r="AJ80" s="1468"/>
      <c r="AK80" s="1468"/>
      <c r="AL80" s="1468"/>
      <c r="AM80" s="1468"/>
    </row>
    <row r="81" spans="1:39" s="1471" customFormat="1" ht="15.75" thickBot="1">
      <c r="A81" s="1505" t="s">
        <v>1244</v>
      </c>
      <c r="B81" s="1506"/>
      <c r="C81" s="1507"/>
      <c r="D81" s="1506"/>
      <c r="E81" s="1506"/>
      <c r="F81" s="3003">
        <f>+SUM(AH57:AH81)</f>
        <v>0</v>
      </c>
      <c r="G81" s="3004"/>
      <c r="H81" s="3004"/>
      <c r="I81" s="3005"/>
      <c r="J81" s="3006">
        <f>+SUM(AI58:AI81)</f>
        <v>0</v>
      </c>
      <c r="K81" s="3007"/>
      <c r="L81" s="3007"/>
      <c r="M81" s="3008"/>
      <c r="N81" s="3003">
        <f>+SUM(AJ58:AJ79)</f>
        <v>0</v>
      </c>
      <c r="O81" s="3004"/>
      <c r="P81" s="3004"/>
      <c r="Q81" s="3005"/>
      <c r="R81" s="3006">
        <f>+SUM(AK58:AK79)</f>
        <v>0</v>
      </c>
      <c r="S81" s="3007"/>
      <c r="T81" s="3007"/>
      <c r="U81" s="3008"/>
      <c r="V81" s="2926">
        <f>+SUM(AL58:AL79)</f>
        <v>0</v>
      </c>
      <c r="W81" s="2927"/>
      <c r="X81" s="2927"/>
      <c r="Y81" s="3009"/>
      <c r="Z81" s="3006">
        <f>+SUM(AM58:AM79)</f>
        <v>0</v>
      </c>
      <c r="AA81" s="3007"/>
      <c r="AB81" s="3007"/>
      <c r="AC81" s="3010"/>
      <c r="AD81" s="1468"/>
      <c r="AE81" s="1468"/>
      <c r="AF81" s="1468"/>
      <c r="AG81" s="1468"/>
      <c r="AH81" s="1508"/>
      <c r="AI81" s="1508"/>
      <c r="AJ81" s="1508"/>
      <c r="AK81" s="1508"/>
      <c r="AL81" s="1508"/>
      <c r="AM81" s="1508"/>
    </row>
    <row r="82" spans="1:39" s="1476" customFormat="1">
      <c r="A82" s="1468"/>
      <c r="B82" s="1468"/>
      <c r="C82" s="1468"/>
      <c r="D82" s="1468"/>
      <c r="E82" s="1468"/>
      <c r="F82" s="1468"/>
      <c r="G82" s="1468"/>
      <c r="H82" s="1468"/>
      <c r="I82" s="1468"/>
      <c r="J82" s="1468"/>
      <c r="K82" s="1468"/>
      <c r="L82" s="1468"/>
      <c r="M82" s="1468"/>
      <c r="N82" s="1468"/>
      <c r="O82" s="1468"/>
      <c r="P82" s="1468"/>
      <c r="Q82" s="1468"/>
      <c r="R82" s="1468"/>
      <c r="S82" s="1468"/>
      <c r="T82" s="1468"/>
      <c r="U82" s="1468"/>
      <c r="V82" s="1468"/>
      <c r="W82" s="1468"/>
      <c r="X82" s="1468"/>
      <c r="Y82" s="1468"/>
      <c r="Z82" s="1468"/>
      <c r="AA82" s="1468"/>
      <c r="AB82" s="1468"/>
      <c r="AC82" s="1468"/>
      <c r="AD82" s="1468"/>
      <c r="AE82" s="1468"/>
      <c r="AF82" s="1468"/>
      <c r="AG82" s="1468"/>
      <c r="AH82" s="1468"/>
      <c r="AI82" s="1468"/>
      <c r="AJ82" s="1468"/>
      <c r="AK82" s="1468"/>
      <c r="AL82" s="1468"/>
      <c r="AM82" s="1468"/>
    </row>
    <row r="83" spans="1:39" s="1476" customFormat="1">
      <c r="A83" s="1468" t="s">
        <v>1245</v>
      </c>
      <c r="B83" s="1468"/>
      <c r="C83" s="1468"/>
      <c r="D83" s="1468"/>
      <c r="E83" s="1468"/>
      <c r="F83" s="1468"/>
      <c r="G83" s="1468"/>
      <c r="H83" s="1468"/>
      <c r="I83" s="1468"/>
      <c r="J83" s="1468"/>
      <c r="K83" s="1468"/>
      <c r="L83" s="1468"/>
      <c r="M83" s="1468"/>
      <c r="N83" s="1468"/>
      <c r="O83" s="1468"/>
      <c r="P83" s="1468"/>
      <c r="Q83" s="1468"/>
      <c r="R83" s="1468"/>
      <c r="S83" s="1468"/>
      <c r="T83" s="1468"/>
      <c r="U83" s="1468"/>
      <c r="V83" s="1468"/>
      <c r="W83" s="1468"/>
      <c r="X83" s="1468"/>
      <c r="Y83" s="1468"/>
      <c r="Z83" s="1468"/>
      <c r="AA83" s="1468"/>
      <c r="AB83" s="1468"/>
      <c r="AC83" s="1468"/>
      <c r="AD83" s="1468"/>
      <c r="AE83" s="1468"/>
      <c r="AF83" s="1468"/>
      <c r="AG83" s="1468"/>
      <c r="AH83" s="1468"/>
      <c r="AI83" s="1468"/>
      <c r="AJ83" s="1468"/>
      <c r="AK83" s="1468"/>
      <c r="AL83" s="1468"/>
      <c r="AM83" s="1468"/>
    </row>
    <row r="88" spans="1:39" ht="20.25">
      <c r="C88" s="1472" t="s">
        <v>1246</v>
      </c>
      <c r="D88" s="1475"/>
      <c r="E88" s="886"/>
      <c r="X88" s="2938"/>
      <c r="Y88" s="2938"/>
      <c r="Z88" s="2938"/>
      <c r="AA88" s="2938"/>
    </row>
    <row r="89" spans="1:39" ht="20.25">
      <c r="C89" s="1472" t="s">
        <v>1247</v>
      </c>
      <c r="D89" s="1475"/>
      <c r="E89" s="886"/>
      <c r="G89" s="3001" t="e">
        <f>G15+1</f>
        <v>#VALUE!</v>
      </c>
      <c r="H89" s="3001"/>
      <c r="I89" s="3001"/>
    </row>
    <row r="91" spans="1:39">
      <c r="C91" s="1471" t="s">
        <v>1248</v>
      </c>
    </row>
    <row r="93" spans="1:39">
      <c r="D93" s="1468" t="s">
        <v>1249</v>
      </c>
      <c r="T93" s="2993" t="e">
        <f>IF('GENERAL INFO'!W77="X",0,IF((OR(ISBLANK(dateofdeparture)=TRUE,(dateofdeparture-taxyearend)&gt;0)),IF('GENERAL INFO'!G135="X",CalculationSheet!N16,CalculationSheet!N113),0))</f>
        <v>#VALUE!</v>
      </c>
      <c r="U93" s="2993"/>
      <c r="V93" s="2993"/>
      <c r="W93" s="2993"/>
      <c r="X93" s="2999"/>
      <c r="Y93" s="2999"/>
      <c r="Z93" s="2999"/>
      <c r="AA93" s="2999"/>
      <c r="AB93" s="1509"/>
    </row>
    <row r="94" spans="1:39">
      <c r="D94" s="1468" t="s">
        <v>1250</v>
      </c>
      <c r="T94" s="3002" t="e">
        <f>IF('GENERAL INFO'!W77="X",0,IF((OR(ISBLANK(dateofdeparture)=TRUE,(dateofdeparture-taxyearend)&gt;0)),IF('GENERAL INFO'!G135="X",CalculationSheet!N17,CalculationSheet!N114),0))</f>
        <v>#VALUE!</v>
      </c>
      <c r="U94" s="3002"/>
      <c r="V94" s="3002"/>
      <c r="W94" s="3002"/>
      <c r="X94" s="2999"/>
      <c r="Y94" s="2999"/>
      <c r="Z94" s="2999"/>
      <c r="AA94" s="2999"/>
      <c r="AB94" s="1509"/>
    </row>
    <row r="95" spans="1:39">
      <c r="D95" s="1468" t="s">
        <v>1251</v>
      </c>
      <c r="T95" s="2998" t="e">
        <f>IF('GENERAL INFO'!W77="X",0,IF((OR(ISBLANK(dateofdeparture)=TRUE,(dateofdeparture-taxyearend)&gt;0)),IF('GENERAL INFO'!G135="X",CalculationSheet!N18,CalculationSheet!N115),0))</f>
        <v>#VALUE!</v>
      </c>
      <c r="U95" s="2998"/>
      <c r="V95" s="2998"/>
      <c r="W95" s="2998"/>
      <c r="X95" s="2999"/>
      <c r="Y95" s="2999"/>
      <c r="Z95" s="2999"/>
      <c r="AA95" s="2999"/>
      <c r="AB95" s="1509"/>
    </row>
    <row r="96" spans="1:39">
      <c r="D96" s="1468" t="s">
        <v>1189</v>
      </c>
      <c r="T96" s="2999"/>
      <c r="U96" s="2999"/>
      <c r="V96" s="2999"/>
      <c r="W96" s="2999"/>
      <c r="X96" s="2993" t="e">
        <f>SUM(T93:W95)</f>
        <v>#VALUE!</v>
      </c>
      <c r="Y96" s="2993"/>
      <c r="Z96" s="2993"/>
      <c r="AA96" s="2993"/>
      <c r="AB96" s="1509"/>
    </row>
    <row r="97" spans="1:39">
      <c r="C97" s="1475"/>
      <c r="T97" s="1510"/>
      <c r="U97" s="1510"/>
      <c r="V97" s="1510"/>
      <c r="W97" s="1510"/>
      <c r="X97" s="1762"/>
      <c r="Y97" s="1762"/>
      <c r="Z97" s="1762"/>
      <c r="AA97" s="1762"/>
    </row>
    <row r="98" spans="1:39">
      <c r="C98" s="890" t="s">
        <v>1252</v>
      </c>
      <c r="T98" s="1510"/>
      <c r="U98" s="1510"/>
      <c r="V98" s="1510"/>
      <c r="W98" s="1510"/>
      <c r="X98" s="3000">
        <f>IF('GENERAL INFO'!W77="X",0,IF('GENERAL INFO'!G135="X",(-CalculationSheet!J64-CalculationSheet!J68)/12*workperiod,(-CalculationSheet!J160-CalculationSheet!J164/12*workperiod)))</f>
        <v>0</v>
      </c>
      <c r="Y98" s="2998"/>
      <c r="Z98" s="2998"/>
      <c r="AA98" s="2998"/>
    </row>
    <row r="99" spans="1:39">
      <c r="C99" s="1475"/>
      <c r="T99" s="1510"/>
      <c r="U99" s="1510"/>
      <c r="V99" s="1510"/>
      <c r="W99" s="1510"/>
      <c r="X99" s="1763"/>
      <c r="Y99" s="1763"/>
      <c r="Z99" s="1763"/>
      <c r="AA99" s="1763"/>
    </row>
    <row r="100" spans="1:39" s="1486" customFormat="1">
      <c r="A100" s="1468"/>
      <c r="B100" s="1468"/>
      <c r="C100" s="890" t="s">
        <v>1253</v>
      </c>
      <c r="D100" s="1512"/>
      <c r="E100" s="1468"/>
      <c r="F100" s="1468"/>
      <c r="G100" s="1468"/>
      <c r="H100" s="1468"/>
      <c r="I100" s="1468"/>
      <c r="J100" s="1468"/>
      <c r="K100" s="1468"/>
      <c r="L100" s="1468"/>
      <c r="M100" s="1468"/>
      <c r="N100" s="1468"/>
      <c r="O100" s="1468" t="s">
        <v>381</v>
      </c>
      <c r="P100" s="1468"/>
      <c r="Q100" s="1468"/>
      <c r="R100" s="1468"/>
      <c r="S100" s="1468"/>
      <c r="T100" s="1510"/>
      <c r="U100" s="1510"/>
      <c r="V100" s="1510"/>
      <c r="W100" s="1510"/>
      <c r="X100" s="2993" t="e">
        <f>X96-X98</f>
        <v>#VALUE!</v>
      </c>
      <c r="Y100" s="2993"/>
      <c r="Z100" s="2993"/>
      <c r="AA100" s="2993"/>
      <c r="AB100" s="1468"/>
      <c r="AC100" s="1468"/>
      <c r="AD100" s="1468"/>
      <c r="AE100" s="1468"/>
      <c r="AF100" s="1468"/>
      <c r="AG100" s="1468"/>
      <c r="AH100" s="1468"/>
      <c r="AI100" s="1468"/>
      <c r="AJ100" s="1468"/>
      <c r="AK100" s="1468"/>
      <c r="AL100" s="1468"/>
      <c r="AM100" s="1468"/>
    </row>
    <row r="101" spans="1:39">
      <c r="C101" s="1475"/>
      <c r="T101" s="1510"/>
      <c r="U101" s="1510"/>
      <c r="V101" s="1510"/>
      <c r="W101" s="1510"/>
      <c r="X101" s="1763"/>
      <c r="Y101" s="1763"/>
      <c r="Z101" s="1763"/>
      <c r="AA101" s="1763"/>
    </row>
    <row r="102" spans="1:39" s="1486" customFormat="1">
      <c r="A102" s="1468"/>
      <c r="B102" s="1468"/>
      <c r="C102" s="890" t="s">
        <v>1254</v>
      </c>
      <c r="D102" s="1512"/>
      <c r="E102" s="1468"/>
      <c r="F102" s="1468"/>
      <c r="G102" s="1468"/>
      <c r="H102" s="1468"/>
      <c r="I102" s="1468"/>
      <c r="J102" s="1468"/>
      <c r="K102" s="1468"/>
      <c r="L102" s="1468"/>
      <c r="M102" s="1468"/>
      <c r="N102" s="1468"/>
      <c r="O102" s="1468" t="s">
        <v>381</v>
      </c>
      <c r="P102" s="1468"/>
      <c r="Q102" s="1468"/>
      <c r="R102" s="1468"/>
      <c r="S102" s="1468"/>
      <c r="T102" s="1510"/>
      <c r="U102" s="1510"/>
      <c r="V102" s="1510"/>
      <c r="W102" s="1510"/>
      <c r="X102" s="2993">
        <f>IF('GENERAL INFO'!W77="X",0,IF('GENERAL INFO'!G135="X",CalculationSheet!R71,CalculationSheet!R167))</f>
        <v>0</v>
      </c>
      <c r="Y102" s="2993"/>
      <c r="Z102" s="2993"/>
      <c r="AA102" s="2993"/>
      <c r="AB102" s="1468"/>
      <c r="AC102" s="1468"/>
      <c r="AD102" s="1468"/>
      <c r="AE102" s="1468"/>
      <c r="AF102" s="1468"/>
      <c r="AG102" s="1468"/>
      <c r="AH102" s="1468"/>
      <c r="AI102" s="1468"/>
      <c r="AJ102" s="1468"/>
      <c r="AK102" s="1468"/>
      <c r="AL102" s="1468"/>
      <c r="AM102" s="1468"/>
    </row>
    <row r="103" spans="1:39" s="1486" customFormat="1">
      <c r="A103" s="1468"/>
      <c r="B103" s="1468"/>
      <c r="C103" s="890"/>
      <c r="D103" s="1512"/>
      <c r="E103" s="1468"/>
      <c r="F103" s="1468"/>
      <c r="G103" s="1468"/>
      <c r="H103" s="1468"/>
      <c r="I103" s="1468"/>
      <c r="J103" s="1468"/>
      <c r="K103" s="1468"/>
      <c r="L103" s="1468"/>
      <c r="M103" s="1468"/>
      <c r="N103" s="1468"/>
      <c r="O103" s="1468"/>
      <c r="P103" s="1468"/>
      <c r="Q103" s="1468"/>
      <c r="R103" s="1468"/>
      <c r="S103" s="1468"/>
      <c r="T103" s="1510"/>
      <c r="U103" s="1510"/>
      <c r="V103" s="1510"/>
      <c r="W103" s="1510"/>
      <c r="X103" s="1762"/>
      <c r="Y103" s="1762"/>
      <c r="Z103" s="1762"/>
      <c r="AA103" s="1762"/>
      <c r="AB103" s="1468"/>
      <c r="AC103" s="1468"/>
      <c r="AD103" s="1468"/>
      <c r="AE103" s="1468"/>
      <c r="AF103" s="1468"/>
      <c r="AG103" s="1468"/>
      <c r="AH103" s="1468"/>
      <c r="AI103" s="1468"/>
      <c r="AJ103" s="1468"/>
      <c r="AK103" s="1468"/>
      <c r="AL103" s="1468"/>
      <c r="AM103" s="1468"/>
    </row>
    <row r="104" spans="1:39">
      <c r="C104" s="890" t="s">
        <v>438</v>
      </c>
      <c r="D104" s="1512"/>
      <c r="T104" s="1510"/>
      <c r="U104" s="1510"/>
      <c r="V104" s="1510"/>
      <c r="W104" s="1510"/>
      <c r="X104" s="2976">
        <f>IF('GENERAL INFO'!W77="X",0,IF('GENERAL INFO'!G135="X",CalculationSheet!R73,CalculationSheet!R169))</f>
        <v>0</v>
      </c>
      <c r="Y104" s="2976"/>
      <c r="Z104" s="2976"/>
      <c r="AA104" s="2976"/>
      <c r="AE104" s="2994">
        <f>IF('GENERAL INFO'!W77="X",0,IF('GENERAL INFO'!G135="X",CalculationSheet!$R95,CalculationSheet!$R191))</f>
        <v>0</v>
      </c>
      <c r="AF104" s="2994"/>
      <c r="AG104" s="2994"/>
      <c r="AH104" s="2994"/>
    </row>
    <row r="105" spans="1:39">
      <c r="C105" s="1475"/>
      <c r="T105" s="1510"/>
      <c r="U105" s="1510"/>
      <c r="V105" s="1510"/>
      <c r="W105" s="1510"/>
      <c r="X105" s="1764"/>
      <c r="Y105" s="1764"/>
      <c r="Z105" s="1764"/>
      <c r="AA105" s="1764"/>
    </row>
    <row r="106" spans="1:39">
      <c r="C106" s="890" t="s">
        <v>1255</v>
      </c>
      <c r="D106" s="1512"/>
      <c r="T106" s="1510"/>
      <c r="U106" s="1510"/>
      <c r="V106" s="1510"/>
      <c r="W106" s="1510"/>
      <c r="X106" s="2995">
        <f>IF('GENERAL INFO'!W77="X",0,IF(CalculationSheet!R75&lt;0,0,IF('GENERAL INFO'!G135="X",CalculationSheet!R75,CalculationSheet!R171)))</f>
        <v>0</v>
      </c>
      <c r="Y106" s="2996"/>
      <c r="Z106" s="2996"/>
      <c r="AA106" s="2996"/>
    </row>
    <row r="107" spans="1:39">
      <c r="C107" s="890"/>
      <c r="D107" s="1512"/>
      <c r="T107" s="1510"/>
      <c r="U107" s="1510"/>
      <c r="V107" s="1510"/>
      <c r="W107" s="1510"/>
      <c r="X107" s="1762"/>
      <c r="Y107" s="1762"/>
      <c r="Z107" s="1762"/>
      <c r="AA107" s="1762"/>
    </row>
    <row r="108" spans="1:39">
      <c r="C108" s="890" t="s">
        <v>1256</v>
      </c>
      <c r="T108" s="1510"/>
      <c r="U108" s="1510"/>
      <c r="V108" s="1510"/>
      <c r="W108" s="1510"/>
      <c r="X108" s="2976">
        <f>IF('GENERAL INFO'!W77="X",0,IF('GENERAL INFO'!G135="X",CalculationSheet!R89,CalculationSheet!R185))</f>
        <v>0</v>
      </c>
      <c r="Y108" s="2976"/>
      <c r="Z108" s="2976"/>
      <c r="AA108" s="2976"/>
    </row>
    <row r="109" spans="1:39">
      <c r="C109" s="1475"/>
      <c r="T109" s="1510"/>
      <c r="U109" s="1510"/>
      <c r="V109" s="1510"/>
      <c r="W109" s="1510"/>
      <c r="X109" s="1762"/>
      <c r="Y109" s="1762"/>
      <c r="Z109" s="1762"/>
      <c r="AA109" s="1762"/>
    </row>
    <row r="110" spans="1:39">
      <c r="C110" s="890" t="s">
        <v>1257</v>
      </c>
      <c r="T110" s="1510"/>
      <c r="U110" s="1510"/>
      <c r="V110" s="1510"/>
      <c r="W110" s="1510"/>
      <c r="X110" s="1762"/>
      <c r="Y110" s="1762"/>
      <c r="Z110" s="1762"/>
      <c r="AA110" s="1762"/>
    </row>
    <row r="111" spans="1:39">
      <c r="D111" s="890" t="s">
        <v>1258</v>
      </c>
      <c r="T111" s="1510"/>
      <c r="U111" s="1510"/>
      <c r="V111" s="1510"/>
      <c r="W111" s="1510"/>
      <c r="X111" s="2997">
        <f>IF(AE104&gt;X108,X108,AE104)</f>
        <v>0</v>
      </c>
      <c r="Y111" s="2976"/>
      <c r="Z111" s="2976"/>
      <c r="AA111" s="2976"/>
    </row>
    <row r="112" spans="1:39">
      <c r="D112" s="890" t="s">
        <v>1259</v>
      </c>
      <c r="T112" s="1510"/>
      <c r="U112" s="1510"/>
      <c r="V112" s="1510"/>
      <c r="W112" s="1510"/>
      <c r="X112" s="2976">
        <f>IF('GENERAL INFO'!W77="X",0,IF('GENERAL INFO'!G135="X",CalculationSheet!R97,CalculationSheet!R193))</f>
        <v>0</v>
      </c>
      <c r="Y112" s="2976"/>
      <c r="Z112" s="2976"/>
      <c r="AA112" s="2976"/>
      <c r="AD112" s="1484"/>
      <c r="AE112" s="1484"/>
      <c r="AF112" s="1484"/>
      <c r="AG112" s="1484"/>
      <c r="AH112" s="1484"/>
      <c r="AI112" s="1484"/>
      <c r="AJ112" s="1484"/>
      <c r="AK112" s="1484"/>
      <c r="AL112" s="1484"/>
      <c r="AM112" s="1484"/>
    </row>
    <row r="113" spans="1:39">
      <c r="C113" s="1475"/>
      <c r="T113" s="1510"/>
      <c r="U113" s="1510"/>
      <c r="V113" s="1510"/>
      <c r="W113" s="1510"/>
      <c r="X113" s="1764"/>
      <c r="Y113" s="1764"/>
      <c r="Z113" s="1764"/>
      <c r="AA113" s="1764"/>
      <c r="AD113" s="1484"/>
      <c r="AE113" s="1484"/>
      <c r="AF113" s="1484"/>
      <c r="AG113" s="1484"/>
      <c r="AH113" s="1484"/>
      <c r="AI113" s="1484"/>
      <c r="AJ113" s="1484"/>
      <c r="AK113" s="1484"/>
      <c r="AL113" s="1484"/>
      <c r="AM113" s="1484"/>
    </row>
    <row r="114" spans="1:39">
      <c r="C114" s="890" t="s">
        <v>1260</v>
      </c>
      <c r="T114" s="1510"/>
      <c r="U114" s="1510"/>
      <c r="V114" s="1510"/>
      <c r="W114" s="1510"/>
      <c r="X114" s="2977">
        <f>X108-X111-X112</f>
        <v>0</v>
      </c>
      <c r="Y114" s="2977"/>
      <c r="Z114" s="2977"/>
      <c r="AA114" s="2977"/>
      <c r="AD114" s="1484"/>
      <c r="AE114" s="1484"/>
      <c r="AF114" s="1484"/>
      <c r="AG114" s="1484"/>
      <c r="AH114" s="1484"/>
      <c r="AI114" s="1484"/>
      <c r="AJ114" s="1484"/>
      <c r="AK114" s="1484"/>
      <c r="AL114" s="1484"/>
      <c r="AM114" s="1484"/>
    </row>
    <row r="115" spans="1:39">
      <c r="C115" s="1475"/>
      <c r="T115" s="1510"/>
      <c r="U115" s="1510"/>
      <c r="V115" s="1510"/>
      <c r="W115" s="1510"/>
      <c r="X115" s="1510"/>
      <c r="Y115" s="1510"/>
      <c r="Z115" s="1510"/>
      <c r="AA115" s="1510"/>
      <c r="AD115" s="1484"/>
      <c r="AE115" s="1484"/>
      <c r="AF115" s="1484"/>
      <c r="AG115" s="1484"/>
      <c r="AH115" s="1484"/>
      <c r="AI115" s="1484"/>
      <c r="AJ115" s="1484"/>
      <c r="AK115" s="1484"/>
      <c r="AL115" s="1484"/>
      <c r="AM115" s="1484"/>
    </row>
    <row r="116" spans="1:39">
      <c r="C116" s="890" t="s">
        <v>1261</v>
      </c>
      <c r="T116" s="1510"/>
      <c r="U116" s="1510"/>
      <c r="V116" s="1510"/>
      <c r="W116" s="1510"/>
      <c r="X116" s="2978">
        <f>IF('GENERAL INFO'!G135="X",CalculationSheet!R101,CalculationSheet!R197)</f>
        <v>0</v>
      </c>
      <c r="Y116" s="2978"/>
      <c r="Z116" s="2978"/>
      <c r="AA116" s="2978"/>
      <c r="AD116" s="1484"/>
      <c r="AE116" s="1484"/>
      <c r="AF116" s="1484"/>
      <c r="AG116" s="1484"/>
      <c r="AH116" s="1484"/>
      <c r="AI116" s="1484"/>
      <c r="AJ116" s="1484"/>
      <c r="AK116" s="1484"/>
      <c r="AL116" s="1484"/>
      <c r="AM116" s="1484"/>
    </row>
    <row r="117" spans="1:39">
      <c r="C117" s="1475"/>
      <c r="T117" s="1510"/>
      <c r="U117" s="1510"/>
      <c r="V117" s="1510"/>
      <c r="W117" s="1510"/>
      <c r="X117" s="1513"/>
      <c r="Y117" s="1513"/>
      <c r="Z117" s="1513"/>
      <c r="AA117" s="1513"/>
    </row>
    <row r="118" spans="1:39">
      <c r="C118" s="1475"/>
      <c r="T118" s="1510"/>
      <c r="U118" s="1510"/>
      <c r="V118" s="1510"/>
      <c r="W118" s="1510"/>
      <c r="X118" s="1511"/>
      <c r="Y118" s="1511"/>
      <c r="Z118" s="1511"/>
      <c r="AA118" s="1511"/>
    </row>
    <row r="119" spans="1:39">
      <c r="A119" s="1484"/>
      <c r="B119" s="1514"/>
      <c r="C119" s="1485" t="s">
        <v>1262</v>
      </c>
      <c r="D119" s="1484"/>
      <c r="E119" s="1484"/>
      <c r="F119" s="1484"/>
      <c r="G119" s="1484"/>
      <c r="H119" s="1484"/>
      <c r="I119" s="1484"/>
      <c r="J119" s="1484"/>
      <c r="K119" s="1484"/>
      <c r="L119" s="1484"/>
      <c r="M119" s="1484"/>
      <c r="N119" s="1484"/>
      <c r="O119" s="1484"/>
      <c r="P119" s="1484"/>
      <c r="Q119" s="1484"/>
      <c r="R119" s="1484"/>
      <c r="S119" s="1484"/>
      <c r="T119" s="1515"/>
      <c r="U119" s="1515"/>
      <c r="V119" s="1515"/>
      <c r="W119" s="1515"/>
      <c r="X119" s="2979" t="e">
        <f>X114/X116</f>
        <v>#DIV/0!</v>
      </c>
      <c r="Y119" s="2980"/>
      <c r="Z119" s="2980"/>
      <c r="AA119" s="2981"/>
      <c r="AB119" s="1484"/>
      <c r="AC119" s="1484"/>
      <c r="AD119" s="1516"/>
      <c r="AE119" s="1516"/>
    </row>
    <row r="120" spans="1:39">
      <c r="A120" s="1484"/>
      <c r="B120" s="1517"/>
      <c r="C120" s="1484"/>
      <c r="D120" s="1484"/>
      <c r="E120" s="1484"/>
      <c r="F120" s="1484"/>
      <c r="G120" s="1484"/>
      <c r="H120" s="1484"/>
      <c r="I120" s="1484"/>
      <c r="J120" s="1484"/>
      <c r="K120" s="1484"/>
      <c r="L120" s="1484"/>
      <c r="M120" s="1484"/>
      <c r="N120" s="1484"/>
      <c r="O120" s="1484"/>
      <c r="P120" s="1484"/>
      <c r="Q120" s="1484"/>
      <c r="R120" s="1484"/>
      <c r="S120" s="1484"/>
      <c r="T120" s="1484"/>
      <c r="U120" s="1484"/>
      <c r="V120" s="1484"/>
      <c r="W120" s="1484"/>
      <c r="X120" s="1484"/>
      <c r="Y120" s="1484"/>
      <c r="Z120" s="1484"/>
      <c r="AA120" s="1484"/>
      <c r="AB120" s="1484"/>
      <c r="AC120" s="1484"/>
      <c r="AD120" s="1516"/>
      <c r="AE120" s="1516"/>
    </row>
    <row r="121" spans="1:39">
      <c r="A121" s="1518"/>
      <c r="B121" s="1518"/>
      <c r="C121" s="2982" t="str">
        <f>IF(ISBLANK(dateofdeparture)=TRUE,"*)   Other than those subject to final income tax and non- assessable income",IF('GENERAL INFO'!J42="X","*)   As reflected in my attached ERP tidak kembali, I left Indonesia in "&amp;TEXT(dateofdeparture,"dd/mm/yy")&amp;" "&amp;"so that my PPh 25 should be NIL","*)   As reflected in my  attached EPO, I left Indonesia in "&amp;TEXT(dateofdeparture,"dd/mm/yy")&amp;" "&amp;"so that my PPh 25 should be NIL"))</f>
        <v>*)   Other than those subject to final income tax and non- assessable income</v>
      </c>
      <c r="D121" s="2982"/>
      <c r="E121" s="2982"/>
      <c r="F121" s="2982"/>
      <c r="G121" s="2982"/>
      <c r="H121" s="2982"/>
      <c r="I121" s="2982"/>
      <c r="J121" s="2982"/>
      <c r="K121" s="2982"/>
      <c r="L121" s="2982"/>
      <c r="M121" s="2982"/>
      <c r="N121" s="2982"/>
      <c r="O121" s="2982"/>
      <c r="P121" s="2982"/>
      <c r="Q121" s="2982"/>
      <c r="R121" s="2982"/>
      <c r="S121" s="2982"/>
      <c r="T121" s="2982"/>
      <c r="U121" s="2982"/>
      <c r="V121" s="2982"/>
      <c r="W121" s="2982"/>
      <c r="X121" s="2982"/>
      <c r="Y121" s="2982"/>
      <c r="Z121" s="2982"/>
      <c r="AA121" s="2982"/>
      <c r="AB121" s="1484"/>
      <c r="AC121" s="1484"/>
      <c r="AD121" s="1476"/>
      <c r="AE121" s="1476"/>
      <c r="AF121" s="1476"/>
      <c r="AG121" s="1476"/>
      <c r="AH121" s="1476"/>
      <c r="AI121" s="1476"/>
      <c r="AJ121" s="1476"/>
      <c r="AK121" s="1476"/>
      <c r="AL121" s="1476"/>
      <c r="AM121" s="1476"/>
    </row>
    <row r="122" spans="1:39" ht="15" customHeight="1">
      <c r="C122" s="1519" t="s">
        <v>1226</v>
      </c>
      <c r="D122" s="1512"/>
      <c r="E122" s="1512"/>
      <c r="AD122" s="1476"/>
      <c r="AE122" s="1476"/>
      <c r="AF122" s="1476"/>
      <c r="AG122" s="1476"/>
      <c r="AH122" s="1476"/>
      <c r="AI122" s="1476"/>
      <c r="AJ122" s="1476"/>
      <c r="AK122" s="1476"/>
      <c r="AL122" s="1476"/>
      <c r="AM122" s="1476"/>
    </row>
    <row r="123" spans="1:39" ht="15" customHeight="1">
      <c r="C123" s="1519" t="s">
        <v>1226</v>
      </c>
      <c r="D123" s="1512"/>
      <c r="E123" s="1512"/>
      <c r="AD123" s="1476"/>
      <c r="AE123" s="1476"/>
      <c r="AF123" s="1476"/>
      <c r="AG123" s="1476"/>
      <c r="AH123" s="1476"/>
      <c r="AI123" s="1476"/>
      <c r="AJ123" s="1476"/>
      <c r="AK123" s="1476"/>
      <c r="AL123" s="1476"/>
      <c r="AM123" s="1476"/>
    </row>
    <row r="124" spans="1:39" ht="15" customHeight="1">
      <c r="AD124" s="1476"/>
      <c r="AE124" s="1476"/>
      <c r="AF124" s="1476"/>
      <c r="AG124" s="1476"/>
      <c r="AH124" s="1476"/>
      <c r="AI124" s="1476"/>
      <c r="AJ124" s="1476"/>
      <c r="AK124" s="1476"/>
      <c r="AL124" s="1476"/>
      <c r="AM124" s="1476"/>
    </row>
    <row r="125" spans="1:39" ht="15" customHeight="1">
      <c r="AD125" s="1476"/>
      <c r="AE125" s="1476"/>
      <c r="AF125" s="1476"/>
      <c r="AG125" s="1476"/>
      <c r="AH125" s="1476"/>
      <c r="AI125" s="1476"/>
      <c r="AJ125" s="1476"/>
      <c r="AK125" s="1476"/>
      <c r="AL125" s="1476"/>
      <c r="AM125" s="1476"/>
    </row>
    <row r="126" spans="1:39" ht="20.25">
      <c r="C126" s="1472" t="s">
        <v>1263</v>
      </c>
      <c r="E126" s="1516"/>
      <c r="F126" s="1516"/>
      <c r="G126" s="1516"/>
      <c r="H126" s="1516"/>
      <c r="I126" s="1516"/>
      <c r="J126" s="1516"/>
      <c r="K126" s="1516"/>
      <c r="L126" s="1516"/>
      <c r="M126" s="1516"/>
      <c r="N126" s="1516"/>
      <c r="O126" s="1516"/>
      <c r="P126" s="1516"/>
      <c r="Q126" s="1516"/>
      <c r="R126" s="1516"/>
      <c r="S126" s="1516"/>
      <c r="T126" s="1516"/>
      <c r="U126" s="1516"/>
      <c r="V126" s="1516"/>
      <c r="W126" s="1516"/>
      <c r="X126" s="1516"/>
      <c r="Y126" s="1516"/>
      <c r="Z126" s="1516"/>
      <c r="AA126" s="1516"/>
      <c r="AB126" s="1476"/>
      <c r="AC126" s="1476"/>
      <c r="AD126" s="1476"/>
      <c r="AE126" s="1476"/>
      <c r="AF126" s="1476"/>
      <c r="AG126" s="1476"/>
      <c r="AH126" s="1476"/>
      <c r="AI126" s="1476"/>
      <c r="AJ126" s="1476"/>
      <c r="AK126" s="1476"/>
    </row>
    <row r="127" spans="1:39" ht="13.5" thickBot="1">
      <c r="F127" s="1516"/>
      <c r="G127" s="1516"/>
      <c r="H127" s="1516"/>
      <c r="I127" s="1516"/>
      <c r="J127" s="1516"/>
      <c r="K127" s="1516"/>
      <c r="L127" s="1516"/>
      <c r="M127" s="1516"/>
      <c r="N127" s="1516"/>
      <c r="O127" s="1516"/>
      <c r="P127" s="1516"/>
      <c r="Q127" s="1516"/>
      <c r="R127" s="1516"/>
      <c r="S127" s="1516"/>
      <c r="T127" s="1516"/>
      <c r="U127" s="1516"/>
      <c r="V127" s="1516"/>
      <c r="W127" s="1516"/>
      <c r="X127" s="1516"/>
      <c r="Y127" s="1516"/>
      <c r="Z127" s="1516"/>
      <c r="AA127" s="1516"/>
      <c r="AB127" s="1516"/>
      <c r="AC127" s="1516"/>
    </row>
    <row r="128" spans="1:39">
      <c r="A128" s="1471"/>
      <c r="B128" s="1471"/>
      <c r="C128" s="2983" t="s">
        <v>581</v>
      </c>
      <c r="D128" s="2984"/>
      <c r="E128" s="2984"/>
      <c r="F128" s="2984"/>
      <c r="G128" s="2984"/>
      <c r="H128" s="2985"/>
      <c r="I128" s="2983" t="s">
        <v>582</v>
      </c>
      <c r="J128" s="2984"/>
      <c r="K128" s="2984"/>
      <c r="L128" s="2984"/>
      <c r="M128" s="2984"/>
      <c r="N128" s="2985"/>
      <c r="O128" s="2990" t="s">
        <v>545</v>
      </c>
      <c r="P128" s="2990"/>
      <c r="Q128" s="2990"/>
      <c r="R128" s="2990"/>
      <c r="S128" s="2990"/>
      <c r="T128" s="2990"/>
      <c r="U128" s="2990"/>
      <c r="V128" s="2990"/>
      <c r="W128" s="2990"/>
      <c r="X128" s="2990"/>
      <c r="Y128" s="2990"/>
      <c r="Z128" s="2991"/>
      <c r="AA128" s="1476"/>
      <c r="AB128" s="1476"/>
      <c r="AC128" s="1476"/>
      <c r="AD128" s="1476"/>
      <c r="AE128" s="1476"/>
      <c r="AF128" s="1476"/>
      <c r="AG128" s="1476"/>
    </row>
    <row r="129" spans="1:43">
      <c r="A129" s="1471"/>
      <c r="B129" s="1471"/>
      <c r="C129" s="2986"/>
      <c r="D129" s="2895"/>
      <c r="E129" s="2895"/>
      <c r="F129" s="2895"/>
      <c r="G129" s="2895"/>
      <c r="H129" s="2896"/>
      <c r="I129" s="2986"/>
      <c r="J129" s="2895"/>
      <c r="K129" s="2895"/>
      <c r="L129" s="2895"/>
      <c r="M129" s="2895"/>
      <c r="N129" s="2896"/>
      <c r="O129" s="2929" t="s">
        <v>490</v>
      </c>
      <c r="P129" s="2929"/>
      <c r="Q129" s="2929"/>
      <c r="R129" s="2929"/>
      <c r="S129" s="2881" t="s">
        <v>583</v>
      </c>
      <c r="T129" s="2882"/>
      <c r="U129" s="2882"/>
      <c r="V129" s="2882"/>
      <c r="W129" s="2882"/>
      <c r="X129" s="2882"/>
      <c r="Y129" s="2882"/>
      <c r="Z129" s="2992"/>
      <c r="AA129" s="1476"/>
      <c r="AB129" s="1476"/>
      <c r="AC129" s="1476"/>
      <c r="AD129" s="1476"/>
      <c r="AE129" s="1476"/>
      <c r="AF129" s="1476"/>
      <c r="AG129" s="1476"/>
    </row>
    <row r="130" spans="1:43" ht="13.5" customHeight="1" thickBot="1">
      <c r="A130" s="1471"/>
      <c r="B130" s="1471"/>
      <c r="C130" s="2987"/>
      <c r="D130" s="2988"/>
      <c r="E130" s="2988"/>
      <c r="F130" s="2988"/>
      <c r="G130" s="2988"/>
      <c r="H130" s="2989"/>
      <c r="I130" s="2987"/>
      <c r="J130" s="2988"/>
      <c r="K130" s="2988"/>
      <c r="L130" s="2988"/>
      <c r="M130" s="2988"/>
      <c r="N130" s="2989"/>
      <c r="O130" s="2967"/>
      <c r="P130" s="2967"/>
      <c r="Q130" s="2967"/>
      <c r="R130" s="2967"/>
      <c r="S130" s="2964" t="s">
        <v>584</v>
      </c>
      <c r="T130" s="2965"/>
      <c r="U130" s="2965"/>
      <c r="V130" s="2966"/>
      <c r="W130" s="2967" t="s">
        <v>585</v>
      </c>
      <c r="X130" s="2967"/>
      <c r="Y130" s="2967"/>
      <c r="Z130" s="2968"/>
      <c r="AA130" s="1476"/>
      <c r="AB130" s="1476"/>
      <c r="AC130" s="1476"/>
      <c r="AD130" s="1476"/>
      <c r="AE130" s="1476"/>
      <c r="AF130" s="1476"/>
      <c r="AG130" s="1476"/>
    </row>
    <row r="131" spans="1:43" ht="13.5" thickTop="1">
      <c r="A131" s="1476"/>
      <c r="B131" s="1476"/>
      <c r="C131" s="2969" t="str">
        <f>IF('GENERAL INFO'!V173&gt;0,"Indonesia","")</f>
        <v/>
      </c>
      <c r="D131" s="2970"/>
      <c r="E131" s="2970"/>
      <c r="F131" s="2970"/>
      <c r="G131" s="2970"/>
      <c r="H131" s="2971"/>
      <c r="I131" s="2969" t="str">
        <f>IF('GENERAL INFO'!V173&gt;0,"Irregular Income","")</f>
        <v/>
      </c>
      <c r="J131" s="2970"/>
      <c r="K131" s="2970"/>
      <c r="L131" s="2970"/>
      <c r="M131" s="2970"/>
      <c r="N131" s="2971"/>
      <c r="O131" s="2972" t="str">
        <f>IF('GENERAL INFO'!V173&gt;0,'GENERAL INFO'!V173,"")</f>
        <v/>
      </c>
      <c r="P131" s="2972"/>
      <c r="Q131" s="2972"/>
      <c r="R131" s="2972"/>
      <c r="S131" s="2972" t="str">
        <f>IF('GENERAL INFO'!V173&gt;0,'GENERAL INFO'!V174,"")</f>
        <v/>
      </c>
      <c r="T131" s="2972"/>
      <c r="U131" s="2972"/>
      <c r="V131" s="2972"/>
      <c r="W131" s="2973" t="str">
        <f>IF('GENERAL INFO'!V173&gt;0,0,"")</f>
        <v/>
      </c>
      <c r="X131" s="2974"/>
      <c r="Y131" s="2974"/>
      <c r="Z131" s="2975"/>
      <c r="AA131" s="1476"/>
      <c r="AB131" s="1476"/>
      <c r="AC131" s="1476"/>
      <c r="AD131" s="1476"/>
      <c r="AE131" s="1476"/>
      <c r="AF131" s="1476"/>
      <c r="AG131" s="1476"/>
    </row>
    <row r="132" spans="1:43">
      <c r="A132" s="1476"/>
      <c r="B132" s="1476"/>
      <c r="C132" s="2959">
        <f>'OVERSEAS INCOME'!B619</f>
        <v>0</v>
      </c>
      <c r="D132" s="2960"/>
      <c r="E132" s="2960"/>
      <c r="F132" s="2960"/>
      <c r="G132" s="2960"/>
      <c r="H132" s="2961"/>
      <c r="I132" s="2959">
        <f>'OVERSEAS INCOME'!K619</f>
        <v>0</v>
      </c>
      <c r="J132" s="2960"/>
      <c r="K132" s="2960"/>
      <c r="L132" s="2960"/>
      <c r="M132" s="2960"/>
      <c r="N132" s="2961"/>
      <c r="O132" s="2962">
        <f>'OVERSEAS INCOME'!T619</f>
        <v>0</v>
      </c>
      <c r="P132" s="2962"/>
      <c r="Q132" s="2962"/>
      <c r="R132" s="2962"/>
      <c r="S132" s="2962">
        <f>'OVERSEAS INCOME'!X619</f>
        <v>0</v>
      </c>
      <c r="T132" s="2962"/>
      <c r="U132" s="2962"/>
      <c r="V132" s="2962"/>
      <c r="W132" s="2962">
        <f>'OVERSEAS INCOME'!AB619</f>
        <v>0</v>
      </c>
      <c r="X132" s="2962"/>
      <c r="Y132" s="2962"/>
      <c r="Z132" s="2963"/>
      <c r="AA132" s="1476"/>
      <c r="AB132" s="1476"/>
      <c r="AC132" s="1476"/>
      <c r="AD132" s="1476"/>
      <c r="AE132" s="1476"/>
      <c r="AF132" s="1476"/>
      <c r="AG132" s="1476"/>
    </row>
    <row r="133" spans="1:43">
      <c r="A133" s="1476"/>
      <c r="B133" s="1476"/>
      <c r="C133" s="2959">
        <f>'OVERSEAS INCOME'!B620</f>
        <v>0</v>
      </c>
      <c r="D133" s="2960"/>
      <c r="E133" s="2960"/>
      <c r="F133" s="2960"/>
      <c r="G133" s="2960"/>
      <c r="H133" s="2961"/>
      <c r="I133" s="2959">
        <f>'OVERSEAS INCOME'!K620</f>
        <v>0</v>
      </c>
      <c r="J133" s="2960"/>
      <c r="K133" s="2960"/>
      <c r="L133" s="2960"/>
      <c r="M133" s="2960"/>
      <c r="N133" s="2961"/>
      <c r="O133" s="2962">
        <f>'OVERSEAS INCOME'!T620</f>
        <v>0</v>
      </c>
      <c r="P133" s="2962"/>
      <c r="Q133" s="2962"/>
      <c r="R133" s="2962"/>
      <c r="S133" s="2962">
        <f>'OVERSEAS INCOME'!X620</f>
        <v>0</v>
      </c>
      <c r="T133" s="2962"/>
      <c r="U133" s="2962"/>
      <c r="V133" s="2962"/>
      <c r="W133" s="2962">
        <f>'OVERSEAS INCOME'!AB620</f>
        <v>0</v>
      </c>
      <c r="X133" s="2962"/>
      <c r="Y133" s="2962"/>
      <c r="Z133" s="2963"/>
      <c r="AA133" s="1476"/>
      <c r="AB133" s="1476"/>
      <c r="AC133" s="1476"/>
      <c r="AD133" s="1476"/>
      <c r="AE133" s="1476"/>
      <c r="AF133" s="1476"/>
      <c r="AG133" s="1476"/>
    </row>
    <row r="134" spans="1:43">
      <c r="A134" s="1476"/>
      <c r="B134" s="1476"/>
      <c r="C134" s="2959">
        <f>'OVERSEAS INCOME'!B621</f>
        <v>0</v>
      </c>
      <c r="D134" s="2960"/>
      <c r="E134" s="2960"/>
      <c r="F134" s="2960"/>
      <c r="G134" s="2960"/>
      <c r="H134" s="2961"/>
      <c r="I134" s="2959">
        <f>'OVERSEAS INCOME'!K621</f>
        <v>0</v>
      </c>
      <c r="J134" s="2960"/>
      <c r="K134" s="2960"/>
      <c r="L134" s="2960"/>
      <c r="M134" s="2960"/>
      <c r="N134" s="2961"/>
      <c r="O134" s="2962">
        <f>'OVERSEAS INCOME'!T621</f>
        <v>0</v>
      </c>
      <c r="P134" s="2962"/>
      <c r="Q134" s="2962"/>
      <c r="R134" s="2962"/>
      <c r="S134" s="2962">
        <f>'OVERSEAS INCOME'!X621</f>
        <v>0</v>
      </c>
      <c r="T134" s="2962"/>
      <c r="U134" s="2962"/>
      <c r="V134" s="2962"/>
      <c r="W134" s="2962">
        <f>'OVERSEAS INCOME'!AB621</f>
        <v>0</v>
      </c>
      <c r="X134" s="2962"/>
      <c r="Y134" s="2962"/>
      <c r="Z134" s="2963"/>
      <c r="AA134" s="1476"/>
      <c r="AB134" s="1476"/>
      <c r="AC134" s="1476"/>
      <c r="AD134" s="1476"/>
      <c r="AE134" s="1476"/>
      <c r="AF134" s="1476"/>
      <c r="AG134" s="1476"/>
    </row>
    <row r="135" spans="1:43">
      <c r="A135" s="1476"/>
      <c r="B135" s="1476"/>
      <c r="C135" s="2959">
        <f>'OVERSEAS INCOME'!B622</f>
        <v>0</v>
      </c>
      <c r="D135" s="2960"/>
      <c r="E135" s="2960"/>
      <c r="F135" s="2960"/>
      <c r="G135" s="2960"/>
      <c r="H135" s="2961"/>
      <c r="I135" s="2959">
        <f>'OVERSEAS INCOME'!K622</f>
        <v>0</v>
      </c>
      <c r="J135" s="2960"/>
      <c r="K135" s="2960"/>
      <c r="L135" s="2960"/>
      <c r="M135" s="2960"/>
      <c r="N135" s="2961"/>
      <c r="O135" s="2962">
        <f>'OVERSEAS INCOME'!T622</f>
        <v>0</v>
      </c>
      <c r="P135" s="2962"/>
      <c r="Q135" s="2962"/>
      <c r="R135" s="2962"/>
      <c r="S135" s="2962">
        <f>'OVERSEAS INCOME'!X622</f>
        <v>0</v>
      </c>
      <c r="T135" s="2962"/>
      <c r="U135" s="2962"/>
      <c r="V135" s="2962"/>
      <c r="W135" s="2962">
        <f>'OVERSEAS INCOME'!AB622</f>
        <v>0</v>
      </c>
      <c r="X135" s="2962"/>
      <c r="Y135" s="2962"/>
      <c r="Z135" s="2963"/>
      <c r="AA135" s="1476"/>
      <c r="AB135" s="1476"/>
      <c r="AC135" s="1476"/>
      <c r="AD135" s="1476"/>
      <c r="AE135" s="1476"/>
      <c r="AF135" s="1476"/>
      <c r="AG135" s="1476"/>
    </row>
    <row r="136" spans="1:43">
      <c r="A136" s="1471"/>
      <c r="B136" s="1471"/>
      <c r="C136" s="2959" t="str">
        <f>'OVERSEAS INCOME'!B623</f>
        <v xml:space="preserve"> </v>
      </c>
      <c r="D136" s="2960"/>
      <c r="E136" s="2960"/>
      <c r="F136" s="2960"/>
      <c r="G136" s="2960"/>
      <c r="H136" s="2961"/>
      <c r="I136" s="2959" t="str">
        <f>'OVERSEAS INCOME'!K623</f>
        <v xml:space="preserve"> </v>
      </c>
      <c r="J136" s="2960"/>
      <c r="K136" s="2960"/>
      <c r="L136" s="2960"/>
      <c r="M136" s="2960"/>
      <c r="N136" s="2961"/>
      <c r="O136" s="2962">
        <f>'OVERSEAS INCOME'!T623</f>
        <v>0</v>
      </c>
      <c r="P136" s="2962"/>
      <c r="Q136" s="2962"/>
      <c r="R136" s="2962"/>
      <c r="S136" s="2962">
        <f>'OVERSEAS INCOME'!X623</f>
        <v>0</v>
      </c>
      <c r="T136" s="2962"/>
      <c r="U136" s="2962"/>
      <c r="V136" s="2962"/>
      <c r="W136" s="2962">
        <f>'OVERSEAS INCOME'!AB623</f>
        <v>0</v>
      </c>
      <c r="X136" s="2962"/>
      <c r="Y136" s="2962"/>
      <c r="Z136" s="2963"/>
      <c r="AA136" s="1476"/>
      <c r="AB136" s="1476"/>
      <c r="AC136" s="1476"/>
      <c r="AD136" s="1476"/>
      <c r="AE136" s="1476"/>
      <c r="AF136" s="1476"/>
      <c r="AG136" s="1476"/>
    </row>
    <row r="137" spans="1:43">
      <c r="A137" s="1476"/>
      <c r="B137" s="1476"/>
      <c r="C137" s="2959" t="str">
        <f>'OVERSEAS INCOME'!B624</f>
        <v xml:space="preserve"> </v>
      </c>
      <c r="D137" s="2960"/>
      <c r="E137" s="2960"/>
      <c r="F137" s="2960"/>
      <c r="G137" s="2960"/>
      <c r="H137" s="2961"/>
      <c r="I137" s="2959" t="str">
        <f>'OVERSEAS INCOME'!K624</f>
        <v xml:space="preserve"> </v>
      </c>
      <c r="J137" s="2960"/>
      <c r="K137" s="2960"/>
      <c r="L137" s="2960"/>
      <c r="M137" s="2960"/>
      <c r="N137" s="2961"/>
      <c r="O137" s="2962">
        <f>'OVERSEAS INCOME'!T624</f>
        <v>0</v>
      </c>
      <c r="P137" s="2962"/>
      <c r="Q137" s="2962"/>
      <c r="R137" s="2962"/>
      <c r="S137" s="2962">
        <f>'OVERSEAS INCOME'!X624</f>
        <v>0</v>
      </c>
      <c r="T137" s="2962"/>
      <c r="U137" s="2962"/>
      <c r="V137" s="2962"/>
      <c r="W137" s="2962">
        <f>'OVERSEAS INCOME'!AB624</f>
        <v>0</v>
      </c>
      <c r="X137" s="2962"/>
      <c r="Y137" s="2962"/>
      <c r="Z137" s="2963"/>
      <c r="AA137" s="1476"/>
      <c r="AB137" s="1476"/>
      <c r="AC137" s="1476"/>
      <c r="AD137" s="1476"/>
      <c r="AE137" s="1476"/>
      <c r="AF137" s="1476"/>
      <c r="AG137" s="1476"/>
    </row>
    <row r="138" spans="1:43">
      <c r="A138" s="1476"/>
      <c r="B138" s="1476"/>
      <c r="C138" s="2959" t="str">
        <f>'OVERSEAS INCOME'!B625</f>
        <v xml:space="preserve"> </v>
      </c>
      <c r="D138" s="2960"/>
      <c r="E138" s="2960"/>
      <c r="F138" s="2960"/>
      <c r="G138" s="2960"/>
      <c r="H138" s="2961"/>
      <c r="I138" s="2959" t="str">
        <f>'OVERSEAS INCOME'!K625</f>
        <v xml:space="preserve"> </v>
      </c>
      <c r="J138" s="2960"/>
      <c r="K138" s="2960"/>
      <c r="L138" s="2960"/>
      <c r="M138" s="2960"/>
      <c r="N138" s="2961"/>
      <c r="O138" s="2962">
        <f>'OVERSEAS INCOME'!T625</f>
        <v>0</v>
      </c>
      <c r="P138" s="2962"/>
      <c r="Q138" s="2962"/>
      <c r="R138" s="2962"/>
      <c r="S138" s="2962">
        <f>'OVERSEAS INCOME'!X625</f>
        <v>0</v>
      </c>
      <c r="T138" s="2962"/>
      <c r="U138" s="2962"/>
      <c r="V138" s="2962"/>
      <c r="W138" s="2962">
        <f>'OVERSEAS INCOME'!AB625</f>
        <v>0</v>
      </c>
      <c r="X138" s="2962"/>
      <c r="Y138" s="2962"/>
      <c r="Z138" s="2963"/>
      <c r="AA138" s="1476"/>
      <c r="AB138" s="1476"/>
      <c r="AC138" s="1476"/>
      <c r="AD138" s="1476"/>
      <c r="AE138" s="1476"/>
      <c r="AF138" s="1476"/>
      <c r="AG138" s="1476"/>
    </row>
    <row r="139" spans="1:43">
      <c r="A139" s="1476"/>
      <c r="B139" s="1476"/>
      <c r="C139" s="2959" t="str">
        <f>'OVERSEAS INCOME'!B626</f>
        <v xml:space="preserve"> </v>
      </c>
      <c r="D139" s="2960"/>
      <c r="E139" s="2960"/>
      <c r="F139" s="2960"/>
      <c r="G139" s="2960"/>
      <c r="H139" s="2961"/>
      <c r="I139" s="2959" t="str">
        <f>'OVERSEAS INCOME'!K626</f>
        <v xml:space="preserve"> </v>
      </c>
      <c r="J139" s="2960"/>
      <c r="K139" s="2960"/>
      <c r="L139" s="2960"/>
      <c r="M139" s="2960"/>
      <c r="N139" s="2961"/>
      <c r="O139" s="2962">
        <f>'OVERSEAS INCOME'!T626</f>
        <v>0</v>
      </c>
      <c r="P139" s="2962"/>
      <c r="Q139" s="2962"/>
      <c r="R139" s="2962"/>
      <c r="S139" s="2962">
        <f>'OVERSEAS INCOME'!X626</f>
        <v>0</v>
      </c>
      <c r="T139" s="2962"/>
      <c r="U139" s="2962"/>
      <c r="V139" s="2962"/>
      <c r="W139" s="2962">
        <f>'OVERSEAS INCOME'!AB626</f>
        <v>0</v>
      </c>
      <c r="X139" s="2962"/>
      <c r="Y139" s="2962"/>
      <c r="Z139" s="2963"/>
      <c r="AA139" s="1476"/>
      <c r="AB139" s="1476"/>
      <c r="AC139" s="1476"/>
      <c r="AD139" s="1476"/>
      <c r="AE139" s="1476"/>
      <c r="AF139" s="1476"/>
      <c r="AG139" s="1476"/>
    </row>
    <row r="140" spans="1:43" ht="13.5" thickBot="1">
      <c r="A140" s="1476"/>
      <c r="B140" s="1476"/>
      <c r="C140" s="2947" t="str">
        <f>'OVERSEAS INCOME'!B627</f>
        <v xml:space="preserve"> </v>
      </c>
      <c r="D140" s="2948"/>
      <c r="E140" s="2948"/>
      <c r="F140" s="2948"/>
      <c r="G140" s="2948"/>
      <c r="H140" s="2949"/>
      <c r="I140" s="2947" t="str">
        <f>'OVERSEAS INCOME'!K627</f>
        <v xml:space="preserve"> </v>
      </c>
      <c r="J140" s="2948"/>
      <c r="K140" s="2948"/>
      <c r="L140" s="2948"/>
      <c r="M140" s="2948"/>
      <c r="N140" s="2949"/>
      <c r="O140" s="2950">
        <f>'OVERSEAS INCOME'!T627</f>
        <v>0</v>
      </c>
      <c r="P140" s="2950"/>
      <c r="Q140" s="2950"/>
      <c r="R140" s="2950"/>
      <c r="S140" s="2950">
        <f>'OVERSEAS INCOME'!X627</f>
        <v>0</v>
      </c>
      <c r="T140" s="2950"/>
      <c r="U140" s="2950"/>
      <c r="V140" s="2950"/>
      <c r="W140" s="2950">
        <f>'OVERSEAS INCOME'!AB627</f>
        <v>0</v>
      </c>
      <c r="X140" s="2950"/>
      <c r="Y140" s="2950"/>
      <c r="Z140" s="2951"/>
      <c r="AA140" s="1476"/>
      <c r="AB140" s="1476"/>
      <c r="AC140" s="1476"/>
      <c r="AD140" s="1476"/>
      <c r="AE140" s="1476"/>
      <c r="AF140" s="1476"/>
      <c r="AG140" s="1476"/>
    </row>
    <row r="141" spans="1:43" s="1471" customFormat="1" ht="14.25" thickTop="1" thickBot="1">
      <c r="A141" s="1486"/>
      <c r="B141" s="1486"/>
      <c r="C141" s="2952" t="s">
        <v>469</v>
      </c>
      <c r="D141" s="2953"/>
      <c r="E141" s="2953"/>
      <c r="F141" s="2953"/>
      <c r="G141" s="2953"/>
      <c r="H141" s="2953"/>
      <c r="I141" s="2953"/>
      <c r="J141" s="2953"/>
      <c r="K141" s="2953"/>
      <c r="L141" s="2953"/>
      <c r="M141" s="2953"/>
      <c r="N141" s="2954"/>
      <c r="O141" s="2955">
        <f>+SUM(O131:R140)</f>
        <v>0</v>
      </c>
      <c r="P141" s="2955"/>
      <c r="Q141" s="2955"/>
      <c r="R141" s="2955"/>
      <c r="S141" s="2955">
        <f>+SUM(S131:V140)</f>
        <v>0</v>
      </c>
      <c r="T141" s="2955"/>
      <c r="U141" s="2955"/>
      <c r="V141" s="2955"/>
      <c r="W141" s="2956">
        <f>+SUM(W131:Z140)</f>
        <v>0</v>
      </c>
      <c r="X141" s="2957"/>
      <c r="Y141" s="2957"/>
      <c r="Z141" s="2958"/>
      <c r="AA141" s="1486"/>
      <c r="AB141" s="1486"/>
      <c r="AC141" s="1486"/>
      <c r="AD141" s="1486"/>
      <c r="AE141" s="1486"/>
      <c r="AF141" s="1486"/>
      <c r="AG141" s="1486"/>
      <c r="AH141" s="1486"/>
      <c r="AI141" s="1486"/>
      <c r="AJ141" s="1486"/>
      <c r="AK141" s="1486"/>
      <c r="AL141" s="1486"/>
      <c r="AM141" s="1486"/>
      <c r="AN141" s="1486"/>
      <c r="AO141" s="1486"/>
      <c r="AP141" s="1486"/>
      <c r="AQ141" s="1486"/>
    </row>
    <row r="142" spans="1:43">
      <c r="A142" s="1471"/>
      <c r="B142" s="1476"/>
      <c r="C142" s="1476"/>
      <c r="D142" s="1476"/>
      <c r="E142" s="1476"/>
      <c r="F142" s="1476"/>
      <c r="G142" s="1476"/>
      <c r="H142" s="1476"/>
      <c r="I142" s="1476"/>
      <c r="J142" s="1476"/>
      <c r="K142" s="1476"/>
      <c r="L142" s="1520"/>
      <c r="M142" s="1520"/>
      <c r="N142" s="1520"/>
      <c r="O142" s="1520"/>
      <c r="P142" s="1520"/>
      <c r="Q142" s="1520"/>
      <c r="R142" s="1520"/>
      <c r="S142" s="1520"/>
      <c r="T142" s="1520"/>
      <c r="U142" s="1521"/>
      <c r="V142" s="1521"/>
      <c r="W142" s="1521"/>
      <c r="X142" s="1521"/>
      <c r="Y142" s="1521"/>
      <c r="Z142" s="1521"/>
      <c r="AA142" s="1521"/>
      <c r="AB142" s="1521"/>
      <c r="AC142" s="1480"/>
      <c r="AD142" s="1486"/>
      <c r="AE142" s="1486"/>
      <c r="AF142" s="1486"/>
      <c r="AG142" s="1486"/>
      <c r="AH142" s="1486"/>
      <c r="AI142" s="1486"/>
      <c r="AJ142" s="1486"/>
      <c r="AK142" s="1486"/>
      <c r="AL142" s="1486"/>
      <c r="AM142" s="1486"/>
    </row>
    <row r="144" spans="1:43" ht="11.25" customHeight="1"/>
    <row r="145" spans="1:29">
      <c r="A145" s="1471"/>
      <c r="B145" s="1476"/>
      <c r="C145" s="1476"/>
      <c r="D145" s="1476"/>
      <c r="E145" s="1476"/>
      <c r="F145" s="1476"/>
      <c r="G145" s="1476"/>
      <c r="H145" s="1476"/>
      <c r="I145" s="1476"/>
      <c r="J145" s="1476"/>
      <c r="K145" s="1476"/>
      <c r="L145" s="1520"/>
      <c r="M145" s="1520"/>
      <c r="N145" s="1520"/>
      <c r="O145" s="1520"/>
      <c r="P145" s="1520"/>
      <c r="Q145" s="1520"/>
      <c r="R145" s="1520"/>
      <c r="S145" s="1520"/>
      <c r="T145" s="1520"/>
      <c r="U145" s="1521"/>
      <c r="V145" s="1521"/>
      <c r="W145" s="1521"/>
      <c r="X145" s="1521"/>
      <c r="Y145" s="1521"/>
      <c r="Z145" s="1521"/>
      <c r="AA145" s="1521"/>
      <c r="AB145" s="1521"/>
      <c r="AC145" s="1480"/>
    </row>
    <row r="146" spans="1:29">
      <c r="A146" s="1476"/>
      <c r="B146" s="1476"/>
      <c r="C146" s="1476"/>
      <c r="D146" s="1476"/>
      <c r="E146" s="1476"/>
      <c r="F146" s="1476"/>
      <c r="G146" s="1476"/>
      <c r="H146" s="1476"/>
      <c r="I146" s="1476"/>
      <c r="J146" s="1476"/>
      <c r="K146" s="1520"/>
      <c r="L146" s="1520"/>
      <c r="M146" s="1520"/>
      <c r="N146" s="1520"/>
      <c r="O146" s="1520"/>
      <c r="P146" s="1520"/>
      <c r="Q146" s="1520"/>
      <c r="R146" s="1520"/>
      <c r="S146" s="1520"/>
      <c r="T146" s="1521"/>
      <c r="U146" s="1521" t="s">
        <v>381</v>
      </c>
      <c r="V146" s="1521"/>
      <c r="W146" s="1521"/>
      <c r="X146" s="1521"/>
      <c r="Y146" s="1521"/>
      <c r="Z146" s="1521"/>
      <c r="AA146" s="1521"/>
      <c r="AB146" s="1480"/>
      <c r="AC146" s="1480"/>
    </row>
    <row r="147" spans="1:29" ht="20.25">
      <c r="G147" s="1472" t="s">
        <v>1264</v>
      </c>
      <c r="H147" s="1475"/>
      <c r="I147" s="886"/>
      <c r="X147" s="2938"/>
      <c r="Y147" s="2938"/>
      <c r="Z147" s="2938"/>
      <c r="AA147" s="2938"/>
    </row>
    <row r="148" spans="1:29" ht="20.25">
      <c r="G148" s="1472" t="s">
        <v>1265</v>
      </c>
      <c r="H148" s="1475"/>
      <c r="I148" s="886"/>
      <c r="K148" s="1522"/>
      <c r="L148" s="1523" t="str">
        <f>G15</f>
        <v/>
      </c>
    </row>
    <row r="150" spans="1:29" ht="13.5" thickBot="1"/>
    <row r="151" spans="1:29" ht="16.5" thickBot="1">
      <c r="A151" s="1484"/>
      <c r="B151" s="1484"/>
      <c r="C151" s="1484"/>
      <c r="D151" s="1484"/>
      <c r="E151" s="1484"/>
      <c r="F151" s="1484"/>
      <c r="G151" s="2939" t="s">
        <v>446</v>
      </c>
      <c r="H151" s="2940"/>
      <c r="I151" s="2940"/>
      <c r="J151" s="2940"/>
      <c r="K151" s="2940"/>
      <c r="L151" s="2940"/>
      <c r="M151" s="2940" t="s">
        <v>1266</v>
      </c>
      <c r="N151" s="2940"/>
      <c r="O151" s="2940"/>
      <c r="P151" s="2941"/>
      <c r="Q151" s="1484"/>
      <c r="R151" s="1484"/>
      <c r="S151" s="1484"/>
      <c r="T151" s="1484"/>
      <c r="U151" s="1484"/>
      <c r="V151" s="1484"/>
      <c r="W151" s="1484"/>
      <c r="X151" s="1484"/>
      <c r="Y151" s="1484"/>
      <c r="Z151" s="1484"/>
      <c r="AA151" s="1484"/>
      <c r="AB151" s="1484"/>
      <c r="AC151" s="1484"/>
    </row>
    <row r="152" spans="1:29" ht="13.5" thickTop="1">
      <c r="G152" s="2942"/>
      <c r="H152" s="2943"/>
      <c r="I152" s="2943"/>
      <c r="J152" s="2943"/>
      <c r="K152" s="2943"/>
      <c r="L152" s="2944"/>
      <c r="M152" s="2945"/>
      <c r="N152" s="2943"/>
      <c r="O152" s="2943"/>
      <c r="P152" s="2946"/>
    </row>
    <row r="153" spans="1:29">
      <c r="G153" s="2930" t="s">
        <v>451</v>
      </c>
      <c r="H153" s="2931"/>
      <c r="I153" s="2931"/>
      <c r="J153" s="2931"/>
      <c r="K153" s="2931"/>
      <c r="L153" s="2931"/>
      <c r="M153" s="2932">
        <f>'GENERAL INFO'!D106</f>
        <v>0</v>
      </c>
      <c r="N153" s="2932"/>
      <c r="O153" s="2932"/>
      <c r="P153" s="2933"/>
    </row>
    <row r="154" spans="1:29">
      <c r="G154" s="2930" t="s">
        <v>452</v>
      </c>
      <c r="H154" s="2931"/>
      <c r="I154" s="2931"/>
      <c r="J154" s="2931"/>
      <c r="K154" s="2931"/>
      <c r="L154" s="2931"/>
      <c r="M154" s="2932">
        <f>'GENERAL INFO'!D107</f>
        <v>0</v>
      </c>
      <c r="N154" s="2932"/>
      <c r="O154" s="2932"/>
      <c r="P154" s="2933"/>
    </row>
    <row r="155" spans="1:29">
      <c r="G155" s="2930" t="s">
        <v>453</v>
      </c>
      <c r="H155" s="2931"/>
      <c r="I155" s="2931"/>
      <c r="J155" s="2931"/>
      <c r="K155" s="2931"/>
      <c r="L155" s="2931"/>
      <c r="M155" s="2932">
        <f>'GENERAL INFO'!D108</f>
        <v>0</v>
      </c>
      <c r="N155" s="2932"/>
      <c r="O155" s="2932"/>
      <c r="P155" s="2933"/>
    </row>
    <row r="156" spans="1:29">
      <c r="G156" s="2930" t="s">
        <v>454</v>
      </c>
      <c r="H156" s="2931"/>
      <c r="I156" s="2931"/>
      <c r="J156" s="2931"/>
      <c r="K156" s="2931"/>
      <c r="L156" s="2931"/>
      <c r="M156" s="2932">
        <f>'GENERAL INFO'!D109</f>
        <v>0</v>
      </c>
      <c r="N156" s="2932"/>
      <c r="O156" s="2932"/>
      <c r="P156" s="2933"/>
    </row>
    <row r="157" spans="1:29">
      <c r="G157" s="2930" t="s">
        <v>455</v>
      </c>
      <c r="H157" s="2931"/>
      <c r="I157" s="2931"/>
      <c r="J157" s="2931"/>
      <c r="K157" s="2931"/>
      <c r="L157" s="2931"/>
      <c r="M157" s="2932">
        <f>'GENERAL INFO'!D110</f>
        <v>0</v>
      </c>
      <c r="N157" s="2932"/>
      <c r="O157" s="2932"/>
      <c r="P157" s="2933"/>
    </row>
    <row r="158" spans="1:29">
      <c r="G158" s="2930" t="s">
        <v>456</v>
      </c>
      <c r="H158" s="2931"/>
      <c r="I158" s="2931"/>
      <c r="J158" s="2931"/>
      <c r="K158" s="2931"/>
      <c r="L158" s="2931"/>
      <c r="M158" s="2932">
        <f>'GENERAL INFO'!D111</f>
        <v>0</v>
      </c>
      <c r="N158" s="2932"/>
      <c r="O158" s="2932"/>
      <c r="P158" s="2933"/>
    </row>
    <row r="159" spans="1:29">
      <c r="G159" s="2930" t="s">
        <v>457</v>
      </c>
      <c r="H159" s="2931"/>
      <c r="I159" s="2931"/>
      <c r="J159" s="2931"/>
      <c r="K159" s="2931"/>
      <c r="L159" s="2931"/>
      <c r="M159" s="2932">
        <f>'GENERAL INFO'!D112</f>
        <v>0</v>
      </c>
      <c r="N159" s="2932"/>
      <c r="O159" s="2932"/>
      <c r="P159" s="2933"/>
    </row>
    <row r="160" spans="1:29">
      <c r="G160" s="2930" t="s">
        <v>458</v>
      </c>
      <c r="H160" s="2931"/>
      <c r="I160" s="2931"/>
      <c r="J160" s="2931"/>
      <c r="K160" s="2931"/>
      <c r="L160" s="2931"/>
      <c r="M160" s="2932">
        <f>'GENERAL INFO'!D113</f>
        <v>0</v>
      </c>
      <c r="N160" s="2932"/>
      <c r="O160" s="2932"/>
      <c r="P160" s="2933"/>
    </row>
    <row r="161" spans="1:29">
      <c r="G161" s="2930" t="s">
        <v>459</v>
      </c>
      <c r="H161" s="2931"/>
      <c r="I161" s="2931"/>
      <c r="J161" s="2931"/>
      <c r="K161" s="2931"/>
      <c r="L161" s="2931"/>
      <c r="M161" s="2932">
        <f>'GENERAL INFO'!D114</f>
        <v>0</v>
      </c>
      <c r="N161" s="2932"/>
      <c r="O161" s="2932"/>
      <c r="P161" s="2933"/>
    </row>
    <row r="162" spans="1:29">
      <c r="G162" s="2930" t="s">
        <v>460</v>
      </c>
      <c r="H162" s="2931"/>
      <c r="I162" s="2931"/>
      <c r="J162" s="2931"/>
      <c r="K162" s="2931"/>
      <c r="L162" s="2931"/>
      <c r="M162" s="2932">
        <f>'GENERAL INFO'!D115</f>
        <v>0</v>
      </c>
      <c r="N162" s="2932"/>
      <c r="O162" s="2932"/>
      <c r="P162" s="2933"/>
    </row>
    <row r="163" spans="1:29">
      <c r="G163" s="2930" t="s">
        <v>461</v>
      </c>
      <c r="H163" s="2931"/>
      <c r="I163" s="2931"/>
      <c r="J163" s="2931"/>
      <c r="K163" s="2931"/>
      <c r="L163" s="2931"/>
      <c r="M163" s="2932">
        <f>'GENERAL INFO'!D116</f>
        <v>0</v>
      </c>
      <c r="N163" s="2932"/>
      <c r="O163" s="2932"/>
      <c r="P163" s="2933"/>
    </row>
    <row r="164" spans="1:29">
      <c r="G164" s="2930" t="s">
        <v>462</v>
      </c>
      <c r="H164" s="2931"/>
      <c r="I164" s="2931"/>
      <c r="J164" s="2931"/>
      <c r="K164" s="2931"/>
      <c r="L164" s="2931"/>
      <c r="M164" s="2932">
        <f>'GENERAL INFO'!D117</f>
        <v>0</v>
      </c>
      <c r="N164" s="2932"/>
      <c r="O164" s="2932"/>
      <c r="P164" s="2933"/>
    </row>
    <row r="165" spans="1:29">
      <c r="G165" s="2934"/>
      <c r="H165" s="2935"/>
      <c r="I165" s="2935"/>
      <c r="J165" s="2935"/>
      <c r="K165" s="2935"/>
      <c r="L165" s="2935"/>
      <c r="M165" s="2936"/>
      <c r="N165" s="2936"/>
      <c r="O165" s="2936"/>
      <c r="P165" s="2937"/>
    </row>
    <row r="166" spans="1:29" s="1476" customFormat="1">
      <c r="A166" s="1486"/>
      <c r="B166" s="1486"/>
      <c r="C166" s="1486"/>
      <c r="D166" s="1486"/>
      <c r="E166" s="1486"/>
      <c r="F166" s="1486"/>
      <c r="G166" s="2920" t="s">
        <v>1267</v>
      </c>
      <c r="H166" s="2890"/>
      <c r="I166" s="2890"/>
      <c r="J166" s="2890"/>
      <c r="K166" s="2890"/>
      <c r="L166" s="2890"/>
      <c r="M166" s="2921">
        <f>'GENERAL INFO'!D120</f>
        <v>0</v>
      </c>
      <c r="N166" s="2921"/>
      <c r="O166" s="2921"/>
      <c r="P166" s="2922"/>
      <c r="Q166" s="1486"/>
      <c r="R166" s="1486"/>
      <c r="S166" s="1486"/>
      <c r="T166" s="1486"/>
      <c r="U166" s="1486"/>
      <c r="V166" s="1486"/>
      <c r="W166" s="1486"/>
      <c r="X166" s="1486"/>
      <c r="Y166" s="1486"/>
      <c r="Z166" s="1486"/>
      <c r="AA166" s="1486"/>
      <c r="AB166" s="1486"/>
      <c r="AC166" s="1486"/>
    </row>
    <row r="167" spans="1:29" s="1476" customFormat="1" ht="13.5" thickBot="1">
      <c r="A167" s="1486"/>
      <c r="B167" s="1486"/>
      <c r="C167" s="1486"/>
      <c r="D167" s="1486"/>
      <c r="E167" s="1486"/>
      <c r="F167" s="1486"/>
      <c r="G167" s="2923" t="s">
        <v>1268</v>
      </c>
      <c r="H167" s="2924"/>
      <c r="I167" s="2924"/>
      <c r="J167" s="2924"/>
      <c r="K167" s="2924"/>
      <c r="L167" s="2925"/>
      <c r="M167" s="2926">
        <f>'GENERAL INFO'!K121</f>
        <v>0</v>
      </c>
      <c r="N167" s="2927"/>
      <c r="O167" s="2927"/>
      <c r="P167" s="2928"/>
      <c r="Q167" s="1486"/>
      <c r="R167" s="1486"/>
      <c r="S167" s="1486"/>
      <c r="T167" s="1486"/>
      <c r="U167" s="1486"/>
      <c r="V167" s="1486"/>
      <c r="W167" s="1486"/>
      <c r="X167" s="1486"/>
      <c r="Y167" s="1486"/>
      <c r="Z167" s="1486"/>
      <c r="AA167" s="1486"/>
      <c r="AB167" s="1486"/>
      <c r="AC167" s="1486"/>
    </row>
    <row r="170" spans="1:29" ht="20.25" customHeight="1">
      <c r="A170" s="2903" t="s">
        <v>828</v>
      </c>
      <c r="B170" s="2903"/>
      <c r="C170" s="2903"/>
      <c r="D170" s="2903"/>
      <c r="E170" s="2903"/>
      <c r="F170" s="2903"/>
      <c r="G170" s="2903"/>
      <c r="H170" s="2903"/>
      <c r="I170" s="2903"/>
      <c r="J170" s="2903"/>
      <c r="K170" s="2903"/>
      <c r="L170" s="2903"/>
      <c r="M170" s="2903"/>
      <c r="N170" s="2903"/>
      <c r="O170" s="2903"/>
      <c r="P170" s="2903"/>
      <c r="Q170" s="2903"/>
      <c r="R170" s="2903"/>
      <c r="S170" s="2903"/>
      <c r="T170" s="2903"/>
      <c r="U170" s="2903"/>
      <c r="V170" s="2903"/>
      <c r="W170" s="2903"/>
      <c r="X170" s="2903"/>
      <c r="Y170" s="2903"/>
      <c r="Z170" s="2903"/>
      <c r="AA170" s="2903"/>
      <c r="AB170" s="2903"/>
      <c r="AC170" s="2903"/>
    </row>
    <row r="172" spans="1:29">
      <c r="A172" s="1486" t="s">
        <v>1384</v>
      </c>
    </row>
    <row r="173" spans="1:29" ht="6.75" customHeight="1">
      <c r="A173" s="1486"/>
    </row>
    <row r="174" spans="1:29" ht="21.75" customHeight="1">
      <c r="A174" s="2890" t="s">
        <v>360</v>
      </c>
      <c r="B174" s="2891" t="s">
        <v>1269</v>
      </c>
      <c r="C174" s="2891"/>
      <c r="D174" s="2891"/>
      <c r="E174" s="2891"/>
      <c r="F174" s="2891"/>
      <c r="G174" s="2893" t="s">
        <v>835</v>
      </c>
      <c r="H174" s="2893"/>
      <c r="I174" s="2893"/>
      <c r="J174" s="2893"/>
      <c r="K174" s="2893"/>
      <c r="L174" s="2894"/>
      <c r="M174" s="2890" t="s">
        <v>836</v>
      </c>
      <c r="N174" s="2890"/>
      <c r="O174" s="2890"/>
      <c r="P174" s="2890" t="s">
        <v>542</v>
      </c>
      <c r="Q174" s="2890"/>
      <c r="R174" s="2890" t="s">
        <v>837</v>
      </c>
      <c r="S174" s="2890"/>
      <c r="T174" s="2890"/>
      <c r="U174" s="2890"/>
      <c r="V174" s="2890"/>
      <c r="W174" s="2890"/>
      <c r="X174" s="2890"/>
      <c r="Y174" s="2890"/>
      <c r="Z174" s="2890"/>
      <c r="AA174" s="2890"/>
      <c r="AB174" s="2890"/>
    </row>
    <row r="175" spans="1:29" ht="27.75" customHeight="1">
      <c r="A175" s="2890"/>
      <c r="B175" s="2892"/>
      <c r="C175" s="2892"/>
      <c r="D175" s="2892"/>
      <c r="E175" s="2892"/>
      <c r="F175" s="2892"/>
      <c r="G175" s="2895"/>
      <c r="H175" s="2895"/>
      <c r="I175" s="2895"/>
      <c r="J175" s="2895"/>
      <c r="K175" s="2895"/>
      <c r="L175" s="2896"/>
      <c r="M175" s="2929"/>
      <c r="N175" s="2929"/>
      <c r="O175" s="2929"/>
      <c r="P175" s="2890"/>
      <c r="Q175" s="2890"/>
      <c r="R175" s="2891" t="s">
        <v>839</v>
      </c>
      <c r="S175" s="2891"/>
      <c r="T175" s="2891"/>
      <c r="U175" s="2891"/>
      <c r="V175" s="2892" t="s">
        <v>840</v>
      </c>
      <c r="W175" s="2892"/>
      <c r="X175" s="2892"/>
      <c r="Y175" s="2890" t="s">
        <v>841</v>
      </c>
      <c r="Z175" s="2890"/>
      <c r="AA175" s="2890"/>
      <c r="AB175" s="2890"/>
    </row>
    <row r="176" spans="1:29" ht="21.75" customHeight="1">
      <c r="A176" s="1524">
        <v>1</v>
      </c>
      <c r="B176" s="2919">
        <f>'A&amp;L'!C9</f>
        <v>0</v>
      </c>
      <c r="C176" s="2885"/>
      <c r="D176" s="2885"/>
      <c r="E176" s="2885"/>
      <c r="F176" s="2885"/>
      <c r="G176" s="2885">
        <f>'A&amp;L'!D9</f>
        <v>0</v>
      </c>
      <c r="H176" s="2885"/>
      <c r="I176" s="2885"/>
      <c r="J176" s="2885"/>
      <c r="K176" s="2885"/>
      <c r="L176" s="2885"/>
      <c r="M176" s="2886">
        <f>'A&amp;L'!E9</f>
        <v>0</v>
      </c>
      <c r="N176" s="2886"/>
      <c r="O176" s="2886"/>
      <c r="P176" s="2918">
        <f>'A&amp;L'!F9</f>
        <v>0</v>
      </c>
      <c r="Q176" s="2887"/>
      <c r="R176" s="2889">
        <f>'A&amp;L'!G9</f>
        <v>0</v>
      </c>
      <c r="S176" s="2889"/>
      <c r="T176" s="2889"/>
      <c r="U176" s="2889"/>
      <c r="V176" s="2889">
        <f>'A&amp;L'!H9</f>
        <v>0</v>
      </c>
      <c r="W176" s="2889"/>
      <c r="X176" s="2889"/>
      <c r="Y176" s="2888">
        <f>'A&amp;L'!I9</f>
        <v>0</v>
      </c>
      <c r="Z176" s="2888"/>
      <c r="AA176" s="2888"/>
      <c r="AB176" s="2888"/>
    </row>
    <row r="177" spans="1:30" ht="21.75" customHeight="1">
      <c r="A177" s="1524">
        <v>2</v>
      </c>
      <c r="B177" s="2919">
        <f>'A&amp;L'!C10</f>
        <v>0</v>
      </c>
      <c r="C177" s="2885"/>
      <c r="D177" s="2885"/>
      <c r="E177" s="2885"/>
      <c r="F177" s="2885"/>
      <c r="G177" s="2885">
        <f>'A&amp;L'!D10</f>
        <v>0</v>
      </c>
      <c r="H177" s="2885"/>
      <c r="I177" s="2885"/>
      <c r="J177" s="2885"/>
      <c r="K177" s="2885"/>
      <c r="L177" s="2885"/>
      <c r="M177" s="2886">
        <f>'A&amp;L'!E10</f>
        <v>0</v>
      </c>
      <c r="N177" s="2886"/>
      <c r="O177" s="2886"/>
      <c r="P177" s="2918">
        <f>'A&amp;L'!F10</f>
        <v>0</v>
      </c>
      <c r="Q177" s="2887"/>
      <c r="R177" s="2889">
        <f>'A&amp;L'!G10</f>
        <v>0</v>
      </c>
      <c r="S177" s="2889"/>
      <c r="T177" s="2889"/>
      <c r="U177" s="2889"/>
      <c r="V177" s="2889">
        <f>'A&amp;L'!H10</f>
        <v>0</v>
      </c>
      <c r="W177" s="2889"/>
      <c r="X177" s="2889"/>
      <c r="Y177" s="2888">
        <f>'A&amp;L'!I10</f>
        <v>0</v>
      </c>
      <c r="Z177" s="2888"/>
      <c r="AA177" s="2888"/>
      <c r="AB177" s="2888"/>
    </row>
    <row r="178" spans="1:30" ht="21.75" customHeight="1">
      <c r="A178" s="1524">
        <v>3</v>
      </c>
      <c r="B178" s="2919">
        <f>'A&amp;L'!C11</f>
        <v>0</v>
      </c>
      <c r="C178" s="2885"/>
      <c r="D178" s="2885"/>
      <c r="E178" s="2885"/>
      <c r="F178" s="2885"/>
      <c r="G178" s="2885">
        <f>'A&amp;L'!D11</f>
        <v>0</v>
      </c>
      <c r="H178" s="2885"/>
      <c r="I178" s="2885"/>
      <c r="J178" s="2885"/>
      <c r="K178" s="2885"/>
      <c r="L178" s="2885"/>
      <c r="M178" s="2886">
        <f>'A&amp;L'!E11</f>
        <v>0</v>
      </c>
      <c r="N178" s="2886"/>
      <c r="O178" s="2886"/>
      <c r="P178" s="2918">
        <f>'A&amp;L'!F11</f>
        <v>0</v>
      </c>
      <c r="Q178" s="2887"/>
      <c r="R178" s="2889">
        <f>'A&amp;L'!G11</f>
        <v>0</v>
      </c>
      <c r="S178" s="2889"/>
      <c r="T178" s="2889"/>
      <c r="U178" s="2889"/>
      <c r="V178" s="2889">
        <f>'A&amp;L'!H11</f>
        <v>0</v>
      </c>
      <c r="W178" s="2889"/>
      <c r="X178" s="2889"/>
      <c r="Y178" s="2888">
        <f>'A&amp;L'!I11</f>
        <v>0</v>
      </c>
      <c r="Z178" s="2888"/>
      <c r="AA178" s="2888"/>
      <c r="AB178" s="2888"/>
    </row>
    <row r="179" spans="1:30" ht="21.75" customHeight="1">
      <c r="A179" s="1524">
        <v>4</v>
      </c>
      <c r="B179" s="2919">
        <f>'A&amp;L'!C12</f>
        <v>0</v>
      </c>
      <c r="C179" s="2885"/>
      <c r="D179" s="2885"/>
      <c r="E179" s="2885"/>
      <c r="F179" s="2885"/>
      <c r="G179" s="2885">
        <f>'A&amp;L'!D12</f>
        <v>0</v>
      </c>
      <c r="H179" s="2885"/>
      <c r="I179" s="2885"/>
      <c r="J179" s="2885"/>
      <c r="K179" s="2885"/>
      <c r="L179" s="2885"/>
      <c r="M179" s="2886">
        <f>'A&amp;L'!E12</f>
        <v>0</v>
      </c>
      <c r="N179" s="2886"/>
      <c r="O179" s="2886"/>
      <c r="P179" s="2918">
        <f>'A&amp;L'!F12</f>
        <v>0</v>
      </c>
      <c r="Q179" s="2887"/>
      <c r="R179" s="2889">
        <f>'A&amp;L'!G12</f>
        <v>0</v>
      </c>
      <c r="S179" s="2889"/>
      <c r="T179" s="2889"/>
      <c r="U179" s="2889"/>
      <c r="V179" s="2889">
        <f>'A&amp;L'!H12</f>
        <v>0</v>
      </c>
      <c r="W179" s="2889"/>
      <c r="X179" s="2889"/>
      <c r="Y179" s="2888">
        <f>'A&amp;L'!I12</f>
        <v>0</v>
      </c>
      <c r="Z179" s="2888"/>
      <c r="AA179" s="2888"/>
      <c r="AB179" s="2888"/>
    </row>
    <row r="180" spans="1:30" ht="21.75" customHeight="1">
      <c r="A180" s="1524">
        <v>5</v>
      </c>
      <c r="B180" s="2919">
        <f>'A&amp;L'!C13</f>
        <v>0</v>
      </c>
      <c r="C180" s="2885"/>
      <c r="D180" s="2885"/>
      <c r="E180" s="2885"/>
      <c r="F180" s="2885"/>
      <c r="G180" s="2885">
        <f>'A&amp;L'!D13</f>
        <v>0</v>
      </c>
      <c r="H180" s="2885"/>
      <c r="I180" s="2885"/>
      <c r="J180" s="2885"/>
      <c r="K180" s="2885"/>
      <c r="L180" s="2885"/>
      <c r="M180" s="2886">
        <f>'A&amp;L'!E13</f>
        <v>0</v>
      </c>
      <c r="N180" s="2886"/>
      <c r="O180" s="2886"/>
      <c r="P180" s="2918">
        <f>'A&amp;L'!F13</f>
        <v>0</v>
      </c>
      <c r="Q180" s="2887"/>
      <c r="R180" s="2889">
        <f>'A&amp;L'!G13</f>
        <v>0</v>
      </c>
      <c r="S180" s="2889"/>
      <c r="T180" s="2889"/>
      <c r="U180" s="2889"/>
      <c r="V180" s="2889">
        <f>'A&amp;L'!H13</f>
        <v>0</v>
      </c>
      <c r="W180" s="2889"/>
      <c r="X180" s="2889"/>
      <c r="Y180" s="2888">
        <f>'A&amp;L'!I13</f>
        <v>0</v>
      </c>
      <c r="Z180" s="2888"/>
      <c r="AA180" s="2888"/>
      <c r="AB180" s="2888"/>
    </row>
    <row r="181" spans="1:30" ht="21.75" customHeight="1">
      <c r="A181" s="1524">
        <v>6</v>
      </c>
      <c r="B181" s="2919">
        <f>'A&amp;L'!C14</f>
        <v>0</v>
      </c>
      <c r="C181" s="2885"/>
      <c r="D181" s="2885"/>
      <c r="E181" s="2885"/>
      <c r="F181" s="2885"/>
      <c r="G181" s="2885">
        <f>'A&amp;L'!D14</f>
        <v>0</v>
      </c>
      <c r="H181" s="2885"/>
      <c r="I181" s="2885"/>
      <c r="J181" s="2885"/>
      <c r="K181" s="2885"/>
      <c r="L181" s="2885"/>
      <c r="M181" s="2886">
        <f>'A&amp;L'!E14</f>
        <v>0</v>
      </c>
      <c r="N181" s="2886"/>
      <c r="O181" s="2886"/>
      <c r="P181" s="2918">
        <f>'A&amp;L'!F14</f>
        <v>0</v>
      </c>
      <c r="Q181" s="2887"/>
      <c r="R181" s="2889">
        <f>'A&amp;L'!G14</f>
        <v>0</v>
      </c>
      <c r="S181" s="2889"/>
      <c r="T181" s="2889"/>
      <c r="U181" s="2889"/>
      <c r="V181" s="2889">
        <f>'A&amp;L'!H14</f>
        <v>0</v>
      </c>
      <c r="W181" s="2889"/>
      <c r="X181" s="2889"/>
      <c r="Y181" s="2888">
        <f>'A&amp;L'!I14</f>
        <v>0</v>
      </c>
      <c r="Z181" s="2888"/>
      <c r="AA181" s="2888"/>
      <c r="AB181" s="2888"/>
    </row>
    <row r="182" spans="1:30" ht="21.75" customHeight="1">
      <c r="A182" s="1524">
        <v>7</v>
      </c>
      <c r="B182" s="2919">
        <f>'A&amp;L'!C15</f>
        <v>0</v>
      </c>
      <c r="C182" s="2885"/>
      <c r="D182" s="2885"/>
      <c r="E182" s="2885"/>
      <c r="F182" s="2885"/>
      <c r="G182" s="2885">
        <f>'A&amp;L'!D15</f>
        <v>0</v>
      </c>
      <c r="H182" s="2885"/>
      <c r="I182" s="2885"/>
      <c r="J182" s="2885"/>
      <c r="K182" s="2885"/>
      <c r="L182" s="2885"/>
      <c r="M182" s="2886">
        <f>'A&amp;L'!E15</f>
        <v>0</v>
      </c>
      <c r="N182" s="2886"/>
      <c r="O182" s="2886"/>
      <c r="P182" s="2918">
        <f>'A&amp;L'!F15</f>
        <v>0</v>
      </c>
      <c r="Q182" s="2887"/>
      <c r="R182" s="2889">
        <f>'A&amp;L'!G15</f>
        <v>0</v>
      </c>
      <c r="S182" s="2889"/>
      <c r="T182" s="2889"/>
      <c r="U182" s="2889"/>
      <c r="V182" s="2889">
        <f>'A&amp;L'!H15</f>
        <v>0</v>
      </c>
      <c r="W182" s="2889"/>
      <c r="X182" s="2889"/>
      <c r="Y182" s="2888">
        <f>'A&amp;L'!I15</f>
        <v>0</v>
      </c>
      <c r="Z182" s="2888"/>
      <c r="AA182" s="2888"/>
      <c r="AB182" s="2888"/>
    </row>
    <row r="183" spans="1:30" ht="21.75" customHeight="1">
      <c r="A183" s="1524">
        <v>8</v>
      </c>
      <c r="B183" s="2919">
        <f>'A&amp;L'!C16</f>
        <v>0</v>
      </c>
      <c r="C183" s="2885"/>
      <c r="D183" s="2885"/>
      <c r="E183" s="2885"/>
      <c r="F183" s="2885"/>
      <c r="G183" s="2885">
        <f>'A&amp;L'!D16</f>
        <v>0</v>
      </c>
      <c r="H183" s="2885"/>
      <c r="I183" s="2885"/>
      <c r="J183" s="2885"/>
      <c r="K183" s="2885"/>
      <c r="L183" s="2885"/>
      <c r="M183" s="2886">
        <f>'A&amp;L'!E16</f>
        <v>0</v>
      </c>
      <c r="N183" s="2886"/>
      <c r="O183" s="2886"/>
      <c r="P183" s="2918">
        <f>'A&amp;L'!F16</f>
        <v>0</v>
      </c>
      <c r="Q183" s="2887"/>
      <c r="R183" s="2889">
        <f>'A&amp;L'!G16</f>
        <v>0</v>
      </c>
      <c r="S183" s="2889"/>
      <c r="T183" s="2889"/>
      <c r="U183" s="2889"/>
      <c r="V183" s="2889">
        <f>'A&amp;L'!H16</f>
        <v>0</v>
      </c>
      <c r="W183" s="2889"/>
      <c r="X183" s="2889"/>
      <c r="Y183" s="2888">
        <f>'A&amp;L'!I16</f>
        <v>0</v>
      </c>
      <c r="Z183" s="2888"/>
      <c r="AA183" s="2888"/>
      <c r="AB183" s="2888"/>
    </row>
    <row r="184" spans="1:30" ht="21.75" customHeight="1">
      <c r="A184" s="1524">
        <v>9</v>
      </c>
      <c r="B184" s="2919">
        <f>'A&amp;L'!C17</f>
        <v>0</v>
      </c>
      <c r="C184" s="2885"/>
      <c r="D184" s="2885"/>
      <c r="E184" s="2885"/>
      <c r="F184" s="2885"/>
      <c r="G184" s="2885">
        <f>'A&amp;L'!D17</f>
        <v>0</v>
      </c>
      <c r="H184" s="2885"/>
      <c r="I184" s="2885"/>
      <c r="J184" s="2885"/>
      <c r="K184" s="2885"/>
      <c r="L184" s="2885"/>
      <c r="M184" s="2886">
        <f>'A&amp;L'!E17</f>
        <v>0</v>
      </c>
      <c r="N184" s="2886"/>
      <c r="O184" s="2886"/>
      <c r="P184" s="2918">
        <f>'A&amp;L'!F17</f>
        <v>0</v>
      </c>
      <c r="Q184" s="2887"/>
      <c r="R184" s="2889">
        <f>'A&amp;L'!G17</f>
        <v>0</v>
      </c>
      <c r="S184" s="2889"/>
      <c r="T184" s="2889"/>
      <c r="U184" s="2889"/>
      <c r="V184" s="2889">
        <f>'A&amp;L'!H17</f>
        <v>0</v>
      </c>
      <c r="W184" s="2889"/>
      <c r="X184" s="2889"/>
      <c r="Y184" s="2888">
        <f>'A&amp;L'!I17</f>
        <v>0</v>
      </c>
      <c r="Z184" s="2888"/>
      <c r="AA184" s="2888"/>
      <c r="AB184" s="2888"/>
    </row>
    <row r="185" spans="1:30" ht="21.75" customHeight="1">
      <c r="A185" s="1524">
        <v>10</v>
      </c>
      <c r="B185" s="2919">
        <f>'A&amp;L'!C18</f>
        <v>0</v>
      </c>
      <c r="C185" s="2885"/>
      <c r="D185" s="2885"/>
      <c r="E185" s="2885"/>
      <c r="F185" s="2885"/>
      <c r="G185" s="2885">
        <f>'A&amp;L'!D18</f>
        <v>0</v>
      </c>
      <c r="H185" s="2885"/>
      <c r="I185" s="2885"/>
      <c r="J185" s="2885"/>
      <c r="K185" s="2885"/>
      <c r="L185" s="2885"/>
      <c r="M185" s="2886">
        <f>'A&amp;L'!E18</f>
        <v>0</v>
      </c>
      <c r="N185" s="2886"/>
      <c r="O185" s="2886"/>
      <c r="P185" s="2918">
        <f>'A&amp;L'!F18</f>
        <v>0</v>
      </c>
      <c r="Q185" s="2887"/>
      <c r="R185" s="2889">
        <f>'A&amp;L'!G18</f>
        <v>0</v>
      </c>
      <c r="S185" s="2889"/>
      <c r="T185" s="2889"/>
      <c r="U185" s="2889"/>
      <c r="V185" s="2889">
        <f>'A&amp;L'!H18</f>
        <v>0</v>
      </c>
      <c r="W185" s="2889"/>
      <c r="X185" s="2889"/>
      <c r="Y185" s="2888">
        <f>'A&amp;L'!I18</f>
        <v>0</v>
      </c>
      <c r="Z185" s="2888"/>
      <c r="AA185" s="2888"/>
      <c r="AB185" s="2888"/>
    </row>
    <row r="186" spans="1:30" ht="21.75" customHeight="1">
      <c r="A186" s="1524">
        <v>11</v>
      </c>
      <c r="B186" s="2919">
        <f>'A&amp;L'!C19</f>
        <v>0</v>
      </c>
      <c r="C186" s="2885"/>
      <c r="D186" s="2885"/>
      <c r="E186" s="2885"/>
      <c r="F186" s="2885"/>
      <c r="G186" s="2885">
        <f>'A&amp;L'!D19</f>
        <v>0</v>
      </c>
      <c r="H186" s="2885"/>
      <c r="I186" s="2885"/>
      <c r="J186" s="2885"/>
      <c r="K186" s="2885"/>
      <c r="L186" s="2885"/>
      <c r="M186" s="2886">
        <f>'A&amp;L'!E19</f>
        <v>0</v>
      </c>
      <c r="N186" s="2886"/>
      <c r="O186" s="2886"/>
      <c r="P186" s="2918">
        <f>'A&amp;L'!F19</f>
        <v>0</v>
      </c>
      <c r="Q186" s="2887"/>
      <c r="R186" s="2889">
        <f>'A&amp;L'!G19</f>
        <v>0</v>
      </c>
      <c r="S186" s="2889"/>
      <c r="T186" s="2889"/>
      <c r="U186" s="2889"/>
      <c r="V186" s="2889">
        <f>'A&amp;L'!H19</f>
        <v>0</v>
      </c>
      <c r="W186" s="2889"/>
      <c r="X186" s="2889"/>
      <c r="Y186" s="2888">
        <f>'A&amp;L'!I19</f>
        <v>0</v>
      </c>
      <c r="Z186" s="2888"/>
      <c r="AA186" s="2888"/>
      <c r="AB186" s="2888"/>
    </row>
    <row r="187" spans="1:30" ht="21.75" customHeight="1">
      <c r="A187" s="1524">
        <v>12</v>
      </c>
      <c r="B187" s="2919">
        <f>'A&amp;L'!C20</f>
        <v>0</v>
      </c>
      <c r="C187" s="2885"/>
      <c r="D187" s="2885"/>
      <c r="E187" s="2885"/>
      <c r="F187" s="2885"/>
      <c r="G187" s="2885">
        <f>'A&amp;L'!D20</f>
        <v>0</v>
      </c>
      <c r="H187" s="2885"/>
      <c r="I187" s="2885"/>
      <c r="J187" s="2885"/>
      <c r="K187" s="2885"/>
      <c r="L187" s="2885"/>
      <c r="M187" s="2886">
        <f>'A&amp;L'!E20</f>
        <v>0</v>
      </c>
      <c r="N187" s="2886"/>
      <c r="O187" s="2886"/>
      <c r="P187" s="2918">
        <f>'A&amp;L'!F20</f>
        <v>0</v>
      </c>
      <c r="Q187" s="2887"/>
      <c r="R187" s="2889">
        <f>'A&amp;L'!G20</f>
        <v>0</v>
      </c>
      <c r="S187" s="2889"/>
      <c r="T187" s="2889"/>
      <c r="U187" s="2889"/>
      <c r="V187" s="2889">
        <f>'A&amp;L'!H20</f>
        <v>0</v>
      </c>
      <c r="W187" s="2889"/>
      <c r="X187" s="2889"/>
      <c r="Y187" s="2888">
        <f>'A&amp;L'!I20</f>
        <v>0</v>
      </c>
      <c r="Z187" s="2888"/>
      <c r="AA187" s="2888"/>
      <c r="AB187" s="2888"/>
    </row>
    <row r="188" spans="1:30" ht="21.75" customHeight="1">
      <c r="A188" s="1524">
        <v>13</v>
      </c>
      <c r="B188" s="2919">
        <f>'A&amp;L'!C21</f>
        <v>0</v>
      </c>
      <c r="C188" s="2885"/>
      <c r="D188" s="2885"/>
      <c r="E188" s="2885"/>
      <c r="F188" s="2885"/>
      <c r="G188" s="2885">
        <f>'A&amp;L'!D21</f>
        <v>0</v>
      </c>
      <c r="H188" s="2885"/>
      <c r="I188" s="2885"/>
      <c r="J188" s="2885"/>
      <c r="K188" s="2885"/>
      <c r="L188" s="2885"/>
      <c r="M188" s="2886">
        <f>'A&amp;L'!E21</f>
        <v>0</v>
      </c>
      <c r="N188" s="2886"/>
      <c r="O188" s="2886"/>
      <c r="P188" s="2918">
        <f>'A&amp;L'!F21</f>
        <v>0</v>
      </c>
      <c r="Q188" s="2887"/>
      <c r="R188" s="2889">
        <f>'A&amp;L'!G21</f>
        <v>0</v>
      </c>
      <c r="S188" s="2889"/>
      <c r="T188" s="2889"/>
      <c r="U188" s="2889"/>
      <c r="V188" s="2889">
        <f>'A&amp;L'!H21</f>
        <v>0</v>
      </c>
      <c r="W188" s="2889"/>
      <c r="X188" s="2889"/>
      <c r="Y188" s="2888">
        <f>'A&amp;L'!I21</f>
        <v>0</v>
      </c>
      <c r="Z188" s="2888"/>
      <c r="AA188" s="2888"/>
      <c r="AB188" s="2888"/>
    </row>
    <row r="189" spans="1:30" ht="21.75" customHeight="1">
      <c r="A189" s="1524">
        <v>14</v>
      </c>
      <c r="B189" s="2919">
        <f>'A&amp;L'!C22</f>
        <v>0</v>
      </c>
      <c r="C189" s="2885"/>
      <c r="D189" s="2885"/>
      <c r="E189" s="2885"/>
      <c r="F189" s="2885"/>
      <c r="G189" s="2885">
        <f>'A&amp;L'!D22</f>
        <v>0</v>
      </c>
      <c r="H189" s="2885"/>
      <c r="I189" s="2885"/>
      <c r="J189" s="2885"/>
      <c r="K189" s="2885"/>
      <c r="L189" s="2885"/>
      <c r="M189" s="2886">
        <f>'A&amp;L'!E22</f>
        <v>0</v>
      </c>
      <c r="N189" s="2886"/>
      <c r="O189" s="2886"/>
      <c r="P189" s="2918">
        <f>'A&amp;L'!F22</f>
        <v>0</v>
      </c>
      <c r="Q189" s="2887"/>
      <c r="R189" s="2889">
        <f>'A&amp;L'!G22</f>
        <v>0</v>
      </c>
      <c r="S189" s="2889"/>
      <c r="T189" s="2889"/>
      <c r="U189" s="2889"/>
      <c r="V189" s="2889">
        <f>'A&amp;L'!H22</f>
        <v>0</v>
      </c>
      <c r="W189" s="2889"/>
      <c r="X189" s="2889"/>
      <c r="Y189" s="2888">
        <f>'A&amp;L'!I22</f>
        <v>0</v>
      </c>
      <c r="Z189" s="2888"/>
      <c r="AA189" s="2888"/>
      <c r="AB189" s="2888"/>
      <c r="AD189" s="886"/>
    </row>
    <row r="190" spans="1:30" ht="21.75" customHeight="1">
      <c r="A190" s="1524">
        <v>15</v>
      </c>
      <c r="B190" s="2919">
        <f>'A&amp;L'!C23</f>
        <v>0</v>
      </c>
      <c r="C190" s="2885"/>
      <c r="D190" s="2885"/>
      <c r="E190" s="2885"/>
      <c r="F190" s="2885"/>
      <c r="G190" s="2885">
        <f>'A&amp;L'!D23</f>
        <v>0</v>
      </c>
      <c r="H190" s="2885"/>
      <c r="I190" s="2885"/>
      <c r="J190" s="2885"/>
      <c r="K190" s="2885"/>
      <c r="L190" s="2885"/>
      <c r="M190" s="2886">
        <f>'A&amp;L'!E23</f>
        <v>0</v>
      </c>
      <c r="N190" s="2886"/>
      <c r="O190" s="2886"/>
      <c r="P190" s="2918">
        <f>'A&amp;L'!F23</f>
        <v>0</v>
      </c>
      <c r="Q190" s="2887"/>
      <c r="R190" s="2889">
        <f>'A&amp;L'!G23</f>
        <v>0</v>
      </c>
      <c r="S190" s="2889"/>
      <c r="T190" s="2889"/>
      <c r="U190" s="2889"/>
      <c r="V190" s="2889">
        <f>'A&amp;L'!H23</f>
        <v>0</v>
      </c>
      <c r="W190" s="2889"/>
      <c r="X190" s="2889"/>
      <c r="Y190" s="2888">
        <f>'A&amp;L'!I23</f>
        <v>0</v>
      </c>
      <c r="Z190" s="2888"/>
      <c r="AA190" s="2888"/>
      <c r="AB190" s="2888"/>
    </row>
    <row r="191" spans="1:30" ht="21.75" customHeight="1">
      <c r="A191" s="1484"/>
      <c r="B191" s="1484"/>
      <c r="C191" s="1484"/>
      <c r="D191" s="1484"/>
      <c r="E191" s="1484"/>
      <c r="F191" s="1484"/>
      <c r="G191" s="1484"/>
      <c r="H191" s="1484"/>
      <c r="I191" s="1484"/>
      <c r="J191" s="1484"/>
      <c r="K191" s="1484"/>
      <c r="L191" s="1484"/>
      <c r="M191" s="1484"/>
      <c r="N191" s="1484"/>
      <c r="O191" s="1484"/>
      <c r="P191" s="1484"/>
      <c r="Q191" s="1484"/>
      <c r="R191" s="1484"/>
      <c r="S191" s="1484"/>
      <c r="T191" s="1484"/>
      <c r="V191" s="2881" t="s">
        <v>499</v>
      </c>
      <c r="W191" s="2882"/>
      <c r="X191" s="2883"/>
      <c r="Y191" s="2884">
        <f>'A&amp;L'!I24</f>
        <v>0</v>
      </c>
      <c r="Z191" s="2884"/>
      <c r="AA191" s="2884"/>
      <c r="AB191" s="2884"/>
    </row>
    <row r="193" spans="1:28">
      <c r="A193" s="1486" t="s">
        <v>1385</v>
      </c>
    </row>
    <row r="194" spans="1:28" ht="6.75" customHeight="1">
      <c r="A194" s="1486"/>
    </row>
    <row r="195" spans="1:28" ht="21.75" customHeight="1">
      <c r="A195" s="2890" t="s">
        <v>360</v>
      </c>
      <c r="B195" s="2891" t="s">
        <v>1269</v>
      </c>
      <c r="C195" s="2891"/>
      <c r="D195" s="2891"/>
      <c r="E195" s="2891"/>
      <c r="F195" s="2891"/>
      <c r="G195" s="2893" t="s">
        <v>901</v>
      </c>
      <c r="H195" s="2893"/>
      <c r="I195" s="2893"/>
      <c r="J195" s="2893"/>
      <c r="K195" s="2893"/>
      <c r="L195" s="2894"/>
      <c r="M195" s="2890" t="s">
        <v>836</v>
      </c>
      <c r="N195" s="2890"/>
      <c r="O195" s="2890"/>
      <c r="P195" s="2890" t="s">
        <v>542</v>
      </c>
      <c r="Q195" s="2890"/>
      <c r="R195" s="2890" t="s">
        <v>837</v>
      </c>
      <c r="S195" s="2890"/>
      <c r="T195" s="2890"/>
      <c r="U195" s="2890"/>
      <c r="V195" s="2890"/>
      <c r="W195" s="2890"/>
      <c r="X195" s="2890"/>
      <c r="Y195" s="2890"/>
      <c r="Z195" s="2890"/>
      <c r="AA195" s="2890"/>
      <c r="AB195" s="2890"/>
    </row>
    <row r="196" spans="1:28" ht="27.75" customHeight="1">
      <c r="A196" s="2890"/>
      <c r="B196" s="2892"/>
      <c r="C196" s="2892"/>
      <c r="D196" s="2892"/>
      <c r="E196" s="2892"/>
      <c r="F196" s="2892"/>
      <c r="G196" s="2895"/>
      <c r="H196" s="2895"/>
      <c r="I196" s="2895"/>
      <c r="J196" s="2895"/>
      <c r="K196" s="2895"/>
      <c r="L196" s="2896"/>
      <c r="M196" s="2929"/>
      <c r="N196" s="2929"/>
      <c r="O196" s="2929"/>
      <c r="P196" s="2890"/>
      <c r="Q196" s="2890"/>
      <c r="R196" s="2891" t="s">
        <v>839</v>
      </c>
      <c r="S196" s="2891"/>
      <c r="T196" s="2891"/>
      <c r="U196" s="2891"/>
      <c r="V196" s="2892" t="s">
        <v>840</v>
      </c>
      <c r="W196" s="2892"/>
      <c r="X196" s="2892"/>
      <c r="Y196" s="2890" t="s">
        <v>841</v>
      </c>
      <c r="Z196" s="2890"/>
      <c r="AA196" s="2890"/>
      <c r="AB196" s="2890"/>
    </row>
    <row r="197" spans="1:28" ht="21.75" customHeight="1">
      <c r="A197" s="1524">
        <v>1</v>
      </c>
      <c r="B197" s="2885">
        <f>'A&amp;L'!C30</f>
        <v>0</v>
      </c>
      <c r="C197" s="2885"/>
      <c r="D197" s="2885"/>
      <c r="E197" s="2885"/>
      <c r="F197" s="2885"/>
      <c r="G197" s="2885">
        <f>'A&amp;L'!D30</f>
        <v>0</v>
      </c>
      <c r="H197" s="2885"/>
      <c r="I197" s="2885"/>
      <c r="J197" s="2885"/>
      <c r="K197" s="2885"/>
      <c r="L197" s="2885"/>
      <c r="M197" s="2886">
        <f>'A&amp;L'!E30</f>
        <v>0</v>
      </c>
      <c r="N197" s="2886"/>
      <c r="O197" s="2886"/>
      <c r="P197" s="2887">
        <f>'A&amp;L'!F30</f>
        <v>0</v>
      </c>
      <c r="Q197" s="2887"/>
      <c r="R197" s="2889">
        <f>'A&amp;L'!G30</f>
        <v>0</v>
      </c>
      <c r="S197" s="2889"/>
      <c r="T197" s="2889"/>
      <c r="U197" s="2889"/>
      <c r="V197" s="2889">
        <f>'A&amp;L'!H30</f>
        <v>0</v>
      </c>
      <c r="W197" s="2889"/>
      <c r="X197" s="2889"/>
      <c r="Y197" s="2888">
        <f>'A&amp;L'!I30</f>
        <v>0</v>
      </c>
      <c r="Z197" s="2888"/>
      <c r="AA197" s="2888"/>
      <c r="AB197" s="2888"/>
    </row>
    <row r="198" spans="1:28" ht="21.75" customHeight="1">
      <c r="A198" s="1524">
        <v>2</v>
      </c>
      <c r="B198" s="2885">
        <f>'A&amp;L'!C31</f>
        <v>0</v>
      </c>
      <c r="C198" s="2885"/>
      <c r="D198" s="2885"/>
      <c r="E198" s="2885"/>
      <c r="F198" s="2885"/>
      <c r="G198" s="2885">
        <f>'A&amp;L'!D31</f>
        <v>0</v>
      </c>
      <c r="H198" s="2885"/>
      <c r="I198" s="2885"/>
      <c r="J198" s="2885"/>
      <c r="K198" s="2885"/>
      <c r="L198" s="2885"/>
      <c r="M198" s="2886">
        <f>'A&amp;L'!E31</f>
        <v>0</v>
      </c>
      <c r="N198" s="2886"/>
      <c r="O198" s="2886"/>
      <c r="P198" s="2887">
        <f>'A&amp;L'!F31</f>
        <v>0</v>
      </c>
      <c r="Q198" s="2887"/>
      <c r="R198" s="2889">
        <f>'A&amp;L'!G31</f>
        <v>0</v>
      </c>
      <c r="S198" s="2889"/>
      <c r="T198" s="2889"/>
      <c r="U198" s="2889"/>
      <c r="V198" s="2889">
        <f>'A&amp;L'!H31</f>
        <v>0</v>
      </c>
      <c r="W198" s="2889"/>
      <c r="X198" s="2889"/>
      <c r="Y198" s="2888">
        <f>'A&amp;L'!I31</f>
        <v>0</v>
      </c>
      <c r="Z198" s="2888"/>
      <c r="AA198" s="2888"/>
      <c r="AB198" s="2888"/>
    </row>
    <row r="199" spans="1:28" ht="21.75" customHeight="1">
      <c r="A199" s="1524">
        <v>3</v>
      </c>
      <c r="B199" s="2885">
        <f>'A&amp;L'!C32</f>
        <v>0</v>
      </c>
      <c r="C199" s="2885"/>
      <c r="D199" s="2885"/>
      <c r="E199" s="2885"/>
      <c r="F199" s="2885"/>
      <c r="G199" s="2885">
        <f>'A&amp;L'!D32</f>
        <v>0</v>
      </c>
      <c r="H199" s="2885"/>
      <c r="I199" s="2885"/>
      <c r="J199" s="2885"/>
      <c r="K199" s="2885"/>
      <c r="L199" s="2885"/>
      <c r="M199" s="2886">
        <f>'A&amp;L'!E32</f>
        <v>0</v>
      </c>
      <c r="N199" s="2886"/>
      <c r="O199" s="2886"/>
      <c r="P199" s="2887">
        <f>'A&amp;L'!F32</f>
        <v>0</v>
      </c>
      <c r="Q199" s="2887"/>
      <c r="R199" s="2889">
        <f>'A&amp;L'!G32</f>
        <v>0</v>
      </c>
      <c r="S199" s="2889"/>
      <c r="T199" s="2889"/>
      <c r="U199" s="2889"/>
      <c r="V199" s="2889">
        <f>'A&amp;L'!H32</f>
        <v>0</v>
      </c>
      <c r="W199" s="2889"/>
      <c r="X199" s="2889"/>
      <c r="Y199" s="2888">
        <f>'A&amp;L'!I32</f>
        <v>0</v>
      </c>
      <c r="Z199" s="2888"/>
      <c r="AA199" s="2888"/>
      <c r="AB199" s="2888"/>
    </row>
    <row r="200" spans="1:28" ht="21.75" customHeight="1">
      <c r="A200" s="1524">
        <v>4</v>
      </c>
      <c r="B200" s="2885">
        <f>'A&amp;L'!C33</f>
        <v>0</v>
      </c>
      <c r="C200" s="2885"/>
      <c r="D200" s="2885"/>
      <c r="E200" s="2885"/>
      <c r="F200" s="2885"/>
      <c r="G200" s="2885">
        <f>'A&amp;L'!D33</f>
        <v>0</v>
      </c>
      <c r="H200" s="2885"/>
      <c r="I200" s="2885"/>
      <c r="J200" s="2885"/>
      <c r="K200" s="2885"/>
      <c r="L200" s="2885"/>
      <c r="M200" s="2886">
        <f>'A&amp;L'!E33</f>
        <v>0</v>
      </c>
      <c r="N200" s="2886"/>
      <c r="O200" s="2886"/>
      <c r="P200" s="2887">
        <f>'A&amp;L'!F33</f>
        <v>0</v>
      </c>
      <c r="Q200" s="2887"/>
      <c r="R200" s="2889">
        <f>'A&amp;L'!G33</f>
        <v>0</v>
      </c>
      <c r="S200" s="2889"/>
      <c r="T200" s="2889"/>
      <c r="U200" s="2889"/>
      <c r="V200" s="2889">
        <f>'A&amp;L'!H33</f>
        <v>0</v>
      </c>
      <c r="W200" s="2889"/>
      <c r="X200" s="2889"/>
      <c r="Y200" s="2888">
        <f>'A&amp;L'!I33</f>
        <v>0</v>
      </c>
      <c r="Z200" s="2888"/>
      <c r="AA200" s="2888"/>
      <c r="AB200" s="2888"/>
    </row>
    <row r="201" spans="1:28" ht="21.75" customHeight="1">
      <c r="A201" s="1524">
        <v>5</v>
      </c>
      <c r="B201" s="2885">
        <f>'A&amp;L'!C34</f>
        <v>0</v>
      </c>
      <c r="C201" s="2885"/>
      <c r="D201" s="2885"/>
      <c r="E201" s="2885"/>
      <c r="F201" s="2885"/>
      <c r="G201" s="2885">
        <f>'A&amp;L'!D34</f>
        <v>0</v>
      </c>
      <c r="H201" s="2885"/>
      <c r="I201" s="2885"/>
      <c r="J201" s="2885"/>
      <c r="K201" s="2885"/>
      <c r="L201" s="2885"/>
      <c r="M201" s="2886">
        <f>'A&amp;L'!E34</f>
        <v>0</v>
      </c>
      <c r="N201" s="2886"/>
      <c r="O201" s="2886"/>
      <c r="P201" s="2887">
        <f>'A&amp;L'!F34</f>
        <v>0</v>
      </c>
      <c r="Q201" s="2887"/>
      <c r="R201" s="2889">
        <f>'A&amp;L'!G34</f>
        <v>0</v>
      </c>
      <c r="S201" s="2889"/>
      <c r="T201" s="2889"/>
      <c r="U201" s="2889"/>
      <c r="V201" s="2889">
        <f>'A&amp;L'!H34</f>
        <v>0</v>
      </c>
      <c r="W201" s="2889"/>
      <c r="X201" s="2889"/>
      <c r="Y201" s="2888">
        <f>'A&amp;L'!I34</f>
        <v>0</v>
      </c>
      <c r="Z201" s="2888"/>
      <c r="AA201" s="2888"/>
      <c r="AB201" s="2888"/>
    </row>
    <row r="202" spans="1:28" ht="21.75" customHeight="1">
      <c r="A202" s="1524">
        <v>6</v>
      </c>
      <c r="B202" s="2885">
        <f>'A&amp;L'!C35</f>
        <v>0</v>
      </c>
      <c r="C202" s="2885"/>
      <c r="D202" s="2885"/>
      <c r="E202" s="2885"/>
      <c r="F202" s="2885"/>
      <c r="G202" s="2885">
        <f>'A&amp;L'!D35</f>
        <v>0</v>
      </c>
      <c r="H202" s="2885"/>
      <c r="I202" s="2885"/>
      <c r="J202" s="2885"/>
      <c r="K202" s="2885"/>
      <c r="L202" s="2885"/>
      <c r="M202" s="2886">
        <f>'A&amp;L'!E35</f>
        <v>0</v>
      </c>
      <c r="N202" s="2886"/>
      <c r="O202" s="2886"/>
      <c r="P202" s="2887">
        <f>'A&amp;L'!F35</f>
        <v>0</v>
      </c>
      <c r="Q202" s="2887"/>
      <c r="R202" s="2889">
        <f>'A&amp;L'!G35</f>
        <v>0</v>
      </c>
      <c r="S202" s="2889"/>
      <c r="T202" s="2889"/>
      <c r="U202" s="2889"/>
      <c r="V202" s="2889">
        <f>'A&amp;L'!H35</f>
        <v>0</v>
      </c>
      <c r="W202" s="2889"/>
      <c r="X202" s="2889"/>
      <c r="Y202" s="2888">
        <f>'A&amp;L'!I35</f>
        <v>0</v>
      </c>
      <c r="Z202" s="2888"/>
      <c r="AA202" s="2888"/>
      <c r="AB202" s="2888"/>
    </row>
    <row r="203" spans="1:28" ht="21.75" customHeight="1">
      <c r="A203" s="1524">
        <v>7</v>
      </c>
      <c r="B203" s="2885">
        <f>'A&amp;L'!C36</f>
        <v>0</v>
      </c>
      <c r="C203" s="2885"/>
      <c r="D203" s="2885"/>
      <c r="E203" s="2885"/>
      <c r="F203" s="2885"/>
      <c r="G203" s="2885">
        <f>'A&amp;L'!D36</f>
        <v>0</v>
      </c>
      <c r="H203" s="2885"/>
      <c r="I203" s="2885"/>
      <c r="J203" s="2885"/>
      <c r="K203" s="2885"/>
      <c r="L203" s="2885"/>
      <c r="M203" s="2886">
        <f>'A&amp;L'!E36</f>
        <v>0</v>
      </c>
      <c r="N203" s="2886"/>
      <c r="O203" s="2886"/>
      <c r="P203" s="2887">
        <f>'A&amp;L'!F36</f>
        <v>0</v>
      </c>
      <c r="Q203" s="2887"/>
      <c r="R203" s="2889">
        <f>'A&amp;L'!G36</f>
        <v>0</v>
      </c>
      <c r="S203" s="2889"/>
      <c r="T203" s="2889"/>
      <c r="U203" s="2889"/>
      <c r="V203" s="2889">
        <f>'A&amp;L'!H36</f>
        <v>0</v>
      </c>
      <c r="W203" s="2889"/>
      <c r="X203" s="2889"/>
      <c r="Y203" s="2888">
        <f>'A&amp;L'!I36</f>
        <v>0</v>
      </c>
      <c r="Z203" s="2888"/>
      <c r="AA203" s="2888"/>
      <c r="AB203" s="2888"/>
    </row>
    <row r="204" spans="1:28" ht="21.75" customHeight="1">
      <c r="A204" s="1524">
        <v>8</v>
      </c>
      <c r="B204" s="2885">
        <f>'A&amp;L'!C37</f>
        <v>0</v>
      </c>
      <c r="C204" s="2885"/>
      <c r="D204" s="2885"/>
      <c r="E204" s="2885"/>
      <c r="F204" s="2885"/>
      <c r="G204" s="2885">
        <f>'A&amp;L'!D37</f>
        <v>0</v>
      </c>
      <c r="H204" s="2885"/>
      <c r="I204" s="2885"/>
      <c r="J204" s="2885"/>
      <c r="K204" s="2885"/>
      <c r="L204" s="2885"/>
      <c r="M204" s="2886">
        <f>'A&amp;L'!E37</f>
        <v>0</v>
      </c>
      <c r="N204" s="2886"/>
      <c r="O204" s="2886"/>
      <c r="P204" s="2887">
        <f>'A&amp;L'!F37</f>
        <v>0</v>
      </c>
      <c r="Q204" s="2887"/>
      <c r="R204" s="2889">
        <f>'A&amp;L'!G37</f>
        <v>0</v>
      </c>
      <c r="S204" s="2889"/>
      <c r="T204" s="2889"/>
      <c r="U204" s="2889"/>
      <c r="V204" s="2889">
        <f>'A&amp;L'!H37</f>
        <v>0</v>
      </c>
      <c r="W204" s="2889"/>
      <c r="X204" s="2889"/>
      <c r="Y204" s="2888">
        <f>'A&amp;L'!I37</f>
        <v>0</v>
      </c>
      <c r="Z204" s="2888"/>
      <c r="AA204" s="2888"/>
      <c r="AB204" s="2888"/>
    </row>
    <row r="205" spans="1:28" ht="21.75" customHeight="1">
      <c r="A205" s="1524">
        <v>9</v>
      </c>
      <c r="B205" s="2885">
        <f>'A&amp;L'!C38</f>
        <v>0</v>
      </c>
      <c r="C205" s="2885"/>
      <c r="D205" s="2885"/>
      <c r="E205" s="2885"/>
      <c r="F205" s="2885"/>
      <c r="G205" s="2885">
        <f>'A&amp;L'!D38</f>
        <v>0</v>
      </c>
      <c r="H205" s="2885"/>
      <c r="I205" s="2885"/>
      <c r="J205" s="2885"/>
      <c r="K205" s="2885"/>
      <c r="L205" s="2885"/>
      <c r="M205" s="2886">
        <f>'A&amp;L'!E38</f>
        <v>0</v>
      </c>
      <c r="N205" s="2886"/>
      <c r="O205" s="2886"/>
      <c r="P205" s="2887">
        <f>'A&amp;L'!F38</f>
        <v>0</v>
      </c>
      <c r="Q205" s="2887"/>
      <c r="R205" s="2889">
        <f>'A&amp;L'!G38</f>
        <v>0</v>
      </c>
      <c r="S205" s="2889"/>
      <c r="T205" s="2889"/>
      <c r="U205" s="2889"/>
      <c r="V205" s="2889">
        <f>'A&amp;L'!H38</f>
        <v>0</v>
      </c>
      <c r="W205" s="2889"/>
      <c r="X205" s="2889"/>
      <c r="Y205" s="2888">
        <f>'A&amp;L'!I38</f>
        <v>0</v>
      </c>
      <c r="Z205" s="2888"/>
      <c r="AA205" s="2888"/>
      <c r="AB205" s="2888"/>
    </row>
    <row r="206" spans="1:28" ht="21.75" customHeight="1">
      <c r="A206" s="1524">
        <v>10</v>
      </c>
      <c r="B206" s="2885">
        <f>'A&amp;L'!C39</f>
        <v>0</v>
      </c>
      <c r="C206" s="2885"/>
      <c r="D206" s="2885"/>
      <c r="E206" s="2885"/>
      <c r="F206" s="2885"/>
      <c r="G206" s="2885">
        <f>'A&amp;L'!D39</f>
        <v>0</v>
      </c>
      <c r="H206" s="2885"/>
      <c r="I206" s="2885"/>
      <c r="J206" s="2885"/>
      <c r="K206" s="2885"/>
      <c r="L206" s="2885"/>
      <c r="M206" s="2886">
        <f>'A&amp;L'!E39</f>
        <v>0</v>
      </c>
      <c r="N206" s="2886"/>
      <c r="O206" s="2886"/>
      <c r="P206" s="2887">
        <f>'A&amp;L'!F39</f>
        <v>0</v>
      </c>
      <c r="Q206" s="2887"/>
      <c r="R206" s="2889">
        <f>'A&amp;L'!G39</f>
        <v>0</v>
      </c>
      <c r="S206" s="2889"/>
      <c r="T206" s="2889"/>
      <c r="U206" s="2889"/>
      <c r="V206" s="2889">
        <f>'A&amp;L'!H39</f>
        <v>0</v>
      </c>
      <c r="W206" s="2889"/>
      <c r="X206" s="2889"/>
      <c r="Y206" s="2888">
        <f>'A&amp;L'!I39</f>
        <v>0</v>
      </c>
      <c r="Z206" s="2888"/>
      <c r="AA206" s="2888"/>
      <c r="AB206" s="2888"/>
    </row>
    <row r="207" spans="1:28" ht="21.75" customHeight="1">
      <c r="A207" s="1524">
        <v>11</v>
      </c>
      <c r="B207" s="2885">
        <f>'A&amp;L'!C40</f>
        <v>0</v>
      </c>
      <c r="C207" s="2885"/>
      <c r="D207" s="2885"/>
      <c r="E207" s="2885"/>
      <c r="F207" s="2885"/>
      <c r="G207" s="2885">
        <f>'A&amp;L'!D40</f>
        <v>0</v>
      </c>
      <c r="H207" s="2885"/>
      <c r="I207" s="2885"/>
      <c r="J207" s="2885"/>
      <c r="K207" s="2885"/>
      <c r="L207" s="2885"/>
      <c r="M207" s="2886">
        <f>'A&amp;L'!E40</f>
        <v>0</v>
      </c>
      <c r="N207" s="2886"/>
      <c r="O207" s="2886"/>
      <c r="P207" s="2887">
        <f>'A&amp;L'!F40</f>
        <v>0</v>
      </c>
      <c r="Q207" s="2887"/>
      <c r="R207" s="2889">
        <f>'A&amp;L'!G40</f>
        <v>0</v>
      </c>
      <c r="S207" s="2889"/>
      <c r="T207" s="2889"/>
      <c r="U207" s="2889"/>
      <c r="V207" s="2889">
        <f>'A&amp;L'!H40</f>
        <v>0</v>
      </c>
      <c r="W207" s="2889"/>
      <c r="X207" s="2889"/>
      <c r="Y207" s="2888">
        <f>'A&amp;L'!I40</f>
        <v>0</v>
      </c>
      <c r="Z207" s="2888"/>
      <c r="AA207" s="2888"/>
      <c r="AB207" s="2888"/>
    </row>
    <row r="208" spans="1:28" ht="21.75" customHeight="1">
      <c r="A208" s="1484"/>
      <c r="B208" s="1484"/>
      <c r="C208" s="1484"/>
      <c r="D208" s="1484"/>
      <c r="E208" s="1484"/>
      <c r="F208" s="1484"/>
      <c r="G208" s="1484"/>
      <c r="H208" s="1484"/>
      <c r="I208" s="1484"/>
      <c r="J208" s="1484"/>
      <c r="K208" s="1484"/>
      <c r="L208" s="1484"/>
      <c r="M208" s="1484"/>
      <c r="N208" s="1484"/>
      <c r="O208" s="1484"/>
      <c r="P208" s="1484"/>
      <c r="Q208" s="1484"/>
      <c r="R208" s="1484"/>
      <c r="S208" s="1484"/>
      <c r="T208" s="1484"/>
      <c r="V208" s="2881" t="s">
        <v>499</v>
      </c>
      <c r="W208" s="2882"/>
      <c r="X208" s="2883"/>
      <c r="Y208" s="2884">
        <f>'A&amp;L'!I45</f>
        <v>0</v>
      </c>
      <c r="Z208" s="2884"/>
      <c r="AA208" s="2884"/>
      <c r="AB208" s="2884"/>
    </row>
    <row r="210" spans="1:28" s="1471" customFormat="1">
      <c r="A210" s="1471" t="s">
        <v>1386</v>
      </c>
    </row>
    <row r="211" spans="1:28" s="1471" customFormat="1" ht="6.75" customHeight="1"/>
    <row r="212" spans="1:28" ht="21.75" customHeight="1">
      <c r="A212" s="2890" t="s">
        <v>360</v>
      </c>
      <c r="B212" s="2891" t="s">
        <v>1269</v>
      </c>
      <c r="C212" s="2891"/>
      <c r="D212" s="2891"/>
      <c r="E212" s="2891"/>
      <c r="F212" s="2891"/>
      <c r="G212" s="2893" t="s">
        <v>1270</v>
      </c>
      <c r="H212" s="2893"/>
      <c r="I212" s="2893"/>
      <c r="J212" s="2893"/>
      <c r="K212" s="2893"/>
      <c r="L212" s="2894"/>
      <c r="M212" s="2897" t="s">
        <v>949</v>
      </c>
      <c r="N212" s="2898"/>
      <c r="O212" s="2899"/>
      <c r="P212" s="2890" t="s">
        <v>542</v>
      </c>
      <c r="Q212" s="2890"/>
      <c r="R212" s="2890" t="s">
        <v>1390</v>
      </c>
      <c r="S212" s="2890"/>
      <c r="T212" s="2890"/>
      <c r="U212" s="2890"/>
      <c r="V212" s="2890"/>
      <c r="W212" s="2890"/>
      <c r="X212" s="2890"/>
      <c r="Y212" s="2890"/>
      <c r="Z212" s="2890"/>
      <c r="AA212" s="2890"/>
      <c r="AB212" s="2890"/>
    </row>
    <row r="213" spans="1:28" ht="27.75" customHeight="1">
      <c r="A213" s="2890"/>
      <c r="B213" s="2892"/>
      <c r="C213" s="2892"/>
      <c r="D213" s="2892"/>
      <c r="E213" s="2892"/>
      <c r="F213" s="2892"/>
      <c r="G213" s="2895"/>
      <c r="H213" s="2895"/>
      <c r="I213" s="2895"/>
      <c r="J213" s="2895"/>
      <c r="K213" s="2895"/>
      <c r="L213" s="2896"/>
      <c r="M213" s="2900"/>
      <c r="N213" s="2901"/>
      <c r="O213" s="2902"/>
      <c r="P213" s="2890"/>
      <c r="Q213" s="2890"/>
      <c r="R213" s="2891" t="s">
        <v>839</v>
      </c>
      <c r="S213" s="2891"/>
      <c r="T213" s="2891"/>
      <c r="U213" s="2891"/>
      <c r="V213" s="2892" t="s">
        <v>840</v>
      </c>
      <c r="W213" s="2892"/>
      <c r="X213" s="2892"/>
      <c r="Y213" s="2890" t="s">
        <v>841</v>
      </c>
      <c r="Z213" s="2890"/>
      <c r="AA213" s="2890"/>
      <c r="AB213" s="2890"/>
    </row>
    <row r="214" spans="1:28" ht="21.75" customHeight="1">
      <c r="A214" s="1524">
        <v>1</v>
      </c>
      <c r="B214" s="2885">
        <f>'A&amp;L'!C51</f>
        <v>0</v>
      </c>
      <c r="C214" s="2885"/>
      <c r="D214" s="2885"/>
      <c r="E214" s="2885"/>
      <c r="F214" s="2885"/>
      <c r="G214" s="2885">
        <f>'A&amp;L'!D51</f>
        <v>0</v>
      </c>
      <c r="H214" s="2885"/>
      <c r="I214" s="2885"/>
      <c r="J214" s="2885"/>
      <c r="K214" s="2885"/>
      <c r="L214" s="2885"/>
      <c r="M214" s="2886" t="str">
        <f>IF('A&amp;L'!E51="","",'A&amp;L'!E51)</f>
        <v/>
      </c>
      <c r="N214" s="2886"/>
      <c r="O214" s="2886"/>
      <c r="P214" s="2887">
        <f>'A&amp;L'!F51</f>
        <v>0</v>
      </c>
      <c r="Q214" s="2887"/>
      <c r="R214" s="2889">
        <f>'A&amp;L'!G51</f>
        <v>0</v>
      </c>
      <c r="S214" s="2889"/>
      <c r="T214" s="2889"/>
      <c r="U214" s="2889"/>
      <c r="V214" s="2889">
        <f>'A&amp;L'!H51</f>
        <v>0</v>
      </c>
      <c r="W214" s="2889"/>
      <c r="X214" s="2889"/>
      <c r="Y214" s="2888">
        <f>'A&amp;L'!I51</f>
        <v>0</v>
      </c>
      <c r="Z214" s="2888"/>
      <c r="AA214" s="2888"/>
      <c r="AB214" s="2888"/>
    </row>
    <row r="215" spans="1:28" ht="21.75" customHeight="1">
      <c r="A215" s="1524">
        <v>2</v>
      </c>
      <c r="B215" s="2885">
        <f>'A&amp;L'!C52</f>
        <v>0</v>
      </c>
      <c r="C215" s="2885"/>
      <c r="D215" s="2885"/>
      <c r="E215" s="2885"/>
      <c r="F215" s="2885"/>
      <c r="G215" s="2885">
        <f>'A&amp;L'!D52</f>
        <v>0</v>
      </c>
      <c r="H215" s="2885"/>
      <c r="I215" s="2885"/>
      <c r="J215" s="2885"/>
      <c r="K215" s="2885"/>
      <c r="L215" s="2885"/>
      <c r="M215" s="2886" t="str">
        <f>IF('A&amp;L'!E52="","",'A&amp;L'!E52)</f>
        <v/>
      </c>
      <c r="N215" s="2886"/>
      <c r="O215" s="2886"/>
      <c r="P215" s="2887">
        <f>'A&amp;L'!F52</f>
        <v>0</v>
      </c>
      <c r="Q215" s="2887"/>
      <c r="R215" s="2889">
        <f>'A&amp;L'!G52</f>
        <v>0</v>
      </c>
      <c r="S215" s="2889"/>
      <c r="T215" s="2889"/>
      <c r="U215" s="2889"/>
      <c r="V215" s="2889">
        <f>'A&amp;L'!H52</f>
        <v>0</v>
      </c>
      <c r="W215" s="2889"/>
      <c r="X215" s="2889"/>
      <c r="Y215" s="2888">
        <f>'A&amp;L'!I52</f>
        <v>0</v>
      </c>
      <c r="Z215" s="2888"/>
      <c r="AA215" s="2888"/>
      <c r="AB215" s="2888"/>
    </row>
    <row r="216" spans="1:28" ht="21.75" customHeight="1">
      <c r="A216" s="1524">
        <v>3</v>
      </c>
      <c r="B216" s="2885">
        <f>'A&amp;L'!C53</f>
        <v>0</v>
      </c>
      <c r="C216" s="2885"/>
      <c r="D216" s="2885"/>
      <c r="E216" s="2885"/>
      <c r="F216" s="2885"/>
      <c r="G216" s="2885">
        <f>'A&amp;L'!D53</f>
        <v>0</v>
      </c>
      <c r="H216" s="2885"/>
      <c r="I216" s="2885"/>
      <c r="J216" s="2885"/>
      <c r="K216" s="2885"/>
      <c r="L216" s="2885"/>
      <c r="M216" s="2886" t="str">
        <f>IF('A&amp;L'!E53="","",'A&amp;L'!E53)</f>
        <v/>
      </c>
      <c r="N216" s="2886"/>
      <c r="O216" s="2886"/>
      <c r="P216" s="2887">
        <f>'A&amp;L'!F53</f>
        <v>0</v>
      </c>
      <c r="Q216" s="2887"/>
      <c r="R216" s="2889">
        <f>'A&amp;L'!G53</f>
        <v>0</v>
      </c>
      <c r="S216" s="2889"/>
      <c r="T216" s="2889"/>
      <c r="U216" s="2889"/>
      <c r="V216" s="2889">
        <f>'A&amp;L'!H53</f>
        <v>0</v>
      </c>
      <c r="W216" s="2889"/>
      <c r="X216" s="2889"/>
      <c r="Y216" s="2888">
        <f>'A&amp;L'!I53</f>
        <v>0</v>
      </c>
      <c r="Z216" s="2888"/>
      <c r="AA216" s="2888"/>
      <c r="AB216" s="2888"/>
    </row>
    <row r="217" spans="1:28" ht="21.75" customHeight="1">
      <c r="A217" s="1524">
        <v>4</v>
      </c>
      <c r="B217" s="2885">
        <f>'A&amp;L'!C54</f>
        <v>0</v>
      </c>
      <c r="C217" s="2885"/>
      <c r="D217" s="2885"/>
      <c r="E217" s="2885"/>
      <c r="F217" s="2885"/>
      <c r="G217" s="2885">
        <f>'A&amp;L'!D54</f>
        <v>0</v>
      </c>
      <c r="H217" s="2885"/>
      <c r="I217" s="2885"/>
      <c r="J217" s="2885"/>
      <c r="K217" s="2885"/>
      <c r="L217" s="2885"/>
      <c r="M217" s="2886" t="str">
        <f>IF('A&amp;L'!E54="","",'A&amp;L'!E54)</f>
        <v/>
      </c>
      <c r="N217" s="2886"/>
      <c r="O217" s="2886"/>
      <c r="P217" s="2887">
        <f>'A&amp;L'!F54</f>
        <v>0</v>
      </c>
      <c r="Q217" s="2887"/>
      <c r="R217" s="2889">
        <f>'A&amp;L'!G54</f>
        <v>0</v>
      </c>
      <c r="S217" s="2889"/>
      <c r="T217" s="2889"/>
      <c r="U217" s="2889"/>
      <c r="V217" s="2889">
        <f>'A&amp;L'!H54</f>
        <v>0</v>
      </c>
      <c r="W217" s="2889"/>
      <c r="X217" s="2889"/>
      <c r="Y217" s="2888">
        <f>'A&amp;L'!I54</f>
        <v>0</v>
      </c>
      <c r="Z217" s="2888"/>
      <c r="AA217" s="2888"/>
      <c r="AB217" s="2888"/>
    </row>
    <row r="218" spans="1:28" ht="21.75" customHeight="1">
      <c r="A218" s="1524">
        <v>5</v>
      </c>
      <c r="B218" s="2885">
        <f>'A&amp;L'!C55</f>
        <v>0</v>
      </c>
      <c r="C218" s="2885"/>
      <c r="D218" s="2885"/>
      <c r="E218" s="2885"/>
      <c r="F218" s="2885"/>
      <c r="G218" s="2885">
        <f>'A&amp;L'!D55</f>
        <v>0</v>
      </c>
      <c r="H218" s="2885"/>
      <c r="I218" s="2885"/>
      <c r="J218" s="2885"/>
      <c r="K218" s="2885"/>
      <c r="L218" s="2885"/>
      <c r="M218" s="2886" t="str">
        <f>IF('A&amp;L'!E55="","",'A&amp;L'!E55)</f>
        <v/>
      </c>
      <c r="N218" s="2886"/>
      <c r="O218" s="2886"/>
      <c r="P218" s="2887">
        <f>'A&amp;L'!F55</f>
        <v>0</v>
      </c>
      <c r="Q218" s="2887"/>
      <c r="R218" s="2889">
        <f>'A&amp;L'!G55</f>
        <v>0</v>
      </c>
      <c r="S218" s="2889"/>
      <c r="T218" s="2889"/>
      <c r="U218" s="2889"/>
      <c r="V218" s="2889">
        <f>'A&amp;L'!H55</f>
        <v>0</v>
      </c>
      <c r="W218" s="2889"/>
      <c r="X218" s="2889"/>
      <c r="Y218" s="2888">
        <f>'A&amp;L'!I55</f>
        <v>0</v>
      </c>
      <c r="Z218" s="2888"/>
      <c r="AA218" s="2888"/>
      <c r="AB218" s="2888"/>
    </row>
    <row r="219" spans="1:28" ht="21.75" customHeight="1">
      <c r="A219" s="1524">
        <v>6</v>
      </c>
      <c r="B219" s="2885">
        <f>'A&amp;L'!C56</f>
        <v>0</v>
      </c>
      <c r="C219" s="2885"/>
      <c r="D219" s="2885"/>
      <c r="E219" s="2885"/>
      <c r="F219" s="2885"/>
      <c r="G219" s="2885">
        <f>'A&amp;L'!D56</f>
        <v>0</v>
      </c>
      <c r="H219" s="2885"/>
      <c r="I219" s="2885"/>
      <c r="J219" s="2885"/>
      <c r="K219" s="2885"/>
      <c r="L219" s="2885"/>
      <c r="M219" s="2886" t="str">
        <f>IF('A&amp;L'!E56="","",'A&amp;L'!E56)</f>
        <v/>
      </c>
      <c r="N219" s="2886"/>
      <c r="O219" s="2886"/>
      <c r="P219" s="2887">
        <f>'A&amp;L'!F56</f>
        <v>0</v>
      </c>
      <c r="Q219" s="2887"/>
      <c r="R219" s="2889">
        <f>'A&amp;L'!G56</f>
        <v>0</v>
      </c>
      <c r="S219" s="2889"/>
      <c r="T219" s="2889"/>
      <c r="U219" s="2889"/>
      <c r="V219" s="2889">
        <f>'A&amp;L'!H56</f>
        <v>0</v>
      </c>
      <c r="W219" s="2889"/>
      <c r="X219" s="2889"/>
      <c r="Y219" s="2888">
        <f>'A&amp;L'!I56</f>
        <v>0</v>
      </c>
      <c r="Z219" s="2888"/>
      <c r="AA219" s="2888"/>
      <c r="AB219" s="2888"/>
    </row>
    <row r="220" spans="1:28" ht="21.75" customHeight="1">
      <c r="A220" s="1524">
        <v>7</v>
      </c>
      <c r="B220" s="2885">
        <f>'A&amp;L'!C57</f>
        <v>0</v>
      </c>
      <c r="C220" s="2885"/>
      <c r="D220" s="2885"/>
      <c r="E220" s="2885"/>
      <c r="F220" s="2885"/>
      <c r="G220" s="2885">
        <f>'A&amp;L'!D57</f>
        <v>0</v>
      </c>
      <c r="H220" s="2885"/>
      <c r="I220" s="2885"/>
      <c r="J220" s="2885"/>
      <c r="K220" s="2885"/>
      <c r="L220" s="2885"/>
      <c r="M220" s="2886" t="str">
        <f>IF('A&amp;L'!E57="","",'A&amp;L'!E57)</f>
        <v/>
      </c>
      <c r="N220" s="2886"/>
      <c r="O220" s="2886"/>
      <c r="P220" s="2887">
        <f>'A&amp;L'!F57</f>
        <v>0</v>
      </c>
      <c r="Q220" s="2887"/>
      <c r="R220" s="2889">
        <f>'A&amp;L'!G57</f>
        <v>0</v>
      </c>
      <c r="S220" s="2889"/>
      <c r="T220" s="2889"/>
      <c r="U220" s="2889"/>
      <c r="V220" s="2889">
        <f>'A&amp;L'!H57</f>
        <v>0</v>
      </c>
      <c r="W220" s="2889"/>
      <c r="X220" s="2889"/>
      <c r="Y220" s="2888">
        <f>'A&amp;L'!I57</f>
        <v>0</v>
      </c>
      <c r="Z220" s="2888"/>
      <c r="AA220" s="2888"/>
      <c r="AB220" s="2888"/>
    </row>
    <row r="221" spans="1:28" ht="21.75" customHeight="1">
      <c r="A221" s="1524">
        <v>8</v>
      </c>
      <c r="B221" s="2885">
        <f>'A&amp;L'!C58</f>
        <v>0</v>
      </c>
      <c r="C221" s="2885"/>
      <c r="D221" s="2885"/>
      <c r="E221" s="2885"/>
      <c r="F221" s="2885"/>
      <c r="G221" s="2885">
        <f>'A&amp;L'!D58</f>
        <v>0</v>
      </c>
      <c r="H221" s="2885"/>
      <c r="I221" s="2885"/>
      <c r="J221" s="2885"/>
      <c r="K221" s="2885"/>
      <c r="L221" s="2885"/>
      <c r="M221" s="2886" t="str">
        <f>IF('A&amp;L'!E58="","",'A&amp;L'!E58)</f>
        <v/>
      </c>
      <c r="N221" s="2886"/>
      <c r="O221" s="2886"/>
      <c r="P221" s="2887">
        <f>'A&amp;L'!F58</f>
        <v>0</v>
      </c>
      <c r="Q221" s="2887"/>
      <c r="R221" s="2889">
        <f>'A&amp;L'!G58</f>
        <v>0</v>
      </c>
      <c r="S221" s="2889"/>
      <c r="T221" s="2889"/>
      <c r="U221" s="2889"/>
      <c r="V221" s="2889">
        <f>'A&amp;L'!H58</f>
        <v>0</v>
      </c>
      <c r="W221" s="2889"/>
      <c r="X221" s="2889"/>
      <c r="Y221" s="2888">
        <f>'A&amp;L'!I58</f>
        <v>0</v>
      </c>
      <c r="Z221" s="2888"/>
      <c r="AA221" s="2888"/>
      <c r="AB221" s="2888"/>
    </row>
    <row r="222" spans="1:28" ht="21.75" customHeight="1">
      <c r="A222" s="1524">
        <v>9</v>
      </c>
      <c r="B222" s="2885">
        <f>'A&amp;L'!C59</f>
        <v>0</v>
      </c>
      <c r="C222" s="2885"/>
      <c r="D222" s="2885"/>
      <c r="E222" s="2885"/>
      <c r="F222" s="2885"/>
      <c r="G222" s="2885">
        <f>'A&amp;L'!D59</f>
        <v>0</v>
      </c>
      <c r="H222" s="2885"/>
      <c r="I222" s="2885"/>
      <c r="J222" s="2885"/>
      <c r="K222" s="2885"/>
      <c r="L222" s="2885"/>
      <c r="M222" s="2886" t="str">
        <f>IF('A&amp;L'!E59="","",'A&amp;L'!E59)</f>
        <v/>
      </c>
      <c r="N222" s="2886"/>
      <c r="O222" s="2886"/>
      <c r="P222" s="2887">
        <f>'A&amp;L'!F59</f>
        <v>0</v>
      </c>
      <c r="Q222" s="2887"/>
      <c r="R222" s="2889">
        <f>'A&amp;L'!G59</f>
        <v>0</v>
      </c>
      <c r="S222" s="2889"/>
      <c r="T222" s="2889"/>
      <c r="U222" s="2889"/>
      <c r="V222" s="2889">
        <f>'A&amp;L'!H59</f>
        <v>0</v>
      </c>
      <c r="W222" s="2889"/>
      <c r="X222" s="2889"/>
      <c r="Y222" s="2888">
        <f>'A&amp;L'!I59</f>
        <v>0</v>
      </c>
      <c r="Z222" s="2888"/>
      <c r="AA222" s="2888"/>
      <c r="AB222" s="2888"/>
    </row>
    <row r="223" spans="1:28" ht="21.75" customHeight="1">
      <c r="A223" s="1524">
        <v>10</v>
      </c>
      <c r="B223" s="2885">
        <f>'A&amp;L'!C60</f>
        <v>0</v>
      </c>
      <c r="C223" s="2885"/>
      <c r="D223" s="2885"/>
      <c r="E223" s="2885"/>
      <c r="F223" s="2885"/>
      <c r="G223" s="2885">
        <f>'A&amp;L'!D60</f>
        <v>0</v>
      </c>
      <c r="H223" s="2885"/>
      <c r="I223" s="2885"/>
      <c r="J223" s="2885"/>
      <c r="K223" s="2885"/>
      <c r="L223" s="2885"/>
      <c r="M223" s="2886" t="str">
        <f>IF('A&amp;L'!E60="","",'A&amp;L'!E60)</f>
        <v/>
      </c>
      <c r="N223" s="2886"/>
      <c r="O223" s="2886"/>
      <c r="P223" s="2887">
        <f>'A&amp;L'!F60</f>
        <v>0</v>
      </c>
      <c r="Q223" s="2887"/>
      <c r="R223" s="2889">
        <f>'A&amp;L'!G60</f>
        <v>0</v>
      </c>
      <c r="S223" s="2889"/>
      <c r="T223" s="2889"/>
      <c r="U223" s="2889"/>
      <c r="V223" s="2889">
        <f>'A&amp;L'!H60</f>
        <v>0</v>
      </c>
      <c r="W223" s="2889"/>
      <c r="X223" s="2889"/>
      <c r="Y223" s="2888">
        <f>'A&amp;L'!I60</f>
        <v>0</v>
      </c>
      <c r="Z223" s="2888"/>
      <c r="AA223" s="2888"/>
      <c r="AB223" s="2888"/>
    </row>
    <row r="224" spans="1:28" ht="21.75" customHeight="1">
      <c r="A224" s="1484"/>
      <c r="B224" s="1484"/>
      <c r="C224" s="1484"/>
      <c r="D224" s="1484"/>
      <c r="E224" s="1484"/>
      <c r="F224" s="1484"/>
      <c r="G224" s="1484"/>
      <c r="H224" s="1484"/>
      <c r="I224" s="1484"/>
      <c r="J224" s="1484"/>
      <c r="K224" s="1484"/>
      <c r="L224" s="1484"/>
      <c r="M224" s="1484"/>
      <c r="N224" s="1484"/>
      <c r="O224" s="1484"/>
      <c r="P224" s="1484"/>
      <c r="Q224" s="1484"/>
      <c r="R224" s="1484"/>
      <c r="S224" s="1484"/>
      <c r="T224" s="1484"/>
      <c r="V224" s="2881" t="s">
        <v>499</v>
      </c>
      <c r="W224" s="2882"/>
      <c r="X224" s="2883"/>
      <c r="Y224" s="2884">
        <f>'A&amp;L'!I66</f>
        <v>0</v>
      </c>
      <c r="Z224" s="2884"/>
      <c r="AA224" s="2884"/>
      <c r="AB224" s="2884"/>
    </row>
    <row r="225" spans="1:29" ht="12.75" customHeight="1">
      <c r="A225" s="1484"/>
      <c r="B225" s="1484"/>
      <c r="C225" s="1484"/>
      <c r="D225" s="1484"/>
      <c r="E225" s="1484"/>
      <c r="F225" s="1484"/>
      <c r="G225" s="1484"/>
      <c r="H225" s="1484"/>
      <c r="I225" s="1484"/>
      <c r="J225" s="1484"/>
      <c r="K225" s="1484"/>
      <c r="L225" s="1484"/>
      <c r="M225" s="1484"/>
      <c r="N225" s="1484"/>
      <c r="O225" s="1484"/>
      <c r="P225" s="1484"/>
      <c r="Q225" s="1484"/>
      <c r="R225" s="1484"/>
      <c r="S225" s="1484"/>
      <c r="T225" s="1484"/>
      <c r="U225" s="1484"/>
      <c r="V225" s="1484"/>
      <c r="W225" s="1678"/>
      <c r="X225" s="1678"/>
      <c r="Y225" s="1678"/>
      <c r="Z225" s="1526"/>
      <c r="AA225" s="1526"/>
      <c r="AB225" s="1526"/>
      <c r="AC225" s="1526"/>
    </row>
    <row r="226" spans="1:29" ht="20.25">
      <c r="A226" s="2903" t="s">
        <v>828</v>
      </c>
      <c r="B226" s="2903"/>
      <c r="C226" s="2903"/>
      <c r="D226" s="2903"/>
      <c r="E226" s="2903"/>
      <c r="F226" s="2903"/>
      <c r="G226" s="2903"/>
      <c r="H226" s="2903"/>
      <c r="I226" s="2903"/>
      <c r="J226" s="2903"/>
      <c r="K226" s="2903"/>
      <c r="L226" s="2903"/>
      <c r="M226" s="2903"/>
      <c r="N226" s="2903"/>
      <c r="O226" s="2903"/>
      <c r="P226" s="2903"/>
      <c r="Q226" s="2903"/>
      <c r="R226" s="2903"/>
      <c r="S226" s="2903"/>
      <c r="T226" s="2903"/>
      <c r="U226" s="2903"/>
      <c r="V226" s="2903"/>
      <c r="W226" s="2903"/>
      <c r="X226" s="2903"/>
      <c r="Y226" s="2903"/>
      <c r="Z226" s="2903"/>
      <c r="AA226" s="2903"/>
      <c r="AB226" s="2903"/>
      <c r="AC226" s="2903"/>
    </row>
    <row r="227" spans="1:29" ht="12.75" customHeight="1">
      <c r="A227" s="1679"/>
      <c r="B227" s="1679"/>
      <c r="C227" s="1679"/>
      <c r="D227" s="1679"/>
      <c r="E227" s="1679"/>
      <c r="F227" s="1679"/>
      <c r="G227" s="1679"/>
      <c r="H227" s="1679"/>
      <c r="I227" s="1679"/>
      <c r="J227" s="1679"/>
      <c r="K227" s="1679"/>
      <c r="L227" s="1679"/>
      <c r="M227" s="1679"/>
      <c r="N227" s="1679"/>
      <c r="O227" s="1679"/>
      <c r="P227" s="1679"/>
      <c r="Q227" s="1679"/>
      <c r="R227" s="1679"/>
      <c r="S227" s="1679"/>
      <c r="T227" s="1679"/>
      <c r="U227" s="1679"/>
      <c r="V227" s="1679"/>
      <c r="W227" s="1679"/>
      <c r="X227" s="1679"/>
      <c r="Y227" s="1679"/>
      <c r="Z227" s="1679"/>
      <c r="AA227" s="1679"/>
      <c r="AB227" s="1679"/>
      <c r="AC227" s="1679"/>
    </row>
    <row r="228" spans="1:29">
      <c r="A228" s="1471" t="s">
        <v>1387</v>
      </c>
    </row>
    <row r="229" spans="1:29" ht="6.75" customHeight="1">
      <c r="A229" s="1471"/>
    </row>
    <row r="230" spans="1:29" ht="21.75" customHeight="1">
      <c r="A230" s="2890" t="s">
        <v>360</v>
      </c>
      <c r="B230" s="2891" t="s">
        <v>1269</v>
      </c>
      <c r="C230" s="2891"/>
      <c r="D230" s="2891"/>
      <c r="E230" s="2891"/>
      <c r="F230" s="2891"/>
      <c r="G230" s="2893" t="s">
        <v>1270</v>
      </c>
      <c r="H230" s="2893"/>
      <c r="I230" s="2893"/>
      <c r="J230" s="2893"/>
      <c r="K230" s="2893"/>
      <c r="L230" s="2894"/>
      <c r="M230" s="2897" t="s">
        <v>949</v>
      </c>
      <c r="N230" s="2898"/>
      <c r="O230" s="2899"/>
      <c r="P230" s="2890" t="s">
        <v>542</v>
      </c>
      <c r="Q230" s="2890"/>
      <c r="R230" s="2890" t="s">
        <v>1390</v>
      </c>
      <c r="S230" s="2890"/>
      <c r="T230" s="2890"/>
      <c r="U230" s="2890"/>
      <c r="V230" s="2890"/>
      <c r="W230" s="2890"/>
      <c r="X230" s="2890"/>
      <c r="Y230" s="2890"/>
      <c r="Z230" s="2890"/>
      <c r="AA230" s="2890"/>
      <c r="AB230" s="2890"/>
    </row>
    <row r="231" spans="1:29" ht="27.75" customHeight="1">
      <c r="A231" s="2890"/>
      <c r="B231" s="2892"/>
      <c r="C231" s="2892"/>
      <c r="D231" s="2892"/>
      <c r="E231" s="2892"/>
      <c r="F231" s="2892"/>
      <c r="G231" s="2895"/>
      <c r="H231" s="2895"/>
      <c r="I231" s="2895"/>
      <c r="J231" s="2895"/>
      <c r="K231" s="2895"/>
      <c r="L231" s="2896"/>
      <c r="M231" s="2900"/>
      <c r="N231" s="2901"/>
      <c r="O231" s="2902"/>
      <c r="P231" s="2890"/>
      <c r="Q231" s="2890"/>
      <c r="R231" s="2891" t="s">
        <v>839</v>
      </c>
      <c r="S231" s="2891"/>
      <c r="T231" s="2891"/>
      <c r="U231" s="2891"/>
      <c r="V231" s="2892" t="s">
        <v>840</v>
      </c>
      <c r="W231" s="2892"/>
      <c r="X231" s="2892"/>
      <c r="Y231" s="2890" t="s">
        <v>841</v>
      </c>
      <c r="Z231" s="2890"/>
      <c r="AA231" s="2890"/>
      <c r="AB231" s="2890"/>
    </row>
    <row r="232" spans="1:29" ht="21.75" customHeight="1">
      <c r="A232" s="1524">
        <v>1</v>
      </c>
      <c r="B232" s="2904">
        <f>'A&amp;L'!C72</f>
        <v>0</v>
      </c>
      <c r="C232" s="2905"/>
      <c r="D232" s="2905"/>
      <c r="E232" s="2905"/>
      <c r="F232" s="2906"/>
      <c r="G232" s="2904">
        <f>'A&amp;L'!D72</f>
        <v>0</v>
      </c>
      <c r="H232" s="2905"/>
      <c r="I232" s="2905"/>
      <c r="J232" s="2905"/>
      <c r="K232" s="2905"/>
      <c r="L232" s="2906"/>
      <c r="M232" s="2909" t="str">
        <f>IF('A&amp;L'!E72="","",'A&amp;L'!E72)</f>
        <v/>
      </c>
      <c r="N232" s="2910"/>
      <c r="O232" s="2911"/>
      <c r="P232" s="2907">
        <f>'A&amp;L'!F72</f>
        <v>0</v>
      </c>
      <c r="Q232" s="2908"/>
      <c r="R232" s="2889">
        <f>'A&amp;L'!G72</f>
        <v>0</v>
      </c>
      <c r="S232" s="2889"/>
      <c r="T232" s="2889"/>
      <c r="U232" s="2889"/>
      <c r="V232" s="2912">
        <f>'A&amp;L'!H72</f>
        <v>0</v>
      </c>
      <c r="W232" s="2913"/>
      <c r="X232" s="2914"/>
      <c r="Y232" s="2915">
        <f>'A&amp;L'!I72</f>
        <v>0</v>
      </c>
      <c r="Z232" s="2916"/>
      <c r="AA232" s="2916"/>
      <c r="AB232" s="2917"/>
    </row>
    <row r="233" spans="1:29" ht="21.75" customHeight="1">
      <c r="A233" s="1524">
        <v>2</v>
      </c>
      <c r="B233" s="2904">
        <f>'A&amp;L'!C73</f>
        <v>0</v>
      </c>
      <c r="C233" s="2905"/>
      <c r="D233" s="2905"/>
      <c r="E233" s="2905"/>
      <c r="F233" s="2906"/>
      <c r="G233" s="2904">
        <f>'A&amp;L'!D73</f>
        <v>0</v>
      </c>
      <c r="H233" s="2905"/>
      <c r="I233" s="2905"/>
      <c r="J233" s="2905"/>
      <c r="K233" s="2905"/>
      <c r="L233" s="2906"/>
      <c r="M233" s="2909" t="str">
        <f>IF('A&amp;L'!E73="","",'A&amp;L'!E73)</f>
        <v/>
      </c>
      <c r="N233" s="2910"/>
      <c r="O233" s="2911"/>
      <c r="P233" s="2907">
        <f>'A&amp;L'!F73</f>
        <v>0</v>
      </c>
      <c r="Q233" s="2908"/>
      <c r="R233" s="2889">
        <f>'A&amp;L'!G73</f>
        <v>0</v>
      </c>
      <c r="S233" s="2889"/>
      <c r="T233" s="2889"/>
      <c r="U233" s="2889"/>
      <c r="V233" s="2912">
        <f>'A&amp;L'!H73</f>
        <v>0</v>
      </c>
      <c r="W233" s="2913"/>
      <c r="X233" s="2914"/>
      <c r="Y233" s="2915">
        <f>'A&amp;L'!I73</f>
        <v>0</v>
      </c>
      <c r="Z233" s="2916"/>
      <c r="AA233" s="2916"/>
      <c r="AB233" s="2917"/>
    </row>
    <row r="234" spans="1:29" ht="21.75" customHeight="1">
      <c r="A234" s="1524">
        <v>3</v>
      </c>
      <c r="B234" s="2904">
        <f>'A&amp;L'!C74</f>
        <v>0</v>
      </c>
      <c r="C234" s="2905"/>
      <c r="D234" s="2905"/>
      <c r="E234" s="2905"/>
      <c r="F234" s="2906"/>
      <c r="G234" s="2904">
        <f>'A&amp;L'!D74</f>
        <v>0</v>
      </c>
      <c r="H234" s="2905"/>
      <c r="I234" s="2905"/>
      <c r="J234" s="2905"/>
      <c r="K234" s="2905"/>
      <c r="L234" s="2906"/>
      <c r="M234" s="2909" t="str">
        <f>IF('A&amp;L'!E74="","",'A&amp;L'!E74)</f>
        <v/>
      </c>
      <c r="N234" s="2910"/>
      <c r="O234" s="2911"/>
      <c r="P234" s="2907">
        <f>'A&amp;L'!F74</f>
        <v>0</v>
      </c>
      <c r="Q234" s="2908"/>
      <c r="R234" s="2889">
        <f>'A&amp;L'!G74</f>
        <v>0</v>
      </c>
      <c r="S234" s="2889"/>
      <c r="T234" s="2889"/>
      <c r="U234" s="2889"/>
      <c r="V234" s="2912">
        <f>'A&amp;L'!H74</f>
        <v>0</v>
      </c>
      <c r="W234" s="2913"/>
      <c r="X234" s="2914"/>
      <c r="Y234" s="2915">
        <f>'A&amp;L'!I74</f>
        <v>0</v>
      </c>
      <c r="Z234" s="2916"/>
      <c r="AA234" s="2916"/>
      <c r="AB234" s="2917"/>
    </row>
    <row r="235" spans="1:29" ht="21.75" customHeight="1">
      <c r="A235" s="1524">
        <v>4</v>
      </c>
      <c r="B235" s="2904">
        <f>'A&amp;L'!C75</f>
        <v>0</v>
      </c>
      <c r="C235" s="2905"/>
      <c r="D235" s="2905"/>
      <c r="E235" s="2905"/>
      <c r="F235" s="2906"/>
      <c r="G235" s="2904">
        <f>'A&amp;L'!D75</f>
        <v>0</v>
      </c>
      <c r="H235" s="2905"/>
      <c r="I235" s="2905"/>
      <c r="J235" s="2905"/>
      <c r="K235" s="2905"/>
      <c r="L235" s="2906"/>
      <c r="M235" s="2909" t="str">
        <f>IF('A&amp;L'!E75="","",'A&amp;L'!E75)</f>
        <v/>
      </c>
      <c r="N235" s="2910"/>
      <c r="O235" s="2911"/>
      <c r="P235" s="2907">
        <f>'A&amp;L'!F75</f>
        <v>0</v>
      </c>
      <c r="Q235" s="2908"/>
      <c r="R235" s="2889">
        <f>'A&amp;L'!G75</f>
        <v>0</v>
      </c>
      <c r="S235" s="2889"/>
      <c r="T235" s="2889"/>
      <c r="U235" s="2889"/>
      <c r="V235" s="2912">
        <f>'A&amp;L'!H75</f>
        <v>0</v>
      </c>
      <c r="W235" s="2913"/>
      <c r="X235" s="2914"/>
      <c r="Y235" s="2915">
        <f>'A&amp;L'!I75</f>
        <v>0</v>
      </c>
      <c r="Z235" s="2916"/>
      <c r="AA235" s="2916"/>
      <c r="AB235" s="2917"/>
    </row>
    <row r="236" spans="1:29" ht="21.75" customHeight="1">
      <c r="A236" s="1524">
        <v>5</v>
      </c>
      <c r="B236" s="2904">
        <f>'A&amp;L'!C76</f>
        <v>0</v>
      </c>
      <c r="C236" s="2905"/>
      <c r="D236" s="2905"/>
      <c r="E236" s="2905"/>
      <c r="F236" s="2906"/>
      <c r="G236" s="2904">
        <f>'A&amp;L'!D76</f>
        <v>0</v>
      </c>
      <c r="H236" s="2905"/>
      <c r="I236" s="2905"/>
      <c r="J236" s="2905"/>
      <c r="K236" s="2905"/>
      <c r="L236" s="2906"/>
      <c r="M236" s="2909" t="str">
        <f>IF('A&amp;L'!E76="","",'A&amp;L'!E76)</f>
        <v/>
      </c>
      <c r="N236" s="2910"/>
      <c r="O236" s="2911"/>
      <c r="P236" s="2907">
        <f>'A&amp;L'!F76</f>
        <v>0</v>
      </c>
      <c r="Q236" s="2908"/>
      <c r="R236" s="2889">
        <f>'A&amp;L'!G76</f>
        <v>0</v>
      </c>
      <c r="S236" s="2889"/>
      <c r="T236" s="2889"/>
      <c r="U236" s="2889"/>
      <c r="V236" s="2912">
        <f>'A&amp;L'!H76</f>
        <v>0</v>
      </c>
      <c r="W236" s="2913"/>
      <c r="X236" s="2914"/>
      <c r="Y236" s="2915">
        <f>'A&amp;L'!I76</f>
        <v>0</v>
      </c>
      <c r="Z236" s="2916"/>
      <c r="AA236" s="2916"/>
      <c r="AB236" s="2917"/>
    </row>
    <row r="237" spans="1:29" ht="21.75" customHeight="1">
      <c r="A237" s="1524">
        <v>6</v>
      </c>
      <c r="B237" s="2904">
        <f>'A&amp;L'!C77</f>
        <v>0</v>
      </c>
      <c r="C237" s="2905"/>
      <c r="D237" s="2905"/>
      <c r="E237" s="2905"/>
      <c r="F237" s="2906"/>
      <c r="G237" s="2904">
        <f>'A&amp;L'!D77</f>
        <v>0</v>
      </c>
      <c r="H237" s="2905"/>
      <c r="I237" s="2905"/>
      <c r="J237" s="2905"/>
      <c r="K237" s="2905"/>
      <c r="L237" s="2906"/>
      <c r="M237" s="2909" t="str">
        <f>IF('A&amp;L'!E77="","",'A&amp;L'!E77)</f>
        <v/>
      </c>
      <c r="N237" s="2910"/>
      <c r="O237" s="2911"/>
      <c r="P237" s="2907">
        <f>'A&amp;L'!F77</f>
        <v>0</v>
      </c>
      <c r="Q237" s="2908"/>
      <c r="R237" s="2889">
        <f>'A&amp;L'!G77</f>
        <v>0</v>
      </c>
      <c r="S237" s="2889"/>
      <c r="T237" s="2889"/>
      <c r="U237" s="2889"/>
      <c r="V237" s="2912">
        <f>'A&amp;L'!H77</f>
        <v>0</v>
      </c>
      <c r="W237" s="2913"/>
      <c r="X237" s="2914"/>
      <c r="Y237" s="2915">
        <f>'A&amp;L'!I77</f>
        <v>0</v>
      </c>
      <c r="Z237" s="2916"/>
      <c r="AA237" s="2916"/>
      <c r="AB237" s="2917"/>
    </row>
    <row r="238" spans="1:29" ht="21.75" customHeight="1">
      <c r="A238" s="1524">
        <v>7</v>
      </c>
      <c r="B238" s="2904">
        <f>'A&amp;L'!C78</f>
        <v>0</v>
      </c>
      <c r="C238" s="2905"/>
      <c r="D238" s="2905"/>
      <c r="E238" s="2905"/>
      <c r="F238" s="2906"/>
      <c r="G238" s="2904">
        <f>'A&amp;L'!D78</f>
        <v>0</v>
      </c>
      <c r="H238" s="2905"/>
      <c r="I238" s="2905"/>
      <c r="J238" s="2905"/>
      <c r="K238" s="2905"/>
      <c r="L238" s="2906"/>
      <c r="M238" s="2909" t="str">
        <f>IF('A&amp;L'!E78="","",'A&amp;L'!E78)</f>
        <v/>
      </c>
      <c r="N238" s="2910"/>
      <c r="O238" s="2911"/>
      <c r="P238" s="2907">
        <f>'A&amp;L'!F78</f>
        <v>0</v>
      </c>
      <c r="Q238" s="2908"/>
      <c r="R238" s="2889">
        <f>'A&amp;L'!G78</f>
        <v>0</v>
      </c>
      <c r="S238" s="2889"/>
      <c r="T238" s="2889"/>
      <c r="U238" s="2889"/>
      <c r="V238" s="2912">
        <f>'A&amp;L'!H78</f>
        <v>0</v>
      </c>
      <c r="W238" s="2913"/>
      <c r="X238" s="2914"/>
      <c r="Y238" s="2915">
        <f>'A&amp;L'!I78</f>
        <v>0</v>
      </c>
      <c r="Z238" s="2916"/>
      <c r="AA238" s="2916"/>
      <c r="AB238" s="2917"/>
    </row>
    <row r="239" spans="1:29" ht="21.75" customHeight="1">
      <c r="A239" s="1524">
        <v>8</v>
      </c>
      <c r="B239" s="2904">
        <f>'A&amp;L'!C79</f>
        <v>0</v>
      </c>
      <c r="C239" s="2905"/>
      <c r="D239" s="2905"/>
      <c r="E239" s="2905"/>
      <c r="F239" s="2906"/>
      <c r="G239" s="2904">
        <f>'A&amp;L'!D79</f>
        <v>0</v>
      </c>
      <c r="H239" s="2905"/>
      <c r="I239" s="2905"/>
      <c r="J239" s="2905"/>
      <c r="K239" s="2905"/>
      <c r="L239" s="2906"/>
      <c r="M239" s="2909" t="str">
        <f>IF('A&amp;L'!E79="","",'A&amp;L'!E79)</f>
        <v/>
      </c>
      <c r="N239" s="2910"/>
      <c r="O239" s="2911"/>
      <c r="P239" s="2907">
        <f>'A&amp;L'!F79</f>
        <v>0</v>
      </c>
      <c r="Q239" s="2908"/>
      <c r="R239" s="2889">
        <f>'A&amp;L'!G79</f>
        <v>0</v>
      </c>
      <c r="S239" s="2889"/>
      <c r="T239" s="2889"/>
      <c r="U239" s="2889"/>
      <c r="V239" s="2912">
        <f>'A&amp;L'!H79</f>
        <v>0</v>
      </c>
      <c r="W239" s="2913"/>
      <c r="X239" s="2914"/>
      <c r="Y239" s="2915">
        <f>'A&amp;L'!I79</f>
        <v>0</v>
      </c>
      <c r="Z239" s="2916"/>
      <c r="AA239" s="2916"/>
      <c r="AB239" s="2917"/>
    </row>
    <row r="240" spans="1:29" ht="21.75" customHeight="1">
      <c r="A240" s="1524">
        <v>9</v>
      </c>
      <c r="B240" s="2904">
        <f>'A&amp;L'!C80</f>
        <v>0</v>
      </c>
      <c r="C240" s="2905"/>
      <c r="D240" s="2905"/>
      <c r="E240" s="2905"/>
      <c r="F240" s="2906"/>
      <c r="G240" s="2904">
        <f>'A&amp;L'!D80</f>
        <v>0</v>
      </c>
      <c r="H240" s="2905"/>
      <c r="I240" s="2905"/>
      <c r="J240" s="2905"/>
      <c r="K240" s="2905"/>
      <c r="L240" s="2906"/>
      <c r="M240" s="2909" t="str">
        <f>IF('A&amp;L'!E80="","",'A&amp;L'!E80)</f>
        <v/>
      </c>
      <c r="N240" s="2910"/>
      <c r="O240" s="2911"/>
      <c r="P240" s="2907">
        <f>'A&amp;L'!F80</f>
        <v>0</v>
      </c>
      <c r="Q240" s="2908"/>
      <c r="R240" s="2889">
        <f>'A&amp;L'!G80</f>
        <v>0</v>
      </c>
      <c r="S240" s="2889"/>
      <c r="T240" s="2889"/>
      <c r="U240" s="2889"/>
      <c r="V240" s="2912">
        <f>'A&amp;L'!H80</f>
        <v>0</v>
      </c>
      <c r="W240" s="2913"/>
      <c r="X240" s="2914"/>
      <c r="Y240" s="2915">
        <f>'A&amp;L'!I80</f>
        <v>0</v>
      </c>
      <c r="Z240" s="2916"/>
      <c r="AA240" s="2916"/>
      <c r="AB240" s="2917"/>
    </row>
    <row r="241" spans="1:28" ht="21.75" customHeight="1">
      <c r="A241" s="1524">
        <v>10</v>
      </c>
      <c r="B241" s="2904">
        <f>'A&amp;L'!C81</f>
        <v>0</v>
      </c>
      <c r="C241" s="2905"/>
      <c r="D241" s="2905"/>
      <c r="E241" s="2905"/>
      <c r="F241" s="2906"/>
      <c r="G241" s="2904">
        <f>'A&amp;L'!D81</f>
        <v>0</v>
      </c>
      <c r="H241" s="2905"/>
      <c r="I241" s="2905"/>
      <c r="J241" s="2905"/>
      <c r="K241" s="2905"/>
      <c r="L241" s="2906"/>
      <c r="M241" s="2886" t="str">
        <f>IF('A&amp;L'!E81="","",'A&amp;L'!E81)</f>
        <v/>
      </c>
      <c r="N241" s="2886"/>
      <c r="O241" s="2886"/>
      <c r="P241" s="2907">
        <f>'A&amp;L'!F81</f>
        <v>0</v>
      </c>
      <c r="Q241" s="2908"/>
      <c r="R241" s="2889">
        <f>'A&amp;L'!G81</f>
        <v>0</v>
      </c>
      <c r="S241" s="2889"/>
      <c r="T241" s="2889"/>
      <c r="U241" s="2889"/>
      <c r="V241" s="2889">
        <f>'A&amp;L'!H81</f>
        <v>0</v>
      </c>
      <c r="W241" s="2889"/>
      <c r="X241" s="2889"/>
      <c r="Y241" s="2888">
        <f>'A&amp;L'!I81</f>
        <v>0</v>
      </c>
      <c r="Z241" s="2888"/>
      <c r="AA241" s="2888"/>
      <c r="AB241" s="2888"/>
    </row>
    <row r="242" spans="1:28" ht="21.75" customHeight="1">
      <c r="A242" s="1484"/>
      <c r="B242" s="1484"/>
      <c r="C242" s="1484"/>
      <c r="D242" s="1484"/>
      <c r="E242" s="1484"/>
      <c r="F242" s="1484"/>
      <c r="G242" s="1484"/>
      <c r="H242" s="1484"/>
      <c r="I242" s="1484"/>
      <c r="J242" s="1484"/>
      <c r="K242" s="1484"/>
      <c r="L242" s="1484"/>
      <c r="M242" s="1484"/>
      <c r="N242" s="1484"/>
      <c r="O242" s="1484"/>
      <c r="P242" s="1484"/>
      <c r="Q242" s="1484"/>
      <c r="R242" s="1484"/>
      <c r="S242" s="1484"/>
      <c r="T242" s="1484"/>
      <c r="V242" s="2881" t="s">
        <v>499</v>
      </c>
      <c r="W242" s="2882"/>
      <c r="X242" s="2883"/>
      <c r="Y242" s="2884">
        <f>'A&amp;L'!I87</f>
        <v>0</v>
      </c>
      <c r="Z242" s="2884"/>
      <c r="AA242" s="2884"/>
      <c r="AB242" s="2884"/>
    </row>
    <row r="243" spans="1:28" ht="12.75" customHeight="1"/>
    <row r="244" spans="1:28">
      <c r="A244" s="1471" t="s">
        <v>1388</v>
      </c>
    </row>
    <row r="245" spans="1:28" ht="6.75" customHeight="1">
      <c r="A245" s="1471"/>
    </row>
    <row r="246" spans="1:28" ht="21.75" customHeight="1">
      <c r="A246" s="2890" t="s">
        <v>360</v>
      </c>
      <c r="B246" s="2891" t="s">
        <v>1269</v>
      </c>
      <c r="C246" s="2891"/>
      <c r="D246" s="2891"/>
      <c r="E246" s="2891"/>
      <c r="F246" s="2891"/>
      <c r="G246" s="2893" t="s">
        <v>1270</v>
      </c>
      <c r="H246" s="2893"/>
      <c r="I246" s="2893"/>
      <c r="J246" s="2893"/>
      <c r="K246" s="2893"/>
      <c r="L246" s="2894"/>
      <c r="M246" s="2897" t="s">
        <v>949</v>
      </c>
      <c r="N246" s="2898"/>
      <c r="O246" s="2899"/>
      <c r="P246" s="2890" t="s">
        <v>542</v>
      </c>
      <c r="Q246" s="2890"/>
      <c r="R246" s="2890" t="s">
        <v>1390</v>
      </c>
      <c r="S246" s="2890"/>
      <c r="T246" s="2890"/>
      <c r="U246" s="2890"/>
      <c r="V246" s="2890"/>
      <c r="W246" s="2890"/>
      <c r="X246" s="2890"/>
      <c r="Y246" s="2890"/>
      <c r="Z246" s="2890"/>
      <c r="AA246" s="2890"/>
      <c r="AB246" s="2890"/>
    </row>
    <row r="247" spans="1:28" ht="27.75" customHeight="1">
      <c r="A247" s="2890"/>
      <c r="B247" s="2892"/>
      <c r="C247" s="2892"/>
      <c r="D247" s="2892"/>
      <c r="E247" s="2892"/>
      <c r="F247" s="2892"/>
      <c r="G247" s="2895"/>
      <c r="H247" s="2895"/>
      <c r="I247" s="2895"/>
      <c r="J247" s="2895"/>
      <c r="K247" s="2895"/>
      <c r="L247" s="2896"/>
      <c r="M247" s="2900"/>
      <c r="N247" s="2901"/>
      <c r="O247" s="2902"/>
      <c r="P247" s="2890"/>
      <c r="Q247" s="2890"/>
      <c r="R247" s="2891" t="s">
        <v>839</v>
      </c>
      <c r="S247" s="2891"/>
      <c r="T247" s="2891"/>
      <c r="U247" s="2891"/>
      <c r="V247" s="2892" t="s">
        <v>840</v>
      </c>
      <c r="W247" s="2892"/>
      <c r="X247" s="2892"/>
      <c r="Y247" s="2890" t="s">
        <v>841</v>
      </c>
      <c r="Z247" s="2890"/>
      <c r="AA247" s="2890"/>
      <c r="AB247" s="2890"/>
    </row>
    <row r="248" spans="1:28" ht="21.75" customHeight="1">
      <c r="A248" s="1524">
        <v>1</v>
      </c>
      <c r="B248" s="2885">
        <f>'A&amp;L'!C93</f>
        <v>0</v>
      </c>
      <c r="C248" s="2885"/>
      <c r="D248" s="2885"/>
      <c r="E248" s="2885"/>
      <c r="F248" s="2885"/>
      <c r="G248" s="2885">
        <f>'A&amp;L'!D93</f>
        <v>0</v>
      </c>
      <c r="H248" s="2885"/>
      <c r="I248" s="2885"/>
      <c r="J248" s="2885"/>
      <c r="K248" s="2885"/>
      <c r="L248" s="2885"/>
      <c r="M248" s="2886" t="str">
        <f>IF('A&amp;L'!E93="","",'A&amp;L'!E93)</f>
        <v/>
      </c>
      <c r="N248" s="2886"/>
      <c r="O248" s="2886"/>
      <c r="P248" s="2887">
        <f>'A&amp;L'!F93</f>
        <v>0</v>
      </c>
      <c r="Q248" s="2887"/>
      <c r="R248" s="2889">
        <f>'A&amp;L'!G93</f>
        <v>0</v>
      </c>
      <c r="S248" s="2889"/>
      <c r="T248" s="2889"/>
      <c r="U248" s="2889"/>
      <c r="V248" s="2889">
        <f>'A&amp;L'!H93</f>
        <v>0</v>
      </c>
      <c r="W248" s="2889"/>
      <c r="X248" s="2889"/>
      <c r="Y248" s="2888">
        <f>'A&amp;L'!I93</f>
        <v>0</v>
      </c>
      <c r="Z248" s="2888"/>
      <c r="AA248" s="2888"/>
      <c r="AB248" s="2888"/>
    </row>
    <row r="249" spans="1:28" ht="21.75" customHeight="1">
      <c r="A249" s="1524">
        <v>2</v>
      </c>
      <c r="B249" s="2885">
        <f>'A&amp;L'!C94</f>
        <v>0</v>
      </c>
      <c r="C249" s="2885"/>
      <c r="D249" s="2885"/>
      <c r="E249" s="2885"/>
      <c r="F249" s="2885"/>
      <c r="G249" s="2885">
        <f>'A&amp;L'!D94</f>
        <v>0</v>
      </c>
      <c r="H249" s="2885"/>
      <c r="I249" s="2885"/>
      <c r="J249" s="2885"/>
      <c r="K249" s="2885"/>
      <c r="L249" s="2885"/>
      <c r="M249" s="2886" t="str">
        <f>IF('A&amp;L'!E94="","",'A&amp;L'!E94)</f>
        <v/>
      </c>
      <c r="N249" s="2886"/>
      <c r="O249" s="2886"/>
      <c r="P249" s="2887">
        <f>'A&amp;L'!F94</f>
        <v>0</v>
      </c>
      <c r="Q249" s="2887"/>
      <c r="R249" s="2889">
        <f>'A&amp;L'!G94</f>
        <v>0</v>
      </c>
      <c r="S249" s="2889"/>
      <c r="T249" s="2889"/>
      <c r="U249" s="2889"/>
      <c r="V249" s="2889">
        <f>'A&amp;L'!H94</f>
        <v>0</v>
      </c>
      <c r="W249" s="2889"/>
      <c r="X249" s="2889"/>
      <c r="Y249" s="2888">
        <f>'A&amp;L'!I94</f>
        <v>0</v>
      </c>
      <c r="Z249" s="2888"/>
      <c r="AA249" s="2888"/>
      <c r="AB249" s="2888"/>
    </row>
    <row r="250" spans="1:28" ht="21.75" customHeight="1">
      <c r="A250" s="1524">
        <v>3</v>
      </c>
      <c r="B250" s="2885">
        <f>'A&amp;L'!C95</f>
        <v>0</v>
      </c>
      <c r="C250" s="2885"/>
      <c r="D250" s="2885"/>
      <c r="E250" s="2885"/>
      <c r="F250" s="2885"/>
      <c r="G250" s="2885">
        <f>'A&amp;L'!D95</f>
        <v>0</v>
      </c>
      <c r="H250" s="2885"/>
      <c r="I250" s="2885"/>
      <c r="J250" s="2885"/>
      <c r="K250" s="2885"/>
      <c r="L250" s="2885"/>
      <c r="M250" s="2886" t="str">
        <f>IF('A&amp;L'!E95="","",'A&amp;L'!E95)</f>
        <v/>
      </c>
      <c r="N250" s="2886"/>
      <c r="O250" s="2886"/>
      <c r="P250" s="2887">
        <f>'A&amp;L'!F95</f>
        <v>0</v>
      </c>
      <c r="Q250" s="2887"/>
      <c r="R250" s="2889">
        <f>'A&amp;L'!G95</f>
        <v>0</v>
      </c>
      <c r="S250" s="2889"/>
      <c r="T250" s="2889"/>
      <c r="U250" s="2889"/>
      <c r="V250" s="2889">
        <f>'A&amp;L'!H95</f>
        <v>0</v>
      </c>
      <c r="W250" s="2889"/>
      <c r="X250" s="2889"/>
      <c r="Y250" s="2888">
        <f>'A&amp;L'!I95</f>
        <v>0</v>
      </c>
      <c r="Z250" s="2888"/>
      <c r="AA250" s="2888"/>
      <c r="AB250" s="2888"/>
    </row>
    <row r="251" spans="1:28" ht="21.75" customHeight="1">
      <c r="A251" s="1524">
        <v>4</v>
      </c>
      <c r="B251" s="2885">
        <f>'A&amp;L'!C96</f>
        <v>0</v>
      </c>
      <c r="C251" s="2885"/>
      <c r="D251" s="2885"/>
      <c r="E251" s="2885"/>
      <c r="F251" s="2885"/>
      <c r="G251" s="2885">
        <f>'A&amp;L'!D96</f>
        <v>0</v>
      </c>
      <c r="H251" s="2885"/>
      <c r="I251" s="2885"/>
      <c r="J251" s="2885"/>
      <c r="K251" s="2885"/>
      <c r="L251" s="2885"/>
      <c r="M251" s="2886" t="str">
        <f>IF('A&amp;L'!E96="","",'A&amp;L'!E96)</f>
        <v/>
      </c>
      <c r="N251" s="2886"/>
      <c r="O251" s="2886"/>
      <c r="P251" s="2887">
        <f>'A&amp;L'!F96</f>
        <v>0</v>
      </c>
      <c r="Q251" s="2887"/>
      <c r="R251" s="2889">
        <f>'A&amp;L'!G96</f>
        <v>0</v>
      </c>
      <c r="S251" s="2889"/>
      <c r="T251" s="2889"/>
      <c r="U251" s="2889"/>
      <c r="V251" s="2889">
        <f>'A&amp;L'!H96</f>
        <v>0</v>
      </c>
      <c r="W251" s="2889"/>
      <c r="X251" s="2889"/>
      <c r="Y251" s="2888">
        <f>'A&amp;L'!I96</f>
        <v>0</v>
      </c>
      <c r="Z251" s="2888"/>
      <c r="AA251" s="2888"/>
      <c r="AB251" s="2888"/>
    </row>
    <row r="252" spans="1:28" ht="21.75" customHeight="1">
      <c r="A252" s="1524">
        <v>5</v>
      </c>
      <c r="B252" s="2885">
        <f>'A&amp;L'!C97</f>
        <v>0</v>
      </c>
      <c r="C252" s="2885"/>
      <c r="D252" s="2885"/>
      <c r="E252" s="2885"/>
      <c r="F252" s="2885"/>
      <c r="G252" s="2885">
        <f>'A&amp;L'!D97</f>
        <v>0</v>
      </c>
      <c r="H252" s="2885"/>
      <c r="I252" s="2885"/>
      <c r="J252" s="2885"/>
      <c r="K252" s="2885"/>
      <c r="L252" s="2885"/>
      <c r="M252" s="2886" t="str">
        <f>IF('A&amp;L'!E97="","",'A&amp;L'!E97)</f>
        <v/>
      </c>
      <c r="N252" s="2886"/>
      <c r="O252" s="2886"/>
      <c r="P252" s="2887">
        <f>'A&amp;L'!F97</f>
        <v>0</v>
      </c>
      <c r="Q252" s="2887"/>
      <c r="R252" s="2889">
        <f>'A&amp;L'!G97</f>
        <v>0</v>
      </c>
      <c r="S252" s="2889"/>
      <c r="T252" s="2889"/>
      <c r="U252" s="2889"/>
      <c r="V252" s="2889">
        <f>'A&amp;L'!H97</f>
        <v>0</v>
      </c>
      <c r="W252" s="2889"/>
      <c r="X252" s="2889"/>
      <c r="Y252" s="2888">
        <f>'A&amp;L'!I97</f>
        <v>0</v>
      </c>
      <c r="Z252" s="2888"/>
      <c r="AA252" s="2888"/>
      <c r="AB252" s="2888"/>
    </row>
    <row r="253" spans="1:28" ht="21.75" customHeight="1">
      <c r="A253" s="1524">
        <v>6</v>
      </c>
      <c r="B253" s="2885">
        <f>'A&amp;L'!C98</f>
        <v>0</v>
      </c>
      <c r="C253" s="2885"/>
      <c r="D253" s="2885"/>
      <c r="E253" s="2885"/>
      <c r="F253" s="2885"/>
      <c r="G253" s="2885">
        <f>'A&amp;L'!D98</f>
        <v>0</v>
      </c>
      <c r="H253" s="2885"/>
      <c r="I253" s="2885"/>
      <c r="J253" s="2885"/>
      <c r="K253" s="2885"/>
      <c r="L253" s="2885"/>
      <c r="M253" s="2886" t="str">
        <f>IF('A&amp;L'!E98="","",'A&amp;L'!E98)</f>
        <v/>
      </c>
      <c r="N253" s="2886"/>
      <c r="O253" s="2886"/>
      <c r="P253" s="2887">
        <f>'A&amp;L'!F98</f>
        <v>0</v>
      </c>
      <c r="Q253" s="2887"/>
      <c r="R253" s="2889">
        <f>'A&amp;L'!G98</f>
        <v>0</v>
      </c>
      <c r="S253" s="2889"/>
      <c r="T253" s="2889"/>
      <c r="U253" s="2889"/>
      <c r="V253" s="2889">
        <f>'A&amp;L'!H98</f>
        <v>0</v>
      </c>
      <c r="W253" s="2889"/>
      <c r="X253" s="2889"/>
      <c r="Y253" s="2888">
        <f>'A&amp;L'!I98</f>
        <v>0</v>
      </c>
      <c r="Z253" s="2888"/>
      <c r="AA253" s="2888"/>
      <c r="AB253" s="2888"/>
    </row>
    <row r="254" spans="1:28" ht="21.75" customHeight="1">
      <c r="A254" s="1524">
        <v>7</v>
      </c>
      <c r="B254" s="2885">
        <f>'A&amp;L'!C99</f>
        <v>0</v>
      </c>
      <c r="C254" s="2885"/>
      <c r="D254" s="2885"/>
      <c r="E254" s="2885"/>
      <c r="F254" s="2885"/>
      <c r="G254" s="2885">
        <f>'A&amp;L'!D99</f>
        <v>0</v>
      </c>
      <c r="H254" s="2885"/>
      <c r="I254" s="2885"/>
      <c r="J254" s="2885"/>
      <c r="K254" s="2885"/>
      <c r="L254" s="2885"/>
      <c r="M254" s="2886" t="str">
        <f>IF('A&amp;L'!E99="","",'A&amp;L'!E99)</f>
        <v/>
      </c>
      <c r="N254" s="2886"/>
      <c r="O254" s="2886"/>
      <c r="P254" s="2887">
        <f>'A&amp;L'!F99</f>
        <v>0</v>
      </c>
      <c r="Q254" s="2887"/>
      <c r="R254" s="2889">
        <f>'A&amp;L'!G99</f>
        <v>0</v>
      </c>
      <c r="S254" s="2889"/>
      <c r="T254" s="2889"/>
      <c r="U254" s="2889"/>
      <c r="V254" s="2889">
        <f>'A&amp;L'!H99</f>
        <v>0</v>
      </c>
      <c r="W254" s="2889"/>
      <c r="X254" s="2889"/>
      <c r="Y254" s="2888">
        <f>'A&amp;L'!I99</f>
        <v>0</v>
      </c>
      <c r="Z254" s="2888"/>
      <c r="AA254" s="2888"/>
      <c r="AB254" s="2888"/>
    </row>
    <row r="255" spans="1:28" ht="21.75" customHeight="1">
      <c r="A255" s="1524">
        <v>8</v>
      </c>
      <c r="B255" s="2885">
        <f>'A&amp;L'!C100</f>
        <v>0</v>
      </c>
      <c r="C255" s="2885"/>
      <c r="D255" s="2885"/>
      <c r="E255" s="2885"/>
      <c r="F255" s="2885"/>
      <c r="G255" s="2885">
        <f>'A&amp;L'!D100</f>
        <v>0</v>
      </c>
      <c r="H255" s="2885"/>
      <c r="I255" s="2885"/>
      <c r="J255" s="2885"/>
      <c r="K255" s="2885"/>
      <c r="L255" s="2885"/>
      <c r="M255" s="2886" t="str">
        <f>IF('A&amp;L'!E100="","",'A&amp;L'!E100)</f>
        <v/>
      </c>
      <c r="N255" s="2886"/>
      <c r="O255" s="2886"/>
      <c r="P255" s="2887">
        <f>'A&amp;L'!F100</f>
        <v>0</v>
      </c>
      <c r="Q255" s="2887"/>
      <c r="R255" s="2889">
        <f>'A&amp;L'!G100</f>
        <v>0</v>
      </c>
      <c r="S255" s="2889"/>
      <c r="T255" s="2889"/>
      <c r="U255" s="2889"/>
      <c r="V255" s="2889">
        <f>'A&amp;L'!H100</f>
        <v>0</v>
      </c>
      <c r="W255" s="2889"/>
      <c r="X255" s="2889"/>
      <c r="Y255" s="2888">
        <f>'A&amp;L'!I100</f>
        <v>0</v>
      </c>
      <c r="Z255" s="2888"/>
      <c r="AA255" s="2888"/>
      <c r="AB255" s="2888"/>
    </row>
    <row r="256" spans="1:28" ht="21.75" customHeight="1">
      <c r="A256" s="1524">
        <v>9</v>
      </c>
      <c r="B256" s="2885">
        <f>'A&amp;L'!C101</f>
        <v>0</v>
      </c>
      <c r="C256" s="2885"/>
      <c r="D256" s="2885"/>
      <c r="E256" s="2885"/>
      <c r="F256" s="2885"/>
      <c r="G256" s="2885">
        <f>'A&amp;L'!D101</f>
        <v>0</v>
      </c>
      <c r="H256" s="2885"/>
      <c r="I256" s="2885"/>
      <c r="J256" s="2885"/>
      <c r="K256" s="2885"/>
      <c r="L256" s="2885"/>
      <c r="M256" s="2886" t="str">
        <f>IF('A&amp;L'!E101="","",'A&amp;L'!E101)</f>
        <v/>
      </c>
      <c r="N256" s="2886"/>
      <c r="O256" s="2886"/>
      <c r="P256" s="2887">
        <f>'A&amp;L'!F101</f>
        <v>0</v>
      </c>
      <c r="Q256" s="2887"/>
      <c r="R256" s="2889">
        <f>'A&amp;L'!G101</f>
        <v>0</v>
      </c>
      <c r="S256" s="2889"/>
      <c r="T256" s="2889"/>
      <c r="U256" s="2889"/>
      <c r="V256" s="2889">
        <f>'A&amp;L'!H101</f>
        <v>0</v>
      </c>
      <c r="W256" s="2889"/>
      <c r="X256" s="2889"/>
      <c r="Y256" s="2888">
        <f>'A&amp;L'!I101</f>
        <v>0</v>
      </c>
      <c r="Z256" s="2888"/>
      <c r="AA256" s="2888"/>
      <c r="AB256" s="2888"/>
    </row>
    <row r="257" spans="1:29" ht="21.75" customHeight="1">
      <c r="A257" s="1524">
        <v>10</v>
      </c>
      <c r="B257" s="2885">
        <f>'A&amp;L'!C102</f>
        <v>0</v>
      </c>
      <c r="C257" s="2885"/>
      <c r="D257" s="2885"/>
      <c r="E257" s="2885"/>
      <c r="F257" s="2885"/>
      <c r="G257" s="2885">
        <f>'A&amp;L'!D102</f>
        <v>0</v>
      </c>
      <c r="H257" s="2885"/>
      <c r="I257" s="2885"/>
      <c r="J257" s="2885"/>
      <c r="K257" s="2885"/>
      <c r="L257" s="2885"/>
      <c r="M257" s="2886" t="str">
        <f>IF('A&amp;L'!E102="","",'A&amp;L'!E102)</f>
        <v/>
      </c>
      <c r="N257" s="2886"/>
      <c r="O257" s="2886"/>
      <c r="P257" s="2887">
        <f>'A&amp;L'!F102</f>
        <v>0</v>
      </c>
      <c r="Q257" s="2887"/>
      <c r="R257" s="2889">
        <f>'A&amp;L'!G102</f>
        <v>0</v>
      </c>
      <c r="S257" s="2889"/>
      <c r="T257" s="2889"/>
      <c r="U257" s="2889"/>
      <c r="V257" s="2889">
        <f>'A&amp;L'!H102</f>
        <v>0</v>
      </c>
      <c r="W257" s="2889"/>
      <c r="X257" s="2889"/>
      <c r="Y257" s="2888">
        <f>'A&amp;L'!I102</f>
        <v>0</v>
      </c>
      <c r="Z257" s="2888"/>
      <c r="AA257" s="2888"/>
      <c r="AB257" s="2888"/>
    </row>
    <row r="258" spans="1:29" ht="21.75" customHeight="1">
      <c r="A258" s="1484"/>
      <c r="B258" s="1484"/>
      <c r="C258" s="1484"/>
      <c r="D258" s="1484"/>
      <c r="E258" s="1484"/>
      <c r="F258" s="1484"/>
      <c r="G258" s="1484"/>
      <c r="H258" s="1484"/>
      <c r="I258" s="1484"/>
      <c r="J258" s="1484"/>
      <c r="K258" s="1484"/>
      <c r="L258" s="1484"/>
      <c r="M258" s="1484"/>
      <c r="N258" s="1484"/>
      <c r="O258" s="1484"/>
      <c r="P258" s="1484"/>
      <c r="Q258" s="1484"/>
      <c r="R258" s="1484"/>
      <c r="S258" s="1484"/>
      <c r="T258" s="1484"/>
      <c r="V258" s="2881" t="s">
        <v>499</v>
      </c>
      <c r="W258" s="2882"/>
      <c r="X258" s="2883"/>
      <c r="Y258" s="2884">
        <f>'A&amp;L'!I108</f>
        <v>0</v>
      </c>
      <c r="Z258" s="2884"/>
      <c r="AA258" s="2884"/>
      <c r="AB258" s="2884"/>
    </row>
    <row r="259" spans="1:29" ht="12.75" customHeight="1">
      <c r="A259" s="1484"/>
      <c r="B259" s="1484"/>
      <c r="C259" s="1484"/>
      <c r="D259" s="1484"/>
      <c r="E259" s="1484"/>
      <c r="F259" s="1484"/>
      <c r="G259" s="1484"/>
      <c r="H259" s="1484"/>
      <c r="I259" s="1484"/>
      <c r="J259" s="1484"/>
      <c r="K259" s="1484"/>
      <c r="L259" s="1484"/>
      <c r="M259" s="1484"/>
      <c r="N259" s="1484"/>
      <c r="O259" s="1484"/>
      <c r="P259" s="1484"/>
      <c r="Q259" s="1484"/>
      <c r="R259" s="1484"/>
      <c r="S259" s="1484"/>
      <c r="T259" s="1484"/>
      <c r="U259" s="1484"/>
      <c r="V259" s="1484"/>
      <c r="W259" s="1678"/>
      <c r="X259" s="1678"/>
      <c r="Y259" s="1678"/>
      <c r="Z259" s="1526"/>
      <c r="AA259" s="1526"/>
      <c r="AB259" s="1526"/>
      <c r="AC259" s="1526"/>
    </row>
    <row r="260" spans="1:29" ht="20.25" customHeight="1">
      <c r="A260" s="2903" t="s">
        <v>828</v>
      </c>
      <c r="B260" s="2903"/>
      <c r="C260" s="2903"/>
      <c r="D260" s="2903"/>
      <c r="E260" s="2903"/>
      <c r="F260" s="2903"/>
      <c r="G260" s="2903"/>
      <c r="H260" s="2903"/>
      <c r="I260" s="2903"/>
      <c r="J260" s="2903"/>
      <c r="K260" s="2903"/>
      <c r="L260" s="2903"/>
      <c r="M260" s="2903"/>
      <c r="N260" s="2903"/>
      <c r="O260" s="2903"/>
      <c r="P260" s="2903"/>
      <c r="Q260" s="2903"/>
      <c r="R260" s="2903"/>
      <c r="S260" s="2903"/>
      <c r="T260" s="2903"/>
      <c r="U260" s="2903"/>
      <c r="V260" s="2903"/>
      <c r="W260" s="2903"/>
      <c r="X260" s="2903"/>
      <c r="Y260" s="2903"/>
      <c r="Z260" s="2903"/>
      <c r="AA260" s="2903"/>
      <c r="AB260" s="2903"/>
      <c r="AC260" s="2903"/>
    </row>
    <row r="262" spans="1:29" ht="12.75" customHeight="1">
      <c r="A262" s="1471" t="s">
        <v>1389</v>
      </c>
    </row>
    <row r="263" spans="1:29" ht="21.75" customHeight="1">
      <c r="A263" s="1471"/>
    </row>
    <row r="264" spans="1:29" ht="17.25" customHeight="1">
      <c r="A264" s="2890" t="s">
        <v>360</v>
      </c>
      <c r="B264" s="2891" t="s">
        <v>1269</v>
      </c>
      <c r="C264" s="2891"/>
      <c r="D264" s="2891"/>
      <c r="E264" s="2891"/>
      <c r="F264" s="2891"/>
      <c r="G264" s="2893" t="s">
        <v>1270</v>
      </c>
      <c r="H264" s="2893"/>
      <c r="I264" s="2893"/>
      <c r="J264" s="2893"/>
      <c r="K264" s="2893"/>
      <c r="L264" s="2894"/>
      <c r="M264" s="2897" t="s">
        <v>949</v>
      </c>
      <c r="N264" s="2898"/>
      <c r="O264" s="2899"/>
      <c r="P264" s="2890" t="s">
        <v>542</v>
      </c>
      <c r="Q264" s="2890"/>
      <c r="R264" s="2890" t="s">
        <v>1390</v>
      </c>
      <c r="S264" s="2890"/>
      <c r="T264" s="2890"/>
      <c r="U264" s="2890"/>
      <c r="V264" s="2890"/>
      <c r="W264" s="2890"/>
      <c r="X264" s="2890"/>
      <c r="Y264" s="2890"/>
      <c r="Z264" s="2890"/>
      <c r="AA264" s="2890"/>
      <c r="AB264" s="2890"/>
    </row>
    <row r="265" spans="1:29" ht="27.75" customHeight="1">
      <c r="A265" s="2890"/>
      <c r="B265" s="2892"/>
      <c r="C265" s="2892"/>
      <c r="D265" s="2892"/>
      <c r="E265" s="2892"/>
      <c r="F265" s="2892"/>
      <c r="G265" s="2895"/>
      <c r="H265" s="2895"/>
      <c r="I265" s="2895"/>
      <c r="J265" s="2895"/>
      <c r="K265" s="2895"/>
      <c r="L265" s="2896"/>
      <c r="M265" s="2900"/>
      <c r="N265" s="2901"/>
      <c r="O265" s="2902"/>
      <c r="P265" s="2890"/>
      <c r="Q265" s="2890"/>
      <c r="R265" s="2891" t="s">
        <v>839</v>
      </c>
      <c r="S265" s="2891"/>
      <c r="T265" s="2891"/>
      <c r="U265" s="2891"/>
      <c r="V265" s="2892" t="s">
        <v>840</v>
      </c>
      <c r="W265" s="2892"/>
      <c r="X265" s="2892"/>
      <c r="Y265" s="2890" t="s">
        <v>841</v>
      </c>
      <c r="Z265" s="2890"/>
      <c r="AA265" s="2890"/>
      <c r="AB265" s="2890"/>
    </row>
    <row r="266" spans="1:29" ht="21.75" customHeight="1">
      <c r="A266" s="1524">
        <v>1</v>
      </c>
      <c r="B266" s="2885">
        <f>'A&amp;L'!C114</f>
        <v>0</v>
      </c>
      <c r="C266" s="2885"/>
      <c r="D266" s="2885"/>
      <c r="E266" s="2885"/>
      <c r="F266" s="2885"/>
      <c r="G266" s="2885">
        <f>'A&amp;L'!D114</f>
        <v>0</v>
      </c>
      <c r="H266" s="2885"/>
      <c r="I266" s="2885"/>
      <c r="J266" s="2885"/>
      <c r="K266" s="2885"/>
      <c r="L266" s="2885"/>
      <c r="M266" s="2886" t="str">
        <f>IF('A&amp;L'!E114="","",'A&amp;L'!E114)</f>
        <v/>
      </c>
      <c r="N266" s="2886"/>
      <c r="O266" s="2886"/>
      <c r="P266" s="2887">
        <f>'A&amp;L'!F114</f>
        <v>0</v>
      </c>
      <c r="Q266" s="2887"/>
      <c r="R266" s="2888">
        <f>'A&amp;L'!G114</f>
        <v>0</v>
      </c>
      <c r="S266" s="2888"/>
      <c r="T266" s="2888"/>
      <c r="U266" s="2888"/>
      <c r="V266" s="2889">
        <f>'A&amp;L'!H114</f>
        <v>0</v>
      </c>
      <c r="W266" s="2889"/>
      <c r="X266" s="2889"/>
      <c r="Y266" s="2888">
        <f>'A&amp;L'!I114</f>
        <v>0</v>
      </c>
      <c r="Z266" s="2888"/>
      <c r="AA266" s="2888"/>
      <c r="AB266" s="2888"/>
    </row>
    <row r="267" spans="1:29" ht="21.75" customHeight="1">
      <c r="A267" s="1524">
        <v>2</v>
      </c>
      <c r="B267" s="2885">
        <f>'A&amp;L'!C115</f>
        <v>0</v>
      </c>
      <c r="C267" s="2885"/>
      <c r="D267" s="2885"/>
      <c r="E267" s="2885"/>
      <c r="F267" s="2885"/>
      <c r="G267" s="2885">
        <f>'A&amp;L'!D115</f>
        <v>0</v>
      </c>
      <c r="H267" s="2885"/>
      <c r="I267" s="2885"/>
      <c r="J267" s="2885"/>
      <c r="K267" s="2885"/>
      <c r="L267" s="2885"/>
      <c r="M267" s="2886" t="str">
        <f>IF('A&amp;L'!E115="","",'A&amp;L'!E115)</f>
        <v/>
      </c>
      <c r="N267" s="2886"/>
      <c r="O267" s="2886"/>
      <c r="P267" s="2887">
        <f>'A&amp;L'!F115</f>
        <v>0</v>
      </c>
      <c r="Q267" s="2887"/>
      <c r="R267" s="2888">
        <f>'A&amp;L'!G115</f>
        <v>0</v>
      </c>
      <c r="S267" s="2888"/>
      <c r="T267" s="2888"/>
      <c r="U267" s="2888"/>
      <c r="V267" s="2889">
        <f>'A&amp;L'!H115</f>
        <v>0</v>
      </c>
      <c r="W267" s="2889"/>
      <c r="X267" s="2889"/>
      <c r="Y267" s="2888">
        <f>'A&amp;L'!I115</f>
        <v>0</v>
      </c>
      <c r="Z267" s="2888"/>
      <c r="AA267" s="2888"/>
      <c r="AB267" s="2888"/>
    </row>
    <row r="268" spans="1:29" ht="21.75" customHeight="1">
      <c r="A268" s="1524">
        <v>3</v>
      </c>
      <c r="B268" s="2885">
        <f>'A&amp;L'!C116</f>
        <v>0</v>
      </c>
      <c r="C268" s="2885"/>
      <c r="D268" s="2885"/>
      <c r="E268" s="2885"/>
      <c r="F268" s="2885"/>
      <c r="G268" s="2885">
        <f>'A&amp;L'!D116</f>
        <v>0</v>
      </c>
      <c r="H268" s="2885"/>
      <c r="I268" s="2885"/>
      <c r="J268" s="2885"/>
      <c r="K268" s="2885"/>
      <c r="L268" s="2885"/>
      <c r="M268" s="2886" t="str">
        <f>IF('A&amp;L'!E116="","",'A&amp;L'!E116)</f>
        <v/>
      </c>
      <c r="N268" s="2886"/>
      <c r="O268" s="2886"/>
      <c r="P268" s="2887">
        <f>'A&amp;L'!F116</f>
        <v>0</v>
      </c>
      <c r="Q268" s="2887"/>
      <c r="R268" s="2888">
        <f>'A&amp;L'!G116</f>
        <v>0</v>
      </c>
      <c r="S268" s="2888"/>
      <c r="T268" s="2888"/>
      <c r="U268" s="2888"/>
      <c r="V268" s="2889">
        <f>'A&amp;L'!H116</f>
        <v>0</v>
      </c>
      <c r="W268" s="2889"/>
      <c r="X268" s="2889"/>
      <c r="Y268" s="2888">
        <f>'A&amp;L'!I116</f>
        <v>0</v>
      </c>
      <c r="Z268" s="2888"/>
      <c r="AA268" s="2888"/>
      <c r="AB268" s="2888"/>
    </row>
    <row r="269" spans="1:29" ht="21.75" customHeight="1">
      <c r="A269" s="1524">
        <v>4</v>
      </c>
      <c r="B269" s="2885">
        <f>'A&amp;L'!C117</f>
        <v>0</v>
      </c>
      <c r="C269" s="2885"/>
      <c r="D269" s="2885"/>
      <c r="E269" s="2885"/>
      <c r="F269" s="2885"/>
      <c r="G269" s="2885">
        <f>'A&amp;L'!D117</f>
        <v>0</v>
      </c>
      <c r="H269" s="2885"/>
      <c r="I269" s="2885"/>
      <c r="J269" s="2885"/>
      <c r="K269" s="2885"/>
      <c r="L269" s="2885"/>
      <c r="M269" s="2886" t="str">
        <f>IF('A&amp;L'!E117="","",'A&amp;L'!E117)</f>
        <v/>
      </c>
      <c r="N269" s="2886"/>
      <c r="O269" s="2886"/>
      <c r="P269" s="2887">
        <f>'A&amp;L'!F117</f>
        <v>0</v>
      </c>
      <c r="Q269" s="2887"/>
      <c r="R269" s="2888">
        <f>'A&amp;L'!G117</f>
        <v>0</v>
      </c>
      <c r="S269" s="2888"/>
      <c r="T269" s="2888"/>
      <c r="U269" s="2888"/>
      <c r="V269" s="2889">
        <f>'A&amp;L'!H117</f>
        <v>0</v>
      </c>
      <c r="W269" s="2889"/>
      <c r="X269" s="2889"/>
      <c r="Y269" s="2888">
        <f>'A&amp;L'!I117</f>
        <v>0</v>
      </c>
      <c r="Z269" s="2888"/>
      <c r="AA269" s="2888"/>
      <c r="AB269" s="2888"/>
    </row>
    <row r="270" spans="1:29" ht="21.75" customHeight="1">
      <c r="A270" s="1524">
        <v>5</v>
      </c>
      <c r="B270" s="2885">
        <f>'A&amp;L'!C118</f>
        <v>0</v>
      </c>
      <c r="C270" s="2885"/>
      <c r="D270" s="2885"/>
      <c r="E270" s="2885"/>
      <c r="F270" s="2885"/>
      <c r="G270" s="2885">
        <f>'A&amp;L'!D118</f>
        <v>0</v>
      </c>
      <c r="H270" s="2885"/>
      <c r="I270" s="2885"/>
      <c r="J270" s="2885"/>
      <c r="K270" s="2885"/>
      <c r="L270" s="2885"/>
      <c r="M270" s="2886" t="str">
        <f>IF('A&amp;L'!E118="","",'A&amp;L'!E118)</f>
        <v/>
      </c>
      <c r="N270" s="2886"/>
      <c r="O270" s="2886"/>
      <c r="P270" s="2887">
        <f>'A&amp;L'!F118</f>
        <v>0</v>
      </c>
      <c r="Q270" s="2887"/>
      <c r="R270" s="2888">
        <f>'A&amp;L'!G118</f>
        <v>0</v>
      </c>
      <c r="S270" s="2888"/>
      <c r="T270" s="2888"/>
      <c r="U270" s="2888"/>
      <c r="V270" s="2889">
        <f>'A&amp;L'!H118</f>
        <v>0</v>
      </c>
      <c r="W270" s="2889"/>
      <c r="X270" s="2889"/>
      <c r="Y270" s="2888">
        <f>'A&amp;L'!I118</f>
        <v>0</v>
      </c>
      <c r="Z270" s="2888"/>
      <c r="AA270" s="2888"/>
      <c r="AB270" s="2888"/>
    </row>
    <row r="271" spans="1:29" ht="21.75" customHeight="1">
      <c r="A271" s="1524">
        <v>6</v>
      </c>
      <c r="B271" s="2885">
        <f>'A&amp;L'!C119</f>
        <v>0</v>
      </c>
      <c r="C271" s="2885"/>
      <c r="D271" s="2885"/>
      <c r="E271" s="2885"/>
      <c r="F271" s="2885"/>
      <c r="G271" s="2885">
        <f>'A&amp;L'!D119</f>
        <v>0</v>
      </c>
      <c r="H271" s="2885"/>
      <c r="I271" s="2885"/>
      <c r="J271" s="2885"/>
      <c r="K271" s="2885"/>
      <c r="L271" s="2885"/>
      <c r="M271" s="2886" t="str">
        <f>IF('A&amp;L'!E119="","",'A&amp;L'!E119)</f>
        <v/>
      </c>
      <c r="N271" s="2886"/>
      <c r="O271" s="2886"/>
      <c r="P271" s="2887">
        <f>'A&amp;L'!F119</f>
        <v>0</v>
      </c>
      <c r="Q271" s="2887"/>
      <c r="R271" s="2888">
        <f>'A&amp;L'!G119</f>
        <v>0</v>
      </c>
      <c r="S271" s="2888"/>
      <c r="T271" s="2888"/>
      <c r="U271" s="2888"/>
      <c r="V271" s="2889">
        <f>'A&amp;L'!H119</f>
        <v>0</v>
      </c>
      <c r="W271" s="2889"/>
      <c r="X271" s="2889"/>
      <c r="Y271" s="2888">
        <f>'A&amp;L'!I119</f>
        <v>0</v>
      </c>
      <c r="Z271" s="2888"/>
      <c r="AA271" s="2888"/>
      <c r="AB271" s="2888"/>
    </row>
    <row r="272" spans="1:29" ht="21.75" customHeight="1">
      <c r="A272" s="1524">
        <v>7</v>
      </c>
      <c r="B272" s="2885">
        <f>'A&amp;L'!C120</f>
        <v>0</v>
      </c>
      <c r="C272" s="2885"/>
      <c r="D272" s="2885"/>
      <c r="E272" s="2885"/>
      <c r="F272" s="2885"/>
      <c r="G272" s="2885">
        <f>'A&amp;L'!D120</f>
        <v>0</v>
      </c>
      <c r="H272" s="2885"/>
      <c r="I272" s="2885"/>
      <c r="J272" s="2885"/>
      <c r="K272" s="2885"/>
      <c r="L272" s="2885"/>
      <c r="M272" s="2886" t="str">
        <f>IF('A&amp;L'!E120="","",'A&amp;L'!E120)</f>
        <v/>
      </c>
      <c r="N272" s="2886"/>
      <c r="O272" s="2886"/>
      <c r="P272" s="2887">
        <f>'A&amp;L'!F120</f>
        <v>0</v>
      </c>
      <c r="Q272" s="2887"/>
      <c r="R272" s="2888">
        <f>'A&amp;L'!G120</f>
        <v>0</v>
      </c>
      <c r="S272" s="2888"/>
      <c r="T272" s="2888"/>
      <c r="U272" s="2888"/>
      <c r="V272" s="2889">
        <f>'A&amp;L'!H120</f>
        <v>0</v>
      </c>
      <c r="W272" s="2889"/>
      <c r="X272" s="2889"/>
      <c r="Y272" s="2888">
        <f>'A&amp;L'!I120</f>
        <v>0</v>
      </c>
      <c r="Z272" s="2888"/>
      <c r="AA272" s="2888"/>
      <c r="AB272" s="2888"/>
    </row>
    <row r="273" spans="1:28" ht="21.75" customHeight="1">
      <c r="A273" s="1524">
        <v>8</v>
      </c>
      <c r="B273" s="2885">
        <f>'A&amp;L'!C121</f>
        <v>0</v>
      </c>
      <c r="C273" s="2885"/>
      <c r="D273" s="2885"/>
      <c r="E273" s="2885"/>
      <c r="F273" s="2885"/>
      <c r="G273" s="2885">
        <f>'A&amp;L'!D121</f>
        <v>0</v>
      </c>
      <c r="H273" s="2885"/>
      <c r="I273" s="2885"/>
      <c r="J273" s="2885"/>
      <c r="K273" s="2885"/>
      <c r="L273" s="2885"/>
      <c r="M273" s="2886" t="str">
        <f>IF('A&amp;L'!E121="","",'A&amp;L'!E121)</f>
        <v/>
      </c>
      <c r="N273" s="2886"/>
      <c r="O273" s="2886"/>
      <c r="P273" s="2887">
        <f>'A&amp;L'!F121</f>
        <v>0</v>
      </c>
      <c r="Q273" s="2887"/>
      <c r="R273" s="2888">
        <f>'A&amp;L'!G121</f>
        <v>0</v>
      </c>
      <c r="S273" s="2888"/>
      <c r="T273" s="2888"/>
      <c r="U273" s="2888"/>
      <c r="V273" s="2889">
        <f>'A&amp;L'!H121</f>
        <v>0</v>
      </c>
      <c r="W273" s="2889"/>
      <c r="X273" s="2889"/>
      <c r="Y273" s="2888">
        <f>'A&amp;L'!I121</f>
        <v>0</v>
      </c>
      <c r="Z273" s="2888"/>
      <c r="AA273" s="2888"/>
      <c r="AB273" s="2888"/>
    </row>
    <row r="274" spans="1:28" ht="21.75" customHeight="1">
      <c r="A274" s="1524">
        <v>9</v>
      </c>
      <c r="B274" s="2885">
        <f>'A&amp;L'!C122</f>
        <v>0</v>
      </c>
      <c r="C274" s="2885"/>
      <c r="D274" s="2885"/>
      <c r="E274" s="2885"/>
      <c r="F274" s="2885"/>
      <c r="G274" s="2885">
        <f>'A&amp;L'!D122</f>
        <v>0</v>
      </c>
      <c r="H274" s="2885"/>
      <c r="I274" s="2885"/>
      <c r="J274" s="2885"/>
      <c r="K274" s="2885"/>
      <c r="L274" s="2885"/>
      <c r="M274" s="2886" t="str">
        <f>IF('A&amp;L'!E122="","",'A&amp;L'!E122)</f>
        <v/>
      </c>
      <c r="N274" s="2886"/>
      <c r="O274" s="2886"/>
      <c r="P274" s="2887">
        <f>'A&amp;L'!F122</f>
        <v>0</v>
      </c>
      <c r="Q274" s="2887"/>
      <c r="R274" s="2888">
        <f>'A&amp;L'!G122</f>
        <v>0</v>
      </c>
      <c r="S274" s="2888"/>
      <c r="T274" s="2888"/>
      <c r="U274" s="2888"/>
      <c r="V274" s="2889">
        <f>'A&amp;L'!H122</f>
        <v>0</v>
      </c>
      <c r="W274" s="2889"/>
      <c r="X274" s="2889"/>
      <c r="Y274" s="2888">
        <f>'A&amp;L'!I122</f>
        <v>0</v>
      </c>
      <c r="Z274" s="2888"/>
      <c r="AA274" s="2888"/>
      <c r="AB274" s="2888"/>
    </row>
    <row r="275" spans="1:28" ht="21.75" customHeight="1">
      <c r="A275" s="1524">
        <v>10</v>
      </c>
      <c r="B275" s="2885">
        <f>'A&amp;L'!C123</f>
        <v>0</v>
      </c>
      <c r="C275" s="2885"/>
      <c r="D275" s="2885"/>
      <c r="E275" s="2885"/>
      <c r="F275" s="2885"/>
      <c r="G275" s="2885">
        <f>'A&amp;L'!D123</f>
        <v>0</v>
      </c>
      <c r="H275" s="2885"/>
      <c r="I275" s="2885"/>
      <c r="J275" s="2885"/>
      <c r="K275" s="2885"/>
      <c r="L275" s="2885"/>
      <c r="M275" s="2886" t="str">
        <f>IF('A&amp;L'!E123="","",'A&amp;L'!E123)</f>
        <v/>
      </c>
      <c r="N275" s="2886"/>
      <c r="O275" s="2886"/>
      <c r="P275" s="2887">
        <f>'A&amp;L'!F123</f>
        <v>0</v>
      </c>
      <c r="Q275" s="2887"/>
      <c r="R275" s="2888">
        <f>'A&amp;L'!G123</f>
        <v>0</v>
      </c>
      <c r="S275" s="2888"/>
      <c r="T275" s="2888"/>
      <c r="U275" s="2888"/>
      <c r="V275" s="2889">
        <f>'A&amp;L'!H123</f>
        <v>0</v>
      </c>
      <c r="W275" s="2889"/>
      <c r="X275" s="2889"/>
      <c r="Y275" s="2888">
        <f>'A&amp;L'!I123</f>
        <v>0</v>
      </c>
      <c r="Z275" s="2888"/>
      <c r="AA275" s="2888"/>
      <c r="AB275" s="2888"/>
    </row>
    <row r="276" spans="1:28" ht="21.75" customHeight="1">
      <c r="A276" s="1484"/>
      <c r="B276" s="1484"/>
      <c r="C276" s="1484"/>
      <c r="D276" s="1484"/>
      <c r="E276" s="1484"/>
      <c r="F276" s="1484"/>
      <c r="G276" s="1484"/>
      <c r="H276" s="1484"/>
      <c r="I276" s="1484"/>
      <c r="J276" s="1484"/>
      <c r="K276" s="1484"/>
      <c r="L276" s="1484"/>
      <c r="M276" s="1484"/>
      <c r="N276" s="1484"/>
      <c r="O276" s="1484"/>
      <c r="P276" s="1484"/>
      <c r="Q276" s="1484"/>
      <c r="R276" s="1484"/>
      <c r="S276" s="1484"/>
      <c r="T276" s="1484"/>
      <c r="V276" s="2881" t="s">
        <v>499</v>
      </c>
      <c r="W276" s="2882"/>
      <c r="X276" s="2883"/>
      <c r="Y276" s="2884">
        <f>'A&amp;L'!I129</f>
        <v>0</v>
      </c>
      <c r="Z276" s="2884"/>
      <c r="AA276" s="2884"/>
      <c r="AB276" s="2884"/>
    </row>
    <row r="278" spans="1:28" ht="12.75" customHeight="1">
      <c r="A278" s="1471" t="s">
        <v>954</v>
      </c>
    </row>
    <row r="279" spans="1:28" ht="21.75" customHeight="1">
      <c r="A279" s="1471"/>
    </row>
    <row r="280" spans="1:28" ht="17.25" customHeight="1">
      <c r="A280" s="2890" t="s">
        <v>360</v>
      </c>
      <c r="B280" s="2891" t="s">
        <v>1269</v>
      </c>
      <c r="C280" s="2891"/>
      <c r="D280" s="2891"/>
      <c r="E280" s="2891"/>
      <c r="F280" s="2891"/>
      <c r="G280" s="2893" t="s">
        <v>955</v>
      </c>
      <c r="H280" s="2893"/>
      <c r="I280" s="2893"/>
      <c r="J280" s="2893"/>
      <c r="K280" s="2893"/>
      <c r="L280" s="2894"/>
      <c r="M280" s="2897" t="s">
        <v>956</v>
      </c>
      <c r="N280" s="2898"/>
      <c r="O280" s="2899"/>
      <c r="P280" s="2890" t="s">
        <v>542</v>
      </c>
      <c r="Q280" s="2890"/>
      <c r="R280" s="2881" t="s">
        <v>958</v>
      </c>
      <c r="S280" s="2882"/>
      <c r="T280" s="2882"/>
      <c r="U280" s="2882"/>
      <c r="V280" s="2882"/>
      <c r="W280" s="2882"/>
      <c r="X280" s="2882"/>
      <c r="Y280" s="2882"/>
      <c r="Z280" s="2882"/>
      <c r="AA280" s="2882"/>
      <c r="AB280" s="2883"/>
    </row>
    <row r="281" spans="1:28" ht="27.75" customHeight="1">
      <c r="A281" s="2890"/>
      <c r="B281" s="2892"/>
      <c r="C281" s="2892"/>
      <c r="D281" s="2892"/>
      <c r="E281" s="2892"/>
      <c r="F281" s="2892"/>
      <c r="G281" s="2895"/>
      <c r="H281" s="2895"/>
      <c r="I281" s="2895"/>
      <c r="J281" s="2895"/>
      <c r="K281" s="2895"/>
      <c r="L281" s="2896"/>
      <c r="M281" s="2900"/>
      <c r="N281" s="2901"/>
      <c r="O281" s="2902"/>
      <c r="P281" s="2890"/>
      <c r="Q281" s="2890"/>
      <c r="R281" s="2891" t="s">
        <v>839</v>
      </c>
      <c r="S281" s="2891"/>
      <c r="T281" s="2891"/>
      <c r="U281" s="2891"/>
      <c r="V281" s="2892" t="s">
        <v>840</v>
      </c>
      <c r="W281" s="2892"/>
      <c r="X281" s="2892"/>
      <c r="Y281" s="2890" t="s">
        <v>841</v>
      </c>
      <c r="Z281" s="2890"/>
      <c r="AA281" s="2890"/>
      <c r="AB281" s="2890"/>
    </row>
    <row r="282" spans="1:28" ht="21.75" customHeight="1">
      <c r="A282" s="1524">
        <v>1</v>
      </c>
      <c r="B282" s="2885">
        <f>'A&amp;L'!C135</f>
        <v>0</v>
      </c>
      <c r="C282" s="2885"/>
      <c r="D282" s="2885"/>
      <c r="E282" s="2885"/>
      <c r="F282" s="2885"/>
      <c r="G282" s="2885">
        <f>'A&amp;L'!D135</f>
        <v>0</v>
      </c>
      <c r="H282" s="2885"/>
      <c r="I282" s="2885"/>
      <c r="J282" s="2885"/>
      <c r="K282" s="2885"/>
      <c r="L282" s="2885"/>
      <c r="M282" s="2886" t="str">
        <f>IF('A&amp;L'!E135="","",'A&amp;L'!E135)</f>
        <v/>
      </c>
      <c r="N282" s="2886"/>
      <c r="O282" s="2886"/>
      <c r="P282" s="2887">
        <f>'A&amp;L'!F135</f>
        <v>0</v>
      </c>
      <c r="Q282" s="2887"/>
      <c r="R282" s="2888">
        <f>'A&amp;L'!G135</f>
        <v>0</v>
      </c>
      <c r="S282" s="2888"/>
      <c r="T282" s="2888"/>
      <c r="U282" s="2888"/>
      <c r="V282" s="2889">
        <f>'A&amp;L'!H135</f>
        <v>0</v>
      </c>
      <c r="W282" s="2889"/>
      <c r="X282" s="2889"/>
      <c r="Y282" s="2888">
        <f>'A&amp;L'!I135</f>
        <v>0</v>
      </c>
      <c r="Z282" s="2888"/>
      <c r="AA282" s="2888"/>
      <c r="AB282" s="2888"/>
    </row>
    <row r="283" spans="1:28" ht="21.75" customHeight="1">
      <c r="A283" s="1524">
        <v>2</v>
      </c>
      <c r="B283" s="2885">
        <f>'A&amp;L'!C136</f>
        <v>0</v>
      </c>
      <c r="C283" s="2885"/>
      <c r="D283" s="2885"/>
      <c r="E283" s="2885"/>
      <c r="F283" s="2885"/>
      <c r="G283" s="2885">
        <f>'A&amp;L'!D136</f>
        <v>0</v>
      </c>
      <c r="H283" s="2885"/>
      <c r="I283" s="2885"/>
      <c r="J283" s="2885"/>
      <c r="K283" s="2885"/>
      <c r="L283" s="2885"/>
      <c r="M283" s="2886" t="str">
        <f>IF('A&amp;L'!E136="","",'A&amp;L'!E136)</f>
        <v/>
      </c>
      <c r="N283" s="2886"/>
      <c r="O283" s="2886"/>
      <c r="P283" s="2887">
        <f>'A&amp;L'!F136</f>
        <v>0</v>
      </c>
      <c r="Q283" s="2887"/>
      <c r="R283" s="2888">
        <f>'A&amp;L'!G136</f>
        <v>0</v>
      </c>
      <c r="S283" s="2888"/>
      <c r="T283" s="2888"/>
      <c r="U283" s="2888"/>
      <c r="V283" s="2889">
        <f>'A&amp;L'!H136</f>
        <v>0</v>
      </c>
      <c r="W283" s="2889"/>
      <c r="X283" s="2889"/>
      <c r="Y283" s="2888">
        <f>'A&amp;L'!I136</f>
        <v>0</v>
      </c>
      <c r="Z283" s="2888"/>
      <c r="AA283" s="2888"/>
      <c r="AB283" s="2888"/>
    </row>
    <row r="284" spans="1:28" ht="21.75" customHeight="1">
      <c r="A284" s="1524">
        <v>3</v>
      </c>
      <c r="B284" s="2885">
        <f>'A&amp;L'!C137</f>
        <v>0</v>
      </c>
      <c r="C284" s="2885"/>
      <c r="D284" s="2885"/>
      <c r="E284" s="2885"/>
      <c r="F284" s="2885"/>
      <c r="G284" s="2885">
        <f>'A&amp;L'!D137</f>
        <v>0</v>
      </c>
      <c r="H284" s="2885"/>
      <c r="I284" s="2885"/>
      <c r="J284" s="2885"/>
      <c r="K284" s="2885"/>
      <c r="L284" s="2885"/>
      <c r="M284" s="2886" t="str">
        <f>IF('A&amp;L'!E137="","",'A&amp;L'!E137)</f>
        <v/>
      </c>
      <c r="N284" s="2886"/>
      <c r="O284" s="2886"/>
      <c r="P284" s="2887">
        <f>'A&amp;L'!F137</f>
        <v>0</v>
      </c>
      <c r="Q284" s="2887"/>
      <c r="R284" s="2888">
        <f>'A&amp;L'!G137</f>
        <v>0</v>
      </c>
      <c r="S284" s="2888"/>
      <c r="T284" s="2888"/>
      <c r="U284" s="2888"/>
      <c r="V284" s="2889">
        <f>'A&amp;L'!H137</f>
        <v>0</v>
      </c>
      <c r="W284" s="2889"/>
      <c r="X284" s="2889"/>
      <c r="Y284" s="2888">
        <f>'A&amp;L'!I137</f>
        <v>0</v>
      </c>
      <c r="Z284" s="2888"/>
      <c r="AA284" s="2888"/>
      <c r="AB284" s="2888"/>
    </row>
    <row r="285" spans="1:28" ht="21.75" customHeight="1">
      <c r="A285" s="1524">
        <v>4</v>
      </c>
      <c r="B285" s="2885">
        <f>'A&amp;L'!C138</f>
        <v>0</v>
      </c>
      <c r="C285" s="2885"/>
      <c r="D285" s="2885"/>
      <c r="E285" s="2885"/>
      <c r="F285" s="2885"/>
      <c r="G285" s="2885">
        <f>'A&amp;L'!D138</f>
        <v>0</v>
      </c>
      <c r="H285" s="2885"/>
      <c r="I285" s="2885"/>
      <c r="J285" s="2885"/>
      <c r="K285" s="2885"/>
      <c r="L285" s="2885"/>
      <c r="M285" s="2886" t="str">
        <f>IF('A&amp;L'!E138="","",'A&amp;L'!E138)</f>
        <v/>
      </c>
      <c r="N285" s="2886"/>
      <c r="O285" s="2886"/>
      <c r="P285" s="2887">
        <f>'A&amp;L'!F138</f>
        <v>0</v>
      </c>
      <c r="Q285" s="2887"/>
      <c r="R285" s="2888">
        <f>'A&amp;L'!G138</f>
        <v>0</v>
      </c>
      <c r="S285" s="2888"/>
      <c r="T285" s="2888"/>
      <c r="U285" s="2888"/>
      <c r="V285" s="2889">
        <f>'A&amp;L'!H138</f>
        <v>0</v>
      </c>
      <c r="W285" s="2889"/>
      <c r="X285" s="2889"/>
      <c r="Y285" s="2888">
        <f>'A&amp;L'!I138</f>
        <v>0</v>
      </c>
      <c r="Z285" s="2888"/>
      <c r="AA285" s="2888"/>
      <c r="AB285" s="2888"/>
    </row>
    <row r="286" spans="1:28" ht="21.75" customHeight="1">
      <c r="A286" s="1524">
        <v>5</v>
      </c>
      <c r="B286" s="2885">
        <f>'A&amp;L'!C139</f>
        <v>0</v>
      </c>
      <c r="C286" s="2885"/>
      <c r="D286" s="2885"/>
      <c r="E286" s="2885"/>
      <c r="F286" s="2885"/>
      <c r="G286" s="2885">
        <f>'A&amp;L'!D139</f>
        <v>0</v>
      </c>
      <c r="H286" s="2885"/>
      <c r="I286" s="2885"/>
      <c r="J286" s="2885"/>
      <c r="K286" s="2885"/>
      <c r="L286" s="2885"/>
      <c r="M286" s="2886" t="str">
        <f>IF('A&amp;L'!E139="","",'A&amp;L'!E139)</f>
        <v/>
      </c>
      <c r="N286" s="2886"/>
      <c r="O286" s="2886"/>
      <c r="P286" s="2887">
        <f>'A&amp;L'!F139</f>
        <v>0</v>
      </c>
      <c r="Q286" s="2887"/>
      <c r="R286" s="2888">
        <f>'A&amp;L'!G139</f>
        <v>0</v>
      </c>
      <c r="S286" s="2888"/>
      <c r="T286" s="2888"/>
      <c r="U286" s="2888"/>
      <c r="V286" s="2889">
        <f>'A&amp;L'!H139</f>
        <v>0</v>
      </c>
      <c r="W286" s="2889"/>
      <c r="X286" s="2889"/>
      <c r="Y286" s="2888">
        <f>'A&amp;L'!I139</f>
        <v>0</v>
      </c>
      <c r="Z286" s="2888"/>
      <c r="AA286" s="2888"/>
      <c r="AB286" s="2888"/>
    </row>
    <row r="287" spans="1:28" ht="21.75" customHeight="1">
      <c r="A287" s="1524">
        <v>6</v>
      </c>
      <c r="B287" s="2885">
        <f>'A&amp;L'!C140</f>
        <v>0</v>
      </c>
      <c r="C287" s="2885"/>
      <c r="D287" s="2885"/>
      <c r="E287" s="2885"/>
      <c r="F287" s="2885"/>
      <c r="G287" s="2885">
        <f>'A&amp;L'!D140</f>
        <v>0</v>
      </c>
      <c r="H287" s="2885"/>
      <c r="I287" s="2885"/>
      <c r="J287" s="2885"/>
      <c r="K287" s="2885"/>
      <c r="L287" s="2885"/>
      <c r="M287" s="2886" t="str">
        <f>IF('A&amp;L'!E140="","",'A&amp;L'!E140)</f>
        <v/>
      </c>
      <c r="N287" s="2886"/>
      <c r="O287" s="2886"/>
      <c r="P287" s="2887">
        <f>'A&amp;L'!F140</f>
        <v>0</v>
      </c>
      <c r="Q287" s="2887"/>
      <c r="R287" s="2888">
        <f>'A&amp;L'!G140</f>
        <v>0</v>
      </c>
      <c r="S287" s="2888"/>
      <c r="T287" s="2888"/>
      <c r="U287" s="2888"/>
      <c r="V287" s="2889">
        <f>'A&amp;L'!H140</f>
        <v>0</v>
      </c>
      <c r="W287" s="2889"/>
      <c r="X287" s="2889"/>
      <c r="Y287" s="2888">
        <f>'A&amp;L'!I140</f>
        <v>0</v>
      </c>
      <c r="Z287" s="2888"/>
      <c r="AA287" s="2888"/>
      <c r="AB287" s="2888"/>
    </row>
    <row r="288" spans="1:28" ht="21.75" customHeight="1">
      <c r="A288" s="1524">
        <v>7</v>
      </c>
      <c r="B288" s="2885">
        <f>'A&amp;L'!C141</f>
        <v>0</v>
      </c>
      <c r="C288" s="2885"/>
      <c r="D288" s="2885"/>
      <c r="E288" s="2885"/>
      <c r="F288" s="2885"/>
      <c r="G288" s="2885">
        <f>'A&amp;L'!D141</f>
        <v>0</v>
      </c>
      <c r="H288" s="2885"/>
      <c r="I288" s="2885"/>
      <c r="J288" s="2885"/>
      <c r="K288" s="2885"/>
      <c r="L288" s="2885"/>
      <c r="M288" s="2886" t="str">
        <f>IF('A&amp;L'!E141="","",'A&amp;L'!E141)</f>
        <v/>
      </c>
      <c r="N288" s="2886"/>
      <c r="O288" s="2886"/>
      <c r="P288" s="2887">
        <f>'A&amp;L'!F141</f>
        <v>0</v>
      </c>
      <c r="Q288" s="2887"/>
      <c r="R288" s="2888">
        <f>'A&amp;L'!G141</f>
        <v>0</v>
      </c>
      <c r="S288" s="2888"/>
      <c r="T288" s="2888"/>
      <c r="U288" s="2888"/>
      <c r="V288" s="2889">
        <f>'A&amp;L'!H141</f>
        <v>0</v>
      </c>
      <c r="W288" s="2889"/>
      <c r="X288" s="2889"/>
      <c r="Y288" s="2888">
        <f>'A&amp;L'!I141</f>
        <v>0</v>
      </c>
      <c r="Z288" s="2888"/>
      <c r="AA288" s="2888"/>
      <c r="AB288" s="2888"/>
    </row>
    <row r="289" spans="1:28" ht="21.75" customHeight="1">
      <c r="A289" s="1524">
        <v>8</v>
      </c>
      <c r="B289" s="2885">
        <f>'A&amp;L'!C142</f>
        <v>0</v>
      </c>
      <c r="C289" s="2885"/>
      <c r="D289" s="2885"/>
      <c r="E289" s="2885"/>
      <c r="F289" s="2885"/>
      <c r="G289" s="2885">
        <f>'A&amp;L'!D142</f>
        <v>0</v>
      </c>
      <c r="H289" s="2885"/>
      <c r="I289" s="2885"/>
      <c r="J289" s="2885"/>
      <c r="K289" s="2885"/>
      <c r="L289" s="2885"/>
      <c r="M289" s="2886" t="str">
        <f>IF('A&amp;L'!E142="","",'A&amp;L'!E142)</f>
        <v/>
      </c>
      <c r="N289" s="2886"/>
      <c r="O289" s="2886"/>
      <c r="P289" s="2887">
        <f>'A&amp;L'!F142</f>
        <v>0</v>
      </c>
      <c r="Q289" s="2887"/>
      <c r="R289" s="2888">
        <f>'A&amp;L'!G142</f>
        <v>0</v>
      </c>
      <c r="S289" s="2888"/>
      <c r="T289" s="2888"/>
      <c r="U289" s="2888"/>
      <c r="V289" s="2889">
        <f>'A&amp;L'!H142</f>
        <v>0</v>
      </c>
      <c r="W289" s="2889"/>
      <c r="X289" s="2889"/>
      <c r="Y289" s="2888">
        <f>'A&amp;L'!I142</f>
        <v>0</v>
      </c>
      <c r="Z289" s="2888"/>
      <c r="AA289" s="2888"/>
      <c r="AB289" s="2888"/>
    </row>
    <row r="290" spans="1:28" ht="21.75" customHeight="1">
      <c r="A290" s="1524">
        <v>9</v>
      </c>
      <c r="B290" s="2885">
        <f>'A&amp;L'!C143</f>
        <v>0</v>
      </c>
      <c r="C290" s="2885"/>
      <c r="D290" s="2885"/>
      <c r="E290" s="2885"/>
      <c r="F290" s="2885"/>
      <c r="G290" s="2885">
        <f>'A&amp;L'!D143</f>
        <v>0</v>
      </c>
      <c r="H290" s="2885"/>
      <c r="I290" s="2885"/>
      <c r="J290" s="2885"/>
      <c r="K290" s="2885"/>
      <c r="L290" s="2885"/>
      <c r="M290" s="2886" t="str">
        <f>IF('A&amp;L'!E143="","",'A&amp;L'!E143)</f>
        <v/>
      </c>
      <c r="N290" s="2886"/>
      <c r="O290" s="2886"/>
      <c r="P290" s="2887">
        <f>'A&amp;L'!F143</f>
        <v>0</v>
      </c>
      <c r="Q290" s="2887"/>
      <c r="R290" s="2888">
        <f>'A&amp;L'!G143</f>
        <v>0</v>
      </c>
      <c r="S290" s="2888"/>
      <c r="T290" s="2888"/>
      <c r="U290" s="2888"/>
      <c r="V290" s="2889">
        <f>'A&amp;L'!H143</f>
        <v>0</v>
      </c>
      <c r="W290" s="2889"/>
      <c r="X290" s="2889"/>
      <c r="Y290" s="2888">
        <f>'A&amp;L'!I143</f>
        <v>0</v>
      </c>
      <c r="Z290" s="2888"/>
      <c r="AA290" s="2888"/>
      <c r="AB290" s="2888"/>
    </row>
    <row r="291" spans="1:28" ht="21.75" customHeight="1">
      <c r="A291" s="1524">
        <v>10</v>
      </c>
      <c r="B291" s="2885">
        <f>'A&amp;L'!C144</f>
        <v>0</v>
      </c>
      <c r="C291" s="2885"/>
      <c r="D291" s="2885"/>
      <c r="E291" s="2885"/>
      <c r="F291" s="2885"/>
      <c r="G291" s="2885">
        <f>'A&amp;L'!D144</f>
        <v>0</v>
      </c>
      <c r="H291" s="2885"/>
      <c r="I291" s="2885"/>
      <c r="J291" s="2885"/>
      <c r="K291" s="2885"/>
      <c r="L291" s="2885"/>
      <c r="M291" s="2886" t="str">
        <f>IF('A&amp;L'!E144="","",'A&amp;L'!E144)</f>
        <v/>
      </c>
      <c r="N291" s="2886"/>
      <c r="O291" s="2886"/>
      <c r="P291" s="2887">
        <f>'A&amp;L'!F144</f>
        <v>0</v>
      </c>
      <c r="Q291" s="2887"/>
      <c r="R291" s="2888">
        <f>'A&amp;L'!G144</f>
        <v>0</v>
      </c>
      <c r="S291" s="2888"/>
      <c r="T291" s="2888"/>
      <c r="U291" s="2888"/>
      <c r="V291" s="2889">
        <f>'A&amp;L'!H144</f>
        <v>0</v>
      </c>
      <c r="W291" s="2889"/>
      <c r="X291" s="2889"/>
      <c r="Y291" s="2888">
        <f>'A&amp;L'!I144</f>
        <v>0</v>
      </c>
      <c r="Z291" s="2888"/>
      <c r="AA291" s="2888"/>
      <c r="AB291" s="2888"/>
    </row>
    <row r="292" spans="1:28" ht="21.75" customHeight="1">
      <c r="A292" s="1484"/>
      <c r="B292" s="1484"/>
      <c r="C292" s="1484"/>
      <c r="D292" s="1484"/>
      <c r="E292" s="1484"/>
      <c r="F292" s="1484"/>
      <c r="G292" s="1484"/>
      <c r="H292" s="1484"/>
      <c r="I292" s="1484"/>
      <c r="J292" s="1484"/>
      <c r="K292" s="1484"/>
      <c r="L292" s="1484"/>
      <c r="M292" s="1484"/>
      <c r="N292" s="1484"/>
      <c r="O292" s="1484"/>
      <c r="P292" s="1484"/>
      <c r="Q292" s="1484"/>
      <c r="R292" s="1484"/>
      <c r="S292" s="1484"/>
      <c r="T292" s="1484"/>
      <c r="V292" s="2881" t="s">
        <v>499</v>
      </c>
      <c r="W292" s="2882"/>
      <c r="X292" s="2883"/>
      <c r="Y292" s="2884">
        <f>'A&amp;L'!I150</f>
        <v>0</v>
      </c>
      <c r="Z292" s="2884"/>
      <c r="AA292" s="2884"/>
      <c r="AB292" s="2884"/>
    </row>
  </sheetData>
  <mergeCells count="918">
    <mergeCell ref="F52:M52"/>
    <mergeCell ref="F59:M59"/>
    <mergeCell ref="F66:M66"/>
    <mergeCell ref="F73:M73"/>
    <mergeCell ref="M291:O291"/>
    <mergeCell ref="P291:Q291"/>
    <mergeCell ref="R291:U291"/>
    <mergeCell ref="V291:X291"/>
    <mergeCell ref="Y291:AB291"/>
    <mergeCell ref="B290:F290"/>
    <mergeCell ref="G286:L286"/>
    <mergeCell ref="M286:O286"/>
    <mergeCell ref="P286:Q286"/>
    <mergeCell ref="R286:U286"/>
    <mergeCell ref="V286:X286"/>
    <mergeCell ref="Y286:AB286"/>
    <mergeCell ref="B287:F287"/>
    <mergeCell ref="G287:L287"/>
    <mergeCell ref="M287:O287"/>
    <mergeCell ref="P287:Q287"/>
    <mergeCell ref="R287:U287"/>
    <mergeCell ref="V287:X287"/>
    <mergeCell ref="Y287:AB287"/>
    <mergeCell ref="B286:F286"/>
    <mergeCell ref="V276:X276"/>
    <mergeCell ref="Y276:AB276"/>
    <mergeCell ref="B280:F281"/>
    <mergeCell ref="G280:L281"/>
    <mergeCell ref="M280:O281"/>
    <mergeCell ref="P280:Q281"/>
    <mergeCell ref="R280:AB280"/>
    <mergeCell ref="R281:U281"/>
    <mergeCell ref="V281:X281"/>
    <mergeCell ref="Y281:AB281"/>
    <mergeCell ref="G275:L275"/>
    <mergeCell ref="M275:O275"/>
    <mergeCell ref="P275:Q275"/>
    <mergeCell ref="R275:U275"/>
    <mergeCell ref="V275:X275"/>
    <mergeCell ref="Y275:AB275"/>
    <mergeCell ref="B275:F275"/>
    <mergeCell ref="B274:F274"/>
    <mergeCell ref="G274:L274"/>
    <mergeCell ref="M274:O274"/>
    <mergeCell ref="P274:Q274"/>
    <mergeCell ref="R274:U274"/>
    <mergeCell ref="V274:X274"/>
    <mergeCell ref="Y274:AB274"/>
    <mergeCell ref="B268:F268"/>
    <mergeCell ref="G268:L268"/>
    <mergeCell ref="M268:O268"/>
    <mergeCell ref="P268:Q268"/>
    <mergeCell ref="R268:U268"/>
    <mergeCell ref="V268:X268"/>
    <mergeCell ref="Y268:AB268"/>
    <mergeCell ref="G271:L271"/>
    <mergeCell ref="M271:O271"/>
    <mergeCell ref="P271:Q271"/>
    <mergeCell ref="R271:U271"/>
    <mergeCell ref="V271:X271"/>
    <mergeCell ref="Y271:AB271"/>
    <mergeCell ref="B269:F269"/>
    <mergeCell ref="G269:L269"/>
    <mergeCell ref="M269:O269"/>
    <mergeCell ref="P269:Q269"/>
    <mergeCell ref="R269:U269"/>
    <mergeCell ref="V269:X269"/>
    <mergeCell ref="Y269:AB269"/>
    <mergeCell ref="B270:F270"/>
    <mergeCell ref="G270:L270"/>
    <mergeCell ref="M270:O270"/>
    <mergeCell ref="P270:Q270"/>
    <mergeCell ref="G249:L249"/>
    <mergeCell ref="M249:O249"/>
    <mergeCell ref="P249:Q249"/>
    <mergeCell ref="R249:U249"/>
    <mergeCell ref="V249:X249"/>
    <mergeCell ref="Y249:AB249"/>
    <mergeCell ref="B250:F250"/>
    <mergeCell ref="G250:L250"/>
    <mergeCell ref="M250:O250"/>
    <mergeCell ref="P250:Q250"/>
    <mergeCell ref="R250:U250"/>
    <mergeCell ref="V250:X250"/>
    <mergeCell ref="B236:F236"/>
    <mergeCell ref="G236:L236"/>
    <mergeCell ref="Y250:AB250"/>
    <mergeCell ref="V232:X232"/>
    <mergeCell ref="Y232:AB232"/>
    <mergeCell ref="G238:L238"/>
    <mergeCell ref="M238:O238"/>
    <mergeCell ref="P238:Q238"/>
    <mergeCell ref="R238:U238"/>
    <mergeCell ref="V238:X238"/>
    <mergeCell ref="Y238:AB238"/>
    <mergeCell ref="M236:O236"/>
    <mergeCell ref="P236:Q236"/>
    <mergeCell ref="R236:U236"/>
    <mergeCell ref="V236:X236"/>
    <mergeCell ref="Y236:AB236"/>
    <mergeCell ref="B248:F248"/>
    <mergeCell ref="G248:L248"/>
    <mergeCell ref="M248:O248"/>
    <mergeCell ref="P248:Q248"/>
    <mergeCell ref="R248:U248"/>
    <mergeCell ref="V248:X248"/>
    <mergeCell ref="Y248:AB248"/>
    <mergeCell ref="B249:F249"/>
    <mergeCell ref="B234:F234"/>
    <mergeCell ref="G234:L234"/>
    <mergeCell ref="M234:O234"/>
    <mergeCell ref="P234:Q234"/>
    <mergeCell ref="R234:U234"/>
    <mergeCell ref="V234:X234"/>
    <mergeCell ref="Y234:AB234"/>
    <mergeCell ref="B235:F235"/>
    <mergeCell ref="G235:L235"/>
    <mergeCell ref="M235:O235"/>
    <mergeCell ref="P235:Q235"/>
    <mergeCell ref="R235:U235"/>
    <mergeCell ref="V235:X235"/>
    <mergeCell ref="Y235:AB235"/>
    <mergeCell ref="G222:L222"/>
    <mergeCell ref="M222:O222"/>
    <mergeCell ref="P222:Q222"/>
    <mergeCell ref="R222:U222"/>
    <mergeCell ref="V222:X222"/>
    <mergeCell ref="Y222:AB222"/>
    <mergeCell ref="B223:F223"/>
    <mergeCell ref="G223:L223"/>
    <mergeCell ref="M223:O223"/>
    <mergeCell ref="P223:Q223"/>
    <mergeCell ref="R223:U223"/>
    <mergeCell ref="V223:X223"/>
    <mergeCell ref="Y223:AB223"/>
    <mergeCell ref="B222:F222"/>
    <mergeCell ref="G218:L218"/>
    <mergeCell ref="M218:O218"/>
    <mergeCell ref="P218:Q218"/>
    <mergeCell ref="R218:U218"/>
    <mergeCell ref="V218:X218"/>
    <mergeCell ref="Y218:AB218"/>
    <mergeCell ref="B219:F219"/>
    <mergeCell ref="G219:L219"/>
    <mergeCell ref="M219:O219"/>
    <mergeCell ref="P219:Q219"/>
    <mergeCell ref="R219:U219"/>
    <mergeCell ref="V219:X219"/>
    <mergeCell ref="Y219:AB219"/>
    <mergeCell ref="B218:F218"/>
    <mergeCell ref="G205:L205"/>
    <mergeCell ref="M205:O205"/>
    <mergeCell ref="P205:Q205"/>
    <mergeCell ref="R205:U205"/>
    <mergeCell ref="V205:X205"/>
    <mergeCell ref="Y205:AB205"/>
    <mergeCell ref="B206:F206"/>
    <mergeCell ref="G206:L206"/>
    <mergeCell ref="M206:O206"/>
    <mergeCell ref="P206:Q206"/>
    <mergeCell ref="R206:U206"/>
    <mergeCell ref="V206:X206"/>
    <mergeCell ref="Y206:AB206"/>
    <mergeCell ref="B205:F205"/>
    <mergeCell ref="G201:L201"/>
    <mergeCell ref="M201:O201"/>
    <mergeCell ref="P201:Q201"/>
    <mergeCell ref="R201:U201"/>
    <mergeCell ref="V201:X201"/>
    <mergeCell ref="Y201:AB201"/>
    <mergeCell ref="B202:F202"/>
    <mergeCell ref="G202:L202"/>
    <mergeCell ref="M202:O202"/>
    <mergeCell ref="P202:Q202"/>
    <mergeCell ref="R202:U202"/>
    <mergeCell ref="V202:X202"/>
    <mergeCell ref="Y202:AB202"/>
    <mergeCell ref="B201:F201"/>
    <mergeCell ref="V191:X191"/>
    <mergeCell ref="Y191:AB191"/>
    <mergeCell ref="B195:F196"/>
    <mergeCell ref="G195:L196"/>
    <mergeCell ref="M195:O196"/>
    <mergeCell ref="P195:Q196"/>
    <mergeCell ref="R195:AB195"/>
    <mergeCell ref="R196:U196"/>
    <mergeCell ref="V196:X196"/>
    <mergeCell ref="Y196:AB196"/>
    <mergeCell ref="G190:L190"/>
    <mergeCell ref="M190:O190"/>
    <mergeCell ref="P190:Q190"/>
    <mergeCell ref="R190:U190"/>
    <mergeCell ref="V190:X190"/>
    <mergeCell ref="Y190:AB190"/>
    <mergeCell ref="B190:F190"/>
    <mergeCell ref="B189:F189"/>
    <mergeCell ref="G189:L189"/>
    <mergeCell ref="M189:O189"/>
    <mergeCell ref="P189:Q189"/>
    <mergeCell ref="R189:U189"/>
    <mergeCell ref="V189:X189"/>
    <mergeCell ref="Y189:AB189"/>
    <mergeCell ref="B183:F183"/>
    <mergeCell ref="G183:L183"/>
    <mergeCell ref="M183:O183"/>
    <mergeCell ref="P183:Q183"/>
    <mergeCell ref="R183:U183"/>
    <mergeCell ref="V183:X183"/>
    <mergeCell ref="Y183:AB183"/>
    <mergeCell ref="B182:F182"/>
    <mergeCell ref="G186:L186"/>
    <mergeCell ref="M186:O186"/>
    <mergeCell ref="P186:Q186"/>
    <mergeCell ref="R186:U186"/>
    <mergeCell ref="V186:X186"/>
    <mergeCell ref="Y186:AB186"/>
    <mergeCell ref="B184:F184"/>
    <mergeCell ref="G184:L184"/>
    <mergeCell ref="M184:O184"/>
    <mergeCell ref="P184:Q184"/>
    <mergeCell ref="R184:U184"/>
    <mergeCell ref="V184:X184"/>
    <mergeCell ref="Y184:AB184"/>
    <mergeCell ref="B185:F185"/>
    <mergeCell ref="G185:L185"/>
    <mergeCell ref="M185:O185"/>
    <mergeCell ref="P178:Q178"/>
    <mergeCell ref="R178:U178"/>
    <mergeCell ref="V178:X178"/>
    <mergeCell ref="Y178:AB178"/>
    <mergeCell ref="G182:L182"/>
    <mergeCell ref="M182:O182"/>
    <mergeCell ref="P182:Q182"/>
    <mergeCell ref="R182:U182"/>
    <mergeCell ref="V182:X182"/>
    <mergeCell ref="Y182:AB182"/>
    <mergeCell ref="A4:AE4"/>
    <mergeCell ref="X14:AA14"/>
    <mergeCell ref="S19:V19"/>
    <mergeCell ref="S20:V20"/>
    <mergeCell ref="S21:V21"/>
    <mergeCell ref="X22:AA22"/>
    <mergeCell ref="X36:AA36"/>
    <mergeCell ref="AE36:AI36"/>
    <mergeCell ref="AE37:AI37"/>
    <mergeCell ref="S18:V18"/>
    <mergeCell ref="S39:V39"/>
    <mergeCell ref="S40:V40"/>
    <mergeCell ref="X42:AA42"/>
    <mergeCell ref="X25:AA25"/>
    <mergeCell ref="X26:AA26"/>
    <mergeCell ref="X27:AA27"/>
    <mergeCell ref="X30:AA30"/>
    <mergeCell ref="S33:V33"/>
    <mergeCell ref="S34:V34"/>
    <mergeCell ref="A49:E50"/>
    <mergeCell ref="F49:M49"/>
    <mergeCell ref="N49:U49"/>
    <mergeCell ref="V49:AC49"/>
    <mergeCell ref="F50:I50"/>
    <mergeCell ref="J50:M50"/>
    <mergeCell ref="N50:Q50"/>
    <mergeCell ref="R50:U50"/>
    <mergeCell ref="V50:Y50"/>
    <mergeCell ref="Z50:AC50"/>
    <mergeCell ref="Z53:AC53"/>
    <mergeCell ref="F54:I54"/>
    <mergeCell ref="J54:M54"/>
    <mergeCell ref="N54:Q54"/>
    <mergeCell ref="R54:U54"/>
    <mergeCell ref="V54:Y54"/>
    <mergeCell ref="Z54:AC54"/>
    <mergeCell ref="A53:E53"/>
    <mergeCell ref="F53:I53"/>
    <mergeCell ref="J53:M53"/>
    <mergeCell ref="N53:Q53"/>
    <mergeCell ref="R53:U53"/>
    <mergeCell ref="V53:Y53"/>
    <mergeCell ref="F56:I56"/>
    <mergeCell ref="J56:M56"/>
    <mergeCell ref="N56:Q56"/>
    <mergeCell ref="R56:U56"/>
    <mergeCell ref="V56:Y56"/>
    <mergeCell ref="Z56:AC56"/>
    <mergeCell ref="F55:I55"/>
    <mergeCell ref="J55:M55"/>
    <mergeCell ref="N55:Q55"/>
    <mergeCell ref="R55:U55"/>
    <mergeCell ref="V55:Y55"/>
    <mergeCell ref="Z55:AC55"/>
    <mergeCell ref="F58:I58"/>
    <mergeCell ref="J58:M58"/>
    <mergeCell ref="N58:Q58"/>
    <mergeCell ref="R58:U58"/>
    <mergeCell ref="V58:Y58"/>
    <mergeCell ref="Z58:AC58"/>
    <mergeCell ref="F57:I57"/>
    <mergeCell ref="J57:M57"/>
    <mergeCell ref="N57:Q57"/>
    <mergeCell ref="R57:U57"/>
    <mergeCell ref="V57:Y57"/>
    <mergeCell ref="Z57:AC57"/>
    <mergeCell ref="Z60:AC60"/>
    <mergeCell ref="F61:I61"/>
    <mergeCell ref="J61:M61"/>
    <mergeCell ref="N61:Q61"/>
    <mergeCell ref="R61:U61"/>
    <mergeCell ref="V61:Y61"/>
    <mergeCell ref="Z61:AC61"/>
    <mergeCell ref="A60:E60"/>
    <mergeCell ref="F60:I60"/>
    <mergeCell ref="J60:M60"/>
    <mergeCell ref="N60:Q60"/>
    <mergeCell ref="R60:U60"/>
    <mergeCell ref="V60:Y60"/>
    <mergeCell ref="F63:I63"/>
    <mergeCell ref="J63:M63"/>
    <mergeCell ref="N63:Q63"/>
    <mergeCell ref="R63:U63"/>
    <mergeCell ref="V63:Y63"/>
    <mergeCell ref="Z63:AC63"/>
    <mergeCell ref="F62:I62"/>
    <mergeCell ref="J62:M62"/>
    <mergeCell ref="N62:Q62"/>
    <mergeCell ref="R62:U62"/>
    <mergeCell ref="V62:Y62"/>
    <mergeCell ref="Z62:AC62"/>
    <mergeCell ref="F65:I65"/>
    <mergeCell ref="J65:M65"/>
    <mergeCell ref="N65:Q65"/>
    <mergeCell ref="R65:U65"/>
    <mergeCell ref="V65:Y65"/>
    <mergeCell ref="Z65:AC65"/>
    <mergeCell ref="F64:I64"/>
    <mergeCell ref="J64:M64"/>
    <mergeCell ref="N64:Q64"/>
    <mergeCell ref="R64:U64"/>
    <mergeCell ref="V64:Y64"/>
    <mergeCell ref="Z64:AC64"/>
    <mergeCell ref="Z67:AC67"/>
    <mergeCell ref="F68:I68"/>
    <mergeCell ref="J68:M68"/>
    <mergeCell ref="N68:Q68"/>
    <mergeCell ref="R68:U68"/>
    <mergeCell ref="V68:Y68"/>
    <mergeCell ref="Z68:AC68"/>
    <mergeCell ref="A67:E67"/>
    <mergeCell ref="F67:I67"/>
    <mergeCell ref="J67:M67"/>
    <mergeCell ref="N67:Q67"/>
    <mergeCell ref="R67:U67"/>
    <mergeCell ref="V67:Y67"/>
    <mergeCell ref="F70:I70"/>
    <mergeCell ref="J70:M70"/>
    <mergeCell ref="N70:Q70"/>
    <mergeCell ref="R70:U70"/>
    <mergeCell ref="V70:Y70"/>
    <mergeCell ref="Z70:AC70"/>
    <mergeCell ref="F69:I69"/>
    <mergeCell ref="J69:M69"/>
    <mergeCell ref="N69:Q69"/>
    <mergeCell ref="R69:U69"/>
    <mergeCell ref="V69:Y69"/>
    <mergeCell ref="Z69:AC69"/>
    <mergeCell ref="F72:I72"/>
    <mergeCell ref="J72:M72"/>
    <mergeCell ref="N72:Q72"/>
    <mergeCell ref="R72:U72"/>
    <mergeCell ref="V72:Y72"/>
    <mergeCell ref="Z72:AC72"/>
    <mergeCell ref="F71:I71"/>
    <mergeCell ref="J71:M71"/>
    <mergeCell ref="N71:Q71"/>
    <mergeCell ref="R71:U71"/>
    <mergeCell ref="V71:Y71"/>
    <mergeCell ref="Z71:AC71"/>
    <mergeCell ref="Z74:AC74"/>
    <mergeCell ref="F75:I75"/>
    <mergeCell ref="J75:M75"/>
    <mergeCell ref="N75:Q75"/>
    <mergeCell ref="R75:U75"/>
    <mergeCell ref="V75:Y75"/>
    <mergeCell ref="Z75:AC75"/>
    <mergeCell ref="A74:E74"/>
    <mergeCell ref="F74:I74"/>
    <mergeCell ref="J74:M74"/>
    <mergeCell ref="N74:Q74"/>
    <mergeCell ref="R74:U74"/>
    <mergeCell ref="V74:Y74"/>
    <mergeCell ref="F77:I77"/>
    <mergeCell ref="J77:M77"/>
    <mergeCell ref="N77:Q77"/>
    <mergeCell ref="R77:U77"/>
    <mergeCell ref="V77:Y77"/>
    <mergeCell ref="Z77:AC77"/>
    <mergeCell ref="F76:I76"/>
    <mergeCell ref="J76:M76"/>
    <mergeCell ref="N76:Q76"/>
    <mergeCell ref="R76:U76"/>
    <mergeCell ref="V76:Y76"/>
    <mergeCell ref="Z76:AC76"/>
    <mergeCell ref="F79:I79"/>
    <mergeCell ref="J79:M79"/>
    <mergeCell ref="N79:Q79"/>
    <mergeCell ref="R79:U79"/>
    <mergeCell ref="V79:Y79"/>
    <mergeCell ref="Z79:AC79"/>
    <mergeCell ref="F78:I78"/>
    <mergeCell ref="J78:M78"/>
    <mergeCell ref="N78:Q78"/>
    <mergeCell ref="R78:U78"/>
    <mergeCell ref="V78:Y78"/>
    <mergeCell ref="Z78:AC78"/>
    <mergeCell ref="X88:AA88"/>
    <mergeCell ref="G89:I89"/>
    <mergeCell ref="T93:W93"/>
    <mergeCell ref="X93:AA93"/>
    <mergeCell ref="T94:W94"/>
    <mergeCell ref="X94:AA94"/>
    <mergeCell ref="F81:I81"/>
    <mergeCell ref="J81:M81"/>
    <mergeCell ref="N81:Q81"/>
    <mergeCell ref="R81:U81"/>
    <mergeCell ref="V81:Y81"/>
    <mergeCell ref="Z81:AC81"/>
    <mergeCell ref="X102:AA102"/>
    <mergeCell ref="X104:AA104"/>
    <mergeCell ref="AE104:AH104"/>
    <mergeCell ref="X106:AA106"/>
    <mergeCell ref="X108:AA108"/>
    <mergeCell ref="X111:AA111"/>
    <mergeCell ref="T95:W95"/>
    <mergeCell ref="X95:AA95"/>
    <mergeCell ref="T96:W96"/>
    <mergeCell ref="X96:AA96"/>
    <mergeCell ref="X98:AA98"/>
    <mergeCell ref="X100:AA100"/>
    <mergeCell ref="S130:V130"/>
    <mergeCell ref="W130:Z130"/>
    <mergeCell ref="C131:H131"/>
    <mergeCell ref="I131:N131"/>
    <mergeCell ref="O131:R131"/>
    <mergeCell ref="S131:V131"/>
    <mergeCell ref="W131:Z131"/>
    <mergeCell ref="X112:AA112"/>
    <mergeCell ref="X114:AA114"/>
    <mergeCell ref="X116:AA116"/>
    <mergeCell ref="X119:AA119"/>
    <mergeCell ref="C121:AA121"/>
    <mergeCell ref="C128:H130"/>
    <mergeCell ref="I128:N130"/>
    <mergeCell ref="O128:Z128"/>
    <mergeCell ref="O129:R130"/>
    <mergeCell ref="S129:Z129"/>
    <mergeCell ref="C132:H132"/>
    <mergeCell ref="I132:N132"/>
    <mergeCell ref="O132:R132"/>
    <mergeCell ref="S132:V132"/>
    <mergeCell ref="W132:Z132"/>
    <mergeCell ref="C133:H133"/>
    <mergeCell ref="I133:N133"/>
    <mergeCell ref="O133:R133"/>
    <mergeCell ref="S133:V133"/>
    <mergeCell ref="W133:Z133"/>
    <mergeCell ref="C134:H134"/>
    <mergeCell ref="I134:N134"/>
    <mergeCell ref="O134:R134"/>
    <mergeCell ref="S134:V134"/>
    <mergeCell ref="W134:Z134"/>
    <mergeCell ref="C135:H135"/>
    <mergeCell ref="I135:N135"/>
    <mergeCell ref="O135:R135"/>
    <mergeCell ref="S135:V135"/>
    <mergeCell ref="W135:Z135"/>
    <mergeCell ref="C136:H136"/>
    <mergeCell ref="I136:N136"/>
    <mergeCell ref="O136:R136"/>
    <mergeCell ref="S136:V136"/>
    <mergeCell ref="W136:Z136"/>
    <mergeCell ref="C137:H137"/>
    <mergeCell ref="I137:N137"/>
    <mergeCell ref="O137:R137"/>
    <mergeCell ref="S137:V137"/>
    <mergeCell ref="W137:Z137"/>
    <mergeCell ref="C138:H138"/>
    <mergeCell ref="I138:N138"/>
    <mergeCell ref="O138:R138"/>
    <mergeCell ref="S138:V138"/>
    <mergeCell ref="W138:Z138"/>
    <mergeCell ref="C139:H139"/>
    <mergeCell ref="I139:N139"/>
    <mergeCell ref="O139:R139"/>
    <mergeCell ref="S139:V139"/>
    <mergeCell ref="W139:Z139"/>
    <mergeCell ref="X147:AA147"/>
    <mergeCell ref="G151:L151"/>
    <mergeCell ref="M151:P151"/>
    <mergeCell ref="G152:L152"/>
    <mergeCell ref="M152:P152"/>
    <mergeCell ref="G153:L153"/>
    <mergeCell ref="M153:P153"/>
    <mergeCell ref="C140:H140"/>
    <mergeCell ref="I140:N140"/>
    <mergeCell ref="O140:R140"/>
    <mergeCell ref="S140:V140"/>
    <mergeCell ref="W140:Z140"/>
    <mergeCell ref="C141:N141"/>
    <mergeCell ref="O141:R141"/>
    <mergeCell ref="S141:V141"/>
    <mergeCell ref="W141:Z141"/>
    <mergeCell ref="G157:L157"/>
    <mergeCell ref="M157:P157"/>
    <mergeCell ref="G158:L158"/>
    <mergeCell ref="M158:P158"/>
    <mergeCell ref="G159:L159"/>
    <mergeCell ref="M159:P159"/>
    <mergeCell ref="G154:L154"/>
    <mergeCell ref="M154:P154"/>
    <mergeCell ref="G155:L155"/>
    <mergeCell ref="M155:P155"/>
    <mergeCell ref="G156:L156"/>
    <mergeCell ref="M156:P156"/>
    <mergeCell ref="G163:L163"/>
    <mergeCell ref="M163:P163"/>
    <mergeCell ref="G164:L164"/>
    <mergeCell ref="M164:P164"/>
    <mergeCell ref="G165:L165"/>
    <mergeCell ref="M165:P165"/>
    <mergeCell ref="G160:L160"/>
    <mergeCell ref="M160:P160"/>
    <mergeCell ref="G161:L161"/>
    <mergeCell ref="M161:P161"/>
    <mergeCell ref="G162:L162"/>
    <mergeCell ref="M162:P162"/>
    <mergeCell ref="G166:L166"/>
    <mergeCell ref="M166:P166"/>
    <mergeCell ref="G167:L167"/>
    <mergeCell ref="M167:P167"/>
    <mergeCell ref="A170:AC170"/>
    <mergeCell ref="A174:A175"/>
    <mergeCell ref="B174:F175"/>
    <mergeCell ref="G174:L175"/>
    <mergeCell ref="M174:O175"/>
    <mergeCell ref="P174:Q175"/>
    <mergeCell ref="R174:AB174"/>
    <mergeCell ref="R175:U175"/>
    <mergeCell ref="V175:X175"/>
    <mergeCell ref="Y175:AB175"/>
    <mergeCell ref="B176:F176"/>
    <mergeCell ref="G176:L176"/>
    <mergeCell ref="M176:O176"/>
    <mergeCell ref="P176:Q176"/>
    <mergeCell ref="R176:U176"/>
    <mergeCell ref="V176:X176"/>
    <mergeCell ref="Y176:AB176"/>
    <mergeCell ref="B177:F177"/>
    <mergeCell ref="B179:F179"/>
    <mergeCell ref="G179:L179"/>
    <mergeCell ref="M179:O179"/>
    <mergeCell ref="P179:Q179"/>
    <mergeCell ref="R179:U179"/>
    <mergeCell ref="V179:X179"/>
    <mergeCell ref="Y179:AB179"/>
    <mergeCell ref="G177:L177"/>
    <mergeCell ref="M177:O177"/>
    <mergeCell ref="P177:Q177"/>
    <mergeCell ref="R177:U177"/>
    <mergeCell ref="V177:X177"/>
    <mergeCell ref="Y177:AB177"/>
    <mergeCell ref="B178:F178"/>
    <mergeCell ref="G178:L178"/>
    <mergeCell ref="M178:O178"/>
    <mergeCell ref="B180:F180"/>
    <mergeCell ref="G180:L180"/>
    <mergeCell ref="M180:O180"/>
    <mergeCell ref="P180:Q180"/>
    <mergeCell ref="R180:U180"/>
    <mergeCell ref="V180:X180"/>
    <mergeCell ref="Y180:AB180"/>
    <mergeCell ref="B181:F181"/>
    <mergeCell ref="G181:L181"/>
    <mergeCell ref="M181:O181"/>
    <mergeCell ref="P181:Q181"/>
    <mergeCell ref="R181:U181"/>
    <mergeCell ref="V181:X181"/>
    <mergeCell ref="Y181:AB181"/>
    <mergeCell ref="P185:Q185"/>
    <mergeCell ref="R185:U185"/>
    <mergeCell ref="V185:X185"/>
    <mergeCell ref="Y185:AB185"/>
    <mergeCell ref="B188:F188"/>
    <mergeCell ref="G188:L188"/>
    <mergeCell ref="M188:O188"/>
    <mergeCell ref="P188:Q188"/>
    <mergeCell ref="R188:U188"/>
    <mergeCell ref="V188:X188"/>
    <mergeCell ref="Y188:AB188"/>
    <mergeCell ref="B187:F187"/>
    <mergeCell ref="G187:L187"/>
    <mergeCell ref="M187:O187"/>
    <mergeCell ref="P187:Q187"/>
    <mergeCell ref="R187:U187"/>
    <mergeCell ref="V187:X187"/>
    <mergeCell ref="Y187:AB187"/>
    <mergeCell ref="B186:F186"/>
    <mergeCell ref="A195:A196"/>
    <mergeCell ref="B197:F197"/>
    <mergeCell ref="G197:L197"/>
    <mergeCell ref="M197:O197"/>
    <mergeCell ref="P197:Q197"/>
    <mergeCell ref="R197:U197"/>
    <mergeCell ref="V197:X197"/>
    <mergeCell ref="Y197:AB197"/>
    <mergeCell ref="B198:F198"/>
    <mergeCell ref="G198:L198"/>
    <mergeCell ref="M198:O198"/>
    <mergeCell ref="P198:Q198"/>
    <mergeCell ref="R198:U198"/>
    <mergeCell ref="V198:X198"/>
    <mergeCell ref="Y198:AB198"/>
    <mergeCell ref="B199:F199"/>
    <mergeCell ref="G199:L199"/>
    <mergeCell ref="M199:O199"/>
    <mergeCell ref="P199:Q199"/>
    <mergeCell ref="R199:U199"/>
    <mergeCell ref="V199:X199"/>
    <mergeCell ref="Y199:AB199"/>
    <mergeCell ref="B200:F200"/>
    <mergeCell ref="G200:L200"/>
    <mergeCell ref="M200:O200"/>
    <mergeCell ref="P200:Q200"/>
    <mergeCell ref="R200:U200"/>
    <mergeCell ref="V200:X200"/>
    <mergeCell ref="Y200:AB200"/>
    <mergeCell ref="B203:F203"/>
    <mergeCell ref="G203:L203"/>
    <mergeCell ref="M203:O203"/>
    <mergeCell ref="P203:Q203"/>
    <mergeCell ref="R203:U203"/>
    <mergeCell ref="V203:X203"/>
    <mergeCell ref="Y203:AB203"/>
    <mergeCell ref="B204:F204"/>
    <mergeCell ref="G204:L204"/>
    <mergeCell ref="M204:O204"/>
    <mergeCell ref="P204:Q204"/>
    <mergeCell ref="R204:U204"/>
    <mergeCell ref="V204:X204"/>
    <mergeCell ref="Y204:AB204"/>
    <mergeCell ref="B207:F207"/>
    <mergeCell ref="G207:L207"/>
    <mergeCell ref="M207:O207"/>
    <mergeCell ref="P207:Q207"/>
    <mergeCell ref="R207:U207"/>
    <mergeCell ref="V207:X207"/>
    <mergeCell ref="Y207:AB207"/>
    <mergeCell ref="A212:A213"/>
    <mergeCell ref="V208:X208"/>
    <mergeCell ref="Y208:AB208"/>
    <mergeCell ref="B212:F213"/>
    <mergeCell ref="G212:L213"/>
    <mergeCell ref="M212:O213"/>
    <mergeCell ref="P212:Q213"/>
    <mergeCell ref="R212:AB212"/>
    <mergeCell ref="R213:U213"/>
    <mergeCell ref="V213:X213"/>
    <mergeCell ref="Y213:AB213"/>
    <mergeCell ref="B214:F214"/>
    <mergeCell ref="G214:L214"/>
    <mergeCell ref="M214:O214"/>
    <mergeCell ref="P214:Q214"/>
    <mergeCell ref="R214:U214"/>
    <mergeCell ref="V214:X214"/>
    <mergeCell ref="Y214:AB214"/>
    <mergeCell ref="B215:F215"/>
    <mergeCell ref="G215:L215"/>
    <mergeCell ref="M215:O215"/>
    <mergeCell ref="P215:Q215"/>
    <mergeCell ref="R215:U215"/>
    <mergeCell ref="V215:X215"/>
    <mergeCell ref="Y215:AB215"/>
    <mergeCell ref="B216:F216"/>
    <mergeCell ref="G216:L216"/>
    <mergeCell ref="M216:O216"/>
    <mergeCell ref="P216:Q216"/>
    <mergeCell ref="R216:U216"/>
    <mergeCell ref="V216:X216"/>
    <mergeCell ref="Y216:AB216"/>
    <mergeCell ref="B217:F217"/>
    <mergeCell ref="G217:L217"/>
    <mergeCell ref="M217:O217"/>
    <mergeCell ref="P217:Q217"/>
    <mergeCell ref="R217:U217"/>
    <mergeCell ref="V217:X217"/>
    <mergeCell ref="Y217:AB217"/>
    <mergeCell ref="B220:F220"/>
    <mergeCell ref="G220:L220"/>
    <mergeCell ref="M220:O220"/>
    <mergeCell ref="P220:Q220"/>
    <mergeCell ref="R220:U220"/>
    <mergeCell ref="V220:X220"/>
    <mergeCell ref="Y220:AB220"/>
    <mergeCell ref="B221:F221"/>
    <mergeCell ref="G221:L221"/>
    <mergeCell ref="M221:O221"/>
    <mergeCell ref="P221:Q221"/>
    <mergeCell ref="R221:U221"/>
    <mergeCell ref="V221:X221"/>
    <mergeCell ref="Y221:AB221"/>
    <mergeCell ref="A226:AC226"/>
    <mergeCell ref="A230:A231"/>
    <mergeCell ref="V224:X224"/>
    <mergeCell ref="Y224:AB224"/>
    <mergeCell ref="B230:F231"/>
    <mergeCell ref="B233:F233"/>
    <mergeCell ref="G233:L233"/>
    <mergeCell ref="M233:O233"/>
    <mergeCell ref="P233:Q233"/>
    <mergeCell ref="R233:U233"/>
    <mergeCell ref="V233:X233"/>
    <mergeCell ref="Y233:AB233"/>
    <mergeCell ref="G230:L231"/>
    <mergeCell ref="M230:O231"/>
    <mergeCell ref="P230:Q231"/>
    <mergeCell ref="R230:AB230"/>
    <mergeCell ref="R231:U231"/>
    <mergeCell ref="V231:X231"/>
    <mergeCell ref="Y231:AB231"/>
    <mergeCell ref="B232:F232"/>
    <mergeCell ref="G232:L232"/>
    <mergeCell ref="M232:O232"/>
    <mergeCell ref="P232:Q232"/>
    <mergeCell ref="R232:U232"/>
    <mergeCell ref="B237:F237"/>
    <mergeCell ref="G237:L237"/>
    <mergeCell ref="M237:O237"/>
    <mergeCell ref="P237:Q237"/>
    <mergeCell ref="R237:U237"/>
    <mergeCell ref="V237:X237"/>
    <mergeCell ref="Y237:AB237"/>
    <mergeCell ref="B240:F240"/>
    <mergeCell ref="G240:L240"/>
    <mergeCell ref="M240:O240"/>
    <mergeCell ref="P240:Q240"/>
    <mergeCell ref="R240:U240"/>
    <mergeCell ref="V240:X240"/>
    <mergeCell ref="Y240:AB240"/>
    <mergeCell ref="B239:F239"/>
    <mergeCell ref="G239:L239"/>
    <mergeCell ref="M239:O239"/>
    <mergeCell ref="P239:Q239"/>
    <mergeCell ref="R239:U239"/>
    <mergeCell ref="V239:X239"/>
    <mergeCell ref="Y239:AB239"/>
    <mergeCell ref="B238:F238"/>
    <mergeCell ref="A246:A247"/>
    <mergeCell ref="B241:F241"/>
    <mergeCell ref="G241:L241"/>
    <mergeCell ref="M241:O241"/>
    <mergeCell ref="P241:Q241"/>
    <mergeCell ref="R241:U241"/>
    <mergeCell ref="V241:X241"/>
    <mergeCell ref="Y241:AB241"/>
    <mergeCell ref="V242:X242"/>
    <mergeCell ref="Y242:AB242"/>
    <mergeCell ref="B246:F247"/>
    <mergeCell ref="G246:L247"/>
    <mergeCell ref="M246:O247"/>
    <mergeCell ref="P246:Q247"/>
    <mergeCell ref="R246:AB246"/>
    <mergeCell ref="R247:U247"/>
    <mergeCell ref="V247:X247"/>
    <mergeCell ref="Y247:AB247"/>
    <mergeCell ref="B251:F251"/>
    <mergeCell ref="G251:L251"/>
    <mergeCell ref="M251:O251"/>
    <mergeCell ref="P251:Q251"/>
    <mergeCell ref="R251:U251"/>
    <mergeCell ref="V251:X251"/>
    <mergeCell ref="Y251:AB251"/>
    <mergeCell ref="B252:F252"/>
    <mergeCell ref="G252:L252"/>
    <mergeCell ref="M252:O252"/>
    <mergeCell ref="P252:Q252"/>
    <mergeCell ref="R252:U252"/>
    <mergeCell ref="V252:X252"/>
    <mergeCell ref="Y252:AB252"/>
    <mergeCell ref="B253:F253"/>
    <mergeCell ref="B255:F255"/>
    <mergeCell ref="G255:L255"/>
    <mergeCell ref="M255:O255"/>
    <mergeCell ref="P255:Q255"/>
    <mergeCell ref="R255:U255"/>
    <mergeCell ref="V255:X255"/>
    <mergeCell ref="Y255:AB255"/>
    <mergeCell ref="G253:L253"/>
    <mergeCell ref="M253:O253"/>
    <mergeCell ref="P253:Q253"/>
    <mergeCell ref="R253:U253"/>
    <mergeCell ref="V253:X253"/>
    <mergeCell ref="Y253:AB253"/>
    <mergeCell ref="B254:F254"/>
    <mergeCell ref="G254:L254"/>
    <mergeCell ref="M254:O254"/>
    <mergeCell ref="P254:Q254"/>
    <mergeCell ref="R254:U254"/>
    <mergeCell ref="V254:X254"/>
    <mergeCell ref="Y254:AB254"/>
    <mergeCell ref="B256:F256"/>
    <mergeCell ref="G256:L256"/>
    <mergeCell ref="M256:O256"/>
    <mergeCell ref="P256:Q256"/>
    <mergeCell ref="R256:U256"/>
    <mergeCell ref="V256:X256"/>
    <mergeCell ref="Y256:AB256"/>
    <mergeCell ref="B257:F257"/>
    <mergeCell ref="A260:AC260"/>
    <mergeCell ref="V258:X258"/>
    <mergeCell ref="Y258:AB258"/>
    <mergeCell ref="G257:L257"/>
    <mergeCell ref="M257:O257"/>
    <mergeCell ref="P257:Q257"/>
    <mergeCell ref="R257:U257"/>
    <mergeCell ref="V257:X257"/>
    <mergeCell ref="Y257:AB257"/>
    <mergeCell ref="A264:A265"/>
    <mergeCell ref="B266:F266"/>
    <mergeCell ref="G266:L266"/>
    <mergeCell ref="M266:O266"/>
    <mergeCell ref="P266:Q266"/>
    <mergeCell ref="R266:U266"/>
    <mergeCell ref="V266:X266"/>
    <mergeCell ref="Y266:AB266"/>
    <mergeCell ref="B267:F267"/>
    <mergeCell ref="B264:F265"/>
    <mergeCell ref="G264:L265"/>
    <mergeCell ref="M264:O265"/>
    <mergeCell ref="P264:Q265"/>
    <mergeCell ref="R264:AB264"/>
    <mergeCell ref="R265:U265"/>
    <mergeCell ref="V265:X265"/>
    <mergeCell ref="Y265:AB265"/>
    <mergeCell ref="G267:L267"/>
    <mergeCell ref="M267:O267"/>
    <mergeCell ref="P267:Q267"/>
    <mergeCell ref="R267:U267"/>
    <mergeCell ref="V267:X267"/>
    <mergeCell ref="Y267:AB267"/>
    <mergeCell ref="R270:U270"/>
    <mergeCell ref="V270:X270"/>
    <mergeCell ref="Y270:AB270"/>
    <mergeCell ref="B273:F273"/>
    <mergeCell ref="G273:L273"/>
    <mergeCell ref="M273:O273"/>
    <mergeCell ref="P273:Q273"/>
    <mergeCell ref="R273:U273"/>
    <mergeCell ref="V273:X273"/>
    <mergeCell ref="Y273:AB273"/>
    <mergeCell ref="B272:F272"/>
    <mergeCell ref="G272:L272"/>
    <mergeCell ref="M272:O272"/>
    <mergeCell ref="P272:Q272"/>
    <mergeCell ref="R272:U272"/>
    <mergeCell ref="V272:X272"/>
    <mergeCell ref="Y272:AB272"/>
    <mergeCell ref="B271:F271"/>
    <mergeCell ref="A280:A281"/>
    <mergeCell ref="B282:F282"/>
    <mergeCell ref="G282:L282"/>
    <mergeCell ref="M282:O282"/>
    <mergeCell ref="P282:Q282"/>
    <mergeCell ref="R282:U282"/>
    <mergeCell ref="V282:X282"/>
    <mergeCell ref="Y282:AB282"/>
    <mergeCell ref="B283:F283"/>
    <mergeCell ref="G283:L283"/>
    <mergeCell ref="M283:O283"/>
    <mergeCell ref="P283:Q283"/>
    <mergeCell ref="R283:U283"/>
    <mergeCell ref="V283:X283"/>
    <mergeCell ref="Y283:AB283"/>
    <mergeCell ref="B284:F284"/>
    <mergeCell ref="G284:L284"/>
    <mergeCell ref="M284:O284"/>
    <mergeCell ref="P284:Q284"/>
    <mergeCell ref="R284:U284"/>
    <mergeCell ref="V284:X284"/>
    <mergeCell ref="Y284:AB284"/>
    <mergeCell ref="B285:F285"/>
    <mergeCell ref="G285:L285"/>
    <mergeCell ref="M285:O285"/>
    <mergeCell ref="P285:Q285"/>
    <mergeCell ref="R285:U285"/>
    <mergeCell ref="V285:X285"/>
    <mergeCell ref="Y285:AB285"/>
    <mergeCell ref="V292:X292"/>
    <mergeCell ref="Y292:AB292"/>
    <mergeCell ref="B288:F288"/>
    <mergeCell ref="G288:L288"/>
    <mergeCell ref="M288:O288"/>
    <mergeCell ref="P288:Q288"/>
    <mergeCell ref="R288:U288"/>
    <mergeCell ref="V288:X288"/>
    <mergeCell ref="Y288:AB288"/>
    <mergeCell ref="B289:F289"/>
    <mergeCell ref="G289:L289"/>
    <mergeCell ref="M289:O289"/>
    <mergeCell ref="P289:Q289"/>
    <mergeCell ref="R289:U289"/>
    <mergeCell ref="V289:X289"/>
    <mergeCell ref="Y289:AB289"/>
    <mergeCell ref="G290:L290"/>
    <mergeCell ref="M290:O290"/>
    <mergeCell ref="P290:Q290"/>
    <mergeCell ref="R290:U290"/>
    <mergeCell ref="V290:X290"/>
    <mergeCell ref="Y290:AB290"/>
    <mergeCell ref="B291:F291"/>
    <mergeCell ref="G291:L291"/>
  </mergeCells>
  <pageMargins left="0.7" right="0.7" top="0.75" bottom="0.75" header="0.3" footer="0.3"/>
  <pageSetup paperSize="9" scale="62" orientation="portrait" r:id="rId1"/>
  <rowBreaks count="7" manualBreakCount="7">
    <brk id="44" max="28" man="1"/>
    <brk id="85" max="28" man="1"/>
    <brk id="123" max="28" man="1"/>
    <brk id="144" max="28" man="1"/>
    <brk id="168" max="28" man="1"/>
    <brk id="224" max="28" man="1"/>
    <brk id="258" max="28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9" tint="0.39997558519241921"/>
  </sheetPr>
  <dimension ref="A1:AX352"/>
  <sheetViews>
    <sheetView showGridLines="0" view="pageBreakPreview" zoomScaleNormal="100" zoomScaleSheetLayoutView="100" workbookViewId="0">
      <selection activeCell="N17" sqref="N17:AD17"/>
    </sheetView>
  </sheetViews>
  <sheetFormatPr defaultRowHeight="12.75"/>
  <cols>
    <col min="1" max="1" width="3.7109375" style="1631" customWidth="1"/>
    <col min="2" max="2" width="3" style="1631" customWidth="1"/>
    <col min="3" max="3" width="3.28515625" style="1631" customWidth="1"/>
    <col min="4" max="4" width="0.85546875" style="1631" customWidth="1"/>
    <col min="5" max="5" width="3.28515625" style="1631" customWidth="1"/>
    <col min="6" max="6" width="0.5703125" style="1631" customWidth="1"/>
    <col min="7" max="7" width="6.7109375" style="1631" customWidth="1"/>
    <col min="8" max="8" width="0.85546875" style="1631" customWidth="1"/>
    <col min="9" max="10" width="3.7109375" style="1631" customWidth="1"/>
    <col min="11" max="11" width="4" style="1631" customWidth="1"/>
    <col min="12" max="12" width="2.7109375" style="1631" customWidth="1"/>
    <col min="13" max="39" width="3.7109375" style="1631" customWidth="1"/>
    <col min="40" max="40" width="3.85546875" style="1631" customWidth="1"/>
    <col min="41" max="41" width="1.28515625" style="1631" customWidth="1"/>
    <col min="42" max="42" width="3.7109375" style="1631" customWidth="1"/>
    <col min="43" max="43" width="2.85546875" style="1636" customWidth="1"/>
    <col min="44" max="97" width="2.85546875" style="1631" customWidth="1"/>
    <col min="98" max="191" width="3.85546875" style="1631" customWidth="1"/>
    <col min="192" max="256" width="9.140625" style="1631"/>
    <col min="257" max="257" width="3.7109375" style="1631" customWidth="1"/>
    <col min="258" max="258" width="3" style="1631" customWidth="1"/>
    <col min="259" max="259" width="3.28515625" style="1631" customWidth="1"/>
    <col min="260" max="260" width="0.85546875" style="1631" customWidth="1"/>
    <col min="261" max="261" width="3.28515625" style="1631" customWidth="1"/>
    <col min="262" max="262" width="0.5703125" style="1631" customWidth="1"/>
    <col min="263" max="263" width="6.7109375" style="1631" customWidth="1"/>
    <col min="264" max="264" width="0.85546875" style="1631" customWidth="1"/>
    <col min="265" max="266" width="3.7109375" style="1631" customWidth="1"/>
    <col min="267" max="267" width="4" style="1631" customWidth="1"/>
    <col min="268" max="268" width="2.7109375" style="1631" customWidth="1"/>
    <col min="269" max="295" width="3.7109375" style="1631" customWidth="1"/>
    <col min="296" max="296" width="3.85546875" style="1631" customWidth="1"/>
    <col min="297" max="297" width="1.28515625" style="1631" customWidth="1"/>
    <col min="298" max="298" width="3.7109375" style="1631" customWidth="1"/>
    <col min="299" max="353" width="2.85546875" style="1631" customWidth="1"/>
    <col min="354" max="447" width="3.85546875" style="1631" customWidth="1"/>
    <col min="448" max="512" width="9.140625" style="1631"/>
    <col min="513" max="513" width="3.7109375" style="1631" customWidth="1"/>
    <col min="514" max="514" width="3" style="1631" customWidth="1"/>
    <col min="515" max="515" width="3.28515625" style="1631" customWidth="1"/>
    <col min="516" max="516" width="0.85546875" style="1631" customWidth="1"/>
    <col min="517" max="517" width="3.28515625" style="1631" customWidth="1"/>
    <col min="518" max="518" width="0.5703125" style="1631" customWidth="1"/>
    <col min="519" max="519" width="6.7109375" style="1631" customWidth="1"/>
    <col min="520" max="520" width="0.85546875" style="1631" customWidth="1"/>
    <col min="521" max="522" width="3.7109375" style="1631" customWidth="1"/>
    <col min="523" max="523" width="4" style="1631" customWidth="1"/>
    <col min="524" max="524" width="2.7109375" style="1631" customWidth="1"/>
    <col min="525" max="551" width="3.7109375" style="1631" customWidth="1"/>
    <col min="552" max="552" width="3.85546875" style="1631" customWidth="1"/>
    <col min="553" max="553" width="1.28515625" style="1631" customWidth="1"/>
    <col min="554" max="554" width="3.7109375" style="1631" customWidth="1"/>
    <col min="555" max="609" width="2.85546875" style="1631" customWidth="1"/>
    <col min="610" max="703" width="3.85546875" style="1631" customWidth="1"/>
    <col min="704" max="768" width="9.140625" style="1631"/>
    <col min="769" max="769" width="3.7109375" style="1631" customWidth="1"/>
    <col min="770" max="770" width="3" style="1631" customWidth="1"/>
    <col min="771" max="771" width="3.28515625" style="1631" customWidth="1"/>
    <col min="772" max="772" width="0.85546875" style="1631" customWidth="1"/>
    <col min="773" max="773" width="3.28515625" style="1631" customWidth="1"/>
    <col min="774" max="774" width="0.5703125" style="1631" customWidth="1"/>
    <col min="775" max="775" width="6.7109375" style="1631" customWidth="1"/>
    <col min="776" max="776" width="0.85546875" style="1631" customWidth="1"/>
    <col min="777" max="778" width="3.7109375" style="1631" customWidth="1"/>
    <col min="779" max="779" width="4" style="1631" customWidth="1"/>
    <col min="780" max="780" width="2.7109375" style="1631" customWidth="1"/>
    <col min="781" max="807" width="3.7109375" style="1631" customWidth="1"/>
    <col min="808" max="808" width="3.85546875" style="1631" customWidth="1"/>
    <col min="809" max="809" width="1.28515625" style="1631" customWidth="1"/>
    <col min="810" max="810" width="3.7109375" style="1631" customWidth="1"/>
    <col min="811" max="865" width="2.85546875" style="1631" customWidth="1"/>
    <col min="866" max="959" width="3.85546875" style="1631" customWidth="1"/>
    <col min="960" max="1024" width="9.140625" style="1631"/>
    <col min="1025" max="1025" width="3.7109375" style="1631" customWidth="1"/>
    <col min="1026" max="1026" width="3" style="1631" customWidth="1"/>
    <col min="1027" max="1027" width="3.28515625" style="1631" customWidth="1"/>
    <col min="1028" max="1028" width="0.85546875" style="1631" customWidth="1"/>
    <col min="1029" max="1029" width="3.28515625" style="1631" customWidth="1"/>
    <col min="1030" max="1030" width="0.5703125" style="1631" customWidth="1"/>
    <col min="1031" max="1031" width="6.7109375" style="1631" customWidth="1"/>
    <col min="1032" max="1032" width="0.85546875" style="1631" customWidth="1"/>
    <col min="1033" max="1034" width="3.7109375" style="1631" customWidth="1"/>
    <col min="1035" max="1035" width="4" style="1631" customWidth="1"/>
    <col min="1036" max="1036" width="2.7109375" style="1631" customWidth="1"/>
    <col min="1037" max="1063" width="3.7109375" style="1631" customWidth="1"/>
    <col min="1064" max="1064" width="3.85546875" style="1631" customWidth="1"/>
    <col min="1065" max="1065" width="1.28515625" style="1631" customWidth="1"/>
    <col min="1066" max="1066" width="3.7109375" style="1631" customWidth="1"/>
    <col min="1067" max="1121" width="2.85546875" style="1631" customWidth="1"/>
    <col min="1122" max="1215" width="3.85546875" style="1631" customWidth="1"/>
    <col min="1216" max="1280" width="9.140625" style="1631"/>
    <col min="1281" max="1281" width="3.7109375" style="1631" customWidth="1"/>
    <col min="1282" max="1282" width="3" style="1631" customWidth="1"/>
    <col min="1283" max="1283" width="3.28515625" style="1631" customWidth="1"/>
    <col min="1284" max="1284" width="0.85546875" style="1631" customWidth="1"/>
    <col min="1285" max="1285" width="3.28515625" style="1631" customWidth="1"/>
    <col min="1286" max="1286" width="0.5703125" style="1631" customWidth="1"/>
    <col min="1287" max="1287" width="6.7109375" style="1631" customWidth="1"/>
    <col min="1288" max="1288" width="0.85546875" style="1631" customWidth="1"/>
    <col min="1289" max="1290" width="3.7109375" style="1631" customWidth="1"/>
    <col min="1291" max="1291" width="4" style="1631" customWidth="1"/>
    <col min="1292" max="1292" width="2.7109375" style="1631" customWidth="1"/>
    <col min="1293" max="1319" width="3.7109375" style="1631" customWidth="1"/>
    <col min="1320" max="1320" width="3.85546875" style="1631" customWidth="1"/>
    <col min="1321" max="1321" width="1.28515625" style="1631" customWidth="1"/>
    <col min="1322" max="1322" width="3.7109375" style="1631" customWidth="1"/>
    <col min="1323" max="1377" width="2.85546875" style="1631" customWidth="1"/>
    <col min="1378" max="1471" width="3.85546875" style="1631" customWidth="1"/>
    <col min="1472" max="1536" width="9.140625" style="1631"/>
    <col min="1537" max="1537" width="3.7109375" style="1631" customWidth="1"/>
    <col min="1538" max="1538" width="3" style="1631" customWidth="1"/>
    <col min="1539" max="1539" width="3.28515625" style="1631" customWidth="1"/>
    <col min="1540" max="1540" width="0.85546875" style="1631" customWidth="1"/>
    <col min="1541" max="1541" width="3.28515625" style="1631" customWidth="1"/>
    <col min="1542" max="1542" width="0.5703125" style="1631" customWidth="1"/>
    <col min="1543" max="1543" width="6.7109375" style="1631" customWidth="1"/>
    <col min="1544" max="1544" width="0.85546875" style="1631" customWidth="1"/>
    <col min="1545" max="1546" width="3.7109375" style="1631" customWidth="1"/>
    <col min="1547" max="1547" width="4" style="1631" customWidth="1"/>
    <col min="1548" max="1548" width="2.7109375" style="1631" customWidth="1"/>
    <col min="1549" max="1575" width="3.7109375" style="1631" customWidth="1"/>
    <col min="1576" max="1576" width="3.85546875" style="1631" customWidth="1"/>
    <col min="1577" max="1577" width="1.28515625" style="1631" customWidth="1"/>
    <col min="1578" max="1578" width="3.7109375" style="1631" customWidth="1"/>
    <col min="1579" max="1633" width="2.85546875" style="1631" customWidth="1"/>
    <col min="1634" max="1727" width="3.85546875" style="1631" customWidth="1"/>
    <col min="1728" max="1792" width="9.140625" style="1631"/>
    <col min="1793" max="1793" width="3.7109375" style="1631" customWidth="1"/>
    <col min="1794" max="1794" width="3" style="1631" customWidth="1"/>
    <col min="1795" max="1795" width="3.28515625" style="1631" customWidth="1"/>
    <col min="1796" max="1796" width="0.85546875" style="1631" customWidth="1"/>
    <col min="1797" max="1797" width="3.28515625" style="1631" customWidth="1"/>
    <col min="1798" max="1798" width="0.5703125" style="1631" customWidth="1"/>
    <col min="1799" max="1799" width="6.7109375" style="1631" customWidth="1"/>
    <col min="1800" max="1800" width="0.85546875" style="1631" customWidth="1"/>
    <col min="1801" max="1802" width="3.7109375" style="1631" customWidth="1"/>
    <col min="1803" max="1803" width="4" style="1631" customWidth="1"/>
    <col min="1804" max="1804" width="2.7109375" style="1631" customWidth="1"/>
    <col min="1805" max="1831" width="3.7109375" style="1631" customWidth="1"/>
    <col min="1832" max="1832" width="3.85546875" style="1631" customWidth="1"/>
    <col min="1833" max="1833" width="1.28515625" style="1631" customWidth="1"/>
    <col min="1834" max="1834" width="3.7109375" style="1631" customWidth="1"/>
    <col min="1835" max="1889" width="2.85546875" style="1631" customWidth="1"/>
    <col min="1890" max="1983" width="3.85546875" style="1631" customWidth="1"/>
    <col min="1984" max="2048" width="9.140625" style="1631"/>
    <col min="2049" max="2049" width="3.7109375" style="1631" customWidth="1"/>
    <col min="2050" max="2050" width="3" style="1631" customWidth="1"/>
    <col min="2051" max="2051" width="3.28515625" style="1631" customWidth="1"/>
    <col min="2052" max="2052" width="0.85546875" style="1631" customWidth="1"/>
    <col min="2053" max="2053" width="3.28515625" style="1631" customWidth="1"/>
    <col min="2054" max="2054" width="0.5703125" style="1631" customWidth="1"/>
    <col min="2055" max="2055" width="6.7109375" style="1631" customWidth="1"/>
    <col min="2056" max="2056" width="0.85546875" style="1631" customWidth="1"/>
    <col min="2057" max="2058" width="3.7109375" style="1631" customWidth="1"/>
    <col min="2059" max="2059" width="4" style="1631" customWidth="1"/>
    <col min="2060" max="2060" width="2.7109375" style="1631" customWidth="1"/>
    <col min="2061" max="2087" width="3.7109375" style="1631" customWidth="1"/>
    <col min="2088" max="2088" width="3.85546875" style="1631" customWidth="1"/>
    <col min="2089" max="2089" width="1.28515625" style="1631" customWidth="1"/>
    <col min="2090" max="2090" width="3.7109375" style="1631" customWidth="1"/>
    <col min="2091" max="2145" width="2.85546875" style="1631" customWidth="1"/>
    <col min="2146" max="2239" width="3.85546875" style="1631" customWidth="1"/>
    <col min="2240" max="2304" width="9.140625" style="1631"/>
    <col min="2305" max="2305" width="3.7109375" style="1631" customWidth="1"/>
    <col min="2306" max="2306" width="3" style="1631" customWidth="1"/>
    <col min="2307" max="2307" width="3.28515625" style="1631" customWidth="1"/>
    <col min="2308" max="2308" width="0.85546875" style="1631" customWidth="1"/>
    <col min="2309" max="2309" width="3.28515625" style="1631" customWidth="1"/>
    <col min="2310" max="2310" width="0.5703125" style="1631" customWidth="1"/>
    <col min="2311" max="2311" width="6.7109375" style="1631" customWidth="1"/>
    <col min="2312" max="2312" width="0.85546875" style="1631" customWidth="1"/>
    <col min="2313" max="2314" width="3.7109375" style="1631" customWidth="1"/>
    <col min="2315" max="2315" width="4" style="1631" customWidth="1"/>
    <col min="2316" max="2316" width="2.7109375" style="1631" customWidth="1"/>
    <col min="2317" max="2343" width="3.7109375" style="1631" customWidth="1"/>
    <col min="2344" max="2344" width="3.85546875" style="1631" customWidth="1"/>
    <col min="2345" max="2345" width="1.28515625" style="1631" customWidth="1"/>
    <col min="2346" max="2346" width="3.7109375" style="1631" customWidth="1"/>
    <col min="2347" max="2401" width="2.85546875" style="1631" customWidth="1"/>
    <col min="2402" max="2495" width="3.85546875" style="1631" customWidth="1"/>
    <col min="2496" max="2560" width="9.140625" style="1631"/>
    <col min="2561" max="2561" width="3.7109375" style="1631" customWidth="1"/>
    <col min="2562" max="2562" width="3" style="1631" customWidth="1"/>
    <col min="2563" max="2563" width="3.28515625" style="1631" customWidth="1"/>
    <col min="2564" max="2564" width="0.85546875" style="1631" customWidth="1"/>
    <col min="2565" max="2565" width="3.28515625" style="1631" customWidth="1"/>
    <col min="2566" max="2566" width="0.5703125" style="1631" customWidth="1"/>
    <col min="2567" max="2567" width="6.7109375" style="1631" customWidth="1"/>
    <col min="2568" max="2568" width="0.85546875" style="1631" customWidth="1"/>
    <col min="2569" max="2570" width="3.7109375" style="1631" customWidth="1"/>
    <col min="2571" max="2571" width="4" style="1631" customWidth="1"/>
    <col min="2572" max="2572" width="2.7109375" style="1631" customWidth="1"/>
    <col min="2573" max="2599" width="3.7109375" style="1631" customWidth="1"/>
    <col min="2600" max="2600" width="3.85546875" style="1631" customWidth="1"/>
    <col min="2601" max="2601" width="1.28515625" style="1631" customWidth="1"/>
    <col min="2602" max="2602" width="3.7109375" style="1631" customWidth="1"/>
    <col min="2603" max="2657" width="2.85546875" style="1631" customWidth="1"/>
    <col min="2658" max="2751" width="3.85546875" style="1631" customWidth="1"/>
    <col min="2752" max="2816" width="9.140625" style="1631"/>
    <col min="2817" max="2817" width="3.7109375" style="1631" customWidth="1"/>
    <col min="2818" max="2818" width="3" style="1631" customWidth="1"/>
    <col min="2819" max="2819" width="3.28515625" style="1631" customWidth="1"/>
    <col min="2820" max="2820" width="0.85546875" style="1631" customWidth="1"/>
    <col min="2821" max="2821" width="3.28515625" style="1631" customWidth="1"/>
    <col min="2822" max="2822" width="0.5703125" style="1631" customWidth="1"/>
    <col min="2823" max="2823" width="6.7109375" style="1631" customWidth="1"/>
    <col min="2824" max="2824" width="0.85546875" style="1631" customWidth="1"/>
    <col min="2825" max="2826" width="3.7109375" style="1631" customWidth="1"/>
    <col min="2827" max="2827" width="4" style="1631" customWidth="1"/>
    <col min="2828" max="2828" width="2.7109375" style="1631" customWidth="1"/>
    <col min="2829" max="2855" width="3.7109375" style="1631" customWidth="1"/>
    <col min="2856" max="2856" width="3.85546875" style="1631" customWidth="1"/>
    <col min="2857" max="2857" width="1.28515625" style="1631" customWidth="1"/>
    <col min="2858" max="2858" width="3.7109375" style="1631" customWidth="1"/>
    <col min="2859" max="2913" width="2.85546875" style="1631" customWidth="1"/>
    <col min="2914" max="3007" width="3.85546875" style="1631" customWidth="1"/>
    <col min="3008" max="3072" width="9.140625" style="1631"/>
    <col min="3073" max="3073" width="3.7109375" style="1631" customWidth="1"/>
    <col min="3074" max="3074" width="3" style="1631" customWidth="1"/>
    <col min="3075" max="3075" width="3.28515625" style="1631" customWidth="1"/>
    <col min="3076" max="3076" width="0.85546875" style="1631" customWidth="1"/>
    <col min="3077" max="3077" width="3.28515625" style="1631" customWidth="1"/>
    <col min="3078" max="3078" width="0.5703125" style="1631" customWidth="1"/>
    <col min="3079" max="3079" width="6.7109375" style="1631" customWidth="1"/>
    <col min="3080" max="3080" width="0.85546875" style="1631" customWidth="1"/>
    <col min="3081" max="3082" width="3.7109375" style="1631" customWidth="1"/>
    <col min="3083" max="3083" width="4" style="1631" customWidth="1"/>
    <col min="3084" max="3084" width="2.7109375" style="1631" customWidth="1"/>
    <col min="3085" max="3111" width="3.7109375" style="1631" customWidth="1"/>
    <col min="3112" max="3112" width="3.85546875" style="1631" customWidth="1"/>
    <col min="3113" max="3113" width="1.28515625" style="1631" customWidth="1"/>
    <col min="3114" max="3114" width="3.7109375" style="1631" customWidth="1"/>
    <col min="3115" max="3169" width="2.85546875" style="1631" customWidth="1"/>
    <col min="3170" max="3263" width="3.85546875" style="1631" customWidth="1"/>
    <col min="3264" max="3328" width="9.140625" style="1631"/>
    <col min="3329" max="3329" width="3.7109375" style="1631" customWidth="1"/>
    <col min="3330" max="3330" width="3" style="1631" customWidth="1"/>
    <col min="3331" max="3331" width="3.28515625" style="1631" customWidth="1"/>
    <col min="3332" max="3332" width="0.85546875" style="1631" customWidth="1"/>
    <col min="3333" max="3333" width="3.28515625" style="1631" customWidth="1"/>
    <col min="3334" max="3334" width="0.5703125" style="1631" customWidth="1"/>
    <col min="3335" max="3335" width="6.7109375" style="1631" customWidth="1"/>
    <col min="3336" max="3336" width="0.85546875" style="1631" customWidth="1"/>
    <col min="3337" max="3338" width="3.7109375" style="1631" customWidth="1"/>
    <col min="3339" max="3339" width="4" style="1631" customWidth="1"/>
    <col min="3340" max="3340" width="2.7109375" style="1631" customWidth="1"/>
    <col min="3341" max="3367" width="3.7109375" style="1631" customWidth="1"/>
    <col min="3368" max="3368" width="3.85546875" style="1631" customWidth="1"/>
    <col min="3369" max="3369" width="1.28515625" style="1631" customWidth="1"/>
    <col min="3370" max="3370" width="3.7109375" style="1631" customWidth="1"/>
    <col min="3371" max="3425" width="2.85546875" style="1631" customWidth="1"/>
    <col min="3426" max="3519" width="3.85546875" style="1631" customWidth="1"/>
    <col min="3520" max="3584" width="9.140625" style="1631"/>
    <col min="3585" max="3585" width="3.7109375" style="1631" customWidth="1"/>
    <col min="3586" max="3586" width="3" style="1631" customWidth="1"/>
    <col min="3587" max="3587" width="3.28515625" style="1631" customWidth="1"/>
    <col min="3588" max="3588" width="0.85546875" style="1631" customWidth="1"/>
    <col min="3589" max="3589" width="3.28515625" style="1631" customWidth="1"/>
    <col min="3590" max="3590" width="0.5703125" style="1631" customWidth="1"/>
    <col min="3591" max="3591" width="6.7109375" style="1631" customWidth="1"/>
    <col min="3592" max="3592" width="0.85546875" style="1631" customWidth="1"/>
    <col min="3593" max="3594" width="3.7109375" style="1631" customWidth="1"/>
    <col min="3595" max="3595" width="4" style="1631" customWidth="1"/>
    <col min="3596" max="3596" width="2.7109375" style="1631" customWidth="1"/>
    <col min="3597" max="3623" width="3.7109375" style="1631" customWidth="1"/>
    <col min="3624" max="3624" width="3.85546875" style="1631" customWidth="1"/>
    <col min="3625" max="3625" width="1.28515625" style="1631" customWidth="1"/>
    <col min="3626" max="3626" width="3.7109375" style="1631" customWidth="1"/>
    <col min="3627" max="3681" width="2.85546875" style="1631" customWidth="1"/>
    <col min="3682" max="3775" width="3.85546875" style="1631" customWidth="1"/>
    <col min="3776" max="3840" width="9.140625" style="1631"/>
    <col min="3841" max="3841" width="3.7109375" style="1631" customWidth="1"/>
    <col min="3842" max="3842" width="3" style="1631" customWidth="1"/>
    <col min="3843" max="3843" width="3.28515625" style="1631" customWidth="1"/>
    <col min="3844" max="3844" width="0.85546875" style="1631" customWidth="1"/>
    <col min="3845" max="3845" width="3.28515625" style="1631" customWidth="1"/>
    <col min="3846" max="3846" width="0.5703125" style="1631" customWidth="1"/>
    <col min="3847" max="3847" width="6.7109375" style="1631" customWidth="1"/>
    <col min="3848" max="3848" width="0.85546875" style="1631" customWidth="1"/>
    <col min="3849" max="3850" width="3.7109375" style="1631" customWidth="1"/>
    <col min="3851" max="3851" width="4" style="1631" customWidth="1"/>
    <col min="3852" max="3852" width="2.7109375" style="1631" customWidth="1"/>
    <col min="3853" max="3879" width="3.7109375" style="1631" customWidth="1"/>
    <col min="3880" max="3880" width="3.85546875" style="1631" customWidth="1"/>
    <col min="3881" max="3881" width="1.28515625" style="1631" customWidth="1"/>
    <col min="3882" max="3882" width="3.7109375" style="1631" customWidth="1"/>
    <col min="3883" max="3937" width="2.85546875" style="1631" customWidth="1"/>
    <col min="3938" max="4031" width="3.85546875" style="1631" customWidth="1"/>
    <col min="4032" max="4096" width="9.140625" style="1631"/>
    <col min="4097" max="4097" width="3.7109375" style="1631" customWidth="1"/>
    <col min="4098" max="4098" width="3" style="1631" customWidth="1"/>
    <col min="4099" max="4099" width="3.28515625" style="1631" customWidth="1"/>
    <col min="4100" max="4100" width="0.85546875" style="1631" customWidth="1"/>
    <col min="4101" max="4101" width="3.28515625" style="1631" customWidth="1"/>
    <col min="4102" max="4102" width="0.5703125" style="1631" customWidth="1"/>
    <col min="4103" max="4103" width="6.7109375" style="1631" customWidth="1"/>
    <col min="4104" max="4104" width="0.85546875" style="1631" customWidth="1"/>
    <col min="4105" max="4106" width="3.7109375" style="1631" customWidth="1"/>
    <col min="4107" max="4107" width="4" style="1631" customWidth="1"/>
    <col min="4108" max="4108" width="2.7109375" style="1631" customWidth="1"/>
    <col min="4109" max="4135" width="3.7109375" style="1631" customWidth="1"/>
    <col min="4136" max="4136" width="3.85546875" style="1631" customWidth="1"/>
    <col min="4137" max="4137" width="1.28515625" style="1631" customWidth="1"/>
    <col min="4138" max="4138" width="3.7109375" style="1631" customWidth="1"/>
    <col min="4139" max="4193" width="2.85546875" style="1631" customWidth="1"/>
    <col min="4194" max="4287" width="3.85546875" style="1631" customWidth="1"/>
    <col min="4288" max="4352" width="9.140625" style="1631"/>
    <col min="4353" max="4353" width="3.7109375" style="1631" customWidth="1"/>
    <col min="4354" max="4354" width="3" style="1631" customWidth="1"/>
    <col min="4355" max="4355" width="3.28515625" style="1631" customWidth="1"/>
    <col min="4356" max="4356" width="0.85546875" style="1631" customWidth="1"/>
    <col min="4357" max="4357" width="3.28515625" style="1631" customWidth="1"/>
    <col min="4358" max="4358" width="0.5703125" style="1631" customWidth="1"/>
    <col min="4359" max="4359" width="6.7109375" style="1631" customWidth="1"/>
    <col min="4360" max="4360" width="0.85546875" style="1631" customWidth="1"/>
    <col min="4361" max="4362" width="3.7109375" style="1631" customWidth="1"/>
    <col min="4363" max="4363" width="4" style="1631" customWidth="1"/>
    <col min="4364" max="4364" width="2.7109375" style="1631" customWidth="1"/>
    <col min="4365" max="4391" width="3.7109375" style="1631" customWidth="1"/>
    <col min="4392" max="4392" width="3.85546875" style="1631" customWidth="1"/>
    <col min="4393" max="4393" width="1.28515625" style="1631" customWidth="1"/>
    <col min="4394" max="4394" width="3.7109375" style="1631" customWidth="1"/>
    <col min="4395" max="4449" width="2.85546875" style="1631" customWidth="1"/>
    <col min="4450" max="4543" width="3.85546875" style="1631" customWidth="1"/>
    <col min="4544" max="4608" width="9.140625" style="1631"/>
    <col min="4609" max="4609" width="3.7109375" style="1631" customWidth="1"/>
    <col min="4610" max="4610" width="3" style="1631" customWidth="1"/>
    <col min="4611" max="4611" width="3.28515625" style="1631" customWidth="1"/>
    <col min="4612" max="4612" width="0.85546875" style="1631" customWidth="1"/>
    <col min="4613" max="4613" width="3.28515625" style="1631" customWidth="1"/>
    <col min="4614" max="4614" width="0.5703125" style="1631" customWidth="1"/>
    <col min="4615" max="4615" width="6.7109375" style="1631" customWidth="1"/>
    <col min="4616" max="4616" width="0.85546875" style="1631" customWidth="1"/>
    <col min="4617" max="4618" width="3.7109375" style="1631" customWidth="1"/>
    <col min="4619" max="4619" width="4" style="1631" customWidth="1"/>
    <col min="4620" max="4620" width="2.7109375" style="1631" customWidth="1"/>
    <col min="4621" max="4647" width="3.7109375" style="1631" customWidth="1"/>
    <col min="4648" max="4648" width="3.85546875" style="1631" customWidth="1"/>
    <col min="4649" max="4649" width="1.28515625" style="1631" customWidth="1"/>
    <col min="4650" max="4650" width="3.7109375" style="1631" customWidth="1"/>
    <col min="4651" max="4705" width="2.85546875" style="1631" customWidth="1"/>
    <col min="4706" max="4799" width="3.85546875" style="1631" customWidth="1"/>
    <col min="4800" max="4864" width="9.140625" style="1631"/>
    <col min="4865" max="4865" width="3.7109375" style="1631" customWidth="1"/>
    <col min="4866" max="4866" width="3" style="1631" customWidth="1"/>
    <col min="4867" max="4867" width="3.28515625" style="1631" customWidth="1"/>
    <col min="4868" max="4868" width="0.85546875" style="1631" customWidth="1"/>
    <col min="4869" max="4869" width="3.28515625" style="1631" customWidth="1"/>
    <col min="4870" max="4870" width="0.5703125" style="1631" customWidth="1"/>
    <col min="4871" max="4871" width="6.7109375" style="1631" customWidth="1"/>
    <col min="4872" max="4872" width="0.85546875" style="1631" customWidth="1"/>
    <col min="4873" max="4874" width="3.7109375" style="1631" customWidth="1"/>
    <col min="4875" max="4875" width="4" style="1631" customWidth="1"/>
    <col min="4876" max="4876" width="2.7109375" style="1631" customWidth="1"/>
    <col min="4877" max="4903" width="3.7109375" style="1631" customWidth="1"/>
    <col min="4904" max="4904" width="3.85546875" style="1631" customWidth="1"/>
    <col min="4905" max="4905" width="1.28515625" style="1631" customWidth="1"/>
    <col min="4906" max="4906" width="3.7109375" style="1631" customWidth="1"/>
    <col min="4907" max="4961" width="2.85546875" style="1631" customWidth="1"/>
    <col min="4962" max="5055" width="3.85546875" style="1631" customWidth="1"/>
    <col min="5056" max="5120" width="9.140625" style="1631"/>
    <col min="5121" max="5121" width="3.7109375" style="1631" customWidth="1"/>
    <col min="5122" max="5122" width="3" style="1631" customWidth="1"/>
    <col min="5123" max="5123" width="3.28515625" style="1631" customWidth="1"/>
    <col min="5124" max="5124" width="0.85546875" style="1631" customWidth="1"/>
    <col min="5125" max="5125" width="3.28515625" style="1631" customWidth="1"/>
    <col min="5126" max="5126" width="0.5703125" style="1631" customWidth="1"/>
    <col min="5127" max="5127" width="6.7109375" style="1631" customWidth="1"/>
    <col min="5128" max="5128" width="0.85546875" style="1631" customWidth="1"/>
    <col min="5129" max="5130" width="3.7109375" style="1631" customWidth="1"/>
    <col min="5131" max="5131" width="4" style="1631" customWidth="1"/>
    <col min="5132" max="5132" width="2.7109375" style="1631" customWidth="1"/>
    <col min="5133" max="5159" width="3.7109375" style="1631" customWidth="1"/>
    <col min="5160" max="5160" width="3.85546875" style="1631" customWidth="1"/>
    <col min="5161" max="5161" width="1.28515625" style="1631" customWidth="1"/>
    <col min="5162" max="5162" width="3.7109375" style="1631" customWidth="1"/>
    <col min="5163" max="5217" width="2.85546875" style="1631" customWidth="1"/>
    <col min="5218" max="5311" width="3.85546875" style="1631" customWidth="1"/>
    <col min="5312" max="5376" width="9.140625" style="1631"/>
    <col min="5377" max="5377" width="3.7109375" style="1631" customWidth="1"/>
    <col min="5378" max="5378" width="3" style="1631" customWidth="1"/>
    <col min="5379" max="5379" width="3.28515625" style="1631" customWidth="1"/>
    <col min="5380" max="5380" width="0.85546875" style="1631" customWidth="1"/>
    <col min="5381" max="5381" width="3.28515625" style="1631" customWidth="1"/>
    <col min="5382" max="5382" width="0.5703125" style="1631" customWidth="1"/>
    <col min="5383" max="5383" width="6.7109375" style="1631" customWidth="1"/>
    <col min="5384" max="5384" width="0.85546875" style="1631" customWidth="1"/>
    <col min="5385" max="5386" width="3.7109375" style="1631" customWidth="1"/>
    <col min="5387" max="5387" width="4" style="1631" customWidth="1"/>
    <col min="5388" max="5388" width="2.7109375" style="1631" customWidth="1"/>
    <col min="5389" max="5415" width="3.7109375" style="1631" customWidth="1"/>
    <col min="5416" max="5416" width="3.85546875" style="1631" customWidth="1"/>
    <col min="5417" max="5417" width="1.28515625" style="1631" customWidth="1"/>
    <col min="5418" max="5418" width="3.7109375" style="1631" customWidth="1"/>
    <col min="5419" max="5473" width="2.85546875" style="1631" customWidth="1"/>
    <col min="5474" max="5567" width="3.85546875" style="1631" customWidth="1"/>
    <col min="5568" max="5632" width="9.140625" style="1631"/>
    <col min="5633" max="5633" width="3.7109375" style="1631" customWidth="1"/>
    <col min="5634" max="5634" width="3" style="1631" customWidth="1"/>
    <col min="5635" max="5635" width="3.28515625" style="1631" customWidth="1"/>
    <col min="5636" max="5636" width="0.85546875" style="1631" customWidth="1"/>
    <col min="5637" max="5637" width="3.28515625" style="1631" customWidth="1"/>
    <col min="5638" max="5638" width="0.5703125" style="1631" customWidth="1"/>
    <col min="5639" max="5639" width="6.7109375" style="1631" customWidth="1"/>
    <col min="5640" max="5640" width="0.85546875" style="1631" customWidth="1"/>
    <col min="5641" max="5642" width="3.7109375" style="1631" customWidth="1"/>
    <col min="5643" max="5643" width="4" style="1631" customWidth="1"/>
    <col min="5644" max="5644" width="2.7109375" style="1631" customWidth="1"/>
    <col min="5645" max="5671" width="3.7109375" style="1631" customWidth="1"/>
    <col min="5672" max="5672" width="3.85546875" style="1631" customWidth="1"/>
    <col min="5673" max="5673" width="1.28515625" style="1631" customWidth="1"/>
    <col min="5674" max="5674" width="3.7109375" style="1631" customWidth="1"/>
    <col min="5675" max="5729" width="2.85546875" style="1631" customWidth="1"/>
    <col min="5730" max="5823" width="3.85546875" style="1631" customWidth="1"/>
    <col min="5824" max="5888" width="9.140625" style="1631"/>
    <col min="5889" max="5889" width="3.7109375" style="1631" customWidth="1"/>
    <col min="5890" max="5890" width="3" style="1631" customWidth="1"/>
    <col min="5891" max="5891" width="3.28515625" style="1631" customWidth="1"/>
    <col min="5892" max="5892" width="0.85546875" style="1631" customWidth="1"/>
    <col min="5893" max="5893" width="3.28515625" style="1631" customWidth="1"/>
    <col min="5894" max="5894" width="0.5703125" style="1631" customWidth="1"/>
    <col min="5895" max="5895" width="6.7109375" style="1631" customWidth="1"/>
    <col min="5896" max="5896" width="0.85546875" style="1631" customWidth="1"/>
    <col min="5897" max="5898" width="3.7109375" style="1631" customWidth="1"/>
    <col min="5899" max="5899" width="4" style="1631" customWidth="1"/>
    <col min="5900" max="5900" width="2.7109375" style="1631" customWidth="1"/>
    <col min="5901" max="5927" width="3.7109375" style="1631" customWidth="1"/>
    <col min="5928" max="5928" width="3.85546875" style="1631" customWidth="1"/>
    <col min="5929" max="5929" width="1.28515625" style="1631" customWidth="1"/>
    <col min="5930" max="5930" width="3.7109375" style="1631" customWidth="1"/>
    <col min="5931" max="5985" width="2.85546875" style="1631" customWidth="1"/>
    <col min="5986" max="6079" width="3.85546875" style="1631" customWidth="1"/>
    <col min="6080" max="6144" width="9.140625" style="1631"/>
    <col min="6145" max="6145" width="3.7109375" style="1631" customWidth="1"/>
    <col min="6146" max="6146" width="3" style="1631" customWidth="1"/>
    <col min="6147" max="6147" width="3.28515625" style="1631" customWidth="1"/>
    <col min="6148" max="6148" width="0.85546875" style="1631" customWidth="1"/>
    <col min="6149" max="6149" width="3.28515625" style="1631" customWidth="1"/>
    <col min="6150" max="6150" width="0.5703125" style="1631" customWidth="1"/>
    <col min="6151" max="6151" width="6.7109375" style="1631" customWidth="1"/>
    <col min="6152" max="6152" width="0.85546875" style="1631" customWidth="1"/>
    <col min="6153" max="6154" width="3.7109375" style="1631" customWidth="1"/>
    <col min="6155" max="6155" width="4" style="1631" customWidth="1"/>
    <col min="6156" max="6156" width="2.7109375" style="1631" customWidth="1"/>
    <col min="6157" max="6183" width="3.7109375" style="1631" customWidth="1"/>
    <col min="6184" max="6184" width="3.85546875" style="1631" customWidth="1"/>
    <col min="6185" max="6185" width="1.28515625" style="1631" customWidth="1"/>
    <col min="6186" max="6186" width="3.7109375" style="1631" customWidth="1"/>
    <col min="6187" max="6241" width="2.85546875" style="1631" customWidth="1"/>
    <col min="6242" max="6335" width="3.85546875" style="1631" customWidth="1"/>
    <col min="6336" max="6400" width="9.140625" style="1631"/>
    <col min="6401" max="6401" width="3.7109375" style="1631" customWidth="1"/>
    <col min="6402" max="6402" width="3" style="1631" customWidth="1"/>
    <col min="6403" max="6403" width="3.28515625" style="1631" customWidth="1"/>
    <col min="6404" max="6404" width="0.85546875" style="1631" customWidth="1"/>
    <col min="6405" max="6405" width="3.28515625" style="1631" customWidth="1"/>
    <col min="6406" max="6406" width="0.5703125" style="1631" customWidth="1"/>
    <col min="6407" max="6407" width="6.7109375" style="1631" customWidth="1"/>
    <col min="6408" max="6408" width="0.85546875" style="1631" customWidth="1"/>
    <col min="6409" max="6410" width="3.7109375" style="1631" customWidth="1"/>
    <col min="6411" max="6411" width="4" style="1631" customWidth="1"/>
    <col min="6412" max="6412" width="2.7109375" style="1631" customWidth="1"/>
    <col min="6413" max="6439" width="3.7109375" style="1631" customWidth="1"/>
    <col min="6440" max="6440" width="3.85546875" style="1631" customWidth="1"/>
    <col min="6441" max="6441" width="1.28515625" style="1631" customWidth="1"/>
    <col min="6442" max="6442" width="3.7109375" style="1631" customWidth="1"/>
    <col min="6443" max="6497" width="2.85546875" style="1631" customWidth="1"/>
    <col min="6498" max="6591" width="3.85546875" style="1631" customWidth="1"/>
    <col min="6592" max="6656" width="9.140625" style="1631"/>
    <col min="6657" max="6657" width="3.7109375" style="1631" customWidth="1"/>
    <col min="6658" max="6658" width="3" style="1631" customWidth="1"/>
    <col min="6659" max="6659" width="3.28515625" style="1631" customWidth="1"/>
    <col min="6660" max="6660" width="0.85546875" style="1631" customWidth="1"/>
    <col min="6661" max="6661" width="3.28515625" style="1631" customWidth="1"/>
    <col min="6662" max="6662" width="0.5703125" style="1631" customWidth="1"/>
    <col min="6663" max="6663" width="6.7109375" style="1631" customWidth="1"/>
    <col min="6664" max="6664" width="0.85546875" style="1631" customWidth="1"/>
    <col min="6665" max="6666" width="3.7109375" style="1631" customWidth="1"/>
    <col min="6667" max="6667" width="4" style="1631" customWidth="1"/>
    <col min="6668" max="6668" width="2.7109375" style="1631" customWidth="1"/>
    <col min="6669" max="6695" width="3.7109375" style="1631" customWidth="1"/>
    <col min="6696" max="6696" width="3.85546875" style="1631" customWidth="1"/>
    <col min="6697" max="6697" width="1.28515625" style="1631" customWidth="1"/>
    <col min="6698" max="6698" width="3.7109375" style="1631" customWidth="1"/>
    <col min="6699" max="6753" width="2.85546875" style="1631" customWidth="1"/>
    <col min="6754" max="6847" width="3.85546875" style="1631" customWidth="1"/>
    <col min="6848" max="6912" width="9.140625" style="1631"/>
    <col min="6913" max="6913" width="3.7109375" style="1631" customWidth="1"/>
    <col min="6914" max="6914" width="3" style="1631" customWidth="1"/>
    <col min="6915" max="6915" width="3.28515625" style="1631" customWidth="1"/>
    <col min="6916" max="6916" width="0.85546875" style="1631" customWidth="1"/>
    <col min="6917" max="6917" width="3.28515625" style="1631" customWidth="1"/>
    <col min="6918" max="6918" width="0.5703125" style="1631" customWidth="1"/>
    <col min="6919" max="6919" width="6.7109375" style="1631" customWidth="1"/>
    <col min="6920" max="6920" width="0.85546875" style="1631" customWidth="1"/>
    <col min="6921" max="6922" width="3.7109375" style="1631" customWidth="1"/>
    <col min="6923" max="6923" width="4" style="1631" customWidth="1"/>
    <col min="6924" max="6924" width="2.7109375" style="1631" customWidth="1"/>
    <col min="6925" max="6951" width="3.7109375" style="1631" customWidth="1"/>
    <col min="6952" max="6952" width="3.85546875" style="1631" customWidth="1"/>
    <col min="6953" max="6953" width="1.28515625" style="1631" customWidth="1"/>
    <col min="6954" max="6954" width="3.7109375" style="1631" customWidth="1"/>
    <col min="6955" max="7009" width="2.85546875" style="1631" customWidth="1"/>
    <col min="7010" max="7103" width="3.85546875" style="1631" customWidth="1"/>
    <col min="7104" max="7168" width="9.140625" style="1631"/>
    <col min="7169" max="7169" width="3.7109375" style="1631" customWidth="1"/>
    <col min="7170" max="7170" width="3" style="1631" customWidth="1"/>
    <col min="7171" max="7171" width="3.28515625" style="1631" customWidth="1"/>
    <col min="7172" max="7172" width="0.85546875" style="1631" customWidth="1"/>
    <col min="7173" max="7173" width="3.28515625" style="1631" customWidth="1"/>
    <col min="7174" max="7174" width="0.5703125" style="1631" customWidth="1"/>
    <col min="7175" max="7175" width="6.7109375" style="1631" customWidth="1"/>
    <col min="7176" max="7176" width="0.85546875" style="1631" customWidth="1"/>
    <col min="7177" max="7178" width="3.7109375" style="1631" customWidth="1"/>
    <col min="7179" max="7179" width="4" style="1631" customWidth="1"/>
    <col min="7180" max="7180" width="2.7109375" style="1631" customWidth="1"/>
    <col min="7181" max="7207" width="3.7109375" style="1631" customWidth="1"/>
    <col min="7208" max="7208" width="3.85546875" style="1631" customWidth="1"/>
    <col min="7209" max="7209" width="1.28515625" style="1631" customWidth="1"/>
    <col min="7210" max="7210" width="3.7109375" style="1631" customWidth="1"/>
    <col min="7211" max="7265" width="2.85546875" style="1631" customWidth="1"/>
    <col min="7266" max="7359" width="3.85546875" style="1631" customWidth="1"/>
    <col min="7360" max="7424" width="9.140625" style="1631"/>
    <col min="7425" max="7425" width="3.7109375" style="1631" customWidth="1"/>
    <col min="7426" max="7426" width="3" style="1631" customWidth="1"/>
    <col min="7427" max="7427" width="3.28515625" style="1631" customWidth="1"/>
    <col min="7428" max="7428" width="0.85546875" style="1631" customWidth="1"/>
    <col min="7429" max="7429" width="3.28515625" style="1631" customWidth="1"/>
    <col min="7430" max="7430" width="0.5703125" style="1631" customWidth="1"/>
    <col min="7431" max="7431" width="6.7109375" style="1631" customWidth="1"/>
    <col min="7432" max="7432" width="0.85546875" style="1631" customWidth="1"/>
    <col min="7433" max="7434" width="3.7109375" style="1631" customWidth="1"/>
    <col min="7435" max="7435" width="4" style="1631" customWidth="1"/>
    <col min="7436" max="7436" width="2.7109375" style="1631" customWidth="1"/>
    <col min="7437" max="7463" width="3.7109375" style="1631" customWidth="1"/>
    <col min="7464" max="7464" width="3.85546875" style="1631" customWidth="1"/>
    <col min="7465" max="7465" width="1.28515625" style="1631" customWidth="1"/>
    <col min="7466" max="7466" width="3.7109375" style="1631" customWidth="1"/>
    <col min="7467" max="7521" width="2.85546875" style="1631" customWidth="1"/>
    <col min="7522" max="7615" width="3.85546875" style="1631" customWidth="1"/>
    <col min="7616" max="7680" width="9.140625" style="1631"/>
    <col min="7681" max="7681" width="3.7109375" style="1631" customWidth="1"/>
    <col min="7682" max="7682" width="3" style="1631" customWidth="1"/>
    <col min="7683" max="7683" width="3.28515625" style="1631" customWidth="1"/>
    <col min="7684" max="7684" width="0.85546875" style="1631" customWidth="1"/>
    <col min="7685" max="7685" width="3.28515625" style="1631" customWidth="1"/>
    <col min="7686" max="7686" width="0.5703125" style="1631" customWidth="1"/>
    <col min="7687" max="7687" width="6.7109375" style="1631" customWidth="1"/>
    <col min="7688" max="7688" width="0.85546875" style="1631" customWidth="1"/>
    <col min="7689" max="7690" width="3.7109375" style="1631" customWidth="1"/>
    <col min="7691" max="7691" width="4" style="1631" customWidth="1"/>
    <col min="7692" max="7692" width="2.7109375" style="1631" customWidth="1"/>
    <col min="7693" max="7719" width="3.7109375" style="1631" customWidth="1"/>
    <col min="7720" max="7720" width="3.85546875" style="1631" customWidth="1"/>
    <col min="7721" max="7721" width="1.28515625" style="1631" customWidth="1"/>
    <col min="7722" max="7722" width="3.7109375" style="1631" customWidth="1"/>
    <col min="7723" max="7777" width="2.85546875" style="1631" customWidth="1"/>
    <col min="7778" max="7871" width="3.85546875" style="1631" customWidth="1"/>
    <col min="7872" max="7936" width="9.140625" style="1631"/>
    <col min="7937" max="7937" width="3.7109375" style="1631" customWidth="1"/>
    <col min="7938" max="7938" width="3" style="1631" customWidth="1"/>
    <col min="7939" max="7939" width="3.28515625" style="1631" customWidth="1"/>
    <col min="7940" max="7940" width="0.85546875" style="1631" customWidth="1"/>
    <col min="7941" max="7941" width="3.28515625" style="1631" customWidth="1"/>
    <col min="7942" max="7942" width="0.5703125" style="1631" customWidth="1"/>
    <col min="7943" max="7943" width="6.7109375" style="1631" customWidth="1"/>
    <col min="7944" max="7944" width="0.85546875" style="1631" customWidth="1"/>
    <col min="7945" max="7946" width="3.7109375" style="1631" customWidth="1"/>
    <col min="7947" max="7947" width="4" style="1631" customWidth="1"/>
    <col min="7948" max="7948" width="2.7109375" style="1631" customWidth="1"/>
    <col min="7949" max="7975" width="3.7109375" style="1631" customWidth="1"/>
    <col min="7976" max="7976" width="3.85546875" style="1631" customWidth="1"/>
    <col min="7977" max="7977" width="1.28515625" style="1631" customWidth="1"/>
    <col min="7978" max="7978" width="3.7109375" style="1631" customWidth="1"/>
    <col min="7979" max="8033" width="2.85546875" style="1631" customWidth="1"/>
    <col min="8034" max="8127" width="3.85546875" style="1631" customWidth="1"/>
    <col min="8128" max="8192" width="9.140625" style="1631"/>
    <col min="8193" max="8193" width="3.7109375" style="1631" customWidth="1"/>
    <col min="8194" max="8194" width="3" style="1631" customWidth="1"/>
    <col min="8195" max="8195" width="3.28515625" style="1631" customWidth="1"/>
    <col min="8196" max="8196" width="0.85546875" style="1631" customWidth="1"/>
    <col min="8197" max="8197" width="3.28515625" style="1631" customWidth="1"/>
    <col min="8198" max="8198" width="0.5703125" style="1631" customWidth="1"/>
    <col min="8199" max="8199" width="6.7109375" style="1631" customWidth="1"/>
    <col min="8200" max="8200" width="0.85546875" style="1631" customWidth="1"/>
    <col min="8201" max="8202" width="3.7109375" style="1631" customWidth="1"/>
    <col min="8203" max="8203" width="4" style="1631" customWidth="1"/>
    <col min="8204" max="8204" width="2.7109375" style="1631" customWidth="1"/>
    <col min="8205" max="8231" width="3.7109375" style="1631" customWidth="1"/>
    <col min="8232" max="8232" width="3.85546875" style="1631" customWidth="1"/>
    <col min="8233" max="8233" width="1.28515625" style="1631" customWidth="1"/>
    <col min="8234" max="8234" width="3.7109375" style="1631" customWidth="1"/>
    <col min="8235" max="8289" width="2.85546875" style="1631" customWidth="1"/>
    <col min="8290" max="8383" width="3.85546875" style="1631" customWidth="1"/>
    <col min="8384" max="8448" width="9.140625" style="1631"/>
    <col min="8449" max="8449" width="3.7109375" style="1631" customWidth="1"/>
    <col min="8450" max="8450" width="3" style="1631" customWidth="1"/>
    <col min="8451" max="8451" width="3.28515625" style="1631" customWidth="1"/>
    <col min="8452" max="8452" width="0.85546875" style="1631" customWidth="1"/>
    <col min="8453" max="8453" width="3.28515625" style="1631" customWidth="1"/>
    <col min="8454" max="8454" width="0.5703125" style="1631" customWidth="1"/>
    <col min="8455" max="8455" width="6.7109375" style="1631" customWidth="1"/>
    <col min="8456" max="8456" width="0.85546875" style="1631" customWidth="1"/>
    <col min="8457" max="8458" width="3.7109375" style="1631" customWidth="1"/>
    <col min="8459" max="8459" width="4" style="1631" customWidth="1"/>
    <col min="8460" max="8460" width="2.7109375" style="1631" customWidth="1"/>
    <col min="8461" max="8487" width="3.7109375" style="1631" customWidth="1"/>
    <col min="8488" max="8488" width="3.85546875" style="1631" customWidth="1"/>
    <col min="8489" max="8489" width="1.28515625" style="1631" customWidth="1"/>
    <col min="8490" max="8490" width="3.7109375" style="1631" customWidth="1"/>
    <col min="8491" max="8545" width="2.85546875" style="1631" customWidth="1"/>
    <col min="8546" max="8639" width="3.85546875" style="1631" customWidth="1"/>
    <col min="8640" max="8704" width="9.140625" style="1631"/>
    <col min="8705" max="8705" width="3.7109375" style="1631" customWidth="1"/>
    <col min="8706" max="8706" width="3" style="1631" customWidth="1"/>
    <col min="8707" max="8707" width="3.28515625" style="1631" customWidth="1"/>
    <col min="8708" max="8708" width="0.85546875" style="1631" customWidth="1"/>
    <col min="8709" max="8709" width="3.28515625" style="1631" customWidth="1"/>
    <col min="8710" max="8710" width="0.5703125" style="1631" customWidth="1"/>
    <col min="8711" max="8711" width="6.7109375" style="1631" customWidth="1"/>
    <col min="8712" max="8712" width="0.85546875" style="1631" customWidth="1"/>
    <col min="8713" max="8714" width="3.7109375" style="1631" customWidth="1"/>
    <col min="8715" max="8715" width="4" style="1631" customWidth="1"/>
    <col min="8716" max="8716" width="2.7109375" style="1631" customWidth="1"/>
    <col min="8717" max="8743" width="3.7109375" style="1631" customWidth="1"/>
    <col min="8744" max="8744" width="3.85546875" style="1631" customWidth="1"/>
    <col min="8745" max="8745" width="1.28515625" style="1631" customWidth="1"/>
    <col min="8746" max="8746" width="3.7109375" style="1631" customWidth="1"/>
    <col min="8747" max="8801" width="2.85546875" style="1631" customWidth="1"/>
    <col min="8802" max="8895" width="3.85546875" style="1631" customWidth="1"/>
    <col min="8896" max="8960" width="9.140625" style="1631"/>
    <col min="8961" max="8961" width="3.7109375" style="1631" customWidth="1"/>
    <col min="8962" max="8962" width="3" style="1631" customWidth="1"/>
    <col min="8963" max="8963" width="3.28515625" style="1631" customWidth="1"/>
    <col min="8964" max="8964" width="0.85546875" style="1631" customWidth="1"/>
    <col min="8965" max="8965" width="3.28515625" style="1631" customWidth="1"/>
    <col min="8966" max="8966" width="0.5703125" style="1631" customWidth="1"/>
    <col min="8967" max="8967" width="6.7109375" style="1631" customWidth="1"/>
    <col min="8968" max="8968" width="0.85546875" style="1631" customWidth="1"/>
    <col min="8969" max="8970" width="3.7109375" style="1631" customWidth="1"/>
    <col min="8971" max="8971" width="4" style="1631" customWidth="1"/>
    <col min="8972" max="8972" width="2.7109375" style="1631" customWidth="1"/>
    <col min="8973" max="8999" width="3.7109375" style="1631" customWidth="1"/>
    <col min="9000" max="9000" width="3.85546875" style="1631" customWidth="1"/>
    <col min="9001" max="9001" width="1.28515625" style="1631" customWidth="1"/>
    <col min="9002" max="9002" width="3.7109375" style="1631" customWidth="1"/>
    <col min="9003" max="9057" width="2.85546875" style="1631" customWidth="1"/>
    <col min="9058" max="9151" width="3.85546875" style="1631" customWidth="1"/>
    <col min="9152" max="9216" width="9.140625" style="1631"/>
    <col min="9217" max="9217" width="3.7109375" style="1631" customWidth="1"/>
    <col min="9218" max="9218" width="3" style="1631" customWidth="1"/>
    <col min="9219" max="9219" width="3.28515625" style="1631" customWidth="1"/>
    <col min="9220" max="9220" width="0.85546875" style="1631" customWidth="1"/>
    <col min="9221" max="9221" width="3.28515625" style="1631" customWidth="1"/>
    <col min="9222" max="9222" width="0.5703125" style="1631" customWidth="1"/>
    <col min="9223" max="9223" width="6.7109375" style="1631" customWidth="1"/>
    <col min="9224" max="9224" width="0.85546875" style="1631" customWidth="1"/>
    <col min="9225" max="9226" width="3.7109375" style="1631" customWidth="1"/>
    <col min="9227" max="9227" width="4" style="1631" customWidth="1"/>
    <col min="9228" max="9228" width="2.7109375" style="1631" customWidth="1"/>
    <col min="9229" max="9255" width="3.7109375" style="1631" customWidth="1"/>
    <col min="9256" max="9256" width="3.85546875" style="1631" customWidth="1"/>
    <col min="9257" max="9257" width="1.28515625" style="1631" customWidth="1"/>
    <col min="9258" max="9258" width="3.7109375" style="1631" customWidth="1"/>
    <col min="9259" max="9313" width="2.85546875" style="1631" customWidth="1"/>
    <col min="9314" max="9407" width="3.85546875" style="1631" customWidth="1"/>
    <col min="9408" max="9472" width="9.140625" style="1631"/>
    <col min="9473" max="9473" width="3.7109375" style="1631" customWidth="1"/>
    <col min="9474" max="9474" width="3" style="1631" customWidth="1"/>
    <col min="9475" max="9475" width="3.28515625" style="1631" customWidth="1"/>
    <col min="9476" max="9476" width="0.85546875" style="1631" customWidth="1"/>
    <col min="9477" max="9477" width="3.28515625" style="1631" customWidth="1"/>
    <col min="9478" max="9478" width="0.5703125" style="1631" customWidth="1"/>
    <col min="9479" max="9479" width="6.7109375" style="1631" customWidth="1"/>
    <col min="9480" max="9480" width="0.85546875" style="1631" customWidth="1"/>
    <col min="9481" max="9482" width="3.7109375" style="1631" customWidth="1"/>
    <col min="9483" max="9483" width="4" style="1631" customWidth="1"/>
    <col min="9484" max="9484" width="2.7109375" style="1631" customWidth="1"/>
    <col min="9485" max="9511" width="3.7109375" style="1631" customWidth="1"/>
    <col min="9512" max="9512" width="3.85546875" style="1631" customWidth="1"/>
    <col min="9513" max="9513" width="1.28515625" style="1631" customWidth="1"/>
    <col min="9514" max="9514" width="3.7109375" style="1631" customWidth="1"/>
    <col min="9515" max="9569" width="2.85546875" style="1631" customWidth="1"/>
    <col min="9570" max="9663" width="3.85546875" style="1631" customWidth="1"/>
    <col min="9664" max="9728" width="9.140625" style="1631"/>
    <col min="9729" max="9729" width="3.7109375" style="1631" customWidth="1"/>
    <col min="9730" max="9730" width="3" style="1631" customWidth="1"/>
    <col min="9731" max="9731" width="3.28515625" style="1631" customWidth="1"/>
    <col min="9732" max="9732" width="0.85546875" style="1631" customWidth="1"/>
    <col min="9733" max="9733" width="3.28515625" style="1631" customWidth="1"/>
    <col min="9734" max="9734" width="0.5703125" style="1631" customWidth="1"/>
    <col min="9735" max="9735" width="6.7109375" style="1631" customWidth="1"/>
    <col min="9736" max="9736" width="0.85546875" style="1631" customWidth="1"/>
    <col min="9737" max="9738" width="3.7109375" style="1631" customWidth="1"/>
    <col min="9739" max="9739" width="4" style="1631" customWidth="1"/>
    <col min="9740" max="9740" width="2.7109375" style="1631" customWidth="1"/>
    <col min="9741" max="9767" width="3.7109375" style="1631" customWidth="1"/>
    <col min="9768" max="9768" width="3.85546875" style="1631" customWidth="1"/>
    <col min="9769" max="9769" width="1.28515625" style="1631" customWidth="1"/>
    <col min="9770" max="9770" width="3.7109375" style="1631" customWidth="1"/>
    <col min="9771" max="9825" width="2.85546875" style="1631" customWidth="1"/>
    <col min="9826" max="9919" width="3.85546875" style="1631" customWidth="1"/>
    <col min="9920" max="9984" width="9.140625" style="1631"/>
    <col min="9985" max="9985" width="3.7109375" style="1631" customWidth="1"/>
    <col min="9986" max="9986" width="3" style="1631" customWidth="1"/>
    <col min="9987" max="9987" width="3.28515625" style="1631" customWidth="1"/>
    <col min="9988" max="9988" width="0.85546875" style="1631" customWidth="1"/>
    <col min="9989" max="9989" width="3.28515625" style="1631" customWidth="1"/>
    <col min="9990" max="9990" width="0.5703125" style="1631" customWidth="1"/>
    <col min="9991" max="9991" width="6.7109375" style="1631" customWidth="1"/>
    <col min="9992" max="9992" width="0.85546875" style="1631" customWidth="1"/>
    <col min="9993" max="9994" width="3.7109375" style="1631" customWidth="1"/>
    <col min="9995" max="9995" width="4" style="1631" customWidth="1"/>
    <col min="9996" max="9996" width="2.7109375" style="1631" customWidth="1"/>
    <col min="9997" max="10023" width="3.7109375" style="1631" customWidth="1"/>
    <col min="10024" max="10024" width="3.85546875" style="1631" customWidth="1"/>
    <col min="10025" max="10025" width="1.28515625" style="1631" customWidth="1"/>
    <col min="10026" max="10026" width="3.7109375" style="1631" customWidth="1"/>
    <col min="10027" max="10081" width="2.85546875" style="1631" customWidth="1"/>
    <col min="10082" max="10175" width="3.85546875" style="1631" customWidth="1"/>
    <col min="10176" max="10240" width="9.140625" style="1631"/>
    <col min="10241" max="10241" width="3.7109375" style="1631" customWidth="1"/>
    <col min="10242" max="10242" width="3" style="1631" customWidth="1"/>
    <col min="10243" max="10243" width="3.28515625" style="1631" customWidth="1"/>
    <col min="10244" max="10244" width="0.85546875" style="1631" customWidth="1"/>
    <col min="10245" max="10245" width="3.28515625" style="1631" customWidth="1"/>
    <col min="10246" max="10246" width="0.5703125" style="1631" customWidth="1"/>
    <col min="10247" max="10247" width="6.7109375" style="1631" customWidth="1"/>
    <col min="10248" max="10248" width="0.85546875" style="1631" customWidth="1"/>
    <col min="10249" max="10250" width="3.7109375" style="1631" customWidth="1"/>
    <col min="10251" max="10251" width="4" style="1631" customWidth="1"/>
    <col min="10252" max="10252" width="2.7109375" style="1631" customWidth="1"/>
    <col min="10253" max="10279" width="3.7109375" style="1631" customWidth="1"/>
    <col min="10280" max="10280" width="3.85546875" style="1631" customWidth="1"/>
    <col min="10281" max="10281" width="1.28515625" style="1631" customWidth="1"/>
    <col min="10282" max="10282" width="3.7109375" style="1631" customWidth="1"/>
    <col min="10283" max="10337" width="2.85546875" style="1631" customWidth="1"/>
    <col min="10338" max="10431" width="3.85546875" style="1631" customWidth="1"/>
    <col min="10432" max="10496" width="9.140625" style="1631"/>
    <col min="10497" max="10497" width="3.7109375" style="1631" customWidth="1"/>
    <col min="10498" max="10498" width="3" style="1631" customWidth="1"/>
    <col min="10499" max="10499" width="3.28515625" style="1631" customWidth="1"/>
    <col min="10500" max="10500" width="0.85546875" style="1631" customWidth="1"/>
    <col min="10501" max="10501" width="3.28515625" style="1631" customWidth="1"/>
    <col min="10502" max="10502" width="0.5703125" style="1631" customWidth="1"/>
    <col min="10503" max="10503" width="6.7109375" style="1631" customWidth="1"/>
    <col min="10504" max="10504" width="0.85546875" style="1631" customWidth="1"/>
    <col min="10505" max="10506" width="3.7109375" style="1631" customWidth="1"/>
    <col min="10507" max="10507" width="4" style="1631" customWidth="1"/>
    <col min="10508" max="10508" width="2.7109375" style="1631" customWidth="1"/>
    <col min="10509" max="10535" width="3.7109375" style="1631" customWidth="1"/>
    <col min="10536" max="10536" width="3.85546875" style="1631" customWidth="1"/>
    <col min="10537" max="10537" width="1.28515625" style="1631" customWidth="1"/>
    <col min="10538" max="10538" width="3.7109375" style="1631" customWidth="1"/>
    <col min="10539" max="10593" width="2.85546875" style="1631" customWidth="1"/>
    <col min="10594" max="10687" width="3.85546875" style="1631" customWidth="1"/>
    <col min="10688" max="10752" width="9.140625" style="1631"/>
    <col min="10753" max="10753" width="3.7109375" style="1631" customWidth="1"/>
    <col min="10754" max="10754" width="3" style="1631" customWidth="1"/>
    <col min="10755" max="10755" width="3.28515625" style="1631" customWidth="1"/>
    <col min="10756" max="10756" width="0.85546875" style="1631" customWidth="1"/>
    <col min="10757" max="10757" width="3.28515625" style="1631" customWidth="1"/>
    <col min="10758" max="10758" width="0.5703125" style="1631" customWidth="1"/>
    <col min="10759" max="10759" width="6.7109375" style="1631" customWidth="1"/>
    <col min="10760" max="10760" width="0.85546875" style="1631" customWidth="1"/>
    <col min="10761" max="10762" width="3.7109375" style="1631" customWidth="1"/>
    <col min="10763" max="10763" width="4" style="1631" customWidth="1"/>
    <col min="10764" max="10764" width="2.7109375" style="1631" customWidth="1"/>
    <col min="10765" max="10791" width="3.7109375" style="1631" customWidth="1"/>
    <col min="10792" max="10792" width="3.85546875" style="1631" customWidth="1"/>
    <col min="10793" max="10793" width="1.28515625" style="1631" customWidth="1"/>
    <col min="10794" max="10794" width="3.7109375" style="1631" customWidth="1"/>
    <col min="10795" max="10849" width="2.85546875" style="1631" customWidth="1"/>
    <col min="10850" max="10943" width="3.85546875" style="1631" customWidth="1"/>
    <col min="10944" max="11008" width="9.140625" style="1631"/>
    <col min="11009" max="11009" width="3.7109375" style="1631" customWidth="1"/>
    <col min="11010" max="11010" width="3" style="1631" customWidth="1"/>
    <col min="11011" max="11011" width="3.28515625" style="1631" customWidth="1"/>
    <col min="11012" max="11012" width="0.85546875" style="1631" customWidth="1"/>
    <col min="11013" max="11013" width="3.28515625" style="1631" customWidth="1"/>
    <col min="11014" max="11014" width="0.5703125" style="1631" customWidth="1"/>
    <col min="11015" max="11015" width="6.7109375" style="1631" customWidth="1"/>
    <col min="11016" max="11016" width="0.85546875" style="1631" customWidth="1"/>
    <col min="11017" max="11018" width="3.7109375" style="1631" customWidth="1"/>
    <col min="11019" max="11019" width="4" style="1631" customWidth="1"/>
    <col min="11020" max="11020" width="2.7109375" style="1631" customWidth="1"/>
    <col min="11021" max="11047" width="3.7109375" style="1631" customWidth="1"/>
    <col min="11048" max="11048" width="3.85546875" style="1631" customWidth="1"/>
    <col min="11049" max="11049" width="1.28515625" style="1631" customWidth="1"/>
    <col min="11050" max="11050" width="3.7109375" style="1631" customWidth="1"/>
    <col min="11051" max="11105" width="2.85546875" style="1631" customWidth="1"/>
    <col min="11106" max="11199" width="3.85546875" style="1631" customWidth="1"/>
    <col min="11200" max="11264" width="9.140625" style="1631"/>
    <col min="11265" max="11265" width="3.7109375" style="1631" customWidth="1"/>
    <col min="11266" max="11266" width="3" style="1631" customWidth="1"/>
    <col min="11267" max="11267" width="3.28515625" style="1631" customWidth="1"/>
    <col min="11268" max="11268" width="0.85546875" style="1631" customWidth="1"/>
    <col min="11269" max="11269" width="3.28515625" style="1631" customWidth="1"/>
    <col min="11270" max="11270" width="0.5703125" style="1631" customWidth="1"/>
    <col min="11271" max="11271" width="6.7109375" style="1631" customWidth="1"/>
    <col min="11272" max="11272" width="0.85546875" style="1631" customWidth="1"/>
    <col min="11273" max="11274" width="3.7109375" style="1631" customWidth="1"/>
    <col min="11275" max="11275" width="4" style="1631" customWidth="1"/>
    <col min="11276" max="11276" width="2.7109375" style="1631" customWidth="1"/>
    <col min="11277" max="11303" width="3.7109375" style="1631" customWidth="1"/>
    <col min="11304" max="11304" width="3.85546875" style="1631" customWidth="1"/>
    <col min="11305" max="11305" width="1.28515625" style="1631" customWidth="1"/>
    <col min="11306" max="11306" width="3.7109375" style="1631" customWidth="1"/>
    <col min="11307" max="11361" width="2.85546875" style="1631" customWidth="1"/>
    <col min="11362" max="11455" width="3.85546875" style="1631" customWidth="1"/>
    <col min="11456" max="11520" width="9.140625" style="1631"/>
    <col min="11521" max="11521" width="3.7109375" style="1631" customWidth="1"/>
    <col min="11522" max="11522" width="3" style="1631" customWidth="1"/>
    <col min="11523" max="11523" width="3.28515625" style="1631" customWidth="1"/>
    <col min="11524" max="11524" width="0.85546875" style="1631" customWidth="1"/>
    <col min="11525" max="11525" width="3.28515625" style="1631" customWidth="1"/>
    <col min="11526" max="11526" width="0.5703125" style="1631" customWidth="1"/>
    <col min="11527" max="11527" width="6.7109375" style="1631" customWidth="1"/>
    <col min="11528" max="11528" width="0.85546875" style="1631" customWidth="1"/>
    <col min="11529" max="11530" width="3.7109375" style="1631" customWidth="1"/>
    <col min="11531" max="11531" width="4" style="1631" customWidth="1"/>
    <col min="11532" max="11532" width="2.7109375" style="1631" customWidth="1"/>
    <col min="11533" max="11559" width="3.7109375" style="1631" customWidth="1"/>
    <col min="11560" max="11560" width="3.85546875" style="1631" customWidth="1"/>
    <col min="11561" max="11561" width="1.28515625" style="1631" customWidth="1"/>
    <col min="11562" max="11562" width="3.7109375" style="1631" customWidth="1"/>
    <col min="11563" max="11617" width="2.85546875" style="1631" customWidth="1"/>
    <col min="11618" max="11711" width="3.85546875" style="1631" customWidth="1"/>
    <col min="11712" max="11776" width="9.140625" style="1631"/>
    <col min="11777" max="11777" width="3.7109375" style="1631" customWidth="1"/>
    <col min="11778" max="11778" width="3" style="1631" customWidth="1"/>
    <col min="11779" max="11779" width="3.28515625" style="1631" customWidth="1"/>
    <col min="11780" max="11780" width="0.85546875" style="1631" customWidth="1"/>
    <col min="11781" max="11781" width="3.28515625" style="1631" customWidth="1"/>
    <col min="11782" max="11782" width="0.5703125" style="1631" customWidth="1"/>
    <col min="11783" max="11783" width="6.7109375" style="1631" customWidth="1"/>
    <col min="11784" max="11784" width="0.85546875" style="1631" customWidth="1"/>
    <col min="11785" max="11786" width="3.7109375" style="1631" customWidth="1"/>
    <col min="11787" max="11787" width="4" style="1631" customWidth="1"/>
    <col min="11788" max="11788" width="2.7109375" style="1631" customWidth="1"/>
    <col min="11789" max="11815" width="3.7109375" style="1631" customWidth="1"/>
    <col min="11816" max="11816" width="3.85546875" style="1631" customWidth="1"/>
    <col min="11817" max="11817" width="1.28515625" style="1631" customWidth="1"/>
    <col min="11818" max="11818" width="3.7109375" style="1631" customWidth="1"/>
    <col min="11819" max="11873" width="2.85546875" style="1631" customWidth="1"/>
    <col min="11874" max="11967" width="3.85546875" style="1631" customWidth="1"/>
    <col min="11968" max="12032" width="9.140625" style="1631"/>
    <col min="12033" max="12033" width="3.7109375" style="1631" customWidth="1"/>
    <col min="12034" max="12034" width="3" style="1631" customWidth="1"/>
    <col min="12035" max="12035" width="3.28515625" style="1631" customWidth="1"/>
    <col min="12036" max="12036" width="0.85546875" style="1631" customWidth="1"/>
    <col min="12037" max="12037" width="3.28515625" style="1631" customWidth="1"/>
    <col min="12038" max="12038" width="0.5703125" style="1631" customWidth="1"/>
    <col min="12039" max="12039" width="6.7109375" style="1631" customWidth="1"/>
    <col min="12040" max="12040" width="0.85546875" style="1631" customWidth="1"/>
    <col min="12041" max="12042" width="3.7109375" style="1631" customWidth="1"/>
    <col min="12043" max="12043" width="4" style="1631" customWidth="1"/>
    <col min="12044" max="12044" width="2.7109375" style="1631" customWidth="1"/>
    <col min="12045" max="12071" width="3.7109375" style="1631" customWidth="1"/>
    <col min="12072" max="12072" width="3.85546875" style="1631" customWidth="1"/>
    <col min="12073" max="12073" width="1.28515625" style="1631" customWidth="1"/>
    <col min="12074" max="12074" width="3.7109375" style="1631" customWidth="1"/>
    <col min="12075" max="12129" width="2.85546875" style="1631" customWidth="1"/>
    <col min="12130" max="12223" width="3.85546875" style="1631" customWidth="1"/>
    <col min="12224" max="12288" width="9.140625" style="1631"/>
    <col min="12289" max="12289" width="3.7109375" style="1631" customWidth="1"/>
    <col min="12290" max="12290" width="3" style="1631" customWidth="1"/>
    <col min="12291" max="12291" width="3.28515625" style="1631" customWidth="1"/>
    <col min="12292" max="12292" width="0.85546875" style="1631" customWidth="1"/>
    <col min="12293" max="12293" width="3.28515625" style="1631" customWidth="1"/>
    <col min="12294" max="12294" width="0.5703125" style="1631" customWidth="1"/>
    <col min="12295" max="12295" width="6.7109375" style="1631" customWidth="1"/>
    <col min="12296" max="12296" width="0.85546875" style="1631" customWidth="1"/>
    <col min="12297" max="12298" width="3.7109375" style="1631" customWidth="1"/>
    <col min="12299" max="12299" width="4" style="1631" customWidth="1"/>
    <col min="12300" max="12300" width="2.7109375" style="1631" customWidth="1"/>
    <col min="12301" max="12327" width="3.7109375" style="1631" customWidth="1"/>
    <col min="12328" max="12328" width="3.85546875" style="1631" customWidth="1"/>
    <col min="12329" max="12329" width="1.28515625" style="1631" customWidth="1"/>
    <col min="12330" max="12330" width="3.7109375" style="1631" customWidth="1"/>
    <col min="12331" max="12385" width="2.85546875" style="1631" customWidth="1"/>
    <col min="12386" max="12479" width="3.85546875" style="1631" customWidth="1"/>
    <col min="12480" max="12544" width="9.140625" style="1631"/>
    <col min="12545" max="12545" width="3.7109375" style="1631" customWidth="1"/>
    <col min="12546" max="12546" width="3" style="1631" customWidth="1"/>
    <col min="12547" max="12547" width="3.28515625" style="1631" customWidth="1"/>
    <col min="12548" max="12548" width="0.85546875" style="1631" customWidth="1"/>
    <col min="12549" max="12549" width="3.28515625" style="1631" customWidth="1"/>
    <col min="12550" max="12550" width="0.5703125" style="1631" customWidth="1"/>
    <col min="12551" max="12551" width="6.7109375" style="1631" customWidth="1"/>
    <col min="12552" max="12552" width="0.85546875" style="1631" customWidth="1"/>
    <col min="12553" max="12554" width="3.7109375" style="1631" customWidth="1"/>
    <col min="12555" max="12555" width="4" style="1631" customWidth="1"/>
    <col min="12556" max="12556" width="2.7109375" style="1631" customWidth="1"/>
    <col min="12557" max="12583" width="3.7109375" style="1631" customWidth="1"/>
    <col min="12584" max="12584" width="3.85546875" style="1631" customWidth="1"/>
    <col min="12585" max="12585" width="1.28515625" style="1631" customWidth="1"/>
    <col min="12586" max="12586" width="3.7109375" style="1631" customWidth="1"/>
    <col min="12587" max="12641" width="2.85546875" style="1631" customWidth="1"/>
    <col min="12642" max="12735" width="3.85546875" style="1631" customWidth="1"/>
    <col min="12736" max="12800" width="9.140625" style="1631"/>
    <col min="12801" max="12801" width="3.7109375" style="1631" customWidth="1"/>
    <col min="12802" max="12802" width="3" style="1631" customWidth="1"/>
    <col min="12803" max="12803" width="3.28515625" style="1631" customWidth="1"/>
    <col min="12804" max="12804" width="0.85546875" style="1631" customWidth="1"/>
    <col min="12805" max="12805" width="3.28515625" style="1631" customWidth="1"/>
    <col min="12806" max="12806" width="0.5703125" style="1631" customWidth="1"/>
    <col min="12807" max="12807" width="6.7109375" style="1631" customWidth="1"/>
    <col min="12808" max="12808" width="0.85546875" style="1631" customWidth="1"/>
    <col min="12809" max="12810" width="3.7109375" style="1631" customWidth="1"/>
    <col min="12811" max="12811" width="4" style="1631" customWidth="1"/>
    <col min="12812" max="12812" width="2.7109375" style="1631" customWidth="1"/>
    <col min="12813" max="12839" width="3.7109375" style="1631" customWidth="1"/>
    <col min="12840" max="12840" width="3.85546875" style="1631" customWidth="1"/>
    <col min="12841" max="12841" width="1.28515625" style="1631" customWidth="1"/>
    <col min="12842" max="12842" width="3.7109375" style="1631" customWidth="1"/>
    <col min="12843" max="12897" width="2.85546875" style="1631" customWidth="1"/>
    <col min="12898" max="12991" width="3.85546875" style="1631" customWidth="1"/>
    <col min="12992" max="13056" width="9.140625" style="1631"/>
    <col min="13057" max="13057" width="3.7109375" style="1631" customWidth="1"/>
    <col min="13058" max="13058" width="3" style="1631" customWidth="1"/>
    <col min="13059" max="13059" width="3.28515625" style="1631" customWidth="1"/>
    <col min="13060" max="13060" width="0.85546875" style="1631" customWidth="1"/>
    <col min="13061" max="13061" width="3.28515625" style="1631" customWidth="1"/>
    <col min="13062" max="13062" width="0.5703125" style="1631" customWidth="1"/>
    <col min="13063" max="13063" width="6.7109375" style="1631" customWidth="1"/>
    <col min="13064" max="13064" width="0.85546875" style="1631" customWidth="1"/>
    <col min="13065" max="13066" width="3.7109375" style="1631" customWidth="1"/>
    <col min="13067" max="13067" width="4" style="1631" customWidth="1"/>
    <col min="13068" max="13068" width="2.7109375" style="1631" customWidth="1"/>
    <col min="13069" max="13095" width="3.7109375" style="1631" customWidth="1"/>
    <col min="13096" max="13096" width="3.85546875" style="1631" customWidth="1"/>
    <col min="13097" max="13097" width="1.28515625" style="1631" customWidth="1"/>
    <col min="13098" max="13098" width="3.7109375" style="1631" customWidth="1"/>
    <col min="13099" max="13153" width="2.85546875" style="1631" customWidth="1"/>
    <col min="13154" max="13247" width="3.85546875" style="1631" customWidth="1"/>
    <col min="13248" max="13312" width="9.140625" style="1631"/>
    <col min="13313" max="13313" width="3.7109375" style="1631" customWidth="1"/>
    <col min="13314" max="13314" width="3" style="1631" customWidth="1"/>
    <col min="13315" max="13315" width="3.28515625" style="1631" customWidth="1"/>
    <col min="13316" max="13316" width="0.85546875" style="1631" customWidth="1"/>
    <col min="13317" max="13317" width="3.28515625" style="1631" customWidth="1"/>
    <col min="13318" max="13318" width="0.5703125" style="1631" customWidth="1"/>
    <col min="13319" max="13319" width="6.7109375" style="1631" customWidth="1"/>
    <col min="13320" max="13320" width="0.85546875" style="1631" customWidth="1"/>
    <col min="13321" max="13322" width="3.7109375" style="1631" customWidth="1"/>
    <col min="13323" max="13323" width="4" style="1631" customWidth="1"/>
    <col min="13324" max="13324" width="2.7109375" style="1631" customWidth="1"/>
    <col min="13325" max="13351" width="3.7109375" style="1631" customWidth="1"/>
    <col min="13352" max="13352" width="3.85546875" style="1631" customWidth="1"/>
    <col min="13353" max="13353" width="1.28515625" style="1631" customWidth="1"/>
    <col min="13354" max="13354" width="3.7109375" style="1631" customWidth="1"/>
    <col min="13355" max="13409" width="2.85546875" style="1631" customWidth="1"/>
    <col min="13410" max="13503" width="3.85546875" style="1631" customWidth="1"/>
    <col min="13504" max="13568" width="9.140625" style="1631"/>
    <col min="13569" max="13569" width="3.7109375" style="1631" customWidth="1"/>
    <col min="13570" max="13570" width="3" style="1631" customWidth="1"/>
    <col min="13571" max="13571" width="3.28515625" style="1631" customWidth="1"/>
    <col min="13572" max="13572" width="0.85546875" style="1631" customWidth="1"/>
    <col min="13573" max="13573" width="3.28515625" style="1631" customWidth="1"/>
    <col min="13574" max="13574" width="0.5703125" style="1631" customWidth="1"/>
    <col min="13575" max="13575" width="6.7109375" style="1631" customWidth="1"/>
    <col min="13576" max="13576" width="0.85546875" style="1631" customWidth="1"/>
    <col min="13577" max="13578" width="3.7109375" style="1631" customWidth="1"/>
    <col min="13579" max="13579" width="4" style="1631" customWidth="1"/>
    <col min="13580" max="13580" width="2.7109375" style="1631" customWidth="1"/>
    <col min="13581" max="13607" width="3.7109375" style="1631" customWidth="1"/>
    <col min="13608" max="13608" width="3.85546875" style="1631" customWidth="1"/>
    <col min="13609" max="13609" width="1.28515625" style="1631" customWidth="1"/>
    <col min="13610" max="13610" width="3.7109375" style="1631" customWidth="1"/>
    <col min="13611" max="13665" width="2.85546875" style="1631" customWidth="1"/>
    <col min="13666" max="13759" width="3.85546875" style="1631" customWidth="1"/>
    <col min="13760" max="13824" width="9.140625" style="1631"/>
    <col min="13825" max="13825" width="3.7109375" style="1631" customWidth="1"/>
    <col min="13826" max="13826" width="3" style="1631" customWidth="1"/>
    <col min="13827" max="13827" width="3.28515625" style="1631" customWidth="1"/>
    <col min="13828" max="13828" width="0.85546875" style="1631" customWidth="1"/>
    <col min="13829" max="13829" width="3.28515625" style="1631" customWidth="1"/>
    <col min="13830" max="13830" width="0.5703125" style="1631" customWidth="1"/>
    <col min="13831" max="13831" width="6.7109375" style="1631" customWidth="1"/>
    <col min="13832" max="13832" width="0.85546875" style="1631" customWidth="1"/>
    <col min="13833" max="13834" width="3.7109375" style="1631" customWidth="1"/>
    <col min="13835" max="13835" width="4" style="1631" customWidth="1"/>
    <col min="13836" max="13836" width="2.7109375" style="1631" customWidth="1"/>
    <col min="13837" max="13863" width="3.7109375" style="1631" customWidth="1"/>
    <col min="13864" max="13864" width="3.85546875" style="1631" customWidth="1"/>
    <col min="13865" max="13865" width="1.28515625" style="1631" customWidth="1"/>
    <col min="13866" max="13866" width="3.7109375" style="1631" customWidth="1"/>
    <col min="13867" max="13921" width="2.85546875" style="1631" customWidth="1"/>
    <col min="13922" max="14015" width="3.85546875" style="1631" customWidth="1"/>
    <col min="14016" max="14080" width="9.140625" style="1631"/>
    <col min="14081" max="14081" width="3.7109375" style="1631" customWidth="1"/>
    <col min="14082" max="14082" width="3" style="1631" customWidth="1"/>
    <col min="14083" max="14083" width="3.28515625" style="1631" customWidth="1"/>
    <col min="14084" max="14084" width="0.85546875" style="1631" customWidth="1"/>
    <col min="14085" max="14085" width="3.28515625" style="1631" customWidth="1"/>
    <col min="14086" max="14086" width="0.5703125" style="1631" customWidth="1"/>
    <col min="14087" max="14087" width="6.7109375" style="1631" customWidth="1"/>
    <col min="14088" max="14088" width="0.85546875" style="1631" customWidth="1"/>
    <col min="14089" max="14090" width="3.7109375" style="1631" customWidth="1"/>
    <col min="14091" max="14091" width="4" style="1631" customWidth="1"/>
    <col min="14092" max="14092" width="2.7109375" style="1631" customWidth="1"/>
    <col min="14093" max="14119" width="3.7109375" style="1631" customWidth="1"/>
    <col min="14120" max="14120" width="3.85546875" style="1631" customWidth="1"/>
    <col min="14121" max="14121" width="1.28515625" style="1631" customWidth="1"/>
    <col min="14122" max="14122" width="3.7109375" style="1631" customWidth="1"/>
    <col min="14123" max="14177" width="2.85546875" style="1631" customWidth="1"/>
    <col min="14178" max="14271" width="3.85546875" style="1631" customWidth="1"/>
    <col min="14272" max="14336" width="9.140625" style="1631"/>
    <col min="14337" max="14337" width="3.7109375" style="1631" customWidth="1"/>
    <col min="14338" max="14338" width="3" style="1631" customWidth="1"/>
    <col min="14339" max="14339" width="3.28515625" style="1631" customWidth="1"/>
    <col min="14340" max="14340" width="0.85546875" style="1631" customWidth="1"/>
    <col min="14341" max="14341" width="3.28515625" style="1631" customWidth="1"/>
    <col min="14342" max="14342" width="0.5703125" style="1631" customWidth="1"/>
    <col min="14343" max="14343" width="6.7109375" style="1631" customWidth="1"/>
    <col min="14344" max="14344" width="0.85546875" style="1631" customWidth="1"/>
    <col min="14345" max="14346" width="3.7109375" style="1631" customWidth="1"/>
    <col min="14347" max="14347" width="4" style="1631" customWidth="1"/>
    <col min="14348" max="14348" width="2.7109375" style="1631" customWidth="1"/>
    <col min="14349" max="14375" width="3.7109375" style="1631" customWidth="1"/>
    <col min="14376" max="14376" width="3.85546875" style="1631" customWidth="1"/>
    <col min="14377" max="14377" width="1.28515625" style="1631" customWidth="1"/>
    <col min="14378" max="14378" width="3.7109375" style="1631" customWidth="1"/>
    <col min="14379" max="14433" width="2.85546875" style="1631" customWidth="1"/>
    <col min="14434" max="14527" width="3.85546875" style="1631" customWidth="1"/>
    <col min="14528" max="14592" width="9.140625" style="1631"/>
    <col min="14593" max="14593" width="3.7109375" style="1631" customWidth="1"/>
    <col min="14594" max="14594" width="3" style="1631" customWidth="1"/>
    <col min="14595" max="14595" width="3.28515625" style="1631" customWidth="1"/>
    <col min="14596" max="14596" width="0.85546875" style="1631" customWidth="1"/>
    <col min="14597" max="14597" width="3.28515625" style="1631" customWidth="1"/>
    <col min="14598" max="14598" width="0.5703125" style="1631" customWidth="1"/>
    <col min="14599" max="14599" width="6.7109375" style="1631" customWidth="1"/>
    <col min="14600" max="14600" width="0.85546875" style="1631" customWidth="1"/>
    <col min="14601" max="14602" width="3.7109375" style="1631" customWidth="1"/>
    <col min="14603" max="14603" width="4" style="1631" customWidth="1"/>
    <col min="14604" max="14604" width="2.7109375" style="1631" customWidth="1"/>
    <col min="14605" max="14631" width="3.7109375" style="1631" customWidth="1"/>
    <col min="14632" max="14632" width="3.85546875" style="1631" customWidth="1"/>
    <col min="14633" max="14633" width="1.28515625" style="1631" customWidth="1"/>
    <col min="14634" max="14634" width="3.7109375" style="1631" customWidth="1"/>
    <col min="14635" max="14689" width="2.85546875" style="1631" customWidth="1"/>
    <col min="14690" max="14783" width="3.85546875" style="1631" customWidth="1"/>
    <col min="14784" max="14848" width="9.140625" style="1631"/>
    <col min="14849" max="14849" width="3.7109375" style="1631" customWidth="1"/>
    <col min="14850" max="14850" width="3" style="1631" customWidth="1"/>
    <col min="14851" max="14851" width="3.28515625" style="1631" customWidth="1"/>
    <col min="14852" max="14852" width="0.85546875" style="1631" customWidth="1"/>
    <col min="14853" max="14853" width="3.28515625" style="1631" customWidth="1"/>
    <col min="14854" max="14854" width="0.5703125" style="1631" customWidth="1"/>
    <col min="14855" max="14855" width="6.7109375" style="1631" customWidth="1"/>
    <col min="14856" max="14856" width="0.85546875" style="1631" customWidth="1"/>
    <col min="14857" max="14858" width="3.7109375" style="1631" customWidth="1"/>
    <col min="14859" max="14859" width="4" style="1631" customWidth="1"/>
    <col min="14860" max="14860" width="2.7109375" style="1631" customWidth="1"/>
    <col min="14861" max="14887" width="3.7109375" style="1631" customWidth="1"/>
    <col min="14888" max="14888" width="3.85546875" style="1631" customWidth="1"/>
    <col min="14889" max="14889" width="1.28515625" style="1631" customWidth="1"/>
    <col min="14890" max="14890" width="3.7109375" style="1631" customWidth="1"/>
    <col min="14891" max="14945" width="2.85546875" style="1631" customWidth="1"/>
    <col min="14946" max="15039" width="3.85546875" style="1631" customWidth="1"/>
    <col min="15040" max="15104" width="9.140625" style="1631"/>
    <col min="15105" max="15105" width="3.7109375" style="1631" customWidth="1"/>
    <col min="15106" max="15106" width="3" style="1631" customWidth="1"/>
    <col min="15107" max="15107" width="3.28515625" style="1631" customWidth="1"/>
    <col min="15108" max="15108" width="0.85546875" style="1631" customWidth="1"/>
    <col min="15109" max="15109" width="3.28515625" style="1631" customWidth="1"/>
    <col min="15110" max="15110" width="0.5703125" style="1631" customWidth="1"/>
    <col min="15111" max="15111" width="6.7109375" style="1631" customWidth="1"/>
    <col min="15112" max="15112" width="0.85546875" style="1631" customWidth="1"/>
    <col min="15113" max="15114" width="3.7109375" style="1631" customWidth="1"/>
    <col min="15115" max="15115" width="4" style="1631" customWidth="1"/>
    <col min="15116" max="15116" width="2.7109375" style="1631" customWidth="1"/>
    <col min="15117" max="15143" width="3.7109375" style="1631" customWidth="1"/>
    <col min="15144" max="15144" width="3.85546875" style="1631" customWidth="1"/>
    <col min="15145" max="15145" width="1.28515625" style="1631" customWidth="1"/>
    <col min="15146" max="15146" width="3.7109375" style="1631" customWidth="1"/>
    <col min="15147" max="15201" width="2.85546875" style="1631" customWidth="1"/>
    <col min="15202" max="15295" width="3.85546875" style="1631" customWidth="1"/>
    <col min="15296" max="15360" width="9.140625" style="1631"/>
    <col min="15361" max="15361" width="3.7109375" style="1631" customWidth="1"/>
    <col min="15362" max="15362" width="3" style="1631" customWidth="1"/>
    <col min="15363" max="15363" width="3.28515625" style="1631" customWidth="1"/>
    <col min="15364" max="15364" width="0.85546875" style="1631" customWidth="1"/>
    <col min="15365" max="15365" width="3.28515625" style="1631" customWidth="1"/>
    <col min="15366" max="15366" width="0.5703125" style="1631" customWidth="1"/>
    <col min="15367" max="15367" width="6.7109375" style="1631" customWidth="1"/>
    <col min="15368" max="15368" width="0.85546875" style="1631" customWidth="1"/>
    <col min="15369" max="15370" width="3.7109375" style="1631" customWidth="1"/>
    <col min="15371" max="15371" width="4" style="1631" customWidth="1"/>
    <col min="15372" max="15372" width="2.7109375" style="1631" customWidth="1"/>
    <col min="15373" max="15399" width="3.7109375" style="1631" customWidth="1"/>
    <col min="15400" max="15400" width="3.85546875" style="1631" customWidth="1"/>
    <col min="15401" max="15401" width="1.28515625" style="1631" customWidth="1"/>
    <col min="15402" max="15402" width="3.7109375" style="1631" customWidth="1"/>
    <col min="15403" max="15457" width="2.85546875" style="1631" customWidth="1"/>
    <col min="15458" max="15551" width="3.85546875" style="1631" customWidth="1"/>
    <col min="15552" max="15616" width="9.140625" style="1631"/>
    <col min="15617" max="15617" width="3.7109375" style="1631" customWidth="1"/>
    <col min="15618" max="15618" width="3" style="1631" customWidth="1"/>
    <col min="15619" max="15619" width="3.28515625" style="1631" customWidth="1"/>
    <col min="15620" max="15620" width="0.85546875" style="1631" customWidth="1"/>
    <col min="15621" max="15621" width="3.28515625" style="1631" customWidth="1"/>
    <col min="15622" max="15622" width="0.5703125" style="1631" customWidth="1"/>
    <col min="15623" max="15623" width="6.7109375" style="1631" customWidth="1"/>
    <col min="15624" max="15624" width="0.85546875" style="1631" customWidth="1"/>
    <col min="15625" max="15626" width="3.7109375" style="1631" customWidth="1"/>
    <col min="15627" max="15627" width="4" style="1631" customWidth="1"/>
    <col min="15628" max="15628" width="2.7109375" style="1631" customWidth="1"/>
    <col min="15629" max="15655" width="3.7109375" style="1631" customWidth="1"/>
    <col min="15656" max="15656" width="3.85546875" style="1631" customWidth="1"/>
    <col min="15657" max="15657" width="1.28515625" style="1631" customWidth="1"/>
    <col min="15658" max="15658" width="3.7109375" style="1631" customWidth="1"/>
    <col min="15659" max="15713" width="2.85546875" style="1631" customWidth="1"/>
    <col min="15714" max="15807" width="3.85546875" style="1631" customWidth="1"/>
    <col min="15808" max="15872" width="9.140625" style="1631"/>
    <col min="15873" max="15873" width="3.7109375" style="1631" customWidth="1"/>
    <col min="15874" max="15874" width="3" style="1631" customWidth="1"/>
    <col min="15875" max="15875" width="3.28515625" style="1631" customWidth="1"/>
    <col min="15876" max="15876" width="0.85546875" style="1631" customWidth="1"/>
    <col min="15877" max="15877" width="3.28515625" style="1631" customWidth="1"/>
    <col min="15878" max="15878" width="0.5703125" style="1631" customWidth="1"/>
    <col min="15879" max="15879" width="6.7109375" style="1631" customWidth="1"/>
    <col min="15880" max="15880" width="0.85546875" style="1631" customWidth="1"/>
    <col min="15881" max="15882" width="3.7109375" style="1631" customWidth="1"/>
    <col min="15883" max="15883" width="4" style="1631" customWidth="1"/>
    <col min="15884" max="15884" width="2.7109375" style="1631" customWidth="1"/>
    <col min="15885" max="15911" width="3.7109375" style="1631" customWidth="1"/>
    <col min="15912" max="15912" width="3.85546875" style="1631" customWidth="1"/>
    <col min="15913" max="15913" width="1.28515625" style="1631" customWidth="1"/>
    <col min="15914" max="15914" width="3.7109375" style="1631" customWidth="1"/>
    <col min="15915" max="15969" width="2.85546875" style="1631" customWidth="1"/>
    <col min="15970" max="16063" width="3.85546875" style="1631" customWidth="1"/>
    <col min="16064" max="16128" width="9.140625" style="1631"/>
    <col min="16129" max="16129" width="3.7109375" style="1631" customWidth="1"/>
    <col min="16130" max="16130" width="3" style="1631" customWidth="1"/>
    <col min="16131" max="16131" width="3.28515625" style="1631" customWidth="1"/>
    <col min="16132" max="16132" width="0.85546875" style="1631" customWidth="1"/>
    <col min="16133" max="16133" width="3.28515625" style="1631" customWidth="1"/>
    <col min="16134" max="16134" width="0.5703125" style="1631" customWidth="1"/>
    <col min="16135" max="16135" width="6.7109375" style="1631" customWidth="1"/>
    <col min="16136" max="16136" width="0.85546875" style="1631" customWidth="1"/>
    <col min="16137" max="16138" width="3.7109375" style="1631" customWidth="1"/>
    <col min="16139" max="16139" width="4" style="1631" customWidth="1"/>
    <col min="16140" max="16140" width="2.7109375" style="1631" customWidth="1"/>
    <col min="16141" max="16167" width="3.7109375" style="1631" customWidth="1"/>
    <col min="16168" max="16168" width="3.85546875" style="1631" customWidth="1"/>
    <col min="16169" max="16169" width="1.28515625" style="1631" customWidth="1"/>
    <col min="16170" max="16170" width="3.7109375" style="1631" customWidth="1"/>
    <col min="16171" max="16225" width="2.85546875" style="1631" customWidth="1"/>
    <col min="16226" max="16319" width="3.85546875" style="1631" customWidth="1"/>
    <col min="16320" max="16384" width="9.140625" style="1631"/>
  </cols>
  <sheetData>
    <row r="1" spans="1:50" ht="9.9499999999999993" customHeight="1">
      <c r="A1" s="1629"/>
      <c r="B1" s="1630"/>
      <c r="M1" s="1632"/>
      <c r="N1" s="1632"/>
      <c r="O1" s="1632"/>
      <c r="P1" s="1632"/>
      <c r="Q1" s="1632"/>
      <c r="R1" s="1632"/>
      <c r="S1" s="1632"/>
      <c r="T1" s="1632"/>
      <c r="U1" s="1632"/>
      <c r="V1" s="1632"/>
      <c r="W1" s="1632"/>
      <c r="X1" s="1632"/>
      <c r="Y1" s="1632"/>
      <c r="Z1" s="1633"/>
      <c r="AA1" s="1633"/>
      <c r="AB1" s="1633"/>
      <c r="AC1" s="1633"/>
      <c r="AD1" s="1633"/>
      <c r="AE1" s="1633"/>
      <c r="AF1" s="1633"/>
      <c r="AG1" s="1633"/>
      <c r="AH1" s="1634"/>
      <c r="AI1" s="1635"/>
      <c r="AJ1" s="1635"/>
      <c r="AK1" s="1635"/>
      <c r="AL1" s="1635"/>
      <c r="AP1" s="1629"/>
    </row>
    <row r="2" spans="1:50" ht="23.25" customHeight="1">
      <c r="A2" s="3060" t="s">
        <v>1373</v>
      </c>
      <c r="B2" s="3060"/>
      <c r="C2" s="3060"/>
      <c r="D2" s="3060"/>
      <c r="E2" s="3060"/>
      <c r="F2" s="3060"/>
      <c r="G2" s="3060"/>
      <c r="H2" s="3060"/>
      <c r="I2" s="3060"/>
      <c r="J2" s="3060"/>
      <c r="K2" s="3060"/>
      <c r="L2" s="3060"/>
      <c r="M2" s="3060"/>
      <c r="N2" s="3060"/>
      <c r="O2" s="3060"/>
      <c r="P2" s="3060"/>
      <c r="Q2" s="3060"/>
      <c r="R2" s="3060"/>
      <c r="S2" s="3060"/>
      <c r="T2" s="3060"/>
      <c r="U2" s="3060"/>
      <c r="V2" s="3060"/>
      <c r="W2" s="3060"/>
      <c r="X2" s="3060"/>
      <c r="Y2" s="3060"/>
      <c r="Z2" s="3060"/>
      <c r="AA2" s="3060"/>
      <c r="AB2" s="3060"/>
      <c r="AC2" s="3060"/>
      <c r="AD2" s="3060"/>
      <c r="AE2" s="3060"/>
      <c r="AF2" s="3060"/>
      <c r="AG2" s="3060"/>
      <c r="AH2" s="3060"/>
      <c r="AI2" s="3060"/>
      <c r="AJ2" s="3060"/>
      <c r="AK2" s="3060"/>
      <c r="AL2" s="3060"/>
      <c r="AM2" s="3060"/>
      <c r="AN2" s="1637"/>
      <c r="AO2" s="1637"/>
      <c r="AP2" s="1637"/>
    </row>
    <row r="3" spans="1:50" ht="23.25" customHeight="1">
      <c r="A3" s="1637"/>
      <c r="B3" s="1637"/>
      <c r="C3" s="1637"/>
      <c r="D3" s="1637"/>
      <c r="E3" s="1637"/>
      <c r="F3" s="1637"/>
      <c r="G3" s="1637"/>
      <c r="H3" s="1637"/>
      <c r="I3" s="1637"/>
      <c r="J3" s="1637"/>
      <c r="K3" s="1637"/>
      <c r="O3" s="1637"/>
      <c r="R3" s="3060" t="s">
        <v>1374</v>
      </c>
      <c r="S3" s="3060"/>
      <c r="T3" s="3060"/>
      <c r="U3" s="1674">
        <f>year01</f>
        <v>0</v>
      </c>
      <c r="V3" s="1674">
        <f>year02</f>
        <v>0</v>
      </c>
      <c r="W3" s="1674">
        <f>year03</f>
        <v>0</v>
      </c>
      <c r="X3" s="1674">
        <f>year04</f>
        <v>0</v>
      </c>
      <c r="AA3" s="1637"/>
      <c r="AB3" s="1637"/>
      <c r="AC3" s="1637"/>
      <c r="AD3" s="1637"/>
      <c r="AE3" s="1637"/>
      <c r="AF3" s="1637"/>
      <c r="AG3" s="1637"/>
      <c r="AH3" s="1637"/>
      <c r="AI3" s="1637"/>
      <c r="AJ3" s="1637"/>
      <c r="AK3" s="1637"/>
      <c r="AL3" s="1637"/>
      <c r="AM3" s="1637"/>
      <c r="AN3" s="1637"/>
      <c r="AO3" s="1636"/>
      <c r="AQ3" s="1631"/>
    </row>
    <row r="4" spans="1:50" ht="23.25" customHeight="1" thickBot="1">
      <c r="A4" s="3061" t="s">
        <v>1375</v>
      </c>
      <c r="B4" s="3061"/>
      <c r="C4" s="3061"/>
      <c r="D4" s="3061"/>
      <c r="E4" s="3061"/>
      <c r="F4" s="3061"/>
      <c r="G4" s="3061"/>
      <c r="H4" s="3061"/>
      <c r="I4" s="3061"/>
      <c r="J4" s="3061"/>
      <c r="K4" s="3061"/>
      <c r="L4" s="3061"/>
      <c r="M4" s="3061"/>
      <c r="N4" s="3061"/>
      <c r="O4" s="3061"/>
      <c r="P4" s="3061"/>
      <c r="Q4" s="3061"/>
      <c r="R4" s="3061"/>
      <c r="S4" s="3061"/>
      <c r="T4" s="3061"/>
      <c r="U4" s="3061"/>
      <c r="V4" s="3061"/>
      <c r="W4" s="3061"/>
      <c r="X4" s="3061"/>
      <c r="Y4" s="3061"/>
      <c r="Z4" s="3061"/>
      <c r="AA4" s="3061"/>
      <c r="AB4" s="3061"/>
      <c r="AC4" s="3061"/>
      <c r="AD4" s="3061"/>
      <c r="AE4" s="3061"/>
      <c r="AF4" s="3061"/>
      <c r="AG4" s="3061"/>
      <c r="AH4" s="3061"/>
      <c r="AI4" s="3061"/>
      <c r="AJ4" s="3061"/>
      <c r="AK4" s="3061"/>
      <c r="AL4" s="3061"/>
      <c r="AM4" s="3061"/>
      <c r="AN4" s="1676"/>
      <c r="AO4" s="1676"/>
      <c r="AP4" s="1676"/>
    </row>
    <row r="5" spans="1:50" ht="23.25" customHeight="1">
      <c r="A5" s="1638"/>
      <c r="B5" s="1638"/>
      <c r="C5" s="1638"/>
      <c r="D5" s="1638"/>
      <c r="E5" s="1638"/>
      <c r="F5" s="1638"/>
      <c r="G5" s="1638"/>
      <c r="H5" s="1638"/>
      <c r="I5" s="1638"/>
      <c r="J5" s="1638"/>
      <c r="K5" s="1638"/>
      <c r="L5" s="1638"/>
      <c r="M5" s="1638"/>
      <c r="N5" s="1638"/>
      <c r="O5" s="1638"/>
      <c r="P5" s="1638"/>
      <c r="Q5" s="1638"/>
      <c r="R5" s="1638"/>
      <c r="S5" s="1638"/>
      <c r="T5" s="1638"/>
      <c r="U5" s="1638"/>
      <c r="V5" s="1638"/>
      <c r="W5" s="1638"/>
      <c r="X5" s="1638"/>
      <c r="Y5" s="1638"/>
      <c r="Z5" s="1638"/>
      <c r="AA5" s="1638"/>
      <c r="AB5" s="1638"/>
      <c r="AC5" s="1638"/>
      <c r="AD5" s="1638"/>
      <c r="AE5" s="1638"/>
      <c r="AF5" s="1638"/>
      <c r="AG5" s="1638"/>
      <c r="AH5" s="1638"/>
      <c r="AI5" s="1638"/>
      <c r="AJ5" s="1638"/>
      <c r="AK5" s="1638"/>
      <c r="AL5" s="1638"/>
      <c r="AM5" s="1638"/>
      <c r="AN5" s="1638"/>
      <c r="AO5" s="1638"/>
      <c r="AP5" s="1638"/>
    </row>
    <row r="6" spans="1:50" s="1636" customFormat="1" ht="13.5" customHeight="1">
      <c r="E6" s="1639"/>
      <c r="F6" s="1639"/>
      <c r="G6" s="1639"/>
      <c r="H6" s="1639"/>
      <c r="I6" s="1640"/>
      <c r="J6" s="1640"/>
      <c r="K6" s="1641"/>
      <c r="L6" s="1642"/>
      <c r="M6" s="1643"/>
      <c r="N6" s="1644"/>
      <c r="O6" s="1644"/>
      <c r="P6" s="1644"/>
      <c r="Q6" s="1644"/>
      <c r="R6" s="1644"/>
      <c r="S6" s="1644"/>
      <c r="T6" s="1644"/>
      <c r="U6" s="1644"/>
      <c r="V6" s="196"/>
      <c r="W6" s="196"/>
      <c r="X6" s="1645"/>
      <c r="Y6" s="1645"/>
      <c r="Z6" s="196"/>
      <c r="AA6" s="196"/>
      <c r="AB6" s="196"/>
      <c r="AC6" s="196"/>
      <c r="AD6" s="1646"/>
      <c r="AE6" s="1647"/>
      <c r="AF6" s="1648"/>
      <c r="AH6" s="1649"/>
      <c r="AM6" s="1650"/>
    </row>
    <row r="7" spans="1:50" ht="20.100000000000001" customHeight="1">
      <c r="A7" s="1636"/>
      <c r="B7" s="1651" t="s">
        <v>1174</v>
      </c>
      <c r="C7" s="1652"/>
      <c r="D7" s="1652"/>
      <c r="E7" s="1652"/>
      <c r="F7" s="1651"/>
      <c r="G7" s="1653"/>
      <c r="H7" s="1654" t="s">
        <v>13</v>
      </c>
      <c r="I7" s="1636"/>
      <c r="J7" s="1636"/>
      <c r="K7" s="1636"/>
      <c r="L7" s="1636"/>
      <c r="M7" s="1636"/>
      <c r="N7" s="1675" t="str">
        <f>'FE-1770'!Q20</f>
        <v/>
      </c>
      <c r="O7" s="1675" t="str">
        <f>'FE-1770'!R20</f>
        <v/>
      </c>
      <c r="P7" s="1675" t="str">
        <f>'FE-1770'!S20</f>
        <v/>
      </c>
      <c r="Q7" s="1675" t="str">
        <f>'FE-1770'!T20</f>
        <v/>
      </c>
      <c r="R7" s="1675" t="str">
        <f>'FE-1770'!U20</f>
        <v/>
      </c>
      <c r="S7" s="1675" t="str">
        <f>'FE-1770'!V20</f>
        <v/>
      </c>
      <c r="T7" s="1675" t="str">
        <f>'FE-1770'!W20</f>
        <v/>
      </c>
      <c r="U7" s="1675" t="str">
        <f>'FE-1770'!X20</f>
        <v/>
      </c>
      <c r="V7" s="1675" t="str">
        <f>'FE-1770'!Y20</f>
        <v/>
      </c>
      <c r="W7" s="1675" t="str">
        <f>'FE-1770'!Z20</f>
        <v/>
      </c>
      <c r="X7" s="1675" t="str">
        <f>'FE-1770'!AA20</f>
        <v/>
      </c>
      <c r="Y7" s="1675" t="str">
        <f>'FE-1770'!AB20</f>
        <v/>
      </c>
      <c r="Z7" s="1675" t="str">
        <f>'FE-1770'!AC20</f>
        <v/>
      </c>
      <c r="AA7" s="1675" t="str">
        <f>'FE-1770'!AD20</f>
        <v/>
      </c>
      <c r="AB7" s="1675" t="str">
        <f>'FE-1770'!AE20</f>
        <v/>
      </c>
      <c r="AC7" s="1675" t="str">
        <f>'FE-1770'!AF20</f>
        <v/>
      </c>
      <c r="AD7" s="1675" t="str">
        <f>'FE-1770'!AG20</f>
        <v/>
      </c>
      <c r="AE7" s="1675" t="str">
        <f>'FE-1770'!AH20</f>
        <v/>
      </c>
      <c r="AF7" s="1675" t="str">
        <f>'FE-1770'!AI20</f>
        <v/>
      </c>
      <c r="AG7" s="1675" t="str">
        <f>'FE-1770'!AJ20</f>
        <v/>
      </c>
      <c r="AH7" s="1675" t="str">
        <f>'FE-1770'!AK20</f>
        <v/>
      </c>
      <c r="AI7" s="1675" t="str">
        <f>'FE-1770'!AL20</f>
        <v/>
      </c>
      <c r="AJ7" s="1675" t="str">
        <f>'FE-1770'!AM20</f>
        <v/>
      </c>
      <c r="AM7" s="1655"/>
      <c r="AN7" s="1655"/>
      <c r="AO7" s="1655"/>
      <c r="AP7" s="1636"/>
    </row>
    <row r="8" spans="1:50" ht="6" customHeight="1">
      <c r="A8" s="1636"/>
      <c r="B8" s="1651"/>
      <c r="C8" s="1652"/>
      <c r="D8" s="1652"/>
      <c r="E8" s="1652"/>
      <c r="F8" s="1651"/>
      <c r="G8" s="1653"/>
      <c r="H8" s="1654"/>
      <c r="I8" s="1636"/>
      <c r="J8" s="1636"/>
      <c r="K8" s="1636"/>
      <c r="L8" s="1636"/>
      <c r="M8" s="1636"/>
      <c r="N8" s="1656"/>
      <c r="O8" s="1656"/>
      <c r="P8" s="1656"/>
      <c r="Q8" s="1656"/>
      <c r="R8" s="1656"/>
      <c r="S8" s="1656"/>
      <c r="T8" s="1656"/>
      <c r="U8" s="1656"/>
      <c r="V8" s="1656"/>
      <c r="W8" s="1656"/>
      <c r="X8" s="1656"/>
      <c r="Y8" s="1656"/>
      <c r="Z8" s="1656"/>
      <c r="AA8" s="1656"/>
      <c r="AB8" s="1656"/>
      <c r="AC8" s="1656"/>
      <c r="AD8" s="1656"/>
      <c r="AE8" s="1656"/>
      <c r="AF8" s="1656"/>
      <c r="AG8" s="1656"/>
      <c r="AH8" s="1656"/>
      <c r="AI8" s="1656"/>
      <c r="AJ8" s="1656"/>
      <c r="AK8" s="1656"/>
      <c r="AL8" s="1656"/>
      <c r="AM8" s="1655"/>
      <c r="AN8" s="1655"/>
      <c r="AO8" s="1655"/>
      <c r="AP8" s="1636"/>
    </row>
    <row r="9" spans="1:50" ht="20.100000000000001" customHeight="1">
      <c r="A9" s="1636"/>
      <c r="B9" s="1651" t="s">
        <v>1376</v>
      </c>
      <c r="C9" s="1652"/>
      <c r="D9" s="1652"/>
      <c r="E9" s="1652"/>
      <c r="F9" s="1651"/>
      <c r="G9" s="1653"/>
      <c r="H9" s="196" t="s">
        <v>13</v>
      </c>
      <c r="I9" s="1636"/>
      <c r="J9" s="1636"/>
      <c r="K9" s="1636"/>
      <c r="L9" s="1636"/>
      <c r="M9" s="1636"/>
      <c r="N9" s="1675" t="str">
        <f>'FE-1770'!Q18</f>
        <v/>
      </c>
      <c r="O9" s="1675" t="str">
        <f>'FE-1770'!R18</f>
        <v/>
      </c>
      <c r="P9" s="1656"/>
      <c r="Q9" s="1675" t="str">
        <f>'FE-1770'!T18</f>
        <v/>
      </c>
      <c r="R9" s="1675" t="str">
        <f>'FE-1770'!U18</f>
        <v/>
      </c>
      <c r="S9" s="1675" t="str">
        <f>'FE-1770'!V18</f>
        <v/>
      </c>
      <c r="T9" s="1656"/>
      <c r="U9" s="1675" t="str">
        <f>'FE-1770'!X18</f>
        <v/>
      </c>
      <c r="V9" s="1675" t="str">
        <f>'FE-1770'!Y18</f>
        <v/>
      </c>
      <c r="W9" s="1675" t="str">
        <f>'FE-1770'!Z18</f>
        <v/>
      </c>
      <c r="X9" s="1656"/>
      <c r="Y9" s="1675" t="str">
        <f>'FE-1770'!AB18</f>
        <v/>
      </c>
      <c r="Z9" s="1656"/>
      <c r="AA9" s="1675" t="str">
        <f>'FE-1770'!AD18</f>
        <v/>
      </c>
      <c r="AB9" s="1675" t="str">
        <f>'FE-1770'!AE18</f>
        <v/>
      </c>
      <c r="AC9" s="1675" t="str">
        <f>'FE-1770'!AF18</f>
        <v/>
      </c>
      <c r="AD9" s="1657"/>
      <c r="AE9" s="1675" t="str">
        <f>'FE-1770'!AH18</f>
        <v/>
      </c>
      <c r="AF9" s="1675" t="str">
        <f>'FE-1770'!AI18</f>
        <v/>
      </c>
      <c r="AG9" s="1675" t="str">
        <f>'FE-1770'!AJ18</f>
        <v/>
      </c>
      <c r="AH9" s="1657"/>
      <c r="AI9" s="1657"/>
      <c r="AJ9" s="1658"/>
      <c r="AK9" s="1657"/>
      <c r="AL9" s="1657"/>
      <c r="AM9" s="1636"/>
      <c r="AN9" s="1636"/>
      <c r="AO9" s="1636"/>
      <c r="AP9" s="1636"/>
    </row>
    <row r="10" spans="1:50" s="1636" customFormat="1" ht="13.5" customHeight="1">
      <c r="B10" s="1659"/>
      <c r="C10" s="1659"/>
      <c r="D10" s="1660"/>
      <c r="E10" s="1661"/>
      <c r="F10" s="1661"/>
      <c r="G10" s="1661"/>
      <c r="H10" s="1662"/>
      <c r="I10" s="1662"/>
      <c r="J10" s="1662"/>
      <c r="K10" s="1662"/>
      <c r="L10" s="1662"/>
      <c r="M10" s="1662"/>
      <c r="N10" s="1663"/>
      <c r="O10" s="1663"/>
      <c r="P10" s="1663"/>
      <c r="Q10" s="1663"/>
      <c r="R10" s="1663"/>
      <c r="S10" s="1663"/>
      <c r="T10" s="1648"/>
      <c r="U10" s="1648"/>
      <c r="V10" s="1648"/>
      <c r="W10" s="1648"/>
      <c r="X10" s="1648"/>
      <c r="Y10" s="1648"/>
      <c r="Z10" s="1648"/>
      <c r="AA10" s="1648"/>
      <c r="AB10" s="1648"/>
      <c r="AC10" s="1648"/>
      <c r="AD10" s="1664"/>
      <c r="AE10" s="1664"/>
      <c r="AF10" s="1648"/>
      <c r="AG10" s="1663"/>
      <c r="AH10" s="1665"/>
      <c r="AI10" s="1666"/>
      <c r="AJ10" s="1650"/>
      <c r="AK10" s="1650"/>
      <c r="AL10" s="1650"/>
      <c r="AM10" s="1650"/>
      <c r="AN10" s="1650"/>
      <c r="AO10" s="1650"/>
      <c r="AP10" s="1650"/>
      <c r="AQ10" s="1663"/>
    </row>
    <row r="11" spans="1:50" ht="15" customHeight="1">
      <c r="B11" s="1651" t="s">
        <v>1377</v>
      </c>
      <c r="C11" s="1652"/>
      <c r="D11" s="1652"/>
      <c r="E11" s="1652"/>
      <c r="F11" s="1651"/>
      <c r="G11" s="1653"/>
      <c r="H11" s="196" t="s">
        <v>13</v>
      </c>
      <c r="I11" s="1659"/>
      <c r="J11" s="1659"/>
      <c r="K11" s="1659"/>
      <c r="L11" s="1659"/>
      <c r="M11" s="1659"/>
      <c r="N11" s="1659"/>
      <c r="O11" s="1659"/>
      <c r="P11" s="1659"/>
      <c r="Q11" s="1659"/>
      <c r="R11" s="1659"/>
      <c r="S11" s="1659"/>
      <c r="T11" s="1659"/>
      <c r="U11" s="1659"/>
      <c r="V11" s="1659"/>
      <c r="W11" s="1659"/>
      <c r="X11" s="1659"/>
      <c r="Y11" s="1659"/>
      <c r="Z11" s="1659"/>
      <c r="AA11" s="1659"/>
      <c r="AB11" s="1659"/>
      <c r="AC11" s="1659"/>
      <c r="AD11" s="1659"/>
      <c r="AE11" s="1659"/>
      <c r="AF11" s="1659"/>
      <c r="AG11" s="1659"/>
      <c r="AH11" s="1659"/>
      <c r="AI11" s="1659"/>
      <c r="AJ11" s="1659"/>
      <c r="AK11" s="1659"/>
      <c r="AL11" s="1659"/>
      <c r="AM11" s="1659"/>
      <c r="AN11" s="1659"/>
      <c r="AO11" s="1659"/>
      <c r="AP11" s="1659"/>
      <c r="AQ11" s="1659"/>
      <c r="AR11" s="1659"/>
      <c r="AS11" s="1659"/>
      <c r="AT11" s="1659"/>
      <c r="AU11" s="1659"/>
      <c r="AV11" s="1659"/>
      <c r="AW11" s="1659"/>
      <c r="AX11" s="1659"/>
    </row>
    <row r="12" spans="1:50" ht="10.5" customHeight="1">
      <c r="B12" s="1651"/>
      <c r="C12" s="1652"/>
      <c r="D12" s="1652"/>
      <c r="E12" s="1652"/>
      <c r="F12" s="1651"/>
      <c r="G12" s="1653"/>
      <c r="H12" s="196"/>
      <c r="I12" s="1659"/>
      <c r="J12" s="1659"/>
      <c r="K12" s="1659"/>
      <c r="L12" s="1659"/>
      <c r="M12" s="1659"/>
      <c r="N12" s="1659"/>
      <c r="O12" s="1659"/>
      <c r="P12" s="1659"/>
      <c r="Q12" s="1659"/>
      <c r="R12" s="1659"/>
      <c r="S12" s="1659"/>
      <c r="T12" s="1659"/>
      <c r="U12" s="1659"/>
      <c r="V12" s="1659"/>
      <c r="W12" s="1659"/>
      <c r="X12" s="1659"/>
      <c r="Y12" s="1659"/>
      <c r="Z12" s="1659"/>
      <c r="AA12" s="1659"/>
      <c r="AB12" s="1659"/>
      <c r="AC12" s="1659"/>
      <c r="AD12" s="1659"/>
      <c r="AE12" s="1659"/>
      <c r="AF12" s="1659"/>
      <c r="AG12" s="1659"/>
      <c r="AH12" s="1659"/>
      <c r="AI12" s="1659"/>
      <c r="AJ12" s="1659"/>
      <c r="AK12" s="1659"/>
      <c r="AL12" s="1659"/>
      <c r="AM12" s="1659"/>
      <c r="AN12" s="1659"/>
      <c r="AO12" s="1659"/>
      <c r="AP12" s="1659"/>
      <c r="AQ12" s="1659"/>
      <c r="AR12" s="1659"/>
      <c r="AS12" s="1659"/>
      <c r="AT12" s="1659"/>
      <c r="AU12" s="1659"/>
      <c r="AV12" s="1659"/>
      <c r="AW12" s="1659"/>
      <c r="AX12" s="1659"/>
    </row>
    <row r="13" spans="1:50" s="1667" customFormat="1" ht="19.5" customHeight="1">
      <c r="B13" s="1668"/>
      <c r="C13" s="1669"/>
      <c r="D13" s="1669"/>
      <c r="E13" s="1669"/>
      <c r="F13" s="1668"/>
      <c r="G13" s="1670"/>
      <c r="H13" s="1657"/>
      <c r="I13" s="1671"/>
      <c r="J13" s="1671"/>
      <c r="K13" s="1671"/>
      <c r="L13" s="1671"/>
      <c r="M13" s="1671"/>
      <c r="N13" s="1671"/>
      <c r="O13" s="1671"/>
      <c r="P13" s="1671"/>
      <c r="Q13" s="1671"/>
      <c r="R13" s="1671"/>
      <c r="S13" s="1671"/>
      <c r="T13" s="1671"/>
      <c r="U13" s="1671"/>
      <c r="V13" s="1671"/>
      <c r="W13" s="1671"/>
      <c r="X13" s="1671"/>
      <c r="Y13" s="1671"/>
      <c r="Z13" s="1671"/>
      <c r="AA13" s="1671"/>
      <c r="AB13" s="1671"/>
      <c r="AC13" s="1671"/>
      <c r="AD13" s="1671"/>
      <c r="AE13" s="1671"/>
      <c r="AF13" s="1671"/>
      <c r="AG13" s="1671"/>
      <c r="AH13" s="1671"/>
      <c r="AI13" s="1671"/>
      <c r="AJ13" s="1671"/>
      <c r="AK13" s="1671"/>
      <c r="AL13" s="1671"/>
      <c r="AM13" s="1671"/>
      <c r="AN13" s="1671"/>
      <c r="AO13" s="1671"/>
      <c r="AP13" s="1671"/>
      <c r="AQ13" s="1671"/>
      <c r="AR13" s="1671"/>
      <c r="AS13" s="1671"/>
      <c r="AT13" s="1671"/>
      <c r="AU13" s="1671"/>
      <c r="AV13" s="1671"/>
      <c r="AW13" s="1671"/>
      <c r="AX13" s="1671"/>
    </row>
    <row r="14" spans="1:50" s="1667" customFormat="1" ht="19.5" customHeight="1">
      <c r="B14" s="1671"/>
      <c r="C14" s="1671"/>
      <c r="D14" s="1671"/>
      <c r="E14" s="1671"/>
      <c r="F14" s="1671"/>
      <c r="G14" s="1671"/>
      <c r="H14" s="1671"/>
      <c r="I14" s="1671"/>
      <c r="J14" s="1671"/>
      <c r="K14" s="1671"/>
      <c r="L14" s="1671"/>
      <c r="M14" s="1671"/>
      <c r="N14" s="1671"/>
      <c r="O14" s="1671"/>
      <c r="P14" s="1671"/>
      <c r="Q14" s="1671"/>
      <c r="R14" s="1671"/>
      <c r="S14" s="1671"/>
      <c r="T14" s="1671"/>
      <c r="U14" s="1671"/>
      <c r="V14" s="1671"/>
      <c r="W14" s="1671"/>
      <c r="X14" s="1671"/>
      <c r="Y14" s="1671"/>
      <c r="Z14" s="1671"/>
      <c r="AA14" s="1671"/>
      <c r="AB14" s="1671"/>
      <c r="AC14" s="1671"/>
      <c r="AD14" s="1671"/>
      <c r="AE14" s="1671"/>
      <c r="AF14" s="1671"/>
      <c r="AG14" s="1671"/>
      <c r="AH14" s="1671"/>
      <c r="AI14" s="1671"/>
      <c r="AJ14" s="1671"/>
      <c r="AK14" s="1671"/>
      <c r="AL14" s="1671"/>
      <c r="AM14" s="1671"/>
      <c r="AN14" s="1671"/>
      <c r="AO14" s="1671"/>
      <c r="AP14" s="1671"/>
      <c r="AQ14" s="1671"/>
      <c r="AR14" s="1671"/>
      <c r="AS14" s="1671"/>
      <c r="AT14" s="1671"/>
      <c r="AU14" s="1671"/>
      <c r="AV14" s="1671"/>
      <c r="AW14" s="1671"/>
      <c r="AX14" s="1671"/>
    </row>
    <row r="15" spans="1:50" s="1668" customFormat="1" ht="19.5" customHeight="1">
      <c r="B15" s="3068" t="s">
        <v>361</v>
      </c>
      <c r="C15" s="3068"/>
      <c r="D15" s="3068" t="s">
        <v>446</v>
      </c>
      <c r="E15" s="3068"/>
      <c r="F15" s="3068"/>
      <c r="G15" s="3068"/>
      <c r="H15" s="3068"/>
      <c r="I15" s="3068"/>
      <c r="J15" s="3068"/>
      <c r="K15" s="3068"/>
      <c r="L15" s="3068"/>
      <c r="M15" s="3068"/>
      <c r="N15" s="3068" t="s">
        <v>1378</v>
      </c>
      <c r="O15" s="3068"/>
      <c r="P15" s="3068"/>
      <c r="Q15" s="3068"/>
      <c r="R15" s="3068"/>
      <c r="S15" s="3068"/>
      <c r="T15" s="3068"/>
      <c r="U15" s="3068"/>
      <c r="V15" s="3068"/>
      <c r="W15" s="3068"/>
      <c r="X15" s="3068"/>
      <c r="Y15" s="3068"/>
      <c r="Z15" s="3068"/>
      <c r="AA15" s="3068"/>
      <c r="AB15" s="3068"/>
      <c r="AC15" s="3068"/>
      <c r="AD15" s="3068"/>
      <c r="AE15" s="3068" t="s">
        <v>1379</v>
      </c>
      <c r="AF15" s="3068"/>
      <c r="AG15" s="3068"/>
      <c r="AH15" s="3068"/>
      <c r="AI15" s="3068"/>
      <c r="AJ15" s="3068"/>
      <c r="AK15" s="3068"/>
      <c r="AL15" s="3068"/>
    </row>
    <row r="16" spans="1:50" s="1668" customFormat="1" ht="19.5" customHeight="1">
      <c r="B16" s="3064">
        <v>1</v>
      </c>
      <c r="C16" s="3064"/>
      <c r="D16" s="3064" t="s">
        <v>451</v>
      </c>
      <c r="E16" s="3064"/>
      <c r="F16" s="3064"/>
      <c r="G16" s="3064"/>
      <c r="H16" s="3064"/>
      <c r="I16" s="3064"/>
      <c r="J16" s="3064"/>
      <c r="K16" s="3064"/>
      <c r="L16" s="3064"/>
      <c r="M16" s="3064"/>
      <c r="N16" s="3065">
        <v>0</v>
      </c>
      <c r="O16" s="3066"/>
      <c r="P16" s="3066"/>
      <c r="Q16" s="3066"/>
      <c r="R16" s="3066"/>
      <c r="S16" s="3066"/>
      <c r="T16" s="3066"/>
      <c r="U16" s="3066"/>
      <c r="V16" s="3066"/>
      <c r="W16" s="3066"/>
      <c r="X16" s="3066"/>
      <c r="Y16" s="3066"/>
      <c r="Z16" s="3066"/>
      <c r="AA16" s="3066"/>
      <c r="AB16" s="3066"/>
      <c r="AC16" s="3066"/>
      <c r="AD16" s="3066"/>
      <c r="AE16" s="3067"/>
      <c r="AF16" s="3067"/>
      <c r="AG16" s="3067"/>
      <c r="AH16" s="3067"/>
      <c r="AI16" s="3067"/>
      <c r="AJ16" s="3067"/>
      <c r="AK16" s="3067"/>
      <c r="AL16" s="3067"/>
    </row>
    <row r="17" spans="2:38" s="1668" customFormat="1" ht="19.5" customHeight="1">
      <c r="B17" s="3064">
        <v>2</v>
      </c>
      <c r="C17" s="3064"/>
      <c r="D17" s="3064" t="s">
        <v>452</v>
      </c>
      <c r="E17" s="3064"/>
      <c r="F17" s="3064"/>
      <c r="G17" s="3064"/>
      <c r="H17" s="3064"/>
      <c r="I17" s="3064"/>
      <c r="J17" s="3064"/>
      <c r="K17" s="3064"/>
      <c r="L17" s="3064"/>
      <c r="M17" s="3064"/>
      <c r="N17" s="3065">
        <v>0</v>
      </c>
      <c r="O17" s="3066"/>
      <c r="P17" s="3066"/>
      <c r="Q17" s="3066"/>
      <c r="R17" s="3066"/>
      <c r="S17" s="3066"/>
      <c r="T17" s="3066"/>
      <c r="U17" s="3066"/>
      <c r="V17" s="3066"/>
      <c r="W17" s="3066"/>
      <c r="X17" s="3066"/>
      <c r="Y17" s="3066"/>
      <c r="Z17" s="3066"/>
      <c r="AA17" s="3066"/>
      <c r="AB17" s="3066"/>
      <c r="AC17" s="3066"/>
      <c r="AD17" s="3066"/>
      <c r="AE17" s="3067"/>
      <c r="AF17" s="3067"/>
      <c r="AG17" s="3067"/>
      <c r="AH17" s="3067"/>
      <c r="AI17" s="3067"/>
      <c r="AJ17" s="3067"/>
      <c r="AK17" s="3067"/>
      <c r="AL17" s="3067"/>
    </row>
    <row r="18" spans="2:38" s="1668" customFormat="1" ht="19.5" customHeight="1">
      <c r="B18" s="3064">
        <v>3</v>
      </c>
      <c r="C18" s="3064"/>
      <c r="D18" s="3064" t="s">
        <v>453</v>
      </c>
      <c r="E18" s="3064"/>
      <c r="F18" s="3064"/>
      <c r="G18" s="3064"/>
      <c r="H18" s="3064"/>
      <c r="I18" s="3064"/>
      <c r="J18" s="3064"/>
      <c r="K18" s="3064"/>
      <c r="L18" s="3064"/>
      <c r="M18" s="3064"/>
      <c r="N18" s="3065">
        <v>0</v>
      </c>
      <c r="O18" s="3066"/>
      <c r="P18" s="3066"/>
      <c r="Q18" s="3066"/>
      <c r="R18" s="3066"/>
      <c r="S18" s="3066"/>
      <c r="T18" s="3066"/>
      <c r="U18" s="3066"/>
      <c r="V18" s="3066"/>
      <c r="W18" s="3066"/>
      <c r="X18" s="3066"/>
      <c r="Y18" s="3066"/>
      <c r="Z18" s="3066"/>
      <c r="AA18" s="3066"/>
      <c r="AB18" s="3066"/>
      <c r="AC18" s="3066"/>
      <c r="AD18" s="3066"/>
      <c r="AE18" s="3067"/>
      <c r="AF18" s="3067"/>
      <c r="AG18" s="3067"/>
      <c r="AH18" s="3067"/>
      <c r="AI18" s="3067"/>
      <c r="AJ18" s="3067"/>
      <c r="AK18" s="3067"/>
      <c r="AL18" s="3067"/>
    </row>
    <row r="19" spans="2:38" s="1668" customFormat="1" ht="19.5" customHeight="1">
      <c r="B19" s="3064">
        <v>4</v>
      </c>
      <c r="C19" s="3064"/>
      <c r="D19" s="3064" t="s">
        <v>454</v>
      </c>
      <c r="E19" s="3064"/>
      <c r="F19" s="3064"/>
      <c r="G19" s="3064"/>
      <c r="H19" s="3064"/>
      <c r="I19" s="3064"/>
      <c r="J19" s="3064"/>
      <c r="K19" s="3064"/>
      <c r="L19" s="3064"/>
      <c r="M19" s="3064"/>
      <c r="N19" s="3065">
        <v>0</v>
      </c>
      <c r="O19" s="3066"/>
      <c r="P19" s="3066"/>
      <c r="Q19" s="3066"/>
      <c r="R19" s="3066"/>
      <c r="S19" s="3066"/>
      <c r="T19" s="3066"/>
      <c r="U19" s="3066"/>
      <c r="V19" s="3066"/>
      <c r="W19" s="3066"/>
      <c r="X19" s="3066"/>
      <c r="Y19" s="3066"/>
      <c r="Z19" s="3066"/>
      <c r="AA19" s="3066"/>
      <c r="AB19" s="3066"/>
      <c r="AC19" s="3066"/>
      <c r="AD19" s="3066"/>
      <c r="AE19" s="3067"/>
      <c r="AF19" s="3067"/>
      <c r="AG19" s="3067"/>
      <c r="AH19" s="3067"/>
      <c r="AI19" s="3067"/>
      <c r="AJ19" s="3067"/>
      <c r="AK19" s="3067"/>
      <c r="AL19" s="3067"/>
    </row>
    <row r="20" spans="2:38" s="1668" customFormat="1" ht="19.5" customHeight="1">
      <c r="B20" s="3064">
        <v>5</v>
      </c>
      <c r="C20" s="3064"/>
      <c r="D20" s="3064" t="s">
        <v>455</v>
      </c>
      <c r="E20" s="3064"/>
      <c r="F20" s="3064"/>
      <c r="G20" s="3064"/>
      <c r="H20" s="3064"/>
      <c r="I20" s="3064"/>
      <c r="J20" s="3064"/>
      <c r="K20" s="3064"/>
      <c r="L20" s="3064"/>
      <c r="M20" s="3064"/>
      <c r="N20" s="3065">
        <v>0</v>
      </c>
      <c r="O20" s="3066"/>
      <c r="P20" s="3066"/>
      <c r="Q20" s="3066"/>
      <c r="R20" s="3066"/>
      <c r="S20" s="3066"/>
      <c r="T20" s="3066"/>
      <c r="U20" s="3066"/>
      <c r="V20" s="3066"/>
      <c r="W20" s="3066"/>
      <c r="X20" s="3066"/>
      <c r="Y20" s="3066"/>
      <c r="Z20" s="3066"/>
      <c r="AA20" s="3066"/>
      <c r="AB20" s="3066"/>
      <c r="AC20" s="3066"/>
      <c r="AD20" s="3066"/>
      <c r="AE20" s="3067"/>
      <c r="AF20" s="3067"/>
      <c r="AG20" s="3067"/>
      <c r="AH20" s="3067"/>
      <c r="AI20" s="3067"/>
      <c r="AJ20" s="3067"/>
      <c r="AK20" s="3067"/>
      <c r="AL20" s="3067"/>
    </row>
    <row r="21" spans="2:38" s="1668" customFormat="1" ht="19.5" customHeight="1">
      <c r="B21" s="3064">
        <v>6</v>
      </c>
      <c r="C21" s="3064"/>
      <c r="D21" s="3064" t="s">
        <v>456</v>
      </c>
      <c r="E21" s="3064"/>
      <c r="F21" s="3064"/>
      <c r="G21" s="3064"/>
      <c r="H21" s="3064"/>
      <c r="I21" s="3064"/>
      <c r="J21" s="3064"/>
      <c r="K21" s="3064"/>
      <c r="L21" s="3064"/>
      <c r="M21" s="3064"/>
      <c r="N21" s="3065">
        <v>0</v>
      </c>
      <c r="O21" s="3066"/>
      <c r="P21" s="3066"/>
      <c r="Q21" s="3066"/>
      <c r="R21" s="3066"/>
      <c r="S21" s="3066"/>
      <c r="T21" s="3066"/>
      <c r="U21" s="3066"/>
      <c r="V21" s="3066"/>
      <c r="W21" s="3066"/>
      <c r="X21" s="3066"/>
      <c r="Y21" s="3066"/>
      <c r="Z21" s="3066"/>
      <c r="AA21" s="3066"/>
      <c r="AB21" s="3066"/>
      <c r="AC21" s="3066"/>
      <c r="AD21" s="3066"/>
      <c r="AE21" s="3067"/>
      <c r="AF21" s="3067"/>
      <c r="AG21" s="3067"/>
      <c r="AH21" s="3067"/>
      <c r="AI21" s="3067"/>
      <c r="AJ21" s="3067"/>
      <c r="AK21" s="3067"/>
      <c r="AL21" s="3067"/>
    </row>
    <row r="22" spans="2:38" s="1668" customFormat="1" ht="19.5" customHeight="1">
      <c r="B22" s="3064">
        <v>7</v>
      </c>
      <c r="C22" s="3064"/>
      <c r="D22" s="3064" t="s">
        <v>457</v>
      </c>
      <c r="E22" s="3064"/>
      <c r="F22" s="3064"/>
      <c r="G22" s="3064"/>
      <c r="H22" s="3064"/>
      <c r="I22" s="3064"/>
      <c r="J22" s="3064"/>
      <c r="K22" s="3064"/>
      <c r="L22" s="3064"/>
      <c r="M22" s="3064"/>
      <c r="N22" s="3065">
        <v>0</v>
      </c>
      <c r="O22" s="3066"/>
      <c r="P22" s="3066"/>
      <c r="Q22" s="3066"/>
      <c r="R22" s="3066"/>
      <c r="S22" s="3066"/>
      <c r="T22" s="3066"/>
      <c r="U22" s="3066"/>
      <c r="V22" s="3066"/>
      <c r="W22" s="3066"/>
      <c r="X22" s="3066"/>
      <c r="Y22" s="3066"/>
      <c r="Z22" s="3066"/>
      <c r="AA22" s="3066"/>
      <c r="AB22" s="3066"/>
      <c r="AC22" s="3066"/>
      <c r="AD22" s="3066"/>
      <c r="AE22" s="3067"/>
      <c r="AF22" s="3067"/>
      <c r="AG22" s="3067"/>
      <c r="AH22" s="3067"/>
      <c r="AI22" s="3067"/>
      <c r="AJ22" s="3067"/>
      <c r="AK22" s="3067"/>
      <c r="AL22" s="3067"/>
    </row>
    <row r="23" spans="2:38" s="1668" customFormat="1" ht="19.5" customHeight="1">
      <c r="B23" s="3064">
        <v>8</v>
      </c>
      <c r="C23" s="3064"/>
      <c r="D23" s="3064" t="s">
        <v>458</v>
      </c>
      <c r="E23" s="3064"/>
      <c r="F23" s="3064"/>
      <c r="G23" s="3064"/>
      <c r="H23" s="3064"/>
      <c r="I23" s="3064"/>
      <c r="J23" s="3064"/>
      <c r="K23" s="3064"/>
      <c r="L23" s="3064"/>
      <c r="M23" s="3064"/>
      <c r="N23" s="3065">
        <v>0</v>
      </c>
      <c r="O23" s="3066"/>
      <c r="P23" s="3066"/>
      <c r="Q23" s="3066"/>
      <c r="R23" s="3066"/>
      <c r="S23" s="3066"/>
      <c r="T23" s="3066"/>
      <c r="U23" s="3066"/>
      <c r="V23" s="3066"/>
      <c r="W23" s="3066"/>
      <c r="X23" s="3066"/>
      <c r="Y23" s="3066"/>
      <c r="Z23" s="3066"/>
      <c r="AA23" s="3066"/>
      <c r="AB23" s="3066"/>
      <c r="AC23" s="3066"/>
      <c r="AD23" s="3066"/>
      <c r="AE23" s="3067"/>
      <c r="AF23" s="3067"/>
      <c r="AG23" s="3067"/>
      <c r="AH23" s="3067"/>
      <c r="AI23" s="3067"/>
      <c r="AJ23" s="3067"/>
      <c r="AK23" s="3067"/>
      <c r="AL23" s="3067"/>
    </row>
    <row r="24" spans="2:38" s="1668" customFormat="1" ht="19.5" customHeight="1">
      <c r="B24" s="3064">
        <v>9</v>
      </c>
      <c r="C24" s="3064"/>
      <c r="D24" s="3064" t="s">
        <v>459</v>
      </c>
      <c r="E24" s="3064"/>
      <c r="F24" s="3064"/>
      <c r="G24" s="3064"/>
      <c r="H24" s="3064"/>
      <c r="I24" s="3064"/>
      <c r="J24" s="3064"/>
      <c r="K24" s="3064"/>
      <c r="L24" s="3064"/>
      <c r="M24" s="3064"/>
      <c r="N24" s="3065">
        <v>0</v>
      </c>
      <c r="O24" s="3066"/>
      <c r="P24" s="3066"/>
      <c r="Q24" s="3066"/>
      <c r="R24" s="3066"/>
      <c r="S24" s="3066"/>
      <c r="T24" s="3066"/>
      <c r="U24" s="3066"/>
      <c r="V24" s="3066"/>
      <c r="W24" s="3066"/>
      <c r="X24" s="3066"/>
      <c r="Y24" s="3066"/>
      <c r="Z24" s="3066"/>
      <c r="AA24" s="3066"/>
      <c r="AB24" s="3066"/>
      <c r="AC24" s="3066"/>
      <c r="AD24" s="3066"/>
      <c r="AE24" s="3067"/>
      <c r="AF24" s="3067"/>
      <c r="AG24" s="3067"/>
      <c r="AH24" s="3067"/>
      <c r="AI24" s="3067"/>
      <c r="AJ24" s="3067"/>
      <c r="AK24" s="3067"/>
      <c r="AL24" s="3067"/>
    </row>
    <row r="25" spans="2:38" s="1668" customFormat="1" ht="19.5" customHeight="1">
      <c r="B25" s="3064">
        <v>10</v>
      </c>
      <c r="C25" s="3064"/>
      <c r="D25" s="3064" t="s">
        <v>460</v>
      </c>
      <c r="E25" s="3064"/>
      <c r="F25" s="3064"/>
      <c r="G25" s="3064"/>
      <c r="H25" s="3064"/>
      <c r="I25" s="3064"/>
      <c r="J25" s="3064"/>
      <c r="K25" s="3064"/>
      <c r="L25" s="3064"/>
      <c r="M25" s="3064"/>
      <c r="N25" s="3065">
        <v>0</v>
      </c>
      <c r="O25" s="3066"/>
      <c r="P25" s="3066"/>
      <c r="Q25" s="3066"/>
      <c r="R25" s="3066"/>
      <c r="S25" s="3066"/>
      <c r="T25" s="3066"/>
      <c r="U25" s="3066"/>
      <c r="V25" s="3066"/>
      <c r="W25" s="3066"/>
      <c r="X25" s="3066"/>
      <c r="Y25" s="3066"/>
      <c r="Z25" s="3066"/>
      <c r="AA25" s="3066"/>
      <c r="AB25" s="3066"/>
      <c r="AC25" s="3066"/>
      <c r="AD25" s="3066"/>
      <c r="AE25" s="3067"/>
      <c r="AF25" s="3067"/>
      <c r="AG25" s="3067"/>
      <c r="AH25" s="3067"/>
      <c r="AI25" s="3067"/>
      <c r="AJ25" s="3067"/>
      <c r="AK25" s="3067"/>
      <c r="AL25" s="3067"/>
    </row>
    <row r="26" spans="2:38" s="1668" customFormat="1" ht="19.5" customHeight="1">
      <c r="B26" s="3064">
        <v>11</v>
      </c>
      <c r="C26" s="3064"/>
      <c r="D26" s="3064" t="s">
        <v>461</v>
      </c>
      <c r="E26" s="3064"/>
      <c r="F26" s="3064"/>
      <c r="G26" s="3064"/>
      <c r="H26" s="3064"/>
      <c r="I26" s="3064"/>
      <c r="J26" s="3064"/>
      <c r="K26" s="3064"/>
      <c r="L26" s="3064"/>
      <c r="M26" s="3064"/>
      <c r="N26" s="3065">
        <v>0</v>
      </c>
      <c r="O26" s="3066"/>
      <c r="P26" s="3066"/>
      <c r="Q26" s="3066"/>
      <c r="R26" s="3066"/>
      <c r="S26" s="3066"/>
      <c r="T26" s="3066"/>
      <c r="U26" s="3066"/>
      <c r="V26" s="3066"/>
      <c r="W26" s="3066"/>
      <c r="X26" s="3066"/>
      <c r="Y26" s="3066"/>
      <c r="Z26" s="3066"/>
      <c r="AA26" s="3066"/>
      <c r="AB26" s="3066"/>
      <c r="AC26" s="3066"/>
      <c r="AD26" s="3066"/>
      <c r="AE26" s="3067"/>
      <c r="AF26" s="3067"/>
      <c r="AG26" s="3067"/>
      <c r="AH26" s="3067"/>
      <c r="AI26" s="3067"/>
      <c r="AJ26" s="3067"/>
      <c r="AK26" s="3067"/>
      <c r="AL26" s="3067"/>
    </row>
    <row r="27" spans="2:38" s="1668" customFormat="1" ht="19.5" customHeight="1">
      <c r="B27" s="3064">
        <v>12</v>
      </c>
      <c r="C27" s="3064"/>
      <c r="D27" s="3064" t="s">
        <v>462</v>
      </c>
      <c r="E27" s="3064"/>
      <c r="F27" s="3064"/>
      <c r="G27" s="3064"/>
      <c r="H27" s="3064"/>
      <c r="I27" s="3064"/>
      <c r="J27" s="3064"/>
      <c r="K27" s="3064"/>
      <c r="L27" s="3064"/>
      <c r="M27" s="3064"/>
      <c r="N27" s="3065">
        <v>0</v>
      </c>
      <c r="O27" s="3066"/>
      <c r="P27" s="3066"/>
      <c r="Q27" s="3066"/>
      <c r="R27" s="3066"/>
      <c r="S27" s="3066"/>
      <c r="T27" s="3066"/>
      <c r="U27" s="3066"/>
      <c r="V27" s="3066"/>
      <c r="W27" s="3066"/>
      <c r="X27" s="3066"/>
      <c r="Y27" s="3066"/>
      <c r="Z27" s="3066"/>
      <c r="AA27" s="3066"/>
      <c r="AB27" s="3066"/>
      <c r="AC27" s="3066"/>
      <c r="AD27" s="3066"/>
      <c r="AE27" s="3067"/>
      <c r="AF27" s="3067"/>
      <c r="AG27" s="3067"/>
      <c r="AH27" s="3067"/>
      <c r="AI27" s="3067"/>
      <c r="AJ27" s="3067"/>
      <c r="AK27" s="3067"/>
      <c r="AL27" s="3067"/>
    </row>
    <row r="28" spans="2:38" s="1668" customFormat="1" ht="19.5" customHeight="1">
      <c r="B28" s="1672"/>
      <c r="C28" s="1672"/>
      <c r="D28" s="1672"/>
      <c r="E28" s="1672"/>
      <c r="F28" s="1672"/>
      <c r="G28" s="1672"/>
      <c r="H28" s="1672"/>
      <c r="I28" s="1672"/>
      <c r="J28" s="1672"/>
      <c r="K28" s="1672"/>
      <c r="L28" s="1672"/>
      <c r="M28" s="1672"/>
      <c r="N28" s="1672"/>
      <c r="O28" s="1672"/>
      <c r="P28" s="1672"/>
      <c r="Q28" s="1672"/>
      <c r="R28" s="1672"/>
      <c r="S28" s="1672"/>
      <c r="T28" s="1672"/>
      <c r="U28" s="1672"/>
      <c r="V28" s="1672"/>
      <c r="W28" s="1672"/>
      <c r="X28" s="1672"/>
      <c r="Y28" s="1672"/>
      <c r="Z28" s="1672"/>
      <c r="AA28" s="1672"/>
      <c r="AB28" s="1672"/>
      <c r="AC28" s="1672"/>
      <c r="AD28" s="1672"/>
      <c r="AE28" s="1672"/>
      <c r="AF28" s="1672"/>
      <c r="AG28" s="1672"/>
      <c r="AH28" s="1672"/>
      <c r="AI28" s="1672"/>
      <c r="AJ28" s="1672"/>
      <c r="AK28" s="1672"/>
      <c r="AL28" s="1672"/>
    </row>
    <row r="29" spans="2:38" s="1651" customFormat="1" ht="15" customHeight="1"/>
    <row r="30" spans="2:38" s="1651" customFormat="1" ht="15" customHeight="1">
      <c r="AB30" s="1656"/>
      <c r="AC30" s="1677"/>
      <c r="AD30" s="1677"/>
      <c r="AE30" s="1656"/>
      <c r="AF30" s="1677"/>
      <c r="AG30" s="1677"/>
      <c r="AH30" s="1656"/>
      <c r="AI30" s="1677"/>
      <c r="AJ30" s="1677"/>
      <c r="AK30" s="1677"/>
      <c r="AL30" s="1677"/>
    </row>
    <row r="31" spans="2:38" s="1651" customFormat="1" ht="15" customHeight="1">
      <c r="AB31" s="1656"/>
      <c r="AC31" s="1656"/>
      <c r="AD31" s="1656"/>
      <c r="AE31" s="1656"/>
      <c r="AF31" s="1656"/>
      <c r="AG31" s="1656"/>
      <c r="AH31" s="1656"/>
      <c r="AI31" s="1656"/>
      <c r="AJ31" s="1656"/>
      <c r="AK31" s="1656"/>
      <c r="AL31" s="1656"/>
    </row>
    <row r="32" spans="2:38" s="1651" customFormat="1" ht="15" customHeight="1">
      <c r="AB32" s="1656"/>
      <c r="AC32" s="3062" t="s">
        <v>1380</v>
      </c>
      <c r="AD32" s="3062"/>
      <c r="AE32" s="3062"/>
      <c r="AF32" s="3062"/>
      <c r="AG32" s="3062"/>
      <c r="AH32" s="3062"/>
      <c r="AI32" s="3062"/>
      <c r="AJ32" s="3062"/>
      <c r="AK32" s="3062"/>
      <c r="AL32" s="3062"/>
    </row>
    <row r="33" spans="28:38" s="1651" customFormat="1" ht="15" customHeight="1">
      <c r="AB33" s="1656"/>
      <c r="AC33" s="1656"/>
      <c r="AD33" s="1656"/>
      <c r="AE33" s="1656"/>
      <c r="AF33" s="1656"/>
      <c r="AG33" s="1656"/>
      <c r="AH33" s="1656"/>
      <c r="AI33" s="1656"/>
      <c r="AJ33" s="1656"/>
      <c r="AK33" s="1656"/>
      <c r="AL33" s="1656"/>
    </row>
    <row r="34" spans="28:38" s="1651" customFormat="1" ht="15" customHeight="1">
      <c r="AB34" s="1656"/>
      <c r="AC34" s="1656"/>
      <c r="AD34" s="1656"/>
      <c r="AE34" s="1656"/>
      <c r="AF34" s="1656"/>
      <c r="AG34" s="1656"/>
      <c r="AH34" s="1656"/>
      <c r="AI34" s="1656"/>
      <c r="AJ34" s="1656"/>
      <c r="AK34" s="1656"/>
      <c r="AL34" s="1656"/>
    </row>
    <row r="35" spans="28:38" s="1651" customFormat="1" ht="15" customHeight="1">
      <c r="AB35" s="1656"/>
      <c r="AC35" s="1656"/>
      <c r="AD35" s="1656"/>
      <c r="AE35" s="1656"/>
      <c r="AF35" s="1656"/>
      <c r="AG35" s="1656"/>
      <c r="AH35" s="1656"/>
      <c r="AI35" s="1656"/>
      <c r="AJ35" s="1656"/>
      <c r="AK35" s="1656"/>
      <c r="AL35" s="1656"/>
    </row>
    <row r="36" spans="28:38" s="1651" customFormat="1" ht="15" customHeight="1">
      <c r="AC36" s="3063" t="str">
        <f>Attachment!A5</f>
        <v/>
      </c>
      <c r="AD36" s="3063"/>
      <c r="AE36" s="3063"/>
      <c r="AF36" s="3063"/>
      <c r="AG36" s="3063"/>
      <c r="AH36" s="3063"/>
      <c r="AI36" s="3063"/>
      <c r="AJ36" s="3063"/>
      <c r="AK36" s="3063"/>
      <c r="AL36" s="3063"/>
    </row>
    <row r="37" spans="28:38" ht="15" customHeight="1"/>
    <row r="38" spans="28:38" ht="15" customHeight="1"/>
    <row r="39" spans="28:38" ht="15" customHeight="1"/>
    <row r="40" spans="28:38" ht="15" customHeight="1"/>
    <row r="41" spans="28:38" ht="15" customHeight="1"/>
    <row r="42" spans="28:38" ht="15" customHeight="1"/>
    <row r="43" spans="28:38" ht="15" customHeight="1"/>
    <row r="44" spans="28:38" ht="15" customHeight="1"/>
    <row r="45" spans="28:38" ht="15" customHeight="1"/>
    <row r="46" spans="28:38" ht="15" customHeight="1"/>
    <row r="47" spans="28:38" ht="15" customHeight="1"/>
    <row r="48" spans="28:3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20.25" customHeight="1"/>
    <row r="200" ht="20.25" customHeight="1"/>
    <row r="201" ht="20.25" customHeight="1"/>
    <row r="202" ht="20.25" customHeight="1"/>
    <row r="203" ht="20.25" customHeight="1"/>
    <row r="204" ht="20.25" customHeight="1"/>
    <row r="205" ht="20.25" customHeight="1"/>
    <row r="206" ht="20.25" customHeight="1"/>
    <row r="207" ht="20.25" customHeight="1"/>
    <row r="208" ht="20.25" customHeight="1"/>
    <row r="209" ht="20.25" customHeight="1"/>
    <row r="210" ht="20.25" customHeight="1"/>
    <row r="211" ht="20.25" customHeight="1"/>
    <row r="212" ht="20.25" customHeight="1"/>
    <row r="213" ht="20.25" customHeight="1"/>
    <row r="214" ht="20.25" customHeight="1"/>
    <row r="215" ht="20.25" customHeight="1"/>
    <row r="216" ht="20.25" customHeight="1"/>
    <row r="217" ht="20.25" customHeight="1"/>
    <row r="218" ht="20.25" customHeight="1"/>
    <row r="219" ht="20.25" customHeight="1"/>
    <row r="220" ht="20.25" customHeight="1"/>
    <row r="221" ht="20.25" customHeight="1"/>
    <row r="222" ht="20.25" customHeight="1"/>
    <row r="223" ht="20.25" customHeight="1"/>
    <row r="224" ht="20.25" customHeight="1"/>
    <row r="225" ht="20.25" customHeight="1"/>
    <row r="226" ht="20.25" customHeight="1"/>
    <row r="227" ht="20.25" customHeight="1"/>
    <row r="228" ht="20.25" customHeight="1"/>
    <row r="229" ht="20.25" customHeight="1"/>
    <row r="230" ht="20.25" customHeight="1"/>
    <row r="231" ht="20.25" customHeight="1"/>
    <row r="232" ht="20.25" customHeight="1"/>
    <row r="233" ht="20.25" customHeight="1"/>
    <row r="234" ht="20.25" customHeight="1"/>
    <row r="235" ht="20.25" customHeight="1"/>
    <row r="236" ht="20.25" customHeight="1"/>
    <row r="237" ht="20.25" customHeight="1"/>
    <row r="238" ht="20.25" customHeight="1"/>
    <row r="239" ht="20.25" customHeight="1"/>
    <row r="240" ht="20.25" customHeight="1"/>
    <row r="241" ht="20.25" customHeight="1"/>
    <row r="242" ht="20.25" customHeight="1"/>
    <row r="243" ht="20.25" customHeight="1"/>
    <row r="244" ht="20.25" customHeight="1"/>
    <row r="245" ht="20.25" customHeight="1"/>
    <row r="246" ht="20.25" customHeight="1"/>
    <row r="247" ht="20.25" customHeight="1"/>
    <row r="248" ht="20.25" customHeight="1"/>
    <row r="249" ht="20.25" customHeight="1"/>
    <row r="250" ht="20.25" customHeight="1"/>
    <row r="251" ht="20.25" customHeight="1"/>
    <row r="252" ht="20.25" customHeight="1"/>
    <row r="253" ht="20.25" customHeight="1"/>
    <row r="254" ht="20.25" customHeight="1"/>
    <row r="255" ht="20.25" customHeight="1"/>
    <row r="256" ht="20.25" customHeight="1"/>
    <row r="257" ht="20.25" customHeight="1"/>
    <row r="258" ht="20.25" customHeight="1"/>
    <row r="259" ht="20.25" customHeight="1"/>
    <row r="260" ht="20.25" customHeight="1"/>
    <row r="261" ht="20.25" customHeight="1"/>
    <row r="262" ht="20.25" customHeight="1"/>
    <row r="263" ht="20.25" customHeight="1"/>
    <row r="264" ht="20.25" customHeight="1"/>
    <row r="265" ht="20.25" customHeight="1"/>
    <row r="266" ht="20.25" customHeight="1"/>
    <row r="267" ht="20.25" customHeight="1"/>
    <row r="268" ht="20.25" customHeight="1"/>
    <row r="269" ht="20.25" customHeight="1"/>
    <row r="270" ht="20.25" customHeight="1"/>
    <row r="271" ht="20.25" customHeight="1"/>
    <row r="272" ht="20.25" customHeight="1"/>
    <row r="273" ht="20.25" customHeight="1"/>
    <row r="274" ht="20.25" customHeight="1"/>
    <row r="275" ht="20.25" customHeight="1"/>
    <row r="276" ht="20.25" customHeight="1"/>
    <row r="277" ht="20.25" customHeight="1"/>
    <row r="278" ht="20.25" customHeight="1"/>
    <row r="279" ht="20.25" customHeight="1"/>
    <row r="280" ht="20.25" customHeight="1"/>
    <row r="281" ht="20.25" customHeight="1"/>
    <row r="282" ht="20.25" customHeight="1"/>
    <row r="283" ht="20.25" customHeight="1"/>
    <row r="284" ht="20.25" customHeight="1"/>
    <row r="285" ht="20.25" customHeight="1"/>
    <row r="286" ht="20.25" customHeight="1"/>
    <row r="287" ht="20.25" customHeight="1"/>
    <row r="288" ht="20.25" customHeight="1"/>
    <row r="289" ht="20.25" customHeight="1"/>
    <row r="290" ht="20.25" customHeight="1"/>
    <row r="291" ht="20.25" customHeight="1"/>
    <row r="292" ht="20.25" customHeight="1"/>
    <row r="293" ht="20.25" customHeight="1"/>
    <row r="294" ht="20.25" customHeight="1"/>
    <row r="295" ht="20.25" customHeight="1"/>
    <row r="296" ht="20.25" customHeight="1"/>
    <row r="297" ht="20.25" customHeight="1"/>
    <row r="298" ht="20.25" customHeight="1"/>
    <row r="299" ht="20.25" customHeight="1"/>
    <row r="300" ht="20.25" customHeight="1"/>
    <row r="301" ht="20.25" customHeight="1"/>
    <row r="302" ht="20.25" customHeight="1"/>
    <row r="303" ht="20.25" customHeight="1"/>
    <row r="304" ht="20.25" customHeight="1"/>
    <row r="305" ht="20.25" customHeight="1"/>
    <row r="306" ht="20.25" customHeight="1"/>
    <row r="307" ht="20.25" customHeight="1"/>
    <row r="308" ht="20.25" customHeight="1"/>
    <row r="309" ht="20.25" customHeight="1"/>
    <row r="310" ht="20.25" customHeight="1"/>
    <row r="311" ht="20.25" customHeight="1"/>
    <row r="312" ht="20.25" customHeight="1"/>
    <row r="313" ht="20.25" customHeight="1"/>
    <row r="314" ht="20.25" customHeight="1"/>
    <row r="315" ht="20.25" customHeight="1"/>
    <row r="316" ht="20.25" customHeight="1"/>
    <row r="317" ht="20.25" customHeight="1"/>
    <row r="318" ht="20.25" customHeight="1"/>
    <row r="319" ht="20.25" customHeight="1"/>
    <row r="320" ht="20.25" customHeight="1"/>
    <row r="321" ht="20.25" customHeight="1"/>
    <row r="322" ht="20.25" customHeight="1"/>
    <row r="323" ht="20.25" customHeight="1"/>
    <row r="324" ht="20.25" customHeight="1"/>
    <row r="325" ht="20.25" customHeight="1"/>
    <row r="326" ht="20.25" customHeight="1"/>
    <row r="327" ht="20.25" customHeight="1"/>
    <row r="328" ht="20.25" customHeight="1"/>
    <row r="329" ht="20.25" customHeight="1"/>
    <row r="330" ht="20.25" customHeight="1"/>
    <row r="331" ht="20.25" customHeight="1"/>
    <row r="332" ht="20.25" customHeight="1"/>
    <row r="333" ht="20.25" customHeight="1"/>
    <row r="334" ht="20.25" customHeight="1"/>
    <row r="335" ht="20.25" customHeight="1"/>
    <row r="336" ht="20.25" customHeight="1"/>
    <row r="337" ht="20.25" customHeight="1"/>
    <row r="338" ht="20.25" customHeight="1"/>
    <row r="339" ht="20.25" customHeight="1"/>
    <row r="340" ht="20.25" customHeight="1"/>
    <row r="341" ht="20.25" customHeight="1"/>
    <row r="342" ht="20.25" customHeight="1"/>
    <row r="343" ht="20.25" customHeight="1"/>
    <row r="344" ht="20.25" customHeight="1"/>
    <row r="345" ht="20.25" customHeight="1"/>
    <row r="346" ht="20.25" customHeight="1"/>
    <row r="347" ht="20.25" customHeight="1"/>
    <row r="348" ht="20.25" customHeight="1"/>
    <row r="349" ht="20.25" customHeight="1"/>
    <row r="350" ht="20.25" customHeight="1"/>
    <row r="351" ht="20.25" customHeight="1"/>
    <row r="352" ht="20.25" customHeight="1"/>
  </sheetData>
  <mergeCells count="57">
    <mergeCell ref="R3:T3"/>
    <mergeCell ref="B15:C15"/>
    <mergeCell ref="D15:M15"/>
    <mergeCell ref="N15:AD15"/>
    <mergeCell ref="AE15:AL15"/>
    <mergeCell ref="B16:C16"/>
    <mergeCell ref="D16:M16"/>
    <mergeCell ref="N16:AD16"/>
    <mergeCell ref="AE16:AL16"/>
    <mergeCell ref="B17:C17"/>
    <mergeCell ref="D17:M17"/>
    <mergeCell ref="N17:AD17"/>
    <mergeCell ref="AE17:AL17"/>
    <mergeCell ref="B18:C18"/>
    <mergeCell ref="D18:M18"/>
    <mergeCell ref="N18:AD18"/>
    <mergeCell ref="AE18:AL18"/>
    <mergeCell ref="B19:C19"/>
    <mergeCell ref="D19:M19"/>
    <mergeCell ref="N19:AD19"/>
    <mergeCell ref="AE19:AL19"/>
    <mergeCell ref="B20:C20"/>
    <mergeCell ref="D20:M20"/>
    <mergeCell ref="N20:AD20"/>
    <mergeCell ref="AE20:AL20"/>
    <mergeCell ref="B21:C21"/>
    <mergeCell ref="D21:M21"/>
    <mergeCell ref="N21:AD21"/>
    <mergeCell ref="AE21:AL21"/>
    <mergeCell ref="B25:C25"/>
    <mergeCell ref="D25:M25"/>
    <mergeCell ref="N25:AD25"/>
    <mergeCell ref="AE25:AL25"/>
    <mergeCell ref="B22:C22"/>
    <mergeCell ref="D22:M22"/>
    <mergeCell ref="N22:AD22"/>
    <mergeCell ref="AE22:AL22"/>
    <mergeCell ref="B23:C23"/>
    <mergeCell ref="D23:M23"/>
    <mergeCell ref="N23:AD23"/>
    <mergeCell ref="AE23:AL23"/>
    <mergeCell ref="A2:AM2"/>
    <mergeCell ref="A4:AM4"/>
    <mergeCell ref="AC32:AL32"/>
    <mergeCell ref="AC36:AL36"/>
    <mergeCell ref="B26:C26"/>
    <mergeCell ref="D26:M26"/>
    <mergeCell ref="N26:AD26"/>
    <mergeCell ref="AE26:AL26"/>
    <mergeCell ref="B27:C27"/>
    <mergeCell ref="D27:M27"/>
    <mergeCell ref="N27:AD27"/>
    <mergeCell ref="AE27:AL27"/>
    <mergeCell ref="B24:C24"/>
    <mergeCell ref="D24:M24"/>
    <mergeCell ref="N24:AD24"/>
    <mergeCell ref="AE24:AL24"/>
  </mergeCells>
  <pageMargins left="0.7" right="0.7" top="0.75" bottom="0.75" header="0.3" footer="0.3"/>
  <pageSetup paperSize="9" scale="65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tabColor rgb="FF92D050"/>
  </sheetPr>
  <dimension ref="A1:AS498"/>
  <sheetViews>
    <sheetView showGridLines="0" view="pageBreakPreview" zoomScaleSheetLayoutView="100" workbookViewId="0"/>
  </sheetViews>
  <sheetFormatPr defaultColWidth="9.140625" defaultRowHeight="12.75"/>
  <cols>
    <col min="1" max="2" width="3" style="802" customWidth="1"/>
    <col min="3" max="3" width="3.28515625" style="802" customWidth="1"/>
    <col min="4" max="4" width="0.85546875" style="802" customWidth="1"/>
    <col min="5" max="5" width="3.28515625" style="802" customWidth="1"/>
    <col min="6" max="6" width="0.5703125" style="802" customWidth="1"/>
    <col min="7" max="7" width="3.5703125" style="802" customWidth="1"/>
    <col min="8" max="8" width="0.85546875" style="802" customWidth="1"/>
    <col min="9" max="39" width="3.7109375" style="802" customWidth="1"/>
    <col min="40" max="40" width="3.85546875" style="802" customWidth="1"/>
    <col min="41" max="41" width="1.28515625" style="802" customWidth="1"/>
    <col min="42" max="42" width="3" style="802" customWidth="1"/>
    <col min="43" max="43" width="2.85546875" style="807" customWidth="1"/>
    <col min="44" max="97" width="2.85546875" style="802" customWidth="1"/>
    <col min="98" max="191" width="3.85546875" style="802" customWidth="1"/>
    <col min="192" max="16384" width="9.140625" style="802"/>
  </cols>
  <sheetData>
    <row r="1" spans="1:43" ht="12.75" customHeight="1">
      <c r="A1" s="800"/>
      <c r="B1" s="801"/>
      <c r="M1" s="803"/>
      <c r="N1" s="803"/>
      <c r="O1" s="803"/>
      <c r="P1" s="803"/>
      <c r="Q1" s="803"/>
      <c r="R1" s="803"/>
      <c r="S1" s="803"/>
      <c r="T1" s="803"/>
      <c r="U1" s="803"/>
      <c r="V1" s="803"/>
      <c r="W1" s="803"/>
      <c r="X1" s="803"/>
      <c r="Y1" s="803"/>
      <c r="Z1" s="804"/>
      <c r="AA1" s="804"/>
      <c r="AB1" s="804"/>
      <c r="AC1" s="804"/>
      <c r="AD1" s="804"/>
      <c r="AE1" s="804"/>
      <c r="AF1" s="804"/>
      <c r="AG1" s="804"/>
      <c r="AH1" s="805"/>
      <c r="AI1" s="806"/>
      <c r="AJ1" s="806"/>
      <c r="AK1" s="806"/>
      <c r="AL1" s="806"/>
      <c r="AP1" s="800"/>
    </row>
    <row r="2" spans="1:43" ht="3" customHeight="1">
      <c r="A2" s="801"/>
      <c r="B2" s="801"/>
      <c r="L2" s="803"/>
      <c r="M2" s="803"/>
      <c r="N2" s="803"/>
      <c r="O2" s="803"/>
      <c r="P2" s="803"/>
      <c r="Q2" s="803"/>
      <c r="R2" s="803"/>
      <c r="S2" s="803"/>
      <c r="T2" s="803"/>
      <c r="U2" s="803"/>
      <c r="V2" s="803"/>
      <c r="W2" s="803"/>
      <c r="X2" s="803"/>
      <c r="Y2" s="803"/>
      <c r="Z2" s="803"/>
      <c r="AA2" s="803"/>
      <c r="AB2" s="803"/>
      <c r="AC2" s="803"/>
      <c r="AD2" s="803"/>
      <c r="AE2" s="803"/>
      <c r="AF2" s="803"/>
      <c r="AG2" s="803"/>
      <c r="AH2" s="807"/>
      <c r="AP2" s="801"/>
    </row>
    <row r="3" spans="1:43" ht="15" customHeight="1">
      <c r="B3" s="3095" t="s">
        <v>0</v>
      </c>
      <c r="C3" s="3095"/>
      <c r="D3" s="808"/>
      <c r="E3" s="3154" t="s">
        <v>1</v>
      </c>
      <c r="F3" s="3154"/>
      <c r="G3" s="3154"/>
      <c r="H3" s="3154"/>
      <c r="I3" s="3154"/>
      <c r="J3" s="3154"/>
      <c r="K3" s="3155"/>
      <c r="L3" s="3193" t="s">
        <v>2</v>
      </c>
      <c r="M3" s="3194"/>
      <c r="N3" s="3194"/>
      <c r="O3" s="3194"/>
      <c r="P3" s="3194"/>
      <c r="Q3" s="3194"/>
      <c r="R3" s="3194"/>
      <c r="S3" s="3194"/>
      <c r="T3" s="3194"/>
      <c r="U3" s="3194"/>
      <c r="V3" s="3194"/>
      <c r="W3" s="3194"/>
      <c r="X3" s="3194"/>
      <c r="Y3" s="3194"/>
      <c r="Z3" s="3194"/>
      <c r="AA3" s="3194"/>
      <c r="AB3" s="3194"/>
      <c r="AC3" s="3194"/>
      <c r="AD3" s="3194"/>
      <c r="AE3" s="3188" t="s">
        <v>3</v>
      </c>
      <c r="AF3" s="2507">
        <f>'FE-1770'!AF3</f>
        <v>0</v>
      </c>
      <c r="AG3" s="2507"/>
      <c r="AH3" s="2507">
        <f>'FE-1770'!AH3</f>
        <v>0</v>
      </c>
      <c r="AI3" s="2507"/>
      <c r="AJ3" s="2507">
        <f>'FE-1770'!AJ3</f>
        <v>0</v>
      </c>
      <c r="AK3" s="2507"/>
      <c r="AL3" s="2507">
        <f>'FE-1770'!AL3</f>
        <v>0</v>
      </c>
      <c r="AM3" s="2507"/>
      <c r="AN3" s="801"/>
      <c r="AO3" s="801"/>
      <c r="AP3" s="809"/>
    </row>
    <row r="4" spans="1:43" ht="11.25" customHeight="1" thickBot="1">
      <c r="B4" s="3095"/>
      <c r="C4" s="3095"/>
      <c r="D4" s="810"/>
      <c r="E4" s="3154"/>
      <c r="F4" s="3154"/>
      <c r="G4" s="3154"/>
      <c r="H4" s="3154"/>
      <c r="I4" s="3154"/>
      <c r="J4" s="3154"/>
      <c r="K4" s="3155"/>
      <c r="L4" s="3195"/>
      <c r="M4" s="3196"/>
      <c r="N4" s="3196"/>
      <c r="O4" s="3196"/>
      <c r="P4" s="3196"/>
      <c r="Q4" s="3196"/>
      <c r="R4" s="3196"/>
      <c r="S4" s="3196"/>
      <c r="T4" s="3196"/>
      <c r="U4" s="3196"/>
      <c r="V4" s="3196"/>
      <c r="W4" s="3196"/>
      <c r="X4" s="3196"/>
      <c r="Y4" s="3196"/>
      <c r="Z4" s="3196"/>
      <c r="AA4" s="3196"/>
      <c r="AB4" s="3196"/>
      <c r="AC4" s="3196"/>
      <c r="AD4" s="3196"/>
      <c r="AE4" s="3188"/>
      <c r="AF4" s="2507"/>
      <c r="AG4" s="2507"/>
      <c r="AH4" s="2507"/>
      <c r="AI4" s="2507"/>
      <c r="AJ4" s="2507"/>
      <c r="AK4" s="2507"/>
      <c r="AL4" s="2507"/>
      <c r="AM4" s="2507"/>
      <c r="AN4" s="801"/>
      <c r="AO4" s="801"/>
      <c r="AP4" s="809"/>
    </row>
    <row r="5" spans="1:43" ht="13.5" customHeight="1">
      <c r="A5" s="807"/>
      <c r="B5" s="3095"/>
      <c r="C5" s="3095"/>
      <c r="D5" s="811"/>
      <c r="E5" s="3154"/>
      <c r="F5" s="3154"/>
      <c r="G5" s="3154"/>
      <c r="H5" s="3154"/>
      <c r="I5" s="3154"/>
      <c r="J5" s="3154"/>
      <c r="K5" s="3155"/>
      <c r="L5" s="812" t="s">
        <v>344</v>
      </c>
      <c r="M5" s="801"/>
      <c r="N5" s="801"/>
      <c r="O5" s="801"/>
      <c r="P5" s="801"/>
      <c r="Q5" s="801"/>
      <c r="R5" s="801"/>
      <c r="S5" s="801"/>
      <c r="T5" s="801"/>
      <c r="U5" s="801"/>
      <c r="V5" s="801"/>
      <c r="W5" s="801"/>
      <c r="X5" s="801"/>
      <c r="Y5" s="801"/>
      <c r="Z5" s="801"/>
      <c r="AA5" s="801"/>
      <c r="AB5" s="801"/>
      <c r="AC5" s="801"/>
      <c r="AD5" s="801"/>
      <c r="AE5" s="3188"/>
      <c r="AF5" s="3123"/>
      <c r="AG5" s="3123"/>
      <c r="AH5" s="3073"/>
      <c r="AI5" s="3073"/>
      <c r="AJ5" s="813"/>
      <c r="AK5" s="3073"/>
      <c r="AL5" s="3073"/>
      <c r="AM5" s="3073"/>
      <c r="AN5" s="3073"/>
      <c r="AO5" s="801"/>
      <c r="AP5" s="801"/>
    </row>
    <row r="6" spans="1:43" ht="10.5" customHeight="1">
      <c r="B6" s="3095"/>
      <c r="C6" s="3095"/>
      <c r="D6" s="801"/>
      <c r="E6" s="811"/>
      <c r="F6" s="811"/>
      <c r="G6" s="811"/>
      <c r="H6" s="811"/>
      <c r="I6" s="811"/>
      <c r="J6" s="811"/>
      <c r="K6" s="814"/>
      <c r="L6" s="815"/>
      <c r="M6" s="3131"/>
      <c r="N6" s="3132"/>
      <c r="O6" s="3132"/>
      <c r="P6" s="3132"/>
      <c r="Q6" s="3132"/>
      <c r="R6" s="3132"/>
      <c r="S6" s="3132"/>
      <c r="T6" s="3132"/>
      <c r="U6" s="3132"/>
      <c r="V6" s="3132"/>
      <c r="W6" s="3132"/>
      <c r="X6" s="3132"/>
      <c r="Y6" s="3132"/>
      <c r="Z6" s="3132"/>
      <c r="AA6" s="3132"/>
      <c r="AB6" s="3132"/>
      <c r="AC6" s="3132"/>
      <c r="AD6" s="3133"/>
      <c r="AE6" s="3188"/>
      <c r="AF6" s="2498" t="str">
        <f>'FE-1770'!AF6</f>
        <v>0</v>
      </c>
      <c r="AG6" s="2498" t="str">
        <f>'FE-1770'!AG6</f>
        <v>1</v>
      </c>
      <c r="AH6" s="2498" t="str">
        <f>'FE-1770'!AH6</f>
        <v>0</v>
      </c>
      <c r="AI6" s="2498" t="str">
        <f>'FE-1770'!AI6</f>
        <v>0</v>
      </c>
      <c r="AJ6" s="3076" t="s">
        <v>7</v>
      </c>
      <c r="AK6" s="2498" t="str">
        <f>'FE-1770'!AK6</f>
        <v>0</v>
      </c>
      <c r="AL6" s="2498" t="str">
        <f>'FE-1770'!AL6</f>
        <v>1</v>
      </c>
      <c r="AM6" s="2498" t="str">
        <f>'FE-1770'!AM6</f>
        <v>0</v>
      </c>
      <c r="AN6" s="2498" t="str">
        <f>'FE-1770'!AN6</f>
        <v>0</v>
      </c>
      <c r="AO6" s="801"/>
      <c r="AP6" s="801"/>
    </row>
    <row r="7" spans="1:43" ht="12.75" customHeight="1">
      <c r="B7" s="3095"/>
      <c r="C7" s="3095"/>
      <c r="D7" s="801"/>
      <c r="E7" s="811"/>
      <c r="F7" s="811"/>
      <c r="G7" s="811"/>
      <c r="H7" s="811"/>
      <c r="I7" s="811"/>
      <c r="J7" s="811"/>
      <c r="K7" s="814"/>
      <c r="L7" s="815" t="s">
        <v>6</v>
      </c>
      <c r="M7" s="3131" t="s">
        <v>345</v>
      </c>
      <c r="N7" s="3132"/>
      <c r="O7" s="3132"/>
      <c r="P7" s="3132"/>
      <c r="Q7" s="3132"/>
      <c r="R7" s="3132"/>
      <c r="S7" s="3132"/>
      <c r="T7" s="3132"/>
      <c r="U7" s="3132"/>
      <c r="V7" s="3132"/>
      <c r="W7" s="3132"/>
      <c r="X7" s="3132"/>
      <c r="Y7" s="3132"/>
      <c r="Z7" s="3132"/>
      <c r="AA7" s="3132"/>
      <c r="AB7" s="3132"/>
      <c r="AC7" s="3132"/>
      <c r="AD7" s="3133"/>
      <c r="AE7" s="3188"/>
      <c r="AF7" s="2498"/>
      <c r="AG7" s="2498"/>
      <c r="AH7" s="2498"/>
      <c r="AI7" s="2498"/>
      <c r="AJ7" s="3076"/>
      <c r="AK7" s="2498"/>
      <c r="AL7" s="2498"/>
      <c r="AM7" s="2498"/>
      <c r="AN7" s="2498"/>
      <c r="AO7" s="801"/>
      <c r="AP7" s="801"/>
    </row>
    <row r="8" spans="1:43" ht="12.75" customHeight="1">
      <c r="B8" s="3140" t="s">
        <v>302</v>
      </c>
      <c r="C8" s="3140"/>
      <c r="D8" s="3140"/>
      <c r="E8" s="3140"/>
      <c r="F8" s="3140"/>
      <c r="G8" s="3140"/>
      <c r="H8" s="3140"/>
      <c r="I8" s="3140"/>
      <c r="J8" s="3140"/>
      <c r="K8" s="3141"/>
      <c r="L8" s="815" t="s">
        <v>6</v>
      </c>
      <c r="M8" s="816" t="s">
        <v>346</v>
      </c>
      <c r="N8" s="817"/>
      <c r="O8" s="817"/>
      <c r="P8" s="817"/>
      <c r="Q8" s="817"/>
      <c r="R8" s="817"/>
      <c r="S8" s="817"/>
      <c r="T8" s="817"/>
      <c r="U8" s="817"/>
      <c r="V8" s="817"/>
      <c r="W8" s="817"/>
      <c r="X8" s="818"/>
      <c r="Y8" s="818"/>
      <c r="Z8" s="817"/>
      <c r="AA8" s="817"/>
      <c r="AB8" s="817"/>
      <c r="AC8" s="817"/>
      <c r="AD8" s="819"/>
      <c r="AE8" s="3188"/>
      <c r="AF8" s="3139" t="s">
        <v>4</v>
      </c>
      <c r="AG8" s="3139"/>
      <c r="AH8" s="3076" t="s">
        <v>5</v>
      </c>
      <c r="AI8" s="3076"/>
      <c r="AJ8" s="820"/>
      <c r="AK8" s="3076" t="s">
        <v>4</v>
      </c>
      <c r="AL8" s="3076"/>
      <c r="AM8" s="3076" t="s">
        <v>5</v>
      </c>
      <c r="AN8" s="3076"/>
      <c r="AO8" s="801"/>
      <c r="AP8" s="801"/>
    </row>
    <row r="9" spans="1:43" ht="12.75" customHeight="1">
      <c r="B9" s="3123" t="s">
        <v>8</v>
      </c>
      <c r="C9" s="3123"/>
      <c r="D9" s="3123"/>
      <c r="E9" s="3123"/>
      <c r="F9" s="3123"/>
      <c r="G9" s="3123"/>
      <c r="H9" s="3123"/>
      <c r="I9" s="3123"/>
      <c r="J9" s="3123"/>
      <c r="K9" s="3124"/>
      <c r="L9" s="815" t="s">
        <v>6</v>
      </c>
      <c r="M9" s="816" t="s">
        <v>347</v>
      </c>
      <c r="N9" s="817"/>
      <c r="O9" s="817"/>
      <c r="P9" s="817"/>
      <c r="Q9" s="817"/>
      <c r="R9" s="817"/>
      <c r="S9" s="817"/>
      <c r="T9" s="817"/>
      <c r="U9" s="817"/>
      <c r="V9" s="817"/>
      <c r="W9" s="817"/>
      <c r="X9" s="818"/>
      <c r="Y9" s="818"/>
      <c r="Z9" s="817"/>
      <c r="AA9" s="817"/>
      <c r="AB9" s="817"/>
      <c r="AC9" s="817"/>
      <c r="AD9" s="819"/>
      <c r="AE9" s="3188"/>
      <c r="AF9" s="792" t="str">
        <f>'FE-1770'!AF9</f>
        <v/>
      </c>
      <c r="AG9" s="821" t="s">
        <v>9</v>
      </c>
      <c r="AH9" s="801"/>
      <c r="AI9" s="801"/>
      <c r="AJ9" s="801"/>
      <c r="AK9" s="792" t="str">
        <f>'FE-1770'!AK9</f>
        <v/>
      </c>
      <c r="AL9" s="821" t="s">
        <v>321</v>
      </c>
      <c r="AM9" s="801"/>
      <c r="AN9" s="801"/>
      <c r="AO9" s="822"/>
      <c r="AP9" s="822"/>
    </row>
    <row r="10" spans="1:43" ht="12" customHeight="1">
      <c r="B10" s="801"/>
      <c r="C10" s="801"/>
      <c r="D10" s="801"/>
      <c r="E10" s="809"/>
      <c r="F10" s="809"/>
      <c r="G10" s="809"/>
      <c r="H10" s="809"/>
      <c r="I10" s="823"/>
      <c r="J10" s="823"/>
      <c r="K10" s="824"/>
      <c r="L10" s="815" t="s">
        <v>6</v>
      </c>
      <c r="M10" s="819" t="s">
        <v>356</v>
      </c>
      <c r="N10" s="817"/>
      <c r="O10" s="817"/>
      <c r="P10" s="817"/>
      <c r="Q10" s="817"/>
      <c r="R10" s="817"/>
      <c r="S10" s="817"/>
      <c r="T10" s="817"/>
      <c r="U10" s="817"/>
      <c r="V10" s="619"/>
      <c r="W10" s="619"/>
      <c r="X10" s="825"/>
      <c r="Y10" s="825"/>
      <c r="Z10" s="619"/>
      <c r="AA10" s="619"/>
      <c r="AB10" s="619"/>
      <c r="AC10" s="619"/>
      <c r="AD10" s="826"/>
      <c r="AE10" s="3188"/>
      <c r="AF10" s="827"/>
      <c r="AG10" s="828"/>
      <c r="AH10" s="829"/>
      <c r="AI10" s="801"/>
      <c r="AJ10" s="801"/>
      <c r="AK10" s="801"/>
      <c r="AL10" s="801"/>
      <c r="AM10" s="830"/>
      <c r="AN10" s="801"/>
      <c r="AO10" s="801"/>
      <c r="AP10" s="801"/>
    </row>
    <row r="11" spans="1:43" ht="12" customHeight="1">
      <c r="B11" s="801"/>
      <c r="C11" s="801"/>
      <c r="D11" s="801"/>
      <c r="E11" s="809"/>
      <c r="F11" s="809"/>
      <c r="G11" s="809"/>
      <c r="H11" s="809"/>
      <c r="I11" s="823"/>
      <c r="J11" s="823"/>
      <c r="K11" s="824"/>
      <c r="L11" s="823"/>
      <c r="M11" s="819"/>
      <c r="N11" s="817"/>
      <c r="O11" s="817"/>
      <c r="P11" s="817"/>
      <c r="Q11" s="817"/>
      <c r="R11" s="817"/>
      <c r="S11" s="817"/>
      <c r="T11" s="817"/>
      <c r="U11" s="817"/>
      <c r="V11" s="619"/>
      <c r="W11" s="619"/>
      <c r="X11" s="825"/>
      <c r="Y11" s="825"/>
      <c r="Z11" s="619"/>
      <c r="AA11" s="619"/>
      <c r="AB11" s="619"/>
      <c r="AC11" s="619"/>
      <c r="AD11" s="831"/>
      <c r="AE11" s="832"/>
      <c r="AF11" s="793" t="str">
        <f>'FE-1770'!AF11</f>
        <v/>
      </c>
      <c r="AG11" s="794" t="str">
        <f>IF(AF11="x","SPT PEMBETULAN KE - 1","SPT PEMBETULAN KE - …….")</f>
        <v>SPT PEMBETULAN KE - …….</v>
      </c>
      <c r="AH11" s="829"/>
      <c r="AI11" s="801"/>
      <c r="AJ11" s="801"/>
      <c r="AK11" s="801"/>
      <c r="AL11" s="801"/>
      <c r="AM11" s="830"/>
      <c r="AN11" s="801"/>
      <c r="AO11" s="801"/>
      <c r="AP11" s="801"/>
    </row>
    <row r="12" spans="1:43" ht="3" customHeight="1" thickBot="1">
      <c r="B12" s="801"/>
      <c r="C12" s="801"/>
      <c r="D12" s="801"/>
      <c r="E12" s="809"/>
      <c r="F12" s="809"/>
      <c r="G12" s="809"/>
      <c r="H12" s="809"/>
      <c r="I12" s="823"/>
      <c r="J12" s="823"/>
      <c r="K12" s="833"/>
      <c r="L12" s="823"/>
      <c r="M12" s="819"/>
      <c r="N12" s="817"/>
      <c r="O12" s="817"/>
      <c r="P12" s="817"/>
      <c r="Q12" s="817"/>
      <c r="R12" s="817"/>
      <c r="S12" s="817"/>
      <c r="T12" s="817"/>
      <c r="U12" s="817"/>
      <c r="V12" s="619"/>
      <c r="W12" s="619"/>
      <c r="X12" s="825"/>
      <c r="Y12" s="825"/>
      <c r="Z12" s="619"/>
      <c r="AA12" s="619"/>
      <c r="AB12" s="619"/>
      <c r="AC12" s="619"/>
      <c r="AD12" s="834"/>
      <c r="AE12" s="835"/>
      <c r="AF12" s="836"/>
      <c r="AG12" s="837"/>
      <c r="AH12" s="829"/>
      <c r="AI12" s="801"/>
      <c r="AJ12" s="801"/>
      <c r="AK12" s="801"/>
      <c r="AL12" s="801"/>
      <c r="AM12" s="830"/>
      <c r="AN12" s="801"/>
      <c r="AO12" s="801"/>
      <c r="AP12" s="801"/>
    </row>
    <row r="13" spans="1:43" ht="3" customHeight="1">
      <c r="B13" s="838"/>
      <c r="C13" s="839"/>
      <c r="D13" s="839"/>
      <c r="E13" s="840"/>
      <c r="F13" s="840"/>
      <c r="G13" s="840"/>
      <c r="H13" s="840"/>
      <c r="I13" s="841"/>
      <c r="J13" s="841"/>
      <c r="K13" s="842"/>
      <c r="L13" s="841"/>
      <c r="M13" s="843"/>
      <c r="N13" s="844"/>
      <c r="O13" s="844"/>
      <c r="P13" s="844"/>
      <c r="Q13" s="844"/>
      <c r="R13" s="844"/>
      <c r="S13" s="844"/>
      <c r="T13" s="844"/>
      <c r="U13" s="844"/>
      <c r="V13" s="844"/>
      <c r="W13" s="844"/>
      <c r="X13" s="839"/>
      <c r="Y13" s="839"/>
      <c r="Z13" s="844"/>
      <c r="AA13" s="844"/>
      <c r="AB13" s="844"/>
      <c r="AC13" s="844"/>
      <c r="AD13" s="845"/>
      <c r="AE13" s="845"/>
      <c r="AF13" s="846"/>
      <c r="AG13" s="839"/>
      <c r="AH13" s="838"/>
      <c r="AI13" s="839"/>
      <c r="AJ13" s="839"/>
      <c r="AK13" s="839"/>
      <c r="AL13" s="839"/>
      <c r="AM13" s="847"/>
      <c r="AN13" s="839"/>
      <c r="AO13" s="839"/>
      <c r="AP13" s="828"/>
    </row>
    <row r="14" spans="1:43" s="852" customFormat="1" ht="14.25" customHeight="1">
      <c r="A14" s="848"/>
      <c r="B14" s="3134" t="s">
        <v>248</v>
      </c>
      <c r="C14" s="3134"/>
      <c r="D14" s="3134"/>
      <c r="E14" s="3134"/>
      <c r="F14" s="849"/>
      <c r="G14" s="850" t="s">
        <v>6</v>
      </c>
      <c r="H14" s="850"/>
      <c r="I14" s="3135" t="s">
        <v>349</v>
      </c>
      <c r="J14" s="3135"/>
      <c r="K14" s="3135"/>
      <c r="L14" s="3135"/>
      <c r="M14" s="3135"/>
      <c r="N14" s="3135"/>
      <c r="O14" s="3135"/>
      <c r="P14" s="3135"/>
      <c r="Q14" s="3135"/>
      <c r="R14" s="823" t="s">
        <v>6</v>
      </c>
      <c r="S14" s="851" t="s">
        <v>357</v>
      </c>
      <c r="U14" s="849"/>
      <c r="V14" s="849"/>
      <c r="W14" s="853"/>
      <c r="X14" s="853"/>
      <c r="Y14" s="853"/>
      <c r="Z14" s="853"/>
      <c r="AA14" s="853"/>
      <c r="AB14" s="853"/>
      <c r="AC14" s="823" t="s">
        <v>6</v>
      </c>
      <c r="AD14" s="3117" t="s">
        <v>10</v>
      </c>
      <c r="AE14" s="3117"/>
      <c r="AF14" s="3117"/>
      <c r="AG14" s="3187"/>
      <c r="AH14" s="795"/>
      <c r="AI14" s="3186" t="s">
        <v>827</v>
      </c>
      <c r="AJ14" s="3135"/>
      <c r="AK14" s="3135"/>
      <c r="AL14" s="3135"/>
      <c r="AM14" s="3135"/>
      <c r="AN14" s="3135"/>
      <c r="AO14" s="853"/>
      <c r="AP14" s="853"/>
      <c r="AQ14" s="848"/>
    </row>
    <row r="15" spans="1:43" ht="3.75" customHeight="1" thickBot="1">
      <c r="B15" s="807"/>
      <c r="E15" s="854"/>
      <c r="F15" s="854"/>
      <c r="G15" s="854"/>
      <c r="H15" s="854"/>
      <c r="I15" s="854"/>
      <c r="J15" s="854"/>
      <c r="K15" s="854"/>
      <c r="L15" s="854"/>
      <c r="M15" s="854"/>
      <c r="N15" s="855"/>
      <c r="O15" s="807"/>
      <c r="P15" s="807"/>
      <c r="Q15" s="807"/>
      <c r="R15" s="807"/>
      <c r="S15" s="807"/>
      <c r="T15" s="856"/>
      <c r="U15" s="856"/>
      <c r="V15" s="856"/>
      <c r="W15" s="856"/>
      <c r="X15" s="856"/>
      <c r="Y15" s="856"/>
      <c r="Z15" s="856"/>
      <c r="AA15" s="856"/>
      <c r="AB15" s="856"/>
      <c r="AC15" s="856"/>
      <c r="AD15" s="857"/>
      <c r="AE15" s="857"/>
      <c r="AF15" s="858"/>
      <c r="AG15" s="807"/>
      <c r="AH15" s="859"/>
      <c r="AI15" s="860"/>
      <c r="AJ15" s="861"/>
      <c r="AK15" s="861"/>
      <c r="AL15" s="861"/>
      <c r="AM15" s="861"/>
      <c r="AN15" s="862"/>
      <c r="AO15" s="862"/>
      <c r="AP15" s="862"/>
    </row>
    <row r="16" spans="1:43" ht="3" customHeight="1">
      <c r="B16" s="3125" t="s">
        <v>11</v>
      </c>
      <c r="C16" s="3126"/>
      <c r="D16" s="863"/>
      <c r="E16" s="864"/>
      <c r="F16" s="864"/>
      <c r="G16" s="864"/>
      <c r="H16" s="865"/>
      <c r="I16" s="865"/>
      <c r="J16" s="865"/>
      <c r="K16" s="865"/>
      <c r="L16" s="865"/>
      <c r="M16" s="865"/>
      <c r="N16" s="866"/>
      <c r="O16" s="866"/>
      <c r="P16" s="866"/>
      <c r="Q16" s="866"/>
      <c r="R16" s="866"/>
      <c r="S16" s="866"/>
      <c r="T16" s="867"/>
      <c r="U16" s="867"/>
      <c r="V16" s="867"/>
      <c r="W16" s="867"/>
      <c r="X16" s="867"/>
      <c r="Y16" s="867"/>
      <c r="Z16" s="867"/>
      <c r="AA16" s="867"/>
      <c r="AB16" s="867"/>
      <c r="AC16" s="867"/>
      <c r="AD16" s="868"/>
      <c r="AE16" s="868"/>
      <c r="AF16" s="869"/>
      <c r="AG16" s="866"/>
      <c r="AH16" s="870"/>
      <c r="AI16" s="871"/>
      <c r="AJ16" s="872"/>
      <c r="AK16" s="872"/>
      <c r="AL16" s="872"/>
      <c r="AM16" s="872"/>
      <c r="AN16" s="872"/>
      <c r="AO16" s="873"/>
      <c r="AP16" s="861"/>
    </row>
    <row r="17" spans="2:42" ht="5.25" customHeight="1">
      <c r="B17" s="3127"/>
      <c r="C17" s="3128"/>
      <c r="D17" s="874"/>
      <c r="E17" s="875"/>
      <c r="F17" s="875"/>
      <c r="G17" s="875"/>
      <c r="H17" s="807"/>
      <c r="I17" s="807"/>
      <c r="J17" s="807"/>
      <c r="K17" s="807"/>
      <c r="L17" s="807"/>
      <c r="M17" s="807"/>
      <c r="N17" s="807"/>
      <c r="O17" s="807"/>
      <c r="P17" s="807"/>
      <c r="Q17" s="807"/>
      <c r="R17" s="807"/>
      <c r="S17" s="807"/>
      <c r="T17" s="807"/>
      <c r="U17" s="828"/>
      <c r="V17" s="828"/>
      <c r="W17" s="807"/>
      <c r="X17" s="828"/>
      <c r="Y17" s="828"/>
      <c r="Z17" s="828"/>
      <c r="AA17" s="807"/>
      <c r="AB17" s="828"/>
      <c r="AC17" s="828"/>
      <c r="AD17" s="828"/>
      <c r="AE17" s="828"/>
      <c r="AF17" s="828"/>
      <c r="AG17" s="807"/>
      <c r="AH17" s="828"/>
      <c r="AI17" s="828"/>
      <c r="AJ17" s="828"/>
      <c r="AK17" s="807"/>
      <c r="AL17" s="828"/>
      <c r="AM17" s="828"/>
      <c r="AN17" s="828"/>
      <c r="AO17" s="876"/>
    </row>
    <row r="18" spans="2:42" ht="20.100000000000001" customHeight="1">
      <c r="B18" s="3127"/>
      <c r="C18" s="3128"/>
      <c r="D18" s="874"/>
      <c r="E18" s="877" t="s">
        <v>12</v>
      </c>
      <c r="F18" s="878"/>
      <c r="G18" s="878"/>
      <c r="H18" s="878"/>
      <c r="I18" s="879"/>
      <c r="J18" s="879"/>
      <c r="K18" s="879"/>
      <c r="L18" s="879"/>
      <c r="M18" s="880"/>
      <c r="N18" s="878"/>
      <c r="O18" s="878"/>
      <c r="P18" s="881" t="s">
        <v>13</v>
      </c>
      <c r="Q18" s="1423" t="str">
        <f>'FE-1770'!Q18</f>
        <v/>
      </c>
      <c r="R18" s="1423" t="str">
        <f>'FE-1770'!R18</f>
        <v/>
      </c>
      <c r="S18" s="882"/>
      <c r="T18" s="1423" t="str">
        <f>'FE-1770'!T18</f>
        <v/>
      </c>
      <c r="U18" s="1423" t="str">
        <f>'FE-1770'!U18</f>
        <v/>
      </c>
      <c r="V18" s="1423" t="str">
        <f>'FE-1770'!V18</f>
        <v/>
      </c>
      <c r="W18" s="882"/>
      <c r="X18" s="1423" t="str">
        <f>'FE-1770'!X18</f>
        <v/>
      </c>
      <c r="Y18" s="1423" t="str">
        <f>'FE-1770'!Y18</f>
        <v/>
      </c>
      <c r="Z18" s="1423" t="str">
        <f>'FE-1770'!Z18</f>
        <v/>
      </c>
      <c r="AA18" s="882"/>
      <c r="AB18" s="1423" t="str">
        <f>'FE-1770'!AB18</f>
        <v/>
      </c>
      <c r="AC18" s="882"/>
      <c r="AD18" s="1423" t="str">
        <f>'FE-1770'!AD18</f>
        <v/>
      </c>
      <c r="AE18" s="1423" t="str">
        <f>'FE-1770'!AE18</f>
        <v/>
      </c>
      <c r="AF18" s="1423" t="str">
        <f>'FE-1770'!AF18</f>
        <v/>
      </c>
      <c r="AG18" s="883"/>
      <c r="AH18" s="1423" t="str">
        <f>'FE-1770'!AH18</f>
        <v/>
      </c>
      <c r="AI18" s="1423" t="str">
        <f>'FE-1770'!AI18</f>
        <v/>
      </c>
      <c r="AJ18" s="1423" t="str">
        <f>'FE-1770'!AJ18</f>
        <v/>
      </c>
      <c r="AK18" s="883"/>
      <c r="AL18" s="883"/>
      <c r="AM18" s="884"/>
      <c r="AN18" s="807"/>
      <c r="AO18" s="876"/>
    </row>
    <row r="19" spans="2:42" ht="2.25" customHeight="1">
      <c r="B19" s="3127"/>
      <c r="C19" s="3128"/>
      <c r="D19" s="874"/>
      <c r="E19" s="885"/>
      <c r="F19" s="885"/>
      <c r="G19" s="885"/>
      <c r="H19" s="879"/>
      <c r="I19" s="879"/>
      <c r="J19" s="879"/>
      <c r="K19" s="879"/>
      <c r="L19" s="879"/>
      <c r="M19" s="880"/>
      <c r="N19" s="878"/>
      <c r="O19" s="880"/>
      <c r="P19" s="619"/>
      <c r="Q19" s="882"/>
      <c r="R19" s="882"/>
      <c r="S19" s="882"/>
      <c r="T19" s="882"/>
      <c r="U19" s="882"/>
      <c r="V19" s="882"/>
      <c r="W19" s="882"/>
      <c r="X19" s="882"/>
      <c r="Y19" s="882"/>
      <c r="Z19" s="882"/>
      <c r="AA19" s="882"/>
      <c r="AB19" s="882"/>
      <c r="AC19" s="882"/>
      <c r="AD19" s="882"/>
      <c r="AE19" s="882"/>
      <c r="AF19" s="882"/>
      <c r="AG19" s="882"/>
      <c r="AH19" s="882"/>
      <c r="AI19" s="882"/>
      <c r="AJ19" s="882"/>
      <c r="AK19" s="884"/>
      <c r="AL19" s="884"/>
      <c r="AM19" s="884"/>
      <c r="AN19" s="828"/>
      <c r="AO19" s="876"/>
    </row>
    <row r="20" spans="2:42" ht="20.100000000000001" customHeight="1">
      <c r="B20" s="3127"/>
      <c r="C20" s="3128"/>
      <c r="D20" s="874"/>
      <c r="E20" s="877" t="s">
        <v>14</v>
      </c>
      <c r="F20" s="878"/>
      <c r="G20" s="878"/>
      <c r="H20" s="878"/>
      <c r="I20" s="879"/>
      <c r="J20" s="879"/>
      <c r="K20" s="879"/>
      <c r="L20" s="879"/>
      <c r="M20" s="880"/>
      <c r="N20" s="878"/>
      <c r="O20" s="878"/>
      <c r="P20" s="619" t="s">
        <v>13</v>
      </c>
      <c r="Q20" s="1423" t="str">
        <f>'FE-1770'!Q20</f>
        <v/>
      </c>
      <c r="R20" s="1423" t="str">
        <f>'FE-1770'!R20</f>
        <v/>
      </c>
      <c r="S20" s="1423" t="str">
        <f>'FE-1770'!S20</f>
        <v/>
      </c>
      <c r="T20" s="1423" t="str">
        <f>'FE-1770'!T20</f>
        <v/>
      </c>
      <c r="U20" s="1423" t="str">
        <f>'FE-1770'!U20</f>
        <v/>
      </c>
      <c r="V20" s="1423" t="str">
        <f>'FE-1770'!V20</f>
        <v/>
      </c>
      <c r="W20" s="1423" t="str">
        <f>'FE-1770'!W20</f>
        <v/>
      </c>
      <c r="X20" s="1423" t="str">
        <f>'FE-1770'!X20</f>
        <v/>
      </c>
      <c r="Y20" s="1423" t="str">
        <f>'FE-1770'!Y20</f>
        <v/>
      </c>
      <c r="Z20" s="1423" t="str">
        <f>'FE-1770'!Z20</f>
        <v/>
      </c>
      <c r="AA20" s="1423" t="str">
        <f>'FE-1770'!AA20</f>
        <v/>
      </c>
      <c r="AB20" s="1423" t="str">
        <f>'FE-1770'!AB20</f>
        <v/>
      </c>
      <c r="AC20" s="1423" t="str">
        <f>'FE-1770'!AC20</f>
        <v/>
      </c>
      <c r="AD20" s="1423" t="str">
        <f>'FE-1770'!AD20</f>
        <v/>
      </c>
      <c r="AE20" s="1423" t="str">
        <f>'FE-1770'!AE20</f>
        <v/>
      </c>
      <c r="AF20" s="1423" t="str">
        <f>'FE-1770'!AF20</f>
        <v/>
      </c>
      <c r="AG20" s="1423" t="str">
        <f>'FE-1770'!AG20</f>
        <v/>
      </c>
      <c r="AH20" s="1423" t="str">
        <f>'FE-1770'!AH20</f>
        <v/>
      </c>
      <c r="AI20" s="1423" t="str">
        <f>'FE-1770'!AI20</f>
        <v/>
      </c>
      <c r="AJ20" s="1423" t="str">
        <f>'FE-1770'!AJ20</f>
        <v/>
      </c>
      <c r="AK20" s="1423" t="str">
        <f>'FE-1770'!AK20</f>
        <v/>
      </c>
      <c r="AL20" s="1423" t="str">
        <f>'FE-1770'!AL20</f>
        <v/>
      </c>
      <c r="AM20" s="1423" t="str">
        <f>'FE-1770'!AM20</f>
        <v/>
      </c>
      <c r="AN20" s="886"/>
      <c r="AO20" s="887"/>
    </row>
    <row r="21" spans="2:42" ht="2.25" customHeight="1">
      <c r="B21" s="3127"/>
      <c r="C21" s="3128"/>
      <c r="D21" s="874"/>
      <c r="E21" s="885"/>
      <c r="F21" s="885"/>
      <c r="G21" s="885"/>
      <c r="H21" s="879"/>
      <c r="I21" s="879"/>
      <c r="J21" s="879"/>
      <c r="K21" s="879"/>
      <c r="L21" s="879"/>
      <c r="M21" s="880"/>
      <c r="N21" s="878"/>
      <c r="O21" s="880"/>
      <c r="P21" s="888"/>
      <c r="Q21" s="889"/>
      <c r="R21" s="889"/>
      <c r="S21" s="889"/>
      <c r="T21" s="890"/>
      <c r="U21" s="889"/>
      <c r="V21" s="889"/>
      <c r="W21" s="889"/>
      <c r="X21" s="889"/>
      <c r="Y21" s="889"/>
      <c r="Z21" s="889"/>
      <c r="AA21" s="889"/>
      <c r="AB21" s="889"/>
      <c r="AC21" s="889"/>
      <c r="AD21" s="889"/>
      <c r="AE21" s="889"/>
      <c r="AF21" s="889"/>
      <c r="AG21" s="889"/>
      <c r="AH21" s="889"/>
      <c r="AI21" s="889"/>
      <c r="AJ21" s="889"/>
      <c r="AK21" s="889"/>
      <c r="AL21" s="889"/>
      <c r="AM21" s="889"/>
      <c r="AN21" s="886"/>
      <c r="AO21" s="887"/>
    </row>
    <row r="22" spans="2:42" ht="20.100000000000001" customHeight="1">
      <c r="B22" s="3127"/>
      <c r="C22" s="3128"/>
      <c r="D22" s="874"/>
      <c r="E22" s="891" t="s">
        <v>219</v>
      </c>
      <c r="F22" s="878"/>
      <c r="G22" s="892"/>
      <c r="H22" s="878"/>
      <c r="I22" s="893"/>
      <c r="J22" s="893"/>
      <c r="K22" s="893"/>
      <c r="L22" s="893"/>
      <c r="M22" s="893"/>
      <c r="N22" s="878"/>
      <c r="O22" s="878"/>
      <c r="P22" s="881" t="s">
        <v>13</v>
      </c>
      <c r="Q22" s="1699" t="str">
        <f>'FE-1770'!Q22</f>
        <v/>
      </c>
      <c r="R22" s="1696"/>
      <c r="S22" s="1696"/>
      <c r="T22" s="1696"/>
      <c r="U22" s="1696"/>
      <c r="V22" s="1696"/>
      <c r="W22" s="1696"/>
      <c r="X22" s="1696"/>
      <c r="Y22" s="1696"/>
      <c r="Z22" s="1696"/>
      <c r="AA22" s="1696"/>
      <c r="AB22" s="1696"/>
      <c r="AC22" s="1696"/>
      <c r="AD22" s="1696"/>
      <c r="AE22" s="1696"/>
      <c r="AF22" s="3189" t="s">
        <v>15</v>
      </c>
      <c r="AG22" s="3189"/>
      <c r="AH22" s="1713"/>
      <c r="AI22" s="1713"/>
      <c r="AJ22" s="1713"/>
      <c r="AK22" s="1713"/>
      <c r="AL22" s="1713"/>
      <c r="AM22" s="1713"/>
      <c r="AN22" s="886"/>
      <c r="AO22" s="887"/>
    </row>
    <row r="23" spans="2:42" ht="2.25" customHeight="1">
      <c r="B23" s="3127"/>
      <c r="C23" s="3128"/>
      <c r="D23" s="874"/>
      <c r="E23" s="885"/>
      <c r="F23" s="885"/>
      <c r="G23" s="885"/>
      <c r="H23" s="879"/>
      <c r="I23" s="879"/>
      <c r="J23" s="879"/>
      <c r="K23" s="879"/>
      <c r="L23" s="879"/>
      <c r="M23" s="880"/>
      <c r="N23" s="878"/>
      <c r="O23" s="880"/>
      <c r="P23" s="881"/>
      <c r="Q23" s="882"/>
      <c r="R23" s="882"/>
      <c r="S23" s="882"/>
      <c r="T23" s="882"/>
      <c r="U23" s="882"/>
      <c r="V23" s="882"/>
      <c r="W23" s="882"/>
      <c r="X23" s="882"/>
      <c r="Y23" s="882"/>
      <c r="Z23" s="882"/>
      <c r="AA23" s="882"/>
      <c r="AB23" s="882"/>
      <c r="AC23" s="882"/>
      <c r="AD23" s="889"/>
      <c r="AE23" s="889"/>
      <c r="AF23" s="889"/>
      <c r="AG23" s="889"/>
      <c r="AH23" s="889"/>
      <c r="AI23" s="889"/>
      <c r="AJ23" s="889"/>
      <c r="AK23" s="889"/>
      <c r="AL23" s="889"/>
      <c r="AM23" s="889"/>
      <c r="AN23" s="886"/>
      <c r="AO23" s="887"/>
    </row>
    <row r="24" spans="2:42" ht="20.100000000000001" customHeight="1">
      <c r="B24" s="3127"/>
      <c r="C24" s="3128"/>
      <c r="D24" s="874"/>
      <c r="E24" s="878" t="s">
        <v>324</v>
      </c>
      <c r="F24" s="878"/>
      <c r="G24" s="878"/>
      <c r="H24" s="879"/>
      <c r="I24" s="878"/>
      <c r="J24" s="878"/>
      <c r="K24" s="879"/>
      <c r="L24" s="879"/>
      <c r="M24" s="880"/>
      <c r="N24" s="878"/>
      <c r="O24" s="878"/>
      <c r="P24" s="881" t="s">
        <v>13</v>
      </c>
      <c r="Q24" s="1423" t="str">
        <f>'FE-1770'!Q24</f>
        <v/>
      </c>
      <c r="R24" s="1423" t="str">
        <f>'FE-1770'!R24</f>
        <v/>
      </c>
      <c r="S24" s="1423" t="str">
        <f>'FE-1770'!S24</f>
        <v/>
      </c>
      <c r="T24" s="1423" t="str">
        <f>'FE-1770'!T24</f>
        <v/>
      </c>
      <c r="U24" s="1423" t="str">
        <f>'FE-1770'!U24</f>
        <v/>
      </c>
      <c r="V24" s="1423" t="str">
        <f>'FE-1770'!V24</f>
        <v/>
      </c>
      <c r="W24" s="1423" t="str">
        <f>'FE-1770'!W24</f>
        <v/>
      </c>
      <c r="X24" s="1423" t="str">
        <f>'FE-1770'!X24</f>
        <v/>
      </c>
      <c r="Y24" s="1423" t="str">
        <f>'FE-1770'!Y24</f>
        <v/>
      </c>
      <c r="Z24" s="1423" t="str">
        <f>'FE-1770'!Z24</f>
        <v/>
      </c>
      <c r="AA24" s="1423" t="str">
        <f>'FE-1770'!AA24</f>
        <v/>
      </c>
      <c r="AB24" s="1423" t="str">
        <f>'FE-1770'!AB24</f>
        <v/>
      </c>
      <c r="AC24" s="1423" t="str">
        <f>'FE-1770'!AC24</f>
        <v/>
      </c>
      <c r="AD24" s="894" t="s">
        <v>16</v>
      </c>
      <c r="AE24" s="1702" t="str">
        <f>'FE-1770'!AE24</f>
        <v/>
      </c>
      <c r="AF24" s="1702" t="str">
        <f>'FE-1770'!AF24</f>
        <v/>
      </c>
      <c r="AG24" s="1702" t="str">
        <f>'FE-1770'!AG24</f>
        <v/>
      </c>
      <c r="AH24" s="1702" t="str">
        <f>'FE-1770'!AH24</f>
        <v/>
      </c>
      <c r="AI24" s="1702" t="str">
        <f>'FE-1770'!AI24</f>
        <v/>
      </c>
      <c r="AJ24" s="1702" t="str">
        <f>'FE-1770'!AJ24</f>
        <v/>
      </c>
      <c r="AK24" s="1702" t="str">
        <f>'FE-1770'!AK24</f>
        <v/>
      </c>
      <c r="AL24" s="1702" t="str">
        <f>'FE-1770'!AL24</f>
        <v/>
      </c>
      <c r="AM24" s="1702" t="str">
        <f>'FE-1770'!AM24</f>
        <v/>
      </c>
      <c r="AN24" s="886"/>
      <c r="AO24" s="887"/>
    </row>
    <row r="25" spans="2:42" ht="5.25" customHeight="1">
      <c r="B25" s="3127"/>
      <c r="C25" s="3128"/>
      <c r="D25" s="874"/>
      <c r="E25" s="877"/>
      <c r="F25" s="878"/>
      <c r="G25" s="878"/>
      <c r="H25" s="879"/>
      <c r="I25" s="878"/>
      <c r="J25" s="878"/>
      <c r="K25" s="879"/>
      <c r="L25" s="879"/>
      <c r="M25" s="880"/>
      <c r="N25" s="878"/>
      <c r="O25" s="878"/>
      <c r="P25" s="881"/>
      <c r="Q25" s="882"/>
      <c r="R25" s="882"/>
      <c r="S25" s="882"/>
      <c r="T25" s="882"/>
      <c r="U25" s="882"/>
      <c r="V25" s="882"/>
      <c r="W25" s="882"/>
      <c r="X25" s="882"/>
      <c r="Y25" s="882"/>
      <c r="Z25" s="882"/>
      <c r="AA25" s="882"/>
      <c r="AB25" s="882"/>
      <c r="AC25" s="882"/>
      <c r="AD25" s="894"/>
      <c r="AE25" s="895"/>
      <c r="AF25" s="896"/>
      <c r="AG25" s="889"/>
      <c r="AH25" s="889"/>
      <c r="AI25" s="889"/>
      <c r="AJ25" s="889"/>
      <c r="AK25" s="889"/>
      <c r="AL25" s="889"/>
      <c r="AM25" s="889"/>
      <c r="AN25" s="886"/>
      <c r="AO25" s="887"/>
    </row>
    <row r="26" spans="2:42" ht="19.5" customHeight="1">
      <c r="B26" s="3127"/>
      <c r="C26" s="3128"/>
      <c r="D26" s="897"/>
      <c r="E26" s="3074" t="s">
        <v>337</v>
      </c>
      <c r="F26" s="3075"/>
      <c r="G26" s="3075"/>
      <c r="H26" s="3075"/>
      <c r="I26" s="3075"/>
      <c r="J26" s="3075"/>
      <c r="K26" s="3075"/>
      <c r="L26" s="3075"/>
      <c r="M26" s="3075"/>
      <c r="N26" s="3075"/>
      <c r="O26" s="3075"/>
      <c r="P26" s="619" t="s">
        <v>13</v>
      </c>
      <c r="Q26" s="1625">
        <f>'FE-1770'!Q26</f>
        <v>0</v>
      </c>
      <c r="R26" s="898" t="s">
        <v>322</v>
      </c>
      <c r="S26" s="898"/>
      <c r="T26" s="1625">
        <f>'FE-1770'!T26</f>
        <v>0</v>
      </c>
      <c r="U26" s="898" t="s">
        <v>318</v>
      </c>
      <c r="V26" s="898"/>
      <c r="W26" s="1625">
        <f>'FE-1770'!W26</f>
        <v>0</v>
      </c>
      <c r="X26" s="898" t="s">
        <v>319</v>
      </c>
      <c r="Y26" s="898"/>
      <c r="Z26" s="1625">
        <f>'FE-1770'!Z26</f>
        <v>0</v>
      </c>
      <c r="AA26" s="899" t="s">
        <v>320</v>
      </c>
      <c r="AB26" s="899"/>
      <c r="AC26" s="899"/>
      <c r="AD26" s="900"/>
      <c r="AE26" s="900"/>
      <c r="AF26" s="901"/>
      <c r="AG26" s="900"/>
      <c r="AH26" s="900"/>
      <c r="AI26" s="900"/>
      <c r="AJ26" s="900"/>
      <c r="AK26" s="900"/>
      <c r="AL26" s="900"/>
      <c r="AM26" s="900"/>
      <c r="AN26" s="900"/>
      <c r="AO26" s="814"/>
      <c r="AP26" s="807"/>
    </row>
    <row r="27" spans="2:42" ht="5.25" customHeight="1">
      <c r="B27" s="3127"/>
      <c r="C27" s="3128"/>
      <c r="D27" s="897"/>
      <c r="E27" s="3075"/>
      <c r="F27" s="3075"/>
      <c r="G27" s="3075"/>
      <c r="H27" s="3075"/>
      <c r="I27" s="3075"/>
      <c r="J27" s="3075"/>
      <c r="K27" s="3075"/>
      <c r="L27" s="3075"/>
      <c r="M27" s="3075"/>
      <c r="N27" s="3075"/>
      <c r="O27" s="3075"/>
      <c r="P27" s="619"/>
      <c r="Q27" s="1737"/>
      <c r="R27" s="898"/>
      <c r="S27" s="898"/>
      <c r="T27" s="898"/>
      <c r="U27" s="898"/>
      <c r="V27" s="902"/>
      <c r="W27" s="898"/>
      <c r="X27" s="898"/>
      <c r="Y27" s="898"/>
      <c r="Z27" s="898"/>
      <c r="AA27" s="898"/>
      <c r="AB27" s="898"/>
      <c r="AC27" s="898"/>
      <c r="AD27" s="900"/>
      <c r="AE27" s="900"/>
      <c r="AF27" s="901"/>
      <c r="AG27" s="900"/>
      <c r="AH27" s="900"/>
      <c r="AI27" s="900"/>
      <c r="AJ27" s="900"/>
      <c r="AK27" s="900"/>
      <c r="AL27" s="900"/>
      <c r="AM27" s="900"/>
      <c r="AN27" s="900"/>
      <c r="AO27" s="814"/>
      <c r="AP27" s="903"/>
    </row>
    <row r="28" spans="2:42" ht="0.75" customHeight="1">
      <c r="B28" s="3127"/>
      <c r="C28" s="3128"/>
      <c r="D28" s="897"/>
      <c r="E28" s="904"/>
      <c r="F28" s="904"/>
      <c r="G28" s="898"/>
      <c r="H28" s="898"/>
      <c r="I28" s="898"/>
      <c r="J28" s="898"/>
      <c r="K28" s="905"/>
      <c r="L28" s="905"/>
      <c r="M28" s="906"/>
      <c r="N28" s="898"/>
      <c r="O28" s="906"/>
      <c r="P28" s="907"/>
      <c r="Q28" s="900"/>
      <c r="R28" s="900"/>
      <c r="S28" s="900"/>
      <c r="T28" s="908"/>
      <c r="U28" s="900"/>
      <c r="V28" s="900"/>
      <c r="W28" s="900"/>
      <c r="X28" s="900"/>
      <c r="Y28" s="900"/>
      <c r="Z28" s="900"/>
      <c r="AA28" s="900"/>
      <c r="AB28" s="900"/>
      <c r="AC28" s="900"/>
      <c r="AD28" s="898"/>
      <c r="AE28" s="898"/>
      <c r="AF28" s="900"/>
      <c r="AG28" s="900"/>
      <c r="AH28" s="900"/>
      <c r="AI28" s="900"/>
      <c r="AJ28" s="900"/>
      <c r="AK28" s="900"/>
      <c r="AL28" s="900"/>
      <c r="AM28" s="900"/>
      <c r="AN28" s="900"/>
      <c r="AO28" s="814"/>
    </row>
    <row r="29" spans="2:42" ht="20.100000000000001" customHeight="1">
      <c r="B29" s="3127"/>
      <c r="C29" s="3128"/>
      <c r="D29" s="897"/>
      <c r="E29" s="909" t="s">
        <v>338</v>
      </c>
      <c r="F29" s="898"/>
      <c r="G29" s="898"/>
      <c r="H29" s="898"/>
      <c r="I29" s="905"/>
      <c r="J29" s="905"/>
      <c r="K29" s="905"/>
      <c r="L29" s="905"/>
      <c r="M29" s="906"/>
      <c r="N29" s="898"/>
      <c r="O29" s="898"/>
      <c r="P29" s="619" t="s">
        <v>13</v>
      </c>
      <c r="Q29" s="1698" t="str">
        <f>'FE-1770'!Q29</f>
        <v/>
      </c>
      <c r="R29" s="1698" t="str">
        <f>'FE-1770'!R29</f>
        <v/>
      </c>
      <c r="S29" s="884"/>
      <c r="T29" s="1698" t="str">
        <f>'FE-1770'!T29</f>
        <v/>
      </c>
      <c r="U29" s="1698" t="str">
        <f>'FE-1770'!U29</f>
        <v/>
      </c>
      <c r="V29" s="1698" t="str">
        <f>'FE-1770'!V29</f>
        <v/>
      </c>
      <c r="W29" s="884"/>
      <c r="X29" s="1698" t="str">
        <f>'FE-1770'!X29</f>
        <v/>
      </c>
      <c r="Y29" s="1698" t="str">
        <f>'FE-1770'!Y29</f>
        <v/>
      </c>
      <c r="Z29" s="1698" t="str">
        <f>'FE-1770'!Z29</f>
        <v/>
      </c>
      <c r="AA29" s="884"/>
      <c r="AB29" s="1698" t="str">
        <f>'FE-1770'!AB29</f>
        <v/>
      </c>
      <c r="AC29" s="884"/>
      <c r="AD29" s="1698" t="str">
        <f>'FE-1770'!AD29</f>
        <v/>
      </c>
      <c r="AE29" s="1698" t="str">
        <f>'FE-1770'!AE29</f>
        <v/>
      </c>
      <c r="AF29" s="1698" t="str">
        <f>'FE-1770'!AF29</f>
        <v/>
      </c>
      <c r="AG29" s="884"/>
      <c r="AH29" s="1698" t="str">
        <f>'FE-1770'!AH29</f>
        <v/>
      </c>
      <c r="AI29" s="1698" t="str">
        <f>'FE-1770'!AI29</f>
        <v/>
      </c>
      <c r="AJ29" s="1698" t="str">
        <f>'FE-1770'!AJ29</f>
        <v/>
      </c>
      <c r="AK29" s="884"/>
      <c r="AL29" s="884"/>
      <c r="AM29" s="884"/>
      <c r="AN29" s="900"/>
      <c r="AO29" s="814"/>
      <c r="AP29" s="903"/>
    </row>
    <row r="30" spans="2:42" ht="4.5" customHeight="1" thickBot="1">
      <c r="B30" s="3127"/>
      <c r="C30" s="3128"/>
      <c r="D30" s="910"/>
      <c r="E30" s="911"/>
      <c r="F30" s="911"/>
      <c r="G30" s="911"/>
      <c r="H30" s="912"/>
      <c r="I30" s="912"/>
      <c r="J30" s="912"/>
      <c r="K30" s="912"/>
      <c r="L30" s="912"/>
      <c r="M30" s="913"/>
      <c r="N30" s="914"/>
      <c r="O30" s="913"/>
      <c r="P30" s="915"/>
      <c r="Q30" s="916"/>
      <c r="R30" s="916"/>
      <c r="S30" s="916"/>
      <c r="T30" s="916"/>
      <c r="U30" s="916"/>
      <c r="V30" s="916"/>
      <c r="W30" s="916"/>
      <c r="X30" s="916"/>
      <c r="Y30" s="916"/>
      <c r="Z30" s="916"/>
      <c r="AA30" s="916"/>
      <c r="AB30" s="916"/>
      <c r="AC30" s="916"/>
      <c r="AD30" s="916"/>
      <c r="AE30" s="916"/>
      <c r="AF30" s="916"/>
      <c r="AG30" s="916"/>
      <c r="AH30" s="916"/>
      <c r="AI30" s="916"/>
      <c r="AJ30" s="916"/>
      <c r="AK30" s="916"/>
      <c r="AL30" s="916"/>
      <c r="AM30" s="916"/>
      <c r="AN30" s="837"/>
      <c r="AO30" s="917"/>
    </row>
    <row r="31" spans="2:42" ht="24.75" customHeight="1">
      <c r="B31" s="3127"/>
      <c r="C31" s="3128"/>
      <c r="D31" s="3145" t="s">
        <v>323</v>
      </c>
      <c r="E31" s="3146"/>
      <c r="F31" s="3146"/>
      <c r="G31" s="3146"/>
      <c r="H31" s="3146"/>
      <c r="I31" s="3146"/>
      <c r="J31" s="3146"/>
      <c r="K31" s="3146"/>
      <c r="L31" s="3146"/>
      <c r="M31" s="3146"/>
      <c r="N31" s="3146"/>
      <c r="O31" s="3146"/>
      <c r="P31" s="3146"/>
      <c r="Q31" s="3146"/>
      <c r="R31" s="3146"/>
      <c r="S31" s="3146"/>
      <c r="T31" s="3146"/>
      <c r="U31" s="3146"/>
      <c r="V31" s="3146"/>
      <c r="W31" s="3146"/>
      <c r="X31" s="3146"/>
      <c r="Y31" s="3146"/>
      <c r="Z31" s="3146"/>
      <c r="AA31" s="3146"/>
      <c r="AB31" s="3146"/>
      <c r="AC31" s="3146"/>
      <c r="AD31" s="3146"/>
      <c r="AE31" s="3146"/>
      <c r="AF31" s="3146"/>
      <c r="AG31" s="3146"/>
      <c r="AH31" s="3146"/>
      <c r="AI31" s="3146"/>
      <c r="AJ31" s="3146"/>
      <c r="AK31" s="3146"/>
      <c r="AL31" s="3146"/>
      <c r="AM31" s="3146"/>
      <c r="AN31" s="3146"/>
      <c r="AO31" s="3147"/>
      <c r="AP31" s="807"/>
    </row>
    <row r="32" spans="2:42" ht="2.25" customHeight="1">
      <c r="B32" s="3127"/>
      <c r="C32" s="3128"/>
      <c r="D32" s="3148"/>
      <c r="E32" s="3149"/>
      <c r="F32" s="3149"/>
      <c r="G32" s="3149"/>
      <c r="H32" s="3149"/>
      <c r="I32" s="3149"/>
      <c r="J32" s="3149"/>
      <c r="K32" s="3149"/>
      <c r="L32" s="3149"/>
      <c r="M32" s="3149"/>
      <c r="N32" s="3149"/>
      <c r="O32" s="3149"/>
      <c r="P32" s="3149"/>
      <c r="Q32" s="3149"/>
      <c r="R32" s="3149"/>
      <c r="S32" s="3149"/>
      <c r="T32" s="3149"/>
      <c r="U32" s="3149"/>
      <c r="V32" s="3149"/>
      <c r="W32" s="3149"/>
      <c r="X32" s="3149"/>
      <c r="Y32" s="3149"/>
      <c r="Z32" s="3149"/>
      <c r="AA32" s="3149"/>
      <c r="AB32" s="3149"/>
      <c r="AC32" s="3149"/>
      <c r="AD32" s="3149"/>
      <c r="AE32" s="3149"/>
      <c r="AF32" s="3149"/>
      <c r="AG32" s="3149"/>
      <c r="AH32" s="3149"/>
      <c r="AI32" s="3149"/>
      <c r="AJ32" s="3149"/>
      <c r="AK32" s="3149"/>
      <c r="AL32" s="3149"/>
      <c r="AM32" s="3149"/>
      <c r="AN32" s="3149"/>
      <c r="AO32" s="3150"/>
      <c r="AP32" s="807"/>
    </row>
    <row r="33" spans="1:42" ht="5.25" customHeight="1" thickBot="1">
      <c r="B33" s="3129"/>
      <c r="C33" s="3130"/>
      <c r="D33" s="3151"/>
      <c r="E33" s="3152"/>
      <c r="F33" s="3152"/>
      <c r="G33" s="3152"/>
      <c r="H33" s="3152"/>
      <c r="I33" s="3152"/>
      <c r="J33" s="3152"/>
      <c r="K33" s="3152"/>
      <c r="L33" s="3152"/>
      <c r="M33" s="3152"/>
      <c r="N33" s="3152"/>
      <c r="O33" s="3152"/>
      <c r="P33" s="3152"/>
      <c r="Q33" s="3152"/>
      <c r="R33" s="3152"/>
      <c r="S33" s="3152"/>
      <c r="T33" s="3152"/>
      <c r="U33" s="3152"/>
      <c r="V33" s="3152"/>
      <c r="W33" s="3152"/>
      <c r="X33" s="3152"/>
      <c r="Y33" s="3152"/>
      <c r="Z33" s="3152"/>
      <c r="AA33" s="3152"/>
      <c r="AB33" s="3152"/>
      <c r="AC33" s="3152"/>
      <c r="AD33" s="3152"/>
      <c r="AE33" s="3152"/>
      <c r="AF33" s="3152"/>
      <c r="AG33" s="3152"/>
      <c r="AH33" s="3152"/>
      <c r="AI33" s="3152"/>
      <c r="AJ33" s="3152"/>
      <c r="AK33" s="3152"/>
      <c r="AL33" s="3152"/>
      <c r="AM33" s="3152"/>
      <c r="AN33" s="3152"/>
      <c r="AO33" s="3153"/>
      <c r="AP33" s="807"/>
    </row>
    <row r="34" spans="1:42" ht="3" customHeight="1">
      <c r="B34" s="874"/>
      <c r="C34" s="874"/>
      <c r="D34" s="874"/>
      <c r="E34" s="807"/>
      <c r="F34" s="807"/>
      <c r="G34" s="807"/>
      <c r="H34" s="807"/>
      <c r="I34" s="807"/>
      <c r="J34" s="807"/>
      <c r="K34" s="807"/>
      <c r="L34" s="807"/>
      <c r="M34" s="807"/>
      <c r="N34" s="807"/>
      <c r="O34" s="807"/>
      <c r="P34" s="807"/>
      <c r="Q34" s="807"/>
      <c r="R34" s="807"/>
      <c r="S34" s="807"/>
      <c r="T34" s="807"/>
      <c r="U34" s="807"/>
      <c r="V34" s="807"/>
      <c r="W34" s="807"/>
      <c r="X34" s="807"/>
      <c r="Y34" s="807"/>
      <c r="Z34" s="807"/>
      <c r="AA34" s="807"/>
      <c r="AB34" s="807"/>
      <c r="AC34" s="807"/>
      <c r="AD34" s="807"/>
      <c r="AE34" s="807"/>
      <c r="AF34" s="807"/>
      <c r="AG34" s="807"/>
      <c r="AH34" s="807"/>
      <c r="AI34" s="807"/>
      <c r="AJ34" s="807"/>
      <c r="AK34" s="807"/>
      <c r="AL34" s="807"/>
      <c r="AM34" s="807"/>
      <c r="AN34" s="807"/>
      <c r="AO34" s="807"/>
      <c r="AP34" s="807"/>
    </row>
    <row r="35" spans="1:42" ht="5.25" customHeight="1">
      <c r="B35" s="3084" t="s">
        <v>358</v>
      </c>
      <c r="C35" s="3085"/>
      <c r="D35" s="3085"/>
      <c r="E35" s="3085"/>
      <c r="F35" s="3085"/>
      <c r="G35" s="3085"/>
      <c r="H35" s="3085"/>
      <c r="I35" s="3085"/>
      <c r="J35" s="3085"/>
      <c r="K35" s="3085"/>
      <c r="L35" s="3085"/>
      <c r="M35" s="3085"/>
      <c r="N35" s="3085"/>
      <c r="O35" s="3085"/>
      <c r="P35" s="3085"/>
      <c r="Q35" s="3085"/>
      <c r="R35" s="3085"/>
      <c r="S35" s="3085"/>
      <c r="T35" s="3085"/>
      <c r="U35" s="3085"/>
      <c r="V35" s="3085"/>
      <c r="W35" s="3085"/>
      <c r="X35" s="3085"/>
      <c r="Y35" s="3085"/>
      <c r="Z35" s="3085"/>
      <c r="AA35" s="3085"/>
      <c r="AB35" s="3085"/>
      <c r="AC35" s="3085"/>
      <c r="AD35" s="3085"/>
      <c r="AE35" s="3086"/>
      <c r="AF35" s="918"/>
      <c r="AG35" s="918"/>
      <c r="AH35" s="918"/>
      <c r="AI35" s="918"/>
      <c r="AJ35" s="918"/>
      <c r="AK35" s="918"/>
      <c r="AL35" s="918"/>
      <c r="AM35" s="918"/>
      <c r="AN35" s="918"/>
      <c r="AO35" s="919"/>
      <c r="AP35" s="807"/>
    </row>
    <row r="36" spans="1:42" ht="10.5" customHeight="1">
      <c r="A36" s="920"/>
      <c r="B36" s="3087"/>
      <c r="C36" s="3088"/>
      <c r="D36" s="3088"/>
      <c r="E36" s="3088"/>
      <c r="F36" s="3088"/>
      <c r="G36" s="3088"/>
      <c r="H36" s="3088"/>
      <c r="I36" s="3088"/>
      <c r="J36" s="3088"/>
      <c r="K36" s="3088"/>
      <c r="L36" s="3088"/>
      <c r="M36" s="3088"/>
      <c r="N36" s="3088"/>
      <c r="O36" s="3088"/>
      <c r="P36" s="3088"/>
      <c r="Q36" s="3088"/>
      <c r="R36" s="3088"/>
      <c r="S36" s="3088"/>
      <c r="T36" s="3088"/>
      <c r="U36" s="3088"/>
      <c r="V36" s="3088"/>
      <c r="W36" s="3088"/>
      <c r="X36" s="3088"/>
      <c r="Y36" s="3088"/>
      <c r="Z36" s="3088"/>
      <c r="AA36" s="3088"/>
      <c r="AB36" s="3088"/>
      <c r="AC36" s="3088"/>
      <c r="AD36" s="3088"/>
      <c r="AE36" s="3089"/>
      <c r="AF36" s="3190" t="s">
        <v>241</v>
      </c>
      <c r="AG36" s="3191"/>
      <c r="AH36" s="3191"/>
      <c r="AI36" s="3191"/>
      <c r="AJ36" s="3191"/>
      <c r="AK36" s="3191"/>
      <c r="AL36" s="3191"/>
      <c r="AM36" s="3191"/>
      <c r="AN36" s="3191"/>
      <c r="AO36" s="3192"/>
      <c r="AP36" s="921"/>
    </row>
    <row r="37" spans="1:42" ht="2.1" customHeight="1">
      <c r="A37" s="920"/>
      <c r="B37" s="922"/>
      <c r="C37" s="923"/>
      <c r="D37" s="923"/>
      <c r="E37" s="923"/>
      <c r="F37" s="923"/>
      <c r="G37" s="923"/>
      <c r="H37" s="923"/>
      <c r="I37" s="923"/>
      <c r="J37" s="923"/>
      <c r="K37" s="923"/>
      <c r="L37" s="923"/>
      <c r="M37" s="923"/>
      <c r="N37" s="923"/>
      <c r="O37" s="923"/>
      <c r="P37" s="923"/>
      <c r="Q37" s="923"/>
      <c r="R37" s="923"/>
      <c r="S37" s="923"/>
      <c r="T37" s="923"/>
      <c r="U37" s="923"/>
      <c r="V37" s="923"/>
      <c r="W37" s="923"/>
      <c r="X37" s="923"/>
      <c r="Y37" s="923"/>
      <c r="Z37" s="923"/>
      <c r="AA37" s="923"/>
      <c r="AB37" s="923"/>
      <c r="AC37" s="923"/>
      <c r="AD37" s="923"/>
      <c r="AE37" s="923"/>
      <c r="AF37" s="924"/>
      <c r="AG37" s="925"/>
      <c r="AH37" s="925"/>
      <c r="AI37" s="925"/>
      <c r="AJ37" s="925"/>
      <c r="AK37" s="925"/>
      <c r="AL37" s="925"/>
      <c r="AM37" s="925"/>
      <c r="AN37" s="925"/>
      <c r="AO37" s="926"/>
      <c r="AP37" s="921"/>
    </row>
    <row r="38" spans="1:42" ht="24" customHeight="1">
      <c r="B38" s="3142" t="s">
        <v>17</v>
      </c>
      <c r="C38" s="3143"/>
      <c r="D38" s="3143"/>
      <c r="E38" s="3144"/>
      <c r="F38" s="807"/>
      <c r="G38" s="927" t="s">
        <v>18</v>
      </c>
      <c r="H38" s="807"/>
      <c r="I38" s="3137" t="s">
        <v>253</v>
      </c>
      <c r="J38" s="3137"/>
      <c r="K38" s="3137"/>
      <c r="L38" s="3137"/>
      <c r="M38" s="3137"/>
      <c r="N38" s="3137"/>
      <c r="O38" s="3137"/>
      <c r="P38" s="3137"/>
      <c r="Q38" s="3137"/>
      <c r="R38" s="3137"/>
      <c r="S38" s="3137"/>
      <c r="T38" s="3137"/>
      <c r="U38" s="3137"/>
      <c r="V38" s="3137"/>
      <c r="W38" s="3137"/>
      <c r="X38" s="3137"/>
      <c r="Y38" s="3137"/>
      <c r="Z38" s="3137"/>
      <c r="AA38" s="3137"/>
      <c r="AB38" s="3137"/>
      <c r="AC38" s="3137"/>
      <c r="AD38" s="3137"/>
      <c r="AE38" s="928"/>
      <c r="AF38" s="1697">
        <v>1</v>
      </c>
      <c r="AG38" s="3109">
        <f>'FE-1770'!AG38</f>
        <v>0</v>
      </c>
      <c r="AH38" s="3109"/>
      <c r="AI38" s="3109"/>
      <c r="AJ38" s="3109"/>
      <c r="AK38" s="3109"/>
      <c r="AL38" s="3109"/>
      <c r="AM38" s="3109"/>
      <c r="AN38" s="3109"/>
      <c r="AO38" s="3109"/>
      <c r="AP38" s="807"/>
    </row>
    <row r="39" spans="1:42" ht="3" customHeight="1">
      <c r="A39" s="929"/>
      <c r="B39" s="3142"/>
      <c r="C39" s="3143"/>
      <c r="D39" s="3143"/>
      <c r="E39" s="3144"/>
      <c r="F39" s="807"/>
      <c r="G39" s="930"/>
      <c r="H39" s="807"/>
      <c r="I39" s="878"/>
      <c r="J39" s="878"/>
      <c r="K39" s="931"/>
      <c r="L39" s="931"/>
      <c r="M39" s="931"/>
      <c r="N39" s="931"/>
      <c r="O39" s="931"/>
      <c r="P39" s="931"/>
      <c r="Q39" s="931"/>
      <c r="R39" s="931"/>
      <c r="S39" s="931"/>
      <c r="T39" s="931"/>
      <c r="U39" s="931"/>
      <c r="V39" s="931"/>
      <c r="W39" s="931"/>
      <c r="X39" s="931"/>
      <c r="Y39" s="931"/>
      <c r="Z39" s="931"/>
      <c r="AA39" s="931"/>
      <c r="AB39" s="931"/>
      <c r="AC39" s="931"/>
      <c r="AD39" s="932"/>
      <c r="AE39" s="932"/>
      <c r="AF39" s="877"/>
      <c r="AG39" s="1797"/>
      <c r="AH39" s="1797"/>
      <c r="AI39" s="1797"/>
      <c r="AJ39" s="1797"/>
      <c r="AK39" s="1797"/>
      <c r="AL39" s="1797"/>
      <c r="AM39" s="1797"/>
      <c r="AN39" s="1797"/>
      <c r="AO39" s="1798"/>
      <c r="AP39" s="807"/>
    </row>
    <row r="40" spans="1:42" ht="24" customHeight="1">
      <c r="B40" s="3142"/>
      <c r="C40" s="3143"/>
      <c r="D40" s="3143"/>
      <c r="E40" s="3144"/>
      <c r="F40" s="807"/>
      <c r="G40" s="927" t="s">
        <v>19</v>
      </c>
      <c r="H40" s="807"/>
      <c r="I40" s="3090" t="s">
        <v>260</v>
      </c>
      <c r="J40" s="3090"/>
      <c r="K40" s="3090"/>
      <c r="L40" s="3090"/>
      <c r="M40" s="3090"/>
      <c r="N40" s="3090"/>
      <c r="O40" s="3090"/>
      <c r="P40" s="3090"/>
      <c r="Q40" s="3090"/>
      <c r="R40" s="3090"/>
      <c r="S40" s="3090"/>
      <c r="T40" s="3090"/>
      <c r="U40" s="3090"/>
      <c r="V40" s="3090"/>
      <c r="W40" s="3090"/>
      <c r="X40" s="3090"/>
      <c r="Y40" s="3090"/>
      <c r="Z40" s="3090"/>
      <c r="AA40" s="3090"/>
      <c r="AB40" s="3090"/>
      <c r="AC40" s="3090"/>
      <c r="AD40" s="3090"/>
      <c r="AE40" s="3138"/>
      <c r="AF40" s="1697">
        <v>2</v>
      </c>
      <c r="AG40" s="3109">
        <f>'FE-1770'!AG40</f>
        <v>0</v>
      </c>
      <c r="AH40" s="3109"/>
      <c r="AI40" s="3109"/>
      <c r="AJ40" s="3109"/>
      <c r="AK40" s="3109"/>
      <c r="AL40" s="3109"/>
      <c r="AM40" s="3109"/>
      <c r="AN40" s="3109"/>
      <c r="AO40" s="3109"/>
      <c r="AP40" s="807"/>
    </row>
    <row r="41" spans="1:42" ht="3" customHeight="1">
      <c r="A41" s="929"/>
      <c r="B41" s="3142"/>
      <c r="C41" s="3143"/>
      <c r="D41" s="3143"/>
      <c r="E41" s="3144"/>
      <c r="F41" s="807"/>
      <c r="G41" s="927"/>
      <c r="H41" s="807"/>
      <c r="I41" s="878"/>
      <c r="J41" s="878"/>
      <c r="K41" s="879"/>
      <c r="L41" s="879"/>
      <c r="M41" s="879"/>
      <c r="N41" s="879"/>
      <c r="O41" s="879"/>
      <c r="P41" s="879"/>
      <c r="Q41" s="879"/>
      <c r="R41" s="879"/>
      <c r="S41" s="879"/>
      <c r="T41" s="879"/>
      <c r="U41" s="879"/>
      <c r="V41" s="879"/>
      <c r="W41" s="879"/>
      <c r="X41" s="879"/>
      <c r="Y41" s="879"/>
      <c r="Z41" s="879"/>
      <c r="AA41" s="879"/>
      <c r="AB41" s="879"/>
      <c r="AC41" s="879"/>
      <c r="AD41" s="932"/>
      <c r="AE41" s="932"/>
      <c r="AF41" s="877"/>
      <c r="AG41" s="1797"/>
      <c r="AH41" s="1797"/>
      <c r="AI41" s="1797"/>
      <c r="AJ41" s="1797"/>
      <c r="AK41" s="1797"/>
      <c r="AL41" s="1797"/>
      <c r="AM41" s="1797"/>
      <c r="AN41" s="1797"/>
      <c r="AO41" s="1798"/>
      <c r="AP41" s="807"/>
    </row>
    <row r="42" spans="1:42" ht="24" customHeight="1">
      <c r="B42" s="3142"/>
      <c r="C42" s="3143"/>
      <c r="D42" s="3143"/>
      <c r="E42" s="3144"/>
      <c r="F42" s="807"/>
      <c r="G42" s="927" t="s">
        <v>20</v>
      </c>
      <c r="H42" s="807"/>
      <c r="I42" s="3137" t="s">
        <v>267</v>
      </c>
      <c r="J42" s="3137"/>
      <c r="K42" s="3137"/>
      <c r="L42" s="3137"/>
      <c r="M42" s="3137"/>
      <c r="N42" s="3137"/>
      <c r="O42" s="3137"/>
      <c r="P42" s="3137"/>
      <c r="Q42" s="3137"/>
      <c r="R42" s="3137"/>
      <c r="S42" s="3137"/>
      <c r="T42" s="3137"/>
      <c r="U42" s="3137"/>
      <c r="V42" s="3137"/>
      <c r="W42" s="3137"/>
      <c r="X42" s="3137"/>
      <c r="Y42" s="3137"/>
      <c r="Z42" s="3137"/>
      <c r="AA42" s="3137"/>
      <c r="AB42" s="3137"/>
      <c r="AC42" s="3137"/>
      <c r="AD42" s="3137"/>
      <c r="AE42" s="928"/>
      <c r="AF42" s="1697">
        <v>3</v>
      </c>
      <c r="AG42" s="3109">
        <f>'FE-1770'!AG42</f>
        <v>0</v>
      </c>
      <c r="AH42" s="3109"/>
      <c r="AI42" s="3109"/>
      <c r="AJ42" s="3109"/>
      <c r="AK42" s="3109"/>
      <c r="AL42" s="3109"/>
      <c r="AM42" s="3109"/>
      <c r="AN42" s="3109"/>
      <c r="AO42" s="3109"/>
      <c r="AP42" s="807"/>
    </row>
    <row r="43" spans="1:42" ht="1.5" customHeight="1">
      <c r="A43" s="933">
        <v>4</v>
      </c>
      <c r="B43" s="3142"/>
      <c r="C43" s="3143"/>
      <c r="D43" s="3143"/>
      <c r="E43" s="3144"/>
      <c r="F43" s="807"/>
      <c r="G43" s="930"/>
      <c r="H43" s="807"/>
      <c r="I43" s="878"/>
      <c r="J43" s="878"/>
      <c r="K43" s="931"/>
      <c r="L43" s="931"/>
      <c r="M43" s="931"/>
      <c r="N43" s="931"/>
      <c r="O43" s="931"/>
      <c r="P43" s="931"/>
      <c r="Q43" s="931"/>
      <c r="R43" s="931"/>
      <c r="S43" s="931"/>
      <c r="T43" s="931"/>
      <c r="U43" s="931"/>
      <c r="V43" s="931"/>
      <c r="W43" s="931"/>
      <c r="X43" s="931"/>
      <c r="Y43" s="931"/>
      <c r="Z43" s="931"/>
      <c r="AA43" s="879"/>
      <c r="AB43" s="879"/>
      <c r="AC43" s="879"/>
      <c r="AD43" s="932"/>
      <c r="AE43" s="932"/>
      <c r="AF43" s="877"/>
      <c r="AG43" s="1797"/>
      <c r="AH43" s="1797"/>
      <c r="AI43" s="1797"/>
      <c r="AJ43" s="1797"/>
      <c r="AK43" s="1797"/>
      <c r="AL43" s="1797"/>
      <c r="AM43" s="1797"/>
      <c r="AN43" s="1797"/>
      <c r="AO43" s="1798"/>
      <c r="AP43" s="807"/>
    </row>
    <row r="44" spans="1:42" ht="24.75" customHeight="1">
      <c r="A44" s="933"/>
      <c r="B44" s="3142"/>
      <c r="C44" s="3143"/>
      <c r="D44" s="3143"/>
      <c r="E44" s="3144"/>
      <c r="F44" s="807"/>
      <c r="G44" s="930" t="s">
        <v>21</v>
      </c>
      <c r="H44" s="807"/>
      <c r="I44" s="3090" t="s">
        <v>348</v>
      </c>
      <c r="J44" s="3090"/>
      <c r="K44" s="3090"/>
      <c r="L44" s="3090"/>
      <c r="M44" s="3090"/>
      <c r="N44" s="3090"/>
      <c r="O44" s="3090"/>
      <c r="P44" s="3090"/>
      <c r="Q44" s="3090"/>
      <c r="R44" s="3090"/>
      <c r="S44" s="3090"/>
      <c r="T44" s="3090"/>
      <c r="U44" s="3090"/>
      <c r="V44" s="3090"/>
      <c r="W44" s="3090"/>
      <c r="X44" s="3090"/>
      <c r="Y44" s="3090"/>
      <c r="Z44" s="3090"/>
      <c r="AA44" s="3090"/>
      <c r="AB44" s="3090"/>
      <c r="AC44" s="3090"/>
      <c r="AD44" s="3090"/>
      <c r="AE44" s="934"/>
      <c r="AF44" s="1697">
        <v>4</v>
      </c>
      <c r="AG44" s="3109">
        <f>'FE-1770'!AG44</f>
        <v>0</v>
      </c>
      <c r="AH44" s="3109"/>
      <c r="AI44" s="3109"/>
      <c r="AJ44" s="3109"/>
      <c r="AK44" s="3109"/>
      <c r="AL44" s="3109"/>
      <c r="AM44" s="3109"/>
      <c r="AN44" s="3109"/>
      <c r="AO44" s="3109"/>
      <c r="AP44" s="807"/>
    </row>
    <row r="45" spans="1:42" ht="2.25" customHeight="1">
      <c r="A45" s="929"/>
      <c r="B45" s="3142"/>
      <c r="C45" s="3143"/>
      <c r="D45" s="3143"/>
      <c r="E45" s="3144"/>
      <c r="F45" s="807"/>
      <c r="G45" s="930"/>
      <c r="H45" s="807"/>
      <c r="I45" s="878"/>
      <c r="J45" s="878"/>
      <c r="K45" s="931"/>
      <c r="L45" s="931"/>
      <c r="M45" s="931"/>
      <c r="N45" s="931"/>
      <c r="O45" s="931"/>
      <c r="P45" s="931"/>
      <c r="Q45" s="931"/>
      <c r="R45" s="931"/>
      <c r="S45" s="931"/>
      <c r="T45" s="931"/>
      <c r="U45" s="931"/>
      <c r="V45" s="931"/>
      <c r="W45" s="931"/>
      <c r="X45" s="879"/>
      <c r="Y45" s="879"/>
      <c r="Z45" s="879"/>
      <c r="AA45" s="879"/>
      <c r="AB45" s="879"/>
      <c r="AC45" s="879"/>
      <c r="AD45" s="878"/>
      <c r="AE45" s="878"/>
      <c r="AF45" s="881"/>
      <c r="AG45" s="1797"/>
      <c r="AH45" s="1797"/>
      <c r="AI45" s="1797"/>
      <c r="AJ45" s="1797"/>
      <c r="AK45" s="1797"/>
      <c r="AL45" s="1797"/>
      <c r="AM45" s="1797"/>
      <c r="AN45" s="1797"/>
      <c r="AO45" s="1798"/>
      <c r="AP45" s="807"/>
    </row>
    <row r="46" spans="1:42" ht="24.75" customHeight="1">
      <c r="B46" s="3142"/>
      <c r="C46" s="3143"/>
      <c r="D46" s="3143"/>
      <c r="E46" s="3144"/>
      <c r="F46" s="807"/>
      <c r="G46" s="927" t="s">
        <v>22</v>
      </c>
      <c r="H46" s="807"/>
      <c r="I46" s="3081" t="s">
        <v>187</v>
      </c>
      <c r="J46" s="3102"/>
      <c r="K46" s="3102"/>
      <c r="L46" s="3102"/>
      <c r="M46" s="3102"/>
      <c r="N46" s="3102"/>
      <c r="O46" s="3102"/>
      <c r="P46" s="3102"/>
      <c r="Q46" s="3102"/>
      <c r="R46" s="3102"/>
      <c r="S46" s="3102"/>
      <c r="T46" s="3102"/>
      <c r="U46" s="3102"/>
      <c r="V46" s="3102"/>
      <c r="W46" s="3102"/>
      <c r="X46" s="3102"/>
      <c r="Y46" s="3102"/>
      <c r="Z46" s="3102"/>
      <c r="AA46" s="3102"/>
      <c r="AB46" s="3102"/>
      <c r="AC46" s="3102"/>
      <c r="AD46" s="3102"/>
      <c r="AE46" s="935"/>
      <c r="AF46" s="1697">
        <v>5</v>
      </c>
      <c r="AG46" s="3109">
        <f>'FE-1770'!AG46</f>
        <v>0</v>
      </c>
      <c r="AH46" s="3109"/>
      <c r="AI46" s="3109"/>
      <c r="AJ46" s="3109"/>
      <c r="AK46" s="3109"/>
      <c r="AL46" s="3109"/>
      <c r="AM46" s="3109"/>
      <c r="AN46" s="3109"/>
      <c r="AO46" s="3109"/>
      <c r="AP46" s="807"/>
    </row>
    <row r="47" spans="1:42" ht="2.25" customHeight="1">
      <c r="A47" s="929"/>
      <c r="B47" s="3142"/>
      <c r="C47" s="3143"/>
      <c r="D47" s="3143"/>
      <c r="E47" s="3144"/>
      <c r="F47" s="807"/>
      <c r="G47" s="927"/>
      <c r="H47" s="807"/>
      <c r="I47" s="936"/>
      <c r="J47" s="936"/>
      <c r="K47" s="854"/>
      <c r="L47" s="854"/>
      <c r="M47" s="854"/>
      <c r="N47" s="854"/>
      <c r="O47" s="854"/>
      <c r="P47" s="854"/>
      <c r="Q47" s="854"/>
      <c r="R47" s="854"/>
      <c r="S47" s="854"/>
      <c r="T47" s="854"/>
      <c r="U47" s="937" t="s">
        <v>23</v>
      </c>
      <c r="V47" s="937"/>
      <c r="W47" s="937"/>
      <c r="X47" s="937"/>
      <c r="Y47" s="937"/>
      <c r="Z47" s="937"/>
      <c r="AA47" s="937"/>
      <c r="AB47" s="937"/>
      <c r="AC47" s="937"/>
      <c r="AD47" s="937"/>
      <c r="AE47" s="937"/>
      <c r="AF47" s="938"/>
      <c r="AG47" s="1797"/>
      <c r="AH47" s="1797"/>
      <c r="AI47" s="1797"/>
      <c r="AJ47" s="1797"/>
      <c r="AK47" s="1797"/>
      <c r="AL47" s="1797"/>
      <c r="AM47" s="1797"/>
      <c r="AN47" s="1797"/>
      <c r="AO47" s="1798"/>
      <c r="AP47" s="807"/>
    </row>
    <row r="48" spans="1:42" ht="24" customHeight="1">
      <c r="B48" s="3142"/>
      <c r="C48" s="3143"/>
      <c r="D48" s="3143"/>
      <c r="E48" s="3144"/>
      <c r="F48" s="807"/>
      <c r="G48" s="927" t="s">
        <v>24</v>
      </c>
      <c r="H48" s="807"/>
      <c r="I48" s="3078" t="s">
        <v>261</v>
      </c>
      <c r="J48" s="3082"/>
      <c r="K48" s="3082"/>
      <c r="L48" s="3082"/>
      <c r="M48" s="3082"/>
      <c r="N48" s="3082"/>
      <c r="O48" s="3082"/>
      <c r="P48" s="3082"/>
      <c r="Q48" s="3082"/>
      <c r="R48" s="3082"/>
      <c r="S48" s="3082"/>
      <c r="T48" s="3082"/>
      <c r="U48" s="3082"/>
      <c r="V48" s="3082"/>
      <c r="W48" s="3082"/>
      <c r="X48" s="3082"/>
      <c r="Y48" s="3082"/>
      <c r="Z48" s="3082"/>
      <c r="AA48" s="3082"/>
      <c r="AB48" s="3082"/>
      <c r="AC48" s="3082"/>
      <c r="AD48" s="3082"/>
      <c r="AE48" s="3083"/>
      <c r="AF48" s="1697">
        <v>6</v>
      </c>
      <c r="AG48" s="3109">
        <f>'FE-1770'!AG48</f>
        <v>0</v>
      </c>
      <c r="AH48" s="3109"/>
      <c r="AI48" s="3109"/>
      <c r="AJ48" s="3109"/>
      <c r="AK48" s="3109"/>
      <c r="AL48" s="3109"/>
      <c r="AM48" s="3109"/>
      <c r="AN48" s="3109"/>
      <c r="AO48" s="3109"/>
      <c r="AP48" s="807"/>
    </row>
    <row r="49" spans="1:42" ht="3" customHeight="1">
      <c r="A49" s="933"/>
      <c r="B49" s="3142"/>
      <c r="C49" s="3143"/>
      <c r="D49" s="3143"/>
      <c r="E49" s="3144"/>
      <c r="F49" s="807"/>
      <c r="G49" s="927"/>
      <c r="H49" s="807"/>
      <c r="I49" s="936"/>
      <c r="J49" s="936"/>
      <c r="K49" s="939"/>
      <c r="L49" s="939"/>
      <c r="M49" s="939"/>
      <c r="N49" s="939"/>
      <c r="O49" s="939"/>
      <c r="P49" s="939"/>
      <c r="Q49" s="939"/>
      <c r="R49" s="939"/>
      <c r="S49" s="939"/>
      <c r="T49" s="939"/>
      <c r="U49" s="854"/>
      <c r="V49" s="854"/>
      <c r="W49" s="854"/>
      <c r="X49" s="854"/>
      <c r="Y49" s="854"/>
      <c r="Z49" s="854"/>
      <c r="AA49" s="854"/>
      <c r="AB49" s="854"/>
      <c r="AC49" s="854"/>
      <c r="AD49" s="936"/>
      <c r="AE49" s="936"/>
      <c r="AF49" s="881"/>
      <c r="AG49" s="1797"/>
      <c r="AH49" s="1797"/>
      <c r="AI49" s="1797"/>
      <c r="AJ49" s="1797"/>
      <c r="AK49" s="1797"/>
      <c r="AL49" s="1797"/>
      <c r="AM49" s="1797"/>
      <c r="AN49" s="1797"/>
      <c r="AO49" s="1798"/>
      <c r="AP49" s="807"/>
    </row>
    <row r="50" spans="1:42" ht="12" customHeight="1">
      <c r="B50" s="3142"/>
      <c r="C50" s="3143"/>
      <c r="D50" s="3143"/>
      <c r="E50" s="3144"/>
      <c r="F50" s="807"/>
      <c r="G50" s="927" t="s">
        <v>25</v>
      </c>
      <c r="H50" s="807"/>
      <c r="I50" s="854" t="s">
        <v>269</v>
      </c>
      <c r="J50" s="940"/>
      <c r="K50" s="940"/>
      <c r="L50" s="940"/>
      <c r="M50" s="940"/>
      <c r="N50" s="940"/>
      <c r="O50" s="940"/>
      <c r="P50" s="940"/>
      <c r="Q50" s="940"/>
      <c r="R50" s="940"/>
      <c r="S50" s="940"/>
      <c r="T50" s="940"/>
      <c r="U50" s="940"/>
      <c r="V50" s="940"/>
      <c r="W50" s="940"/>
      <c r="X50" s="940"/>
      <c r="Y50" s="940"/>
      <c r="Z50" s="940"/>
      <c r="AA50" s="936"/>
      <c r="AB50" s="936"/>
      <c r="AC50" s="936"/>
      <c r="AD50" s="936"/>
      <c r="AE50" s="941"/>
      <c r="AF50" s="3105">
        <v>7</v>
      </c>
      <c r="AG50" s="3109">
        <f>'FE-1770'!AG50</f>
        <v>0</v>
      </c>
      <c r="AH50" s="3109"/>
      <c r="AI50" s="3109"/>
      <c r="AJ50" s="3109"/>
      <c r="AK50" s="3109"/>
      <c r="AL50" s="3109"/>
      <c r="AM50" s="3109"/>
      <c r="AN50" s="3109"/>
      <c r="AO50" s="3109"/>
      <c r="AP50" s="807"/>
    </row>
    <row r="51" spans="1:42" ht="12" customHeight="1">
      <c r="B51" s="942"/>
      <c r="C51" s="943"/>
      <c r="D51" s="943"/>
      <c r="E51" s="944"/>
      <c r="F51" s="807"/>
      <c r="G51" s="927"/>
      <c r="H51" s="807"/>
      <c r="I51" s="854" t="s">
        <v>268</v>
      </c>
      <c r="J51" s="854"/>
      <c r="K51" s="854"/>
      <c r="L51" s="854"/>
      <c r="M51" s="854"/>
      <c r="N51" s="854"/>
      <c r="O51" s="854"/>
      <c r="P51" s="854"/>
      <c r="Q51" s="854"/>
      <c r="R51" s="854"/>
      <c r="S51" s="854"/>
      <c r="T51" s="854"/>
      <c r="U51" s="854"/>
      <c r="V51" s="854"/>
      <c r="W51" s="854"/>
      <c r="X51" s="854"/>
      <c r="Y51" s="854"/>
      <c r="Z51" s="854"/>
      <c r="AA51" s="854"/>
      <c r="AB51" s="854"/>
      <c r="AC51" s="854"/>
      <c r="AD51" s="854"/>
      <c r="AE51" s="936"/>
      <c r="AF51" s="3107"/>
      <c r="AG51" s="3109"/>
      <c r="AH51" s="3109"/>
      <c r="AI51" s="3109"/>
      <c r="AJ51" s="3109"/>
      <c r="AK51" s="3109"/>
      <c r="AL51" s="3109"/>
      <c r="AM51" s="3109"/>
      <c r="AN51" s="3109"/>
      <c r="AO51" s="3109"/>
      <c r="AP51" s="807"/>
    </row>
    <row r="52" spans="1:42" ht="4.5" customHeight="1">
      <c r="B52" s="945"/>
      <c r="C52" s="946"/>
      <c r="D52" s="946"/>
      <c r="E52" s="947"/>
      <c r="F52" s="948"/>
      <c r="G52" s="949"/>
      <c r="H52" s="948"/>
      <c r="I52" s="950"/>
      <c r="J52" s="950"/>
      <c r="K52" s="948"/>
      <c r="L52" s="951"/>
      <c r="M52" s="951"/>
      <c r="N52" s="951"/>
      <c r="O52" s="951"/>
      <c r="P52" s="951"/>
      <c r="Q52" s="951"/>
      <c r="R52" s="951"/>
      <c r="S52" s="951"/>
      <c r="T52" s="951"/>
      <c r="U52" s="951"/>
      <c r="V52" s="951"/>
      <c r="W52" s="951"/>
      <c r="X52" s="951"/>
      <c r="Y52" s="951"/>
      <c r="Z52" s="951"/>
      <c r="AA52" s="951"/>
      <c r="AB52" s="951"/>
      <c r="AC52" s="951"/>
      <c r="AD52" s="948"/>
      <c r="AE52" s="948"/>
      <c r="AF52" s="952"/>
      <c r="AG52" s="1799"/>
      <c r="AH52" s="1799"/>
      <c r="AI52" s="1799"/>
      <c r="AJ52" s="1799"/>
      <c r="AK52" s="1799"/>
      <c r="AL52" s="1799"/>
      <c r="AM52" s="1799"/>
      <c r="AN52" s="1799"/>
      <c r="AO52" s="1800"/>
      <c r="AP52" s="807"/>
    </row>
    <row r="53" spans="1:42" ht="3.75" customHeight="1">
      <c r="A53" s="953"/>
      <c r="B53" s="954"/>
      <c r="C53" s="955"/>
      <c r="D53" s="955"/>
      <c r="E53" s="956"/>
      <c r="F53" s="807"/>
      <c r="G53" s="807"/>
      <c r="H53" s="957"/>
      <c r="I53" s="955"/>
      <c r="J53" s="955"/>
      <c r="K53" s="955"/>
      <c r="L53" s="955"/>
      <c r="M53" s="955"/>
      <c r="N53" s="955"/>
      <c r="O53" s="955"/>
      <c r="P53" s="807"/>
      <c r="Q53" s="807"/>
      <c r="R53" s="807"/>
      <c r="S53" s="807"/>
      <c r="T53" s="807"/>
      <c r="U53" s="807"/>
      <c r="V53" s="807"/>
      <c r="W53" s="807"/>
      <c r="X53" s="807"/>
      <c r="Y53" s="807"/>
      <c r="Z53" s="807"/>
      <c r="AA53" s="807"/>
      <c r="AB53" s="807"/>
      <c r="AC53" s="807"/>
      <c r="AD53" s="958"/>
      <c r="AE53" s="958"/>
      <c r="AF53" s="959"/>
      <c r="AG53" s="1797"/>
      <c r="AH53" s="1797"/>
      <c r="AI53" s="1797"/>
      <c r="AJ53" s="1797"/>
      <c r="AK53" s="1797"/>
      <c r="AL53" s="1797"/>
      <c r="AM53" s="1797"/>
      <c r="AN53" s="1797"/>
      <c r="AO53" s="1798"/>
      <c r="AP53" s="807"/>
    </row>
    <row r="54" spans="1:42" ht="23.25" customHeight="1">
      <c r="B54" s="3094" t="s">
        <v>26</v>
      </c>
      <c r="C54" s="3095"/>
      <c r="D54" s="3095"/>
      <c r="E54" s="3096"/>
      <c r="F54" s="807"/>
      <c r="G54" s="927" t="s">
        <v>27</v>
      </c>
      <c r="H54" s="807"/>
      <c r="I54" s="3081" t="s">
        <v>188</v>
      </c>
      <c r="J54" s="3079"/>
      <c r="K54" s="3079"/>
      <c r="L54" s="3079"/>
      <c r="M54" s="3079"/>
      <c r="N54" s="3079"/>
      <c r="O54" s="3079"/>
      <c r="P54" s="3079"/>
      <c r="Q54" s="3079"/>
      <c r="R54" s="3079"/>
      <c r="S54" s="3079"/>
      <c r="T54" s="3079"/>
      <c r="U54" s="3079"/>
      <c r="V54" s="3079"/>
      <c r="W54" s="3079"/>
      <c r="X54" s="3079"/>
      <c r="Y54" s="3079"/>
      <c r="Z54" s="3079"/>
      <c r="AA54" s="3079"/>
      <c r="AB54" s="3079"/>
      <c r="AC54" s="3079"/>
      <c r="AD54" s="3079"/>
      <c r="AE54" s="3080"/>
      <c r="AF54" s="1697">
        <v>8</v>
      </c>
      <c r="AG54" s="3109">
        <f>'FE-1770'!AG54</f>
        <v>0</v>
      </c>
      <c r="AH54" s="3109"/>
      <c r="AI54" s="3109"/>
      <c r="AJ54" s="3109"/>
      <c r="AK54" s="3109"/>
      <c r="AL54" s="3109"/>
      <c r="AM54" s="3109"/>
      <c r="AN54" s="3109"/>
      <c r="AO54" s="3109"/>
      <c r="AP54" s="807"/>
    </row>
    <row r="55" spans="1:42" ht="3.75" customHeight="1">
      <c r="B55" s="3094"/>
      <c r="C55" s="3095"/>
      <c r="D55" s="3095"/>
      <c r="E55" s="3096"/>
      <c r="F55" s="807"/>
      <c r="G55" s="927"/>
      <c r="H55" s="807"/>
      <c r="I55" s="939"/>
      <c r="J55" s="939"/>
      <c r="K55" s="939"/>
      <c r="L55" s="939"/>
      <c r="M55" s="939"/>
      <c r="N55" s="939"/>
      <c r="O55" s="939"/>
      <c r="P55" s="939"/>
      <c r="Q55" s="939"/>
      <c r="R55" s="939"/>
      <c r="S55" s="939"/>
      <c r="T55" s="939"/>
      <c r="U55" s="960"/>
      <c r="V55" s="960"/>
      <c r="W55" s="960"/>
      <c r="X55" s="960"/>
      <c r="Y55" s="960"/>
      <c r="Z55" s="960"/>
      <c r="AA55" s="960"/>
      <c r="AB55" s="960"/>
      <c r="AC55" s="879"/>
      <c r="AD55" s="878"/>
      <c r="AE55" s="878"/>
      <c r="AF55" s="881"/>
      <c r="AG55" s="1797"/>
      <c r="AH55" s="1797"/>
      <c r="AI55" s="1797"/>
      <c r="AJ55" s="1797"/>
      <c r="AK55" s="1797"/>
      <c r="AL55" s="1797"/>
      <c r="AM55" s="1797"/>
      <c r="AN55" s="1797"/>
      <c r="AO55" s="1798"/>
      <c r="AP55" s="807"/>
    </row>
    <row r="56" spans="1:42" ht="24" customHeight="1">
      <c r="B56" s="3094"/>
      <c r="C56" s="3095"/>
      <c r="D56" s="3095"/>
      <c r="E56" s="3096"/>
      <c r="F56" s="807"/>
      <c r="G56" s="927" t="s">
        <v>28</v>
      </c>
      <c r="H56" s="807"/>
      <c r="I56" s="3081" t="s">
        <v>189</v>
      </c>
      <c r="J56" s="3097"/>
      <c r="K56" s="3097"/>
      <c r="L56" s="3097"/>
      <c r="M56" s="3097"/>
      <c r="N56" s="3097"/>
      <c r="O56" s="3097"/>
      <c r="P56" s="3097"/>
      <c r="Q56" s="3097"/>
      <c r="R56" s="3097"/>
      <c r="S56" s="3097"/>
      <c r="T56" s="3097"/>
      <c r="U56" s="3097"/>
      <c r="V56" s="3097"/>
      <c r="W56" s="3097"/>
      <c r="X56" s="3097"/>
      <c r="Y56" s="3097"/>
      <c r="Z56" s="3097"/>
      <c r="AA56" s="3097"/>
      <c r="AB56" s="3097"/>
      <c r="AC56" s="3097"/>
      <c r="AD56" s="3097"/>
      <c r="AE56" s="3098"/>
      <c r="AF56" s="1697">
        <v>9</v>
      </c>
      <c r="AG56" s="3109">
        <f>'FE-1770'!AG56</f>
        <v>0</v>
      </c>
      <c r="AH56" s="3109"/>
      <c r="AI56" s="3109"/>
      <c r="AJ56" s="3109"/>
      <c r="AK56" s="3109"/>
      <c r="AL56" s="3109"/>
      <c r="AM56" s="3109"/>
      <c r="AN56" s="3109"/>
      <c r="AO56" s="3109"/>
      <c r="AP56" s="807"/>
    </row>
    <row r="57" spans="1:42" ht="3" customHeight="1">
      <c r="B57" s="3094"/>
      <c r="C57" s="3095"/>
      <c r="D57" s="3095"/>
      <c r="E57" s="3096"/>
      <c r="F57" s="807"/>
      <c r="G57" s="927"/>
      <c r="H57" s="807"/>
      <c r="I57" s="939"/>
      <c r="J57" s="939"/>
      <c r="K57" s="939"/>
      <c r="L57" s="939"/>
      <c r="M57" s="939"/>
      <c r="N57" s="939"/>
      <c r="O57" s="939"/>
      <c r="P57" s="939"/>
      <c r="Q57" s="939"/>
      <c r="R57" s="939"/>
      <c r="S57" s="939"/>
      <c r="T57" s="939"/>
      <c r="U57" s="960"/>
      <c r="V57" s="960"/>
      <c r="W57" s="960"/>
      <c r="X57" s="960"/>
      <c r="Y57" s="960"/>
      <c r="Z57" s="960"/>
      <c r="AA57" s="960"/>
      <c r="AB57" s="960"/>
      <c r="AC57" s="879"/>
      <c r="AD57" s="878"/>
      <c r="AE57" s="878"/>
      <c r="AF57" s="881"/>
      <c r="AG57" s="1797"/>
      <c r="AH57" s="1797"/>
      <c r="AI57" s="1797"/>
      <c r="AJ57" s="1797"/>
      <c r="AK57" s="1797"/>
      <c r="AL57" s="1797"/>
      <c r="AM57" s="1797"/>
      <c r="AN57" s="1797"/>
      <c r="AO57" s="1798"/>
      <c r="AP57" s="807"/>
    </row>
    <row r="58" spans="1:42" ht="22.5" customHeight="1">
      <c r="B58" s="3094"/>
      <c r="C58" s="3095"/>
      <c r="D58" s="3095"/>
      <c r="E58" s="3096"/>
      <c r="F58" s="807"/>
      <c r="G58" s="961" t="s">
        <v>29</v>
      </c>
      <c r="H58" s="828"/>
      <c r="I58" s="962" t="s">
        <v>30</v>
      </c>
      <c r="J58" s="963"/>
      <c r="K58" s="964"/>
      <c r="L58" s="963"/>
      <c r="M58" s="963"/>
      <c r="N58" s="964"/>
      <c r="O58" s="964"/>
      <c r="P58" s="963"/>
      <c r="Q58" s="965" t="s">
        <v>352</v>
      </c>
      <c r="R58" s="1715" t="str">
        <f>'FE-1770'!R58</f>
        <v/>
      </c>
      <c r="S58" s="965"/>
      <c r="T58" s="965" t="s">
        <v>351</v>
      </c>
      <c r="U58" s="1623" t="str">
        <f>'FE-1770'!U58</f>
        <v/>
      </c>
      <c r="V58" s="965"/>
      <c r="W58" s="965" t="s">
        <v>350</v>
      </c>
      <c r="X58" s="1716" t="str">
        <f>'FE-1770'!X58</f>
        <v/>
      </c>
      <c r="Y58" s="965"/>
      <c r="Z58" s="965"/>
      <c r="AA58" s="965"/>
      <c r="AB58" s="965"/>
      <c r="AC58" s="965"/>
      <c r="AD58" s="965"/>
      <c r="AE58" s="906"/>
      <c r="AF58" s="1697">
        <v>10</v>
      </c>
      <c r="AG58" s="2423">
        <f>'FE-1770'!AG58</f>
        <v>0</v>
      </c>
      <c r="AH58" s="2424"/>
      <c r="AI58" s="2424"/>
      <c r="AJ58" s="2424"/>
      <c r="AK58" s="2424"/>
      <c r="AL58" s="2424"/>
      <c r="AM58" s="2424"/>
      <c r="AN58" s="2424"/>
      <c r="AO58" s="2425"/>
      <c r="AP58" s="807"/>
    </row>
    <row r="59" spans="1:42" ht="3" customHeight="1">
      <c r="B59" s="3094"/>
      <c r="C59" s="3095"/>
      <c r="D59" s="3095"/>
      <c r="E59" s="3096"/>
      <c r="F59" s="807"/>
      <c r="G59" s="927"/>
      <c r="H59" s="807"/>
      <c r="I59" s="939"/>
      <c r="J59" s="939"/>
      <c r="K59" s="939"/>
      <c r="L59" s="939"/>
      <c r="M59" s="939"/>
      <c r="N59" s="939"/>
      <c r="O59" s="939"/>
      <c r="P59" s="939"/>
      <c r="Q59" s="939"/>
      <c r="R59" s="939"/>
      <c r="S59" s="939"/>
      <c r="T59" s="939"/>
      <c r="U59" s="960"/>
      <c r="V59" s="960"/>
      <c r="W59" s="960"/>
      <c r="X59" s="960"/>
      <c r="Y59" s="960"/>
      <c r="Z59" s="960"/>
      <c r="AA59" s="960"/>
      <c r="AB59" s="960"/>
      <c r="AC59" s="879"/>
      <c r="AD59" s="878"/>
      <c r="AE59" s="878"/>
      <c r="AF59" s="881"/>
      <c r="AG59" s="1797"/>
      <c r="AH59" s="1797"/>
      <c r="AI59" s="1797"/>
      <c r="AJ59" s="1797"/>
      <c r="AK59" s="1797"/>
      <c r="AL59" s="1797"/>
      <c r="AM59" s="1797"/>
      <c r="AN59" s="1797"/>
      <c r="AO59" s="1798"/>
      <c r="AP59" s="807"/>
    </row>
    <row r="60" spans="1:42" ht="24.75" customHeight="1">
      <c r="B60" s="3094"/>
      <c r="C60" s="3095"/>
      <c r="D60" s="3095"/>
      <c r="E60" s="3096"/>
      <c r="F60" s="807"/>
      <c r="G60" s="927" t="s">
        <v>31</v>
      </c>
      <c r="H60" s="807"/>
      <c r="I60" s="3081" t="s">
        <v>190</v>
      </c>
      <c r="J60" s="3079"/>
      <c r="K60" s="3079"/>
      <c r="L60" s="3079"/>
      <c r="M60" s="3079"/>
      <c r="N60" s="3079"/>
      <c r="O60" s="3079"/>
      <c r="P60" s="3079"/>
      <c r="Q60" s="3079"/>
      <c r="R60" s="3079"/>
      <c r="S60" s="3079"/>
      <c r="T60" s="3079"/>
      <c r="U60" s="3079"/>
      <c r="V60" s="3079"/>
      <c r="W60" s="3079"/>
      <c r="X60" s="3079"/>
      <c r="Y60" s="3079"/>
      <c r="Z60" s="3079"/>
      <c r="AA60" s="3079"/>
      <c r="AB60" s="3079"/>
      <c r="AC60" s="3079"/>
      <c r="AD60" s="3079"/>
      <c r="AE60" s="3080"/>
      <c r="AF60" s="1697">
        <v>11</v>
      </c>
      <c r="AG60" s="3109">
        <f>'FE-1770'!AG60</f>
        <v>0</v>
      </c>
      <c r="AH60" s="3109"/>
      <c r="AI60" s="3109"/>
      <c r="AJ60" s="3109"/>
      <c r="AK60" s="3109"/>
      <c r="AL60" s="3109"/>
      <c r="AM60" s="3109"/>
      <c r="AN60" s="3109"/>
      <c r="AO60" s="3109"/>
      <c r="AP60" s="807"/>
    </row>
    <row r="61" spans="1:42" ht="5.25" customHeight="1">
      <c r="B61" s="966"/>
      <c r="C61" s="967"/>
      <c r="D61" s="967"/>
      <c r="E61" s="968"/>
      <c r="F61" s="948"/>
      <c r="G61" s="969"/>
      <c r="H61" s="948"/>
      <c r="I61" s="970"/>
      <c r="J61" s="970"/>
      <c r="K61" s="948"/>
      <c r="L61" s="971"/>
      <c r="M61" s="971"/>
      <c r="N61" s="971"/>
      <c r="O61" s="971"/>
      <c r="P61" s="971"/>
      <c r="Q61" s="971"/>
      <c r="R61" s="971"/>
      <c r="S61" s="971"/>
      <c r="T61" s="971"/>
      <c r="U61" s="971"/>
      <c r="V61" s="971"/>
      <c r="W61" s="971"/>
      <c r="X61" s="971"/>
      <c r="Y61" s="971"/>
      <c r="Z61" s="971"/>
      <c r="AA61" s="971"/>
      <c r="AB61" s="971"/>
      <c r="AC61" s="951"/>
      <c r="AD61" s="948"/>
      <c r="AE61" s="948"/>
      <c r="AF61" s="952"/>
      <c r="AG61" s="1799"/>
      <c r="AH61" s="1799"/>
      <c r="AI61" s="1799"/>
      <c r="AJ61" s="1799"/>
      <c r="AK61" s="1799"/>
      <c r="AL61" s="1799"/>
      <c r="AM61" s="1799"/>
      <c r="AN61" s="1799"/>
      <c r="AO61" s="1800"/>
      <c r="AP61" s="807"/>
    </row>
    <row r="62" spans="1:42" ht="3.75" customHeight="1">
      <c r="A62" s="929"/>
      <c r="B62" s="972"/>
      <c r="C62" s="973"/>
      <c r="D62" s="973"/>
      <c r="E62" s="974"/>
      <c r="F62" s="807"/>
      <c r="G62" s="807"/>
      <c r="H62" s="973"/>
      <c r="I62" s="975"/>
      <c r="J62" s="975"/>
      <c r="K62" s="975"/>
      <c r="L62" s="975"/>
      <c r="M62" s="975"/>
      <c r="N62" s="975"/>
      <c r="O62" s="975"/>
      <c r="P62" s="975"/>
      <c r="Q62" s="975"/>
      <c r="R62" s="975"/>
      <c r="S62" s="975"/>
      <c r="T62" s="975"/>
      <c r="U62" s="975"/>
      <c r="V62" s="975"/>
      <c r="W62" s="975"/>
      <c r="X62" s="975"/>
      <c r="Y62" s="975"/>
      <c r="Z62" s="975"/>
      <c r="AA62" s="975"/>
      <c r="AB62" s="975"/>
      <c r="AC62" s="975"/>
      <c r="AD62" s="976"/>
      <c r="AE62" s="976"/>
      <c r="AF62" s="959"/>
      <c r="AG62" s="1801"/>
      <c r="AH62" s="1801"/>
      <c r="AI62" s="1801"/>
      <c r="AJ62" s="1801"/>
      <c r="AK62" s="1801"/>
      <c r="AL62" s="1801"/>
      <c r="AM62" s="1801"/>
      <c r="AN62" s="1801"/>
      <c r="AO62" s="1802"/>
      <c r="AP62" s="975"/>
    </row>
    <row r="63" spans="1:42" ht="24.75" customHeight="1">
      <c r="B63" s="3069" t="s">
        <v>32</v>
      </c>
      <c r="C63" s="3070"/>
      <c r="D63" s="3070"/>
      <c r="E63" s="3071"/>
      <c r="F63" s="807"/>
      <c r="G63" s="927" t="s">
        <v>33</v>
      </c>
      <c r="H63" s="878"/>
      <c r="I63" s="3091" t="s">
        <v>359</v>
      </c>
      <c r="J63" s="3092"/>
      <c r="K63" s="3092"/>
      <c r="L63" s="3092"/>
      <c r="M63" s="3092"/>
      <c r="N63" s="3092"/>
      <c r="O63" s="3092"/>
      <c r="P63" s="3092"/>
      <c r="Q63" s="3092"/>
      <c r="R63" s="3092"/>
      <c r="S63" s="3092"/>
      <c r="T63" s="3092"/>
      <c r="U63" s="3092"/>
      <c r="V63" s="3092"/>
      <c r="W63" s="3092"/>
      <c r="X63" s="3092"/>
      <c r="Y63" s="3092"/>
      <c r="Z63" s="3092"/>
      <c r="AA63" s="3092"/>
      <c r="AB63" s="3092"/>
      <c r="AC63" s="3092"/>
      <c r="AD63" s="3092"/>
      <c r="AE63" s="3093"/>
      <c r="AF63" s="1697">
        <v>12</v>
      </c>
      <c r="AG63" s="3109">
        <f>'FE-1770'!AG63</f>
        <v>0</v>
      </c>
      <c r="AH63" s="3109"/>
      <c r="AI63" s="3109"/>
      <c r="AJ63" s="3109"/>
      <c r="AK63" s="3109"/>
      <c r="AL63" s="3109"/>
      <c r="AM63" s="3109"/>
      <c r="AN63" s="3109"/>
      <c r="AO63" s="3109"/>
      <c r="AP63" s="855"/>
    </row>
    <row r="64" spans="1:42" ht="2.25" customHeight="1">
      <c r="A64" s="933"/>
      <c r="B64" s="3069"/>
      <c r="C64" s="3070"/>
      <c r="D64" s="3070"/>
      <c r="E64" s="3071"/>
      <c r="F64" s="807"/>
      <c r="G64" s="927"/>
      <c r="H64" s="878"/>
      <c r="I64" s="977"/>
      <c r="J64" s="977"/>
      <c r="K64" s="977"/>
      <c r="L64" s="977"/>
      <c r="M64" s="977"/>
      <c r="N64" s="977"/>
      <c r="O64" s="977"/>
      <c r="P64" s="977"/>
      <c r="Q64" s="977"/>
      <c r="R64" s="977"/>
      <c r="S64" s="977"/>
      <c r="T64" s="977"/>
      <c r="U64" s="977"/>
      <c r="V64" s="977"/>
      <c r="W64" s="977"/>
      <c r="X64" s="977"/>
      <c r="Y64" s="960"/>
      <c r="Z64" s="960"/>
      <c r="AA64" s="879"/>
      <c r="AB64" s="879"/>
      <c r="AC64" s="879"/>
      <c r="AD64" s="878"/>
      <c r="AE64" s="878"/>
      <c r="AF64" s="881"/>
      <c r="AG64" s="1803"/>
      <c r="AH64" s="1803"/>
      <c r="AI64" s="1803"/>
      <c r="AJ64" s="1803"/>
      <c r="AK64" s="1803"/>
      <c r="AL64" s="1803"/>
      <c r="AM64" s="1803"/>
      <c r="AN64" s="1803"/>
      <c r="AO64" s="1804"/>
      <c r="AP64" s="855"/>
    </row>
    <row r="65" spans="1:42" ht="12" customHeight="1">
      <c r="B65" s="3069"/>
      <c r="C65" s="3070"/>
      <c r="D65" s="3070"/>
      <c r="E65" s="3071"/>
      <c r="F65" s="807"/>
      <c r="G65" s="3077" t="s">
        <v>34</v>
      </c>
      <c r="H65" s="878"/>
      <c r="I65" s="3081" t="s">
        <v>191</v>
      </c>
      <c r="J65" s="3079"/>
      <c r="K65" s="3079"/>
      <c r="L65" s="3079"/>
      <c r="M65" s="3079"/>
      <c r="N65" s="3079"/>
      <c r="O65" s="3079"/>
      <c r="P65" s="3079"/>
      <c r="Q65" s="3079"/>
      <c r="R65" s="3079"/>
      <c r="S65" s="3079"/>
      <c r="T65" s="3079"/>
      <c r="U65" s="3079"/>
      <c r="V65" s="3079"/>
      <c r="W65" s="3079"/>
      <c r="X65" s="3079"/>
      <c r="Y65" s="3079"/>
      <c r="Z65" s="3079"/>
      <c r="AA65" s="3079"/>
      <c r="AB65" s="3079"/>
      <c r="AC65" s="3079"/>
      <c r="AD65" s="3079"/>
      <c r="AE65" s="3080"/>
      <c r="AF65" s="3105">
        <v>13</v>
      </c>
      <c r="AG65" s="3109">
        <f>'FE-1770'!AG65</f>
        <v>0</v>
      </c>
      <c r="AH65" s="3109"/>
      <c r="AI65" s="3109"/>
      <c r="AJ65" s="3109"/>
      <c r="AK65" s="3109"/>
      <c r="AL65" s="3109"/>
      <c r="AM65" s="3109"/>
      <c r="AN65" s="3109"/>
      <c r="AO65" s="3109"/>
      <c r="AP65" s="855"/>
    </row>
    <row r="66" spans="1:42" ht="13.5" customHeight="1">
      <c r="A66" s="978"/>
      <c r="B66" s="3069"/>
      <c r="C66" s="3070"/>
      <c r="D66" s="3070"/>
      <c r="E66" s="3071"/>
      <c r="F66" s="807"/>
      <c r="G66" s="3077"/>
      <c r="H66" s="878"/>
      <c r="I66" s="940"/>
      <c r="J66" s="940"/>
      <c r="K66" s="940"/>
      <c r="L66" s="940"/>
      <c r="M66" s="940"/>
      <c r="N66" s="940"/>
      <c r="O66" s="940"/>
      <c r="P66" s="940"/>
      <c r="Q66" s="940"/>
      <c r="R66" s="940"/>
      <c r="S66" s="940"/>
      <c r="T66" s="940"/>
      <c r="U66" s="940"/>
      <c r="V66" s="940"/>
      <c r="W66" s="940"/>
      <c r="X66" s="940"/>
      <c r="Y66" s="960"/>
      <c r="Z66" s="960"/>
      <c r="AA66" s="879"/>
      <c r="AB66" s="879"/>
      <c r="AC66" s="879"/>
      <c r="AD66" s="878"/>
      <c r="AE66" s="878"/>
      <c r="AF66" s="3107"/>
      <c r="AG66" s="3109"/>
      <c r="AH66" s="3109"/>
      <c r="AI66" s="3109"/>
      <c r="AJ66" s="3109"/>
      <c r="AK66" s="3109"/>
      <c r="AL66" s="3109"/>
      <c r="AM66" s="3109"/>
      <c r="AN66" s="3109"/>
      <c r="AO66" s="3109"/>
      <c r="AP66" s="855"/>
    </row>
    <row r="67" spans="1:42" ht="2.25" customHeight="1">
      <c r="B67" s="3069"/>
      <c r="C67" s="3070"/>
      <c r="D67" s="3070"/>
      <c r="E67" s="3071"/>
      <c r="F67" s="807"/>
      <c r="G67" s="807"/>
      <c r="H67" s="878"/>
      <c r="I67" s="977"/>
      <c r="J67" s="977"/>
      <c r="K67" s="977"/>
      <c r="L67" s="977"/>
      <c r="M67" s="977"/>
      <c r="N67" s="977"/>
      <c r="O67" s="977"/>
      <c r="P67" s="977"/>
      <c r="Q67" s="977"/>
      <c r="R67" s="977"/>
      <c r="S67" s="977"/>
      <c r="T67" s="977"/>
      <c r="U67" s="977"/>
      <c r="V67" s="977"/>
      <c r="W67" s="977"/>
      <c r="X67" s="977"/>
      <c r="Y67" s="960"/>
      <c r="Z67" s="960"/>
      <c r="AA67" s="879"/>
      <c r="AB67" s="879"/>
      <c r="AC67" s="879"/>
      <c r="AD67" s="878"/>
      <c r="AE67" s="878"/>
      <c r="AF67" s="881"/>
      <c r="AG67" s="1803"/>
      <c r="AH67" s="1803"/>
      <c r="AI67" s="1803"/>
      <c r="AJ67" s="1803"/>
      <c r="AK67" s="1803"/>
      <c r="AL67" s="1803"/>
      <c r="AM67" s="1803"/>
      <c r="AN67" s="1803"/>
      <c r="AO67" s="1804"/>
      <c r="AP67" s="855"/>
    </row>
    <row r="68" spans="1:42" ht="24" customHeight="1">
      <c r="B68" s="3069"/>
      <c r="C68" s="3070"/>
      <c r="D68" s="3070"/>
      <c r="E68" s="3071"/>
      <c r="F68" s="807"/>
      <c r="G68" s="979" t="s">
        <v>35</v>
      </c>
      <c r="H68" s="878"/>
      <c r="I68" s="3078" t="s">
        <v>192</v>
      </c>
      <c r="J68" s="3079"/>
      <c r="K68" s="3079"/>
      <c r="L68" s="3079"/>
      <c r="M68" s="3079"/>
      <c r="N68" s="3079"/>
      <c r="O68" s="3079"/>
      <c r="P68" s="3079"/>
      <c r="Q68" s="3079"/>
      <c r="R68" s="3079"/>
      <c r="S68" s="3079"/>
      <c r="T68" s="3079"/>
      <c r="U68" s="3079"/>
      <c r="V68" s="3079"/>
      <c r="W68" s="3079"/>
      <c r="X68" s="3079"/>
      <c r="Y68" s="3079"/>
      <c r="Z68" s="3079"/>
      <c r="AA68" s="3079"/>
      <c r="AB68" s="3079"/>
      <c r="AC68" s="3079"/>
      <c r="AD68" s="3079"/>
      <c r="AE68" s="3080"/>
      <c r="AF68" s="1697">
        <v>14</v>
      </c>
      <c r="AG68" s="3109">
        <f>'FE-1770'!AG68</f>
        <v>0</v>
      </c>
      <c r="AH68" s="3109"/>
      <c r="AI68" s="3109"/>
      <c r="AJ68" s="3109"/>
      <c r="AK68" s="3109"/>
      <c r="AL68" s="3109"/>
      <c r="AM68" s="3109"/>
      <c r="AN68" s="3109"/>
      <c r="AO68" s="3109"/>
      <c r="AP68" s="855"/>
    </row>
    <row r="69" spans="1:42" ht="5.25" customHeight="1">
      <c r="B69" s="980"/>
      <c r="C69" s="981"/>
      <c r="D69" s="981"/>
      <c r="E69" s="968"/>
      <c r="F69" s="948"/>
      <c r="G69" s="982"/>
      <c r="H69" s="983"/>
      <c r="I69" s="984"/>
      <c r="J69" s="984"/>
      <c r="K69" s="983"/>
      <c r="L69" s="985"/>
      <c r="M69" s="985"/>
      <c r="N69" s="985"/>
      <c r="O69" s="985"/>
      <c r="P69" s="985"/>
      <c r="Q69" s="985"/>
      <c r="R69" s="985"/>
      <c r="S69" s="985"/>
      <c r="T69" s="985"/>
      <c r="U69" s="985"/>
      <c r="V69" s="985"/>
      <c r="W69" s="985"/>
      <c r="X69" s="985"/>
      <c r="Y69" s="985"/>
      <c r="Z69" s="985"/>
      <c r="AA69" s="986"/>
      <c r="AB69" s="986"/>
      <c r="AC69" s="986"/>
      <c r="AD69" s="983"/>
      <c r="AE69" s="983"/>
      <c r="AF69" s="952"/>
      <c r="AG69" s="1805"/>
      <c r="AH69" s="1805"/>
      <c r="AI69" s="1805"/>
      <c r="AJ69" s="1805"/>
      <c r="AK69" s="1805"/>
      <c r="AL69" s="1805"/>
      <c r="AM69" s="1805"/>
      <c r="AN69" s="1805"/>
      <c r="AO69" s="1806"/>
      <c r="AP69" s="855"/>
    </row>
    <row r="70" spans="1:42" ht="3.75" customHeight="1">
      <c r="A70" s="920"/>
      <c r="B70" s="972"/>
      <c r="C70" s="987"/>
      <c r="D70" s="987"/>
      <c r="E70" s="974"/>
      <c r="F70" s="807"/>
      <c r="G70" s="878"/>
      <c r="H70" s="988"/>
      <c r="I70" s="989"/>
      <c r="J70" s="989"/>
      <c r="K70" s="989"/>
      <c r="L70" s="989"/>
      <c r="M70" s="989"/>
      <c r="N70" s="989"/>
      <c r="O70" s="989"/>
      <c r="P70" s="989"/>
      <c r="Q70" s="989"/>
      <c r="R70" s="989"/>
      <c r="S70" s="989"/>
      <c r="T70" s="989"/>
      <c r="U70" s="989"/>
      <c r="V70" s="989"/>
      <c r="W70" s="989"/>
      <c r="X70" s="989"/>
      <c r="Y70" s="989"/>
      <c r="Z70" s="989"/>
      <c r="AA70" s="989"/>
      <c r="AB70" s="989"/>
      <c r="AC70" s="989"/>
      <c r="AD70" s="878"/>
      <c r="AE70" s="878"/>
      <c r="AF70" s="990"/>
      <c r="AG70" s="1807"/>
      <c r="AH70" s="1807"/>
      <c r="AI70" s="1807"/>
      <c r="AJ70" s="1807"/>
      <c r="AK70" s="1807"/>
      <c r="AL70" s="1807"/>
      <c r="AM70" s="1807"/>
      <c r="AN70" s="1807"/>
      <c r="AO70" s="1808"/>
      <c r="AP70" s="975"/>
    </row>
    <row r="71" spans="1:42" ht="24.75" customHeight="1">
      <c r="B71" s="3069" t="s">
        <v>36</v>
      </c>
      <c r="C71" s="3070"/>
      <c r="D71" s="3070"/>
      <c r="E71" s="3071"/>
      <c r="F71" s="807"/>
      <c r="G71" s="927" t="s">
        <v>37</v>
      </c>
      <c r="H71" s="878"/>
      <c r="I71" s="3091" t="s">
        <v>226</v>
      </c>
      <c r="J71" s="3136"/>
      <c r="K71" s="3136"/>
      <c r="L71" s="3136"/>
      <c r="M71" s="3136"/>
      <c r="N71" s="3136"/>
      <c r="O71" s="3136"/>
      <c r="P71" s="3136"/>
      <c r="Q71" s="3136"/>
      <c r="R71" s="3136"/>
      <c r="S71" s="3136"/>
      <c r="T71" s="3136"/>
      <c r="U71" s="3136"/>
      <c r="V71" s="3136"/>
      <c r="W71" s="3136"/>
      <c r="X71" s="3136"/>
      <c r="Y71" s="3136"/>
      <c r="Z71" s="3136"/>
      <c r="AA71" s="3136"/>
      <c r="AB71" s="3136"/>
      <c r="AC71" s="3136"/>
      <c r="AD71" s="3136"/>
      <c r="AE71" s="3136"/>
      <c r="AF71" s="1697">
        <v>15</v>
      </c>
      <c r="AG71" s="3109">
        <f>'FE-1770'!AG71</f>
        <v>0</v>
      </c>
      <c r="AH71" s="3109"/>
      <c r="AI71" s="3109"/>
      <c r="AJ71" s="3109"/>
      <c r="AK71" s="3109"/>
      <c r="AL71" s="3109"/>
      <c r="AM71" s="3109"/>
      <c r="AN71" s="3109"/>
      <c r="AO71" s="3109"/>
      <c r="AP71" s="807"/>
    </row>
    <row r="72" spans="1:42" ht="3.75" customHeight="1">
      <c r="A72" s="933"/>
      <c r="B72" s="3069"/>
      <c r="C72" s="3070"/>
      <c r="D72" s="3070"/>
      <c r="E72" s="3071"/>
      <c r="F72" s="807"/>
      <c r="G72" s="992"/>
      <c r="H72" s="878"/>
      <c r="I72" s="854"/>
      <c r="J72" s="854"/>
      <c r="K72" s="854"/>
      <c r="L72" s="854"/>
      <c r="M72" s="854"/>
      <c r="N72" s="854"/>
      <c r="O72" s="854"/>
      <c r="P72" s="854"/>
      <c r="Q72" s="854"/>
      <c r="R72" s="854"/>
      <c r="S72" s="854"/>
      <c r="T72" s="854"/>
      <c r="U72" s="854"/>
      <c r="V72" s="854"/>
      <c r="W72" s="854"/>
      <c r="X72" s="879"/>
      <c r="Y72" s="879"/>
      <c r="Z72" s="879"/>
      <c r="AA72" s="879"/>
      <c r="AB72" s="879"/>
      <c r="AC72" s="879"/>
      <c r="AD72" s="878"/>
      <c r="AE72" s="878"/>
      <c r="AF72" s="938"/>
      <c r="AG72" s="1803"/>
      <c r="AH72" s="1803"/>
      <c r="AI72" s="1803"/>
      <c r="AJ72" s="1803"/>
      <c r="AK72" s="1801"/>
      <c r="AL72" s="1801"/>
      <c r="AM72" s="1801"/>
      <c r="AN72" s="1801"/>
      <c r="AO72" s="1802"/>
      <c r="AP72" s="975"/>
    </row>
    <row r="73" spans="1:42" ht="15" customHeight="1">
      <c r="B73" s="3069"/>
      <c r="C73" s="3070"/>
      <c r="D73" s="3070"/>
      <c r="E73" s="3071"/>
      <c r="F73" s="807"/>
      <c r="G73" s="927" t="s">
        <v>38</v>
      </c>
      <c r="H73" s="878"/>
      <c r="I73" s="1622" t="str">
        <f>'FE-1770'!I73</f>
        <v/>
      </c>
      <c r="J73" s="854"/>
      <c r="K73" s="993" t="s">
        <v>39</v>
      </c>
      <c r="L73" s="950" t="s">
        <v>40</v>
      </c>
      <c r="M73" s="950"/>
      <c r="N73" s="994"/>
      <c r="O73" s="994"/>
      <c r="P73" s="994"/>
      <c r="Q73" s="994"/>
      <c r="R73" s="994"/>
      <c r="S73" s="995"/>
      <c r="T73" s="995"/>
      <c r="U73" s="3108" t="s">
        <v>193</v>
      </c>
      <c r="V73" s="3108"/>
      <c r="W73" s="937"/>
      <c r="X73" s="878"/>
      <c r="Y73" s="878"/>
      <c r="Z73" s="878"/>
      <c r="AA73" s="878"/>
      <c r="AB73" s="878"/>
      <c r="AC73" s="878"/>
      <c r="AD73" s="878"/>
      <c r="AE73" s="878"/>
      <c r="AF73" s="3105">
        <v>16</v>
      </c>
      <c r="AG73" s="3109">
        <f>'FE-1770'!AG73</f>
        <v>0</v>
      </c>
      <c r="AH73" s="3109"/>
      <c r="AI73" s="3109"/>
      <c r="AJ73" s="3109"/>
      <c r="AK73" s="3109"/>
      <c r="AL73" s="3109"/>
      <c r="AM73" s="3109"/>
      <c r="AN73" s="3109"/>
      <c r="AO73" s="3109"/>
      <c r="AP73" s="855"/>
    </row>
    <row r="74" spans="1:42" ht="2.25" customHeight="1">
      <c r="A74" s="933"/>
      <c r="B74" s="3069"/>
      <c r="C74" s="3070"/>
      <c r="D74" s="3070"/>
      <c r="E74" s="3071"/>
      <c r="F74" s="807"/>
      <c r="G74" s="992"/>
      <c r="H74" s="878"/>
      <c r="I74" s="993"/>
      <c r="J74" s="993"/>
      <c r="K74" s="993"/>
      <c r="L74" s="996"/>
      <c r="M74" s="996"/>
      <c r="N74" s="996"/>
      <c r="O74" s="996"/>
      <c r="P74" s="996"/>
      <c r="Q74" s="996"/>
      <c r="R74" s="996"/>
      <c r="S74" s="996"/>
      <c r="T74" s="996"/>
      <c r="U74" s="3108"/>
      <c r="V74" s="3108"/>
      <c r="W74" s="936"/>
      <c r="X74" s="878"/>
      <c r="Y74" s="878"/>
      <c r="Z74" s="878"/>
      <c r="AA74" s="878"/>
      <c r="AB74" s="878"/>
      <c r="AC74" s="878"/>
      <c r="AD74" s="878"/>
      <c r="AE74" s="878"/>
      <c r="AF74" s="3106"/>
      <c r="AG74" s="3109"/>
      <c r="AH74" s="3109"/>
      <c r="AI74" s="3109"/>
      <c r="AJ74" s="3109"/>
      <c r="AK74" s="3109"/>
      <c r="AL74" s="3109"/>
      <c r="AM74" s="3109"/>
      <c r="AN74" s="3109"/>
      <c r="AO74" s="3109"/>
      <c r="AP74" s="855"/>
    </row>
    <row r="75" spans="1:42" ht="13.5" customHeight="1">
      <c r="A75" s="933"/>
      <c r="B75" s="3069"/>
      <c r="C75" s="3070"/>
      <c r="D75" s="3070"/>
      <c r="E75" s="3071"/>
      <c r="F75" s="807"/>
      <c r="G75" s="992"/>
      <c r="H75" s="878"/>
      <c r="I75" s="1622" t="str">
        <f>'FE-1770'!I75</f>
        <v/>
      </c>
      <c r="J75" s="854"/>
      <c r="K75" s="993" t="s">
        <v>41</v>
      </c>
      <c r="L75" s="940" t="s">
        <v>42</v>
      </c>
      <c r="M75" s="940"/>
      <c r="N75" s="936"/>
      <c r="O75" s="936"/>
      <c r="P75" s="936"/>
      <c r="Q75" s="936"/>
      <c r="R75" s="936"/>
      <c r="S75" s="997"/>
      <c r="T75" s="997"/>
      <c r="U75" s="3108"/>
      <c r="V75" s="3108"/>
      <c r="W75" s="936"/>
      <c r="X75" s="878"/>
      <c r="Y75" s="878"/>
      <c r="Z75" s="878"/>
      <c r="AA75" s="878"/>
      <c r="AB75" s="878"/>
      <c r="AC75" s="878"/>
      <c r="AD75" s="878"/>
      <c r="AE75" s="878"/>
      <c r="AF75" s="3107"/>
      <c r="AG75" s="3109"/>
      <c r="AH75" s="3109"/>
      <c r="AI75" s="3109"/>
      <c r="AJ75" s="3109"/>
      <c r="AK75" s="3109"/>
      <c r="AL75" s="3109"/>
      <c r="AM75" s="3109"/>
      <c r="AN75" s="3109"/>
      <c r="AO75" s="3109"/>
      <c r="AP75" s="855"/>
    </row>
    <row r="76" spans="1:42" ht="3.75" customHeight="1">
      <c r="A76" s="933"/>
      <c r="B76" s="3069"/>
      <c r="C76" s="3070"/>
      <c r="D76" s="3070"/>
      <c r="E76" s="3071"/>
      <c r="F76" s="807"/>
      <c r="G76" s="992"/>
      <c r="H76" s="878"/>
      <c r="I76" s="940"/>
      <c r="J76" s="940"/>
      <c r="K76" s="940"/>
      <c r="L76" s="940"/>
      <c r="M76" s="940"/>
      <c r="N76" s="940"/>
      <c r="O76" s="940"/>
      <c r="P76" s="940"/>
      <c r="Q76" s="998"/>
      <c r="R76" s="998"/>
      <c r="S76" s="998"/>
      <c r="T76" s="854"/>
      <c r="U76" s="854"/>
      <c r="V76" s="854"/>
      <c r="W76" s="854"/>
      <c r="X76" s="879"/>
      <c r="Y76" s="879"/>
      <c r="Z76" s="932"/>
      <c r="AA76" s="879"/>
      <c r="AB76" s="879"/>
      <c r="AC76" s="879"/>
      <c r="AD76" s="988"/>
      <c r="AE76" s="988"/>
      <c r="AF76" s="877"/>
      <c r="AG76" s="1803"/>
      <c r="AH76" s="1803"/>
      <c r="AI76" s="1803"/>
      <c r="AJ76" s="1803"/>
      <c r="AK76" s="1803"/>
      <c r="AL76" s="1803"/>
      <c r="AM76" s="1803"/>
      <c r="AN76" s="1803"/>
      <c r="AO76" s="1804"/>
      <c r="AP76" s="855"/>
    </row>
    <row r="77" spans="1:42" ht="24" customHeight="1">
      <c r="B77" s="3069"/>
      <c r="C77" s="3070"/>
      <c r="D77" s="3070"/>
      <c r="E77" s="3071"/>
      <c r="F77" s="807"/>
      <c r="G77" s="927" t="s">
        <v>43</v>
      </c>
      <c r="H77" s="878"/>
      <c r="I77" s="3072" t="s">
        <v>44</v>
      </c>
      <c r="J77" s="3072"/>
      <c r="K77" s="3072"/>
      <c r="L77" s="3072"/>
      <c r="M77" s="3072"/>
      <c r="N77" s="3072"/>
      <c r="O77" s="3072"/>
      <c r="P77" s="993" t="s">
        <v>39</v>
      </c>
      <c r="Q77" s="3081" t="s">
        <v>45</v>
      </c>
      <c r="R77" s="3079"/>
      <c r="S77" s="3079"/>
      <c r="T77" s="3079"/>
      <c r="U77" s="3079"/>
      <c r="V77" s="3079"/>
      <c r="W77" s="3079"/>
      <c r="X77" s="3079"/>
      <c r="Y77" s="3079"/>
      <c r="Z77" s="3079"/>
      <c r="AA77" s="3079"/>
      <c r="AB77" s="3079"/>
      <c r="AC77" s="3079"/>
      <c r="AD77" s="3079"/>
      <c r="AE77" s="3080"/>
      <c r="AF77" s="1697" t="s">
        <v>299</v>
      </c>
      <c r="AG77" s="3109">
        <f>'FE-1770'!AG77</f>
        <v>0</v>
      </c>
      <c r="AH77" s="3109"/>
      <c r="AI77" s="3109"/>
      <c r="AJ77" s="3109"/>
      <c r="AK77" s="3109"/>
      <c r="AL77" s="3109"/>
      <c r="AM77" s="3109"/>
      <c r="AN77" s="3109"/>
      <c r="AO77" s="3109"/>
      <c r="AP77" s="855"/>
    </row>
    <row r="78" spans="1:42" ht="2.25" customHeight="1">
      <c r="A78" s="978"/>
      <c r="B78" s="3069"/>
      <c r="C78" s="3070"/>
      <c r="D78" s="3070"/>
      <c r="E78" s="3071"/>
      <c r="F78" s="855"/>
      <c r="G78" s="854"/>
      <c r="H78" s="879"/>
      <c r="I78" s="854"/>
      <c r="J78" s="854"/>
      <c r="K78" s="854"/>
      <c r="L78" s="940"/>
      <c r="M78" s="993"/>
      <c r="N78" s="940"/>
      <c r="O78" s="940"/>
      <c r="P78" s="940"/>
      <c r="Q78" s="940"/>
      <c r="R78" s="936"/>
      <c r="S78" s="936"/>
      <c r="T78" s="940"/>
      <c r="U78" s="940"/>
      <c r="V78" s="940"/>
      <c r="W78" s="940"/>
      <c r="X78" s="880"/>
      <c r="Y78" s="880"/>
      <c r="Z78" s="879"/>
      <c r="AA78" s="879"/>
      <c r="AB78" s="879"/>
      <c r="AC78" s="879"/>
      <c r="AD78" s="878"/>
      <c r="AE78" s="878"/>
      <c r="AF78" s="881"/>
      <c r="AG78" s="1803"/>
      <c r="AH78" s="1803"/>
      <c r="AI78" s="1803"/>
      <c r="AJ78" s="1803"/>
      <c r="AK78" s="1803"/>
      <c r="AL78" s="1803"/>
      <c r="AM78" s="1803"/>
      <c r="AN78" s="1803"/>
      <c r="AO78" s="1804"/>
      <c r="AP78" s="855"/>
    </row>
    <row r="79" spans="1:42" ht="24" customHeight="1">
      <c r="A79" s="978"/>
      <c r="B79" s="3069"/>
      <c r="C79" s="3070"/>
      <c r="D79" s="3070"/>
      <c r="E79" s="3071"/>
      <c r="F79" s="855"/>
      <c r="G79" s="854"/>
      <c r="H79" s="905"/>
      <c r="I79" s="962"/>
      <c r="J79" s="962"/>
      <c r="K79" s="962"/>
      <c r="L79" s="964"/>
      <c r="M79" s="964"/>
      <c r="N79" s="964"/>
      <c r="O79" s="963"/>
      <c r="P79" s="999" t="s">
        <v>41</v>
      </c>
      <c r="Q79" s="3099" t="s">
        <v>194</v>
      </c>
      <c r="R79" s="3103"/>
      <c r="S79" s="3103"/>
      <c r="T79" s="3103"/>
      <c r="U79" s="3103"/>
      <c r="V79" s="3103"/>
      <c r="W79" s="3103"/>
      <c r="X79" s="3103"/>
      <c r="Y79" s="3103"/>
      <c r="Z79" s="3103"/>
      <c r="AA79" s="3103"/>
      <c r="AB79" s="3103"/>
      <c r="AC79" s="3103"/>
      <c r="AD79" s="3103"/>
      <c r="AE79" s="3104"/>
      <c r="AF79" s="1714" t="s">
        <v>300</v>
      </c>
      <c r="AG79" s="2401">
        <f>'FE-1770'!AG79</f>
        <v>0</v>
      </c>
      <c r="AH79" s="2401"/>
      <c r="AI79" s="2401"/>
      <c r="AJ79" s="2401"/>
      <c r="AK79" s="2401"/>
      <c r="AL79" s="2401"/>
      <c r="AM79" s="2401"/>
      <c r="AN79" s="2401"/>
      <c r="AO79" s="2401"/>
      <c r="AP79" s="855"/>
    </row>
    <row r="80" spans="1:42" ht="3" customHeight="1">
      <c r="A80" s="978"/>
      <c r="B80" s="3069"/>
      <c r="C80" s="3070"/>
      <c r="D80" s="3070"/>
      <c r="E80" s="3071"/>
      <c r="F80" s="855"/>
      <c r="G80" s="854"/>
      <c r="H80" s="905"/>
      <c r="I80" s="962"/>
      <c r="J80" s="962"/>
      <c r="K80" s="962"/>
      <c r="L80" s="999"/>
      <c r="M80" s="964"/>
      <c r="N80" s="963"/>
      <c r="O80" s="963"/>
      <c r="P80" s="963"/>
      <c r="Q80" s="963"/>
      <c r="R80" s="964"/>
      <c r="S80" s="964"/>
      <c r="T80" s="963"/>
      <c r="U80" s="963"/>
      <c r="V80" s="963"/>
      <c r="W80" s="963"/>
      <c r="X80" s="906"/>
      <c r="Y80" s="906"/>
      <c r="Z80" s="905"/>
      <c r="AA80" s="905"/>
      <c r="AB80" s="905"/>
      <c r="AC80" s="905"/>
      <c r="AD80" s="909"/>
      <c r="AE80" s="909"/>
      <c r="AF80" s="619"/>
      <c r="AG80" s="1809"/>
      <c r="AH80" s="1809"/>
      <c r="AI80" s="1809"/>
      <c r="AJ80" s="1809"/>
      <c r="AK80" s="1809"/>
      <c r="AL80" s="1809"/>
      <c r="AM80" s="1809"/>
      <c r="AN80" s="1809"/>
      <c r="AO80" s="1810"/>
      <c r="AP80" s="855"/>
    </row>
    <row r="81" spans="1:42" ht="3" customHeight="1">
      <c r="A81" s="978"/>
      <c r="B81" s="3069"/>
      <c r="C81" s="3070"/>
      <c r="D81" s="3070"/>
      <c r="E81" s="3071"/>
      <c r="F81" s="855"/>
      <c r="G81" s="854"/>
      <c r="H81" s="1000"/>
      <c r="I81" s="962"/>
      <c r="J81" s="962"/>
      <c r="K81" s="962"/>
      <c r="L81" s="962"/>
      <c r="M81" s="999"/>
      <c r="N81" s="963"/>
      <c r="O81" s="963"/>
      <c r="P81" s="963"/>
      <c r="Q81" s="963"/>
      <c r="R81" s="963"/>
      <c r="S81" s="963"/>
      <c r="T81" s="963"/>
      <c r="U81" s="963"/>
      <c r="V81" s="963"/>
      <c r="W81" s="963"/>
      <c r="X81" s="901"/>
      <c r="Y81" s="901"/>
      <c r="Z81" s="1000"/>
      <c r="AA81" s="1000"/>
      <c r="AB81" s="1000"/>
      <c r="AC81" s="1000"/>
      <c r="AD81" s="828"/>
      <c r="AE81" s="828"/>
      <c r="AF81" s="1001"/>
      <c r="AG81" s="1809"/>
      <c r="AH81" s="1809"/>
      <c r="AI81" s="1809"/>
      <c r="AJ81" s="1809"/>
      <c r="AK81" s="1809"/>
      <c r="AL81" s="1809"/>
      <c r="AM81" s="1809"/>
      <c r="AN81" s="1809"/>
      <c r="AO81" s="1810"/>
      <c r="AP81" s="855"/>
    </row>
    <row r="82" spans="1:42" ht="24" customHeight="1">
      <c r="B82" s="3069"/>
      <c r="C82" s="3070"/>
      <c r="D82" s="3070"/>
      <c r="E82" s="3071"/>
      <c r="F82" s="807"/>
      <c r="G82" s="927" t="s">
        <v>48</v>
      </c>
      <c r="H82" s="909"/>
      <c r="I82" s="3099" t="s">
        <v>325</v>
      </c>
      <c r="J82" s="3100"/>
      <c r="K82" s="3100"/>
      <c r="L82" s="3100"/>
      <c r="M82" s="3100"/>
      <c r="N82" s="3100"/>
      <c r="O82" s="3100"/>
      <c r="P82" s="3100"/>
      <c r="Q82" s="3100"/>
      <c r="R82" s="3100"/>
      <c r="S82" s="3100"/>
      <c r="T82" s="3100"/>
      <c r="U82" s="3100"/>
      <c r="V82" s="3100"/>
      <c r="W82" s="3100"/>
      <c r="X82" s="3100"/>
      <c r="Y82" s="3100"/>
      <c r="Z82" s="3100"/>
      <c r="AA82" s="3100"/>
      <c r="AB82" s="3100"/>
      <c r="AC82" s="3100"/>
      <c r="AD82" s="3100"/>
      <c r="AE82" s="3101"/>
      <c r="AF82" s="1714">
        <v>18</v>
      </c>
      <c r="AG82" s="2401">
        <f>'FE-1770'!AG82</f>
        <v>0</v>
      </c>
      <c r="AH82" s="2401"/>
      <c r="AI82" s="2401"/>
      <c r="AJ82" s="2401"/>
      <c r="AK82" s="2401"/>
      <c r="AL82" s="2401"/>
      <c r="AM82" s="2401"/>
      <c r="AN82" s="2401"/>
      <c r="AO82" s="2401"/>
      <c r="AP82" s="855"/>
    </row>
    <row r="83" spans="1:42" ht="3.75" customHeight="1">
      <c r="B83" s="1002"/>
      <c r="C83" s="1003"/>
      <c r="D83" s="1003"/>
      <c r="E83" s="968"/>
      <c r="F83" s="948"/>
      <c r="G83" s="982"/>
      <c r="H83" s="1004"/>
      <c r="I83" s="1005"/>
      <c r="J83" s="1005"/>
      <c r="K83" s="1005"/>
      <c r="L83" s="1004"/>
      <c r="M83" s="1006"/>
      <c r="N83" s="1004"/>
      <c r="O83" s="1007"/>
      <c r="P83" s="1004"/>
      <c r="Q83" s="1004"/>
      <c r="R83" s="1004"/>
      <c r="S83" s="1004"/>
      <c r="T83" s="1004"/>
      <c r="U83" s="1004"/>
      <c r="V83" s="1004"/>
      <c r="W83" s="1004"/>
      <c r="X83" s="1007"/>
      <c r="Y83" s="1007"/>
      <c r="Z83" s="1006"/>
      <c r="AA83" s="1006"/>
      <c r="AB83" s="1006"/>
      <c r="AC83" s="1006"/>
      <c r="AD83" s="1004"/>
      <c r="AE83" s="1004"/>
      <c r="AF83" s="1008"/>
      <c r="AG83" s="1811"/>
      <c r="AH83" s="1811"/>
      <c r="AI83" s="1811"/>
      <c r="AJ83" s="1811"/>
      <c r="AK83" s="1811"/>
      <c r="AL83" s="1811"/>
      <c r="AM83" s="1811"/>
      <c r="AN83" s="1811"/>
      <c r="AO83" s="1812"/>
      <c r="AP83" s="855"/>
    </row>
    <row r="84" spans="1:42" ht="6.75" customHeight="1">
      <c r="A84" s="920"/>
      <c r="B84" s="3160" t="s">
        <v>228</v>
      </c>
      <c r="C84" s="3161"/>
      <c r="D84" s="3161"/>
      <c r="E84" s="3162"/>
      <c r="F84" s="1009"/>
      <c r="G84" s="1009"/>
      <c r="H84" s="1010"/>
      <c r="I84" s="1011"/>
      <c r="J84" s="1011"/>
      <c r="K84" s="1011"/>
      <c r="L84" s="1011"/>
      <c r="M84" s="1011"/>
      <c r="N84" s="1012"/>
      <c r="O84" s="1012"/>
      <c r="P84" s="1012"/>
      <c r="Q84" s="1012"/>
      <c r="R84" s="1012"/>
      <c r="S84" s="1012"/>
      <c r="T84" s="1012"/>
      <c r="U84" s="1012"/>
      <c r="V84" s="1012"/>
      <c r="W84" s="1012"/>
      <c r="X84" s="1012"/>
      <c r="Y84" s="1012"/>
      <c r="Z84" s="1012"/>
      <c r="AA84" s="1012"/>
      <c r="AB84" s="1012"/>
      <c r="AC84" s="1012"/>
      <c r="AD84" s="918"/>
      <c r="AE84" s="918"/>
      <c r="AF84" s="1013"/>
      <c r="AG84" s="1813"/>
      <c r="AH84" s="1813"/>
      <c r="AI84" s="1813"/>
      <c r="AJ84" s="1813"/>
      <c r="AK84" s="1813"/>
      <c r="AL84" s="1813"/>
      <c r="AM84" s="1813"/>
      <c r="AN84" s="1813"/>
      <c r="AO84" s="1814"/>
      <c r="AP84" s="975"/>
    </row>
    <row r="85" spans="1:42" ht="15" customHeight="1">
      <c r="B85" s="3163"/>
      <c r="C85" s="3164"/>
      <c r="D85" s="3164"/>
      <c r="E85" s="3165"/>
      <c r="F85" s="807"/>
      <c r="G85" s="3169" t="s">
        <v>49</v>
      </c>
      <c r="H85" s="878"/>
      <c r="I85" s="881" t="s">
        <v>39</v>
      </c>
      <c r="J85" s="1622" t="str">
        <f>'FE-1770'!J85</f>
        <v/>
      </c>
      <c r="K85" s="984" t="s">
        <v>50</v>
      </c>
      <c r="L85" s="948"/>
      <c r="M85" s="948"/>
      <c r="N85" s="986"/>
      <c r="O85" s="986"/>
      <c r="P85" s="983"/>
      <c r="Q85" s="983"/>
      <c r="R85" s="983"/>
      <c r="S85" s="983"/>
      <c r="T85" s="986"/>
      <c r="U85" s="3108" t="s">
        <v>51</v>
      </c>
      <c r="V85" s="3108"/>
      <c r="W85" s="3176" t="s">
        <v>52</v>
      </c>
      <c r="X85" s="3176"/>
      <c r="Y85" s="797" t="str">
        <f>'FE-1770'!Y85</f>
        <v/>
      </c>
      <c r="Z85" s="797" t="str">
        <f>'FE-1770'!Z85</f>
        <v/>
      </c>
      <c r="AA85" s="797" t="str">
        <f>'FE-1770'!AA85</f>
        <v/>
      </c>
      <c r="AB85" s="797" t="str">
        <f>'FE-1770'!AB85</f>
        <v/>
      </c>
      <c r="AC85" s="797" t="str">
        <f>'FE-1770'!AC85</f>
        <v/>
      </c>
      <c r="AD85" s="797" t="str">
        <f>'FE-1770'!AD85</f>
        <v/>
      </c>
      <c r="AE85" s="878"/>
      <c r="AF85" s="3105">
        <v>19</v>
      </c>
      <c r="AG85" s="3109" t="str">
        <f>IF('FE-1770'!AG85="NIL","NIHIL",'FE-1770'!AG85)</f>
        <v>NIHIL</v>
      </c>
      <c r="AH85" s="3109"/>
      <c r="AI85" s="3109"/>
      <c r="AJ85" s="3109"/>
      <c r="AK85" s="3109"/>
      <c r="AL85" s="3109"/>
      <c r="AM85" s="3109"/>
      <c r="AN85" s="3109"/>
      <c r="AO85" s="3109"/>
      <c r="AP85" s="807"/>
    </row>
    <row r="86" spans="1:42" ht="1.5" customHeight="1">
      <c r="B86" s="3163"/>
      <c r="C86" s="3164"/>
      <c r="D86" s="3164"/>
      <c r="E86" s="3165"/>
      <c r="F86" s="807"/>
      <c r="G86" s="3169"/>
      <c r="H86" s="878"/>
      <c r="I86" s="879"/>
      <c r="J86" s="879"/>
      <c r="K86" s="807"/>
      <c r="L86" s="881"/>
      <c r="M86" s="878"/>
      <c r="N86" s="879"/>
      <c r="O86" s="879"/>
      <c r="P86" s="878"/>
      <c r="Q86" s="878"/>
      <c r="R86" s="878"/>
      <c r="S86" s="878"/>
      <c r="T86" s="879"/>
      <c r="U86" s="3108"/>
      <c r="V86" s="3108"/>
      <c r="W86" s="3176"/>
      <c r="X86" s="3176"/>
      <c r="Y86" s="1014"/>
      <c r="Z86" s="1014"/>
      <c r="AA86" s="1014"/>
      <c r="AB86" s="1014"/>
      <c r="AC86" s="1014"/>
      <c r="AD86" s="1015"/>
      <c r="AE86" s="878"/>
      <c r="AF86" s="3106"/>
      <c r="AG86" s="3109"/>
      <c r="AH86" s="3109"/>
      <c r="AI86" s="3109"/>
      <c r="AJ86" s="3109"/>
      <c r="AK86" s="3109"/>
      <c r="AL86" s="3109"/>
      <c r="AM86" s="3109"/>
      <c r="AN86" s="3109"/>
      <c r="AO86" s="3109"/>
      <c r="AP86" s="807"/>
    </row>
    <row r="87" spans="1:42" ht="14.25" customHeight="1">
      <c r="A87" s="978"/>
      <c r="B87" s="3163"/>
      <c r="C87" s="3164"/>
      <c r="D87" s="3164"/>
      <c r="E87" s="3165"/>
      <c r="F87" s="807"/>
      <c r="G87" s="932"/>
      <c r="H87" s="878"/>
      <c r="I87" s="881" t="s">
        <v>41</v>
      </c>
      <c r="J87" s="1622" t="str">
        <f>'FE-1770'!J87</f>
        <v/>
      </c>
      <c r="K87" s="880" t="s">
        <v>53</v>
      </c>
      <c r="L87" s="807"/>
      <c r="M87" s="807"/>
      <c r="N87" s="879"/>
      <c r="O87" s="879"/>
      <c r="P87" s="878"/>
      <c r="Q87" s="878"/>
      <c r="R87" s="878"/>
      <c r="S87" s="878"/>
      <c r="T87" s="879"/>
      <c r="U87" s="3108"/>
      <c r="V87" s="3108"/>
      <c r="W87" s="3176"/>
      <c r="X87" s="3176"/>
      <c r="Y87" s="3173" t="s">
        <v>256</v>
      </c>
      <c r="Z87" s="3173"/>
      <c r="AA87" s="3173" t="s">
        <v>257</v>
      </c>
      <c r="AB87" s="3173"/>
      <c r="AC87" s="3173" t="s">
        <v>258</v>
      </c>
      <c r="AD87" s="3173"/>
      <c r="AE87" s="1016"/>
      <c r="AF87" s="3107"/>
      <c r="AG87" s="3109"/>
      <c r="AH87" s="3109"/>
      <c r="AI87" s="3109"/>
      <c r="AJ87" s="3109"/>
      <c r="AK87" s="3109"/>
      <c r="AL87" s="3109"/>
      <c r="AM87" s="3109"/>
      <c r="AN87" s="3109"/>
      <c r="AO87" s="3109"/>
      <c r="AP87" s="807"/>
    </row>
    <row r="88" spans="1:42" ht="3" customHeight="1">
      <c r="A88" s="978"/>
      <c r="B88" s="3163"/>
      <c r="C88" s="3164"/>
      <c r="D88" s="3164"/>
      <c r="E88" s="3165"/>
      <c r="F88" s="807"/>
      <c r="G88" s="932"/>
      <c r="H88" s="878"/>
      <c r="I88" s="881"/>
      <c r="J88" s="879"/>
      <c r="K88" s="880"/>
      <c r="L88" s="807"/>
      <c r="M88" s="807"/>
      <c r="N88" s="879"/>
      <c r="O88" s="879"/>
      <c r="P88" s="878"/>
      <c r="Q88" s="878"/>
      <c r="R88" s="878"/>
      <c r="S88" s="878"/>
      <c r="T88" s="879"/>
      <c r="U88" s="1017"/>
      <c r="V88" s="1017"/>
      <c r="W88" s="1018"/>
      <c r="X88" s="1018"/>
      <c r="Y88" s="1019"/>
      <c r="Z88" s="1019"/>
      <c r="AA88" s="1019"/>
      <c r="AB88" s="1019"/>
      <c r="AC88" s="1019"/>
      <c r="AD88" s="1019"/>
      <c r="AE88" s="1016"/>
      <c r="AF88" s="881"/>
      <c r="AG88" s="856"/>
      <c r="AH88" s="856"/>
      <c r="AI88" s="856"/>
      <c r="AJ88" s="856"/>
      <c r="AK88" s="856"/>
      <c r="AL88" s="856"/>
      <c r="AM88" s="856"/>
      <c r="AN88" s="856"/>
      <c r="AO88" s="1020"/>
      <c r="AP88" s="807"/>
    </row>
    <row r="89" spans="1:42" ht="9.9499999999999993" customHeight="1">
      <c r="A89" s="978"/>
      <c r="B89" s="3163"/>
      <c r="C89" s="3164"/>
      <c r="D89" s="3164"/>
      <c r="E89" s="3165"/>
      <c r="F89" s="807"/>
      <c r="G89" s="988" t="s">
        <v>54</v>
      </c>
      <c r="H89" s="878"/>
      <c r="I89" s="880" t="s">
        <v>243</v>
      </c>
      <c r="J89" s="880"/>
      <c r="K89" s="989"/>
      <c r="L89" s="989"/>
      <c r="M89" s="989"/>
      <c r="N89" s="989"/>
      <c r="O89" s="991"/>
      <c r="P89" s="878"/>
      <c r="Q89" s="878"/>
      <c r="R89" s="878"/>
      <c r="V89" s="3113" t="s">
        <v>39</v>
      </c>
      <c r="W89" s="3119" t="str">
        <f>'FE-1770'!W89</f>
        <v/>
      </c>
      <c r="X89" s="3121" t="s">
        <v>55</v>
      </c>
      <c r="Y89" s="3122"/>
      <c r="Z89" s="3122"/>
      <c r="AA89" s="3122"/>
      <c r="AB89" s="3122"/>
      <c r="AC89" s="3110" t="s">
        <v>46</v>
      </c>
      <c r="AD89" s="3174" t="str">
        <f>'FE-1770'!AD89</f>
        <v/>
      </c>
      <c r="AE89" s="1021"/>
      <c r="AF89" s="3114" t="s">
        <v>342</v>
      </c>
      <c r="AG89" s="3114"/>
      <c r="AH89" s="3114"/>
      <c r="AI89" s="3114"/>
      <c r="AJ89" s="3114"/>
      <c r="AK89" s="3114"/>
      <c r="AL89" s="3114"/>
      <c r="AM89" s="3114"/>
      <c r="AN89" s="3114"/>
      <c r="AO89" s="3115"/>
      <c r="AP89" s="975"/>
    </row>
    <row r="90" spans="1:42" ht="9.9499999999999993" customHeight="1">
      <c r="A90" s="978"/>
      <c r="B90" s="3163"/>
      <c r="C90" s="3164"/>
      <c r="D90" s="3164"/>
      <c r="E90" s="3165"/>
      <c r="F90" s="807"/>
      <c r="G90" s="988"/>
      <c r="H90" s="878"/>
      <c r="I90" s="880"/>
      <c r="J90" s="880"/>
      <c r="K90" s="989"/>
      <c r="L90" s="989"/>
      <c r="M90" s="989"/>
      <c r="N90" s="989"/>
      <c r="O90" s="989"/>
      <c r="P90" s="878"/>
      <c r="Q90" s="878"/>
      <c r="R90" s="878"/>
      <c r="V90" s="3113"/>
      <c r="W90" s="3120"/>
      <c r="X90" s="3121"/>
      <c r="Y90" s="3122"/>
      <c r="Z90" s="3122"/>
      <c r="AA90" s="3122"/>
      <c r="AB90" s="3122"/>
      <c r="AC90" s="3110"/>
      <c r="AD90" s="3175"/>
      <c r="AE90" s="1021"/>
      <c r="AF90" s="3114"/>
      <c r="AG90" s="3114"/>
      <c r="AH90" s="3114"/>
      <c r="AI90" s="3114"/>
      <c r="AJ90" s="3114"/>
      <c r="AK90" s="3114"/>
      <c r="AL90" s="3114"/>
      <c r="AM90" s="3114"/>
      <c r="AN90" s="3114"/>
      <c r="AO90" s="3115"/>
      <c r="AP90" s="975"/>
    </row>
    <row r="91" spans="1:42" ht="3" customHeight="1">
      <c r="A91" s="978"/>
      <c r="B91" s="3163"/>
      <c r="C91" s="3164"/>
      <c r="D91" s="3164"/>
      <c r="E91" s="3165"/>
      <c r="F91" s="807"/>
      <c r="G91" s="988"/>
      <c r="H91" s="878"/>
      <c r="I91" s="880"/>
      <c r="J91" s="880"/>
      <c r="K91" s="989"/>
      <c r="L91" s="989"/>
      <c r="M91" s="989"/>
      <c r="N91" s="989"/>
      <c r="O91" s="989"/>
      <c r="P91" s="878"/>
      <c r="Q91" s="878"/>
      <c r="R91" s="878"/>
      <c r="V91" s="1022"/>
      <c r="W91" s="879"/>
      <c r="X91" s="1023"/>
      <c r="Y91" s="1022"/>
      <c r="Z91" s="879"/>
      <c r="AA91" s="1024"/>
      <c r="AB91" s="1024"/>
      <c r="AC91" s="1024"/>
      <c r="AD91" s="1024"/>
      <c r="AE91" s="1024"/>
      <c r="AF91" s="1025"/>
      <c r="AG91" s="1026"/>
      <c r="AH91" s="975"/>
      <c r="AI91" s="975"/>
      <c r="AJ91" s="975"/>
      <c r="AK91" s="975"/>
      <c r="AL91" s="975"/>
      <c r="AM91" s="975"/>
      <c r="AN91" s="975"/>
      <c r="AO91" s="1027"/>
      <c r="AP91" s="975"/>
    </row>
    <row r="92" spans="1:42" ht="9.9499999999999993" customHeight="1">
      <c r="A92" s="978"/>
      <c r="B92" s="3163"/>
      <c r="C92" s="3164"/>
      <c r="D92" s="3164"/>
      <c r="E92" s="3165"/>
      <c r="F92" s="807"/>
      <c r="G92" s="988"/>
      <c r="H92" s="878"/>
      <c r="I92" s="880"/>
      <c r="J92" s="880"/>
      <c r="K92" s="989"/>
      <c r="L92" s="989"/>
      <c r="M92" s="989"/>
      <c r="N92" s="989"/>
      <c r="O92" s="989"/>
      <c r="P92" s="878"/>
      <c r="Q92" s="878"/>
      <c r="R92" s="878"/>
      <c r="V92" s="3185" t="s">
        <v>41</v>
      </c>
      <c r="W92" s="3170"/>
      <c r="X92" s="1028" t="s">
        <v>262</v>
      </c>
      <c r="Y92" s="826"/>
      <c r="Z92" s="905"/>
      <c r="AA92" s="1029"/>
      <c r="AB92" s="1029"/>
      <c r="AC92" s="3110" t="s">
        <v>47</v>
      </c>
      <c r="AD92" s="3174" t="str">
        <f>'FE-1770'!AD92</f>
        <v/>
      </c>
      <c r="AE92" s="1021"/>
      <c r="AF92" s="3114" t="s">
        <v>343</v>
      </c>
      <c r="AG92" s="3114"/>
      <c r="AH92" s="3114"/>
      <c r="AI92" s="3114"/>
      <c r="AJ92" s="3114"/>
      <c r="AK92" s="3114"/>
      <c r="AL92" s="3114"/>
      <c r="AM92" s="3114"/>
      <c r="AN92" s="3114"/>
      <c r="AO92" s="3115"/>
      <c r="AP92" s="975"/>
    </row>
    <row r="93" spans="1:42" ht="9.9499999999999993" customHeight="1">
      <c r="A93" s="978"/>
      <c r="B93" s="3163"/>
      <c r="C93" s="3164"/>
      <c r="D93" s="3164"/>
      <c r="E93" s="3165"/>
      <c r="F93" s="807"/>
      <c r="G93" s="988"/>
      <c r="H93" s="878"/>
      <c r="I93" s="880"/>
      <c r="J93" s="880"/>
      <c r="K93" s="989"/>
      <c r="L93" s="989"/>
      <c r="M93" s="989"/>
      <c r="N93" s="989"/>
      <c r="O93" s="989"/>
      <c r="P93" s="878"/>
      <c r="Q93" s="878"/>
      <c r="R93" s="878"/>
      <c r="V93" s="3185"/>
      <c r="W93" s="3171"/>
      <c r="X93" s="1028" t="s">
        <v>326</v>
      </c>
      <c r="Y93" s="826"/>
      <c r="Z93" s="905"/>
      <c r="AA93" s="1029"/>
      <c r="AB93" s="1029"/>
      <c r="AC93" s="3110"/>
      <c r="AD93" s="3175"/>
      <c r="AE93" s="1030"/>
      <c r="AF93" s="3114"/>
      <c r="AG93" s="3114"/>
      <c r="AH93" s="3114"/>
      <c r="AI93" s="3114"/>
      <c r="AJ93" s="3114"/>
      <c r="AK93" s="3114"/>
      <c r="AL93" s="3114"/>
      <c r="AM93" s="3114"/>
      <c r="AN93" s="3114"/>
      <c r="AO93" s="3115"/>
      <c r="AP93" s="975"/>
    </row>
    <row r="94" spans="1:42" ht="7.5" customHeight="1">
      <c r="A94" s="978"/>
      <c r="B94" s="3166"/>
      <c r="C94" s="3167"/>
      <c r="D94" s="3167"/>
      <c r="E94" s="3168"/>
      <c r="F94" s="1031"/>
      <c r="G94" s="1031"/>
      <c r="H94" s="969"/>
      <c r="I94" s="950"/>
      <c r="J94" s="950"/>
      <c r="K94" s="1032"/>
      <c r="L94" s="1032"/>
      <c r="M94" s="1032"/>
      <c r="N94" s="1032"/>
      <c r="O94" s="1032"/>
      <c r="P94" s="994"/>
      <c r="Q94" s="994"/>
      <c r="R94" s="994"/>
      <c r="S94" s="994"/>
      <c r="T94" s="1033"/>
      <c r="U94" s="1034"/>
      <c r="V94" s="1034"/>
      <c r="W94" s="1034"/>
      <c r="X94" s="1035"/>
      <c r="Y94" s="1036"/>
      <c r="Z94" s="1037"/>
      <c r="AA94" s="1037"/>
      <c r="AB94" s="1037"/>
      <c r="AC94" s="1038"/>
      <c r="AD94" s="1038"/>
      <c r="AE94" s="1038"/>
      <c r="AF94" s="1039"/>
      <c r="AG94" s="1038"/>
      <c r="AH94" s="1040"/>
      <c r="AI94" s="1040"/>
      <c r="AJ94" s="1040"/>
      <c r="AK94" s="1040"/>
      <c r="AL94" s="1040"/>
      <c r="AM94" s="1040"/>
      <c r="AN94" s="1040"/>
      <c r="AO94" s="1041"/>
      <c r="AP94" s="975"/>
    </row>
    <row r="95" spans="1:42" ht="6" customHeight="1">
      <c r="A95" s="920"/>
      <c r="B95" s="3160" t="s">
        <v>56</v>
      </c>
      <c r="C95" s="3161"/>
      <c r="D95" s="3161"/>
      <c r="E95" s="3162"/>
      <c r="F95" s="1042"/>
      <c r="G95" s="918"/>
      <c r="H95" s="1043"/>
      <c r="I95" s="918"/>
      <c r="J95" s="1044"/>
      <c r="K95" s="1045"/>
      <c r="L95" s="1045"/>
      <c r="M95" s="1045"/>
      <c r="N95" s="1045"/>
      <c r="O95" s="1045"/>
      <c r="P95" s="918"/>
      <c r="Q95" s="918"/>
      <c r="R95" s="1045"/>
      <c r="S95" s="1046"/>
      <c r="T95" s="1046"/>
      <c r="U95" s="1046"/>
      <c r="V95" s="1046"/>
      <c r="W95" s="1046"/>
      <c r="X95" s="1046"/>
      <c r="Y95" s="1046"/>
      <c r="Z95" s="1043"/>
      <c r="AA95" s="1043"/>
      <c r="AB95" s="1043"/>
      <c r="AC95" s="918"/>
      <c r="AD95" s="918"/>
      <c r="AE95" s="918"/>
      <c r="AF95" s="1047"/>
      <c r="AG95" s="918"/>
      <c r="AH95" s="918"/>
      <c r="AI95" s="918"/>
      <c r="AJ95" s="918"/>
      <c r="AK95" s="918"/>
      <c r="AL95" s="918"/>
      <c r="AM95" s="918"/>
      <c r="AN95" s="918"/>
      <c r="AO95" s="919"/>
      <c r="AP95" s="807"/>
    </row>
    <row r="96" spans="1:42" ht="6" customHeight="1">
      <c r="A96" s="920"/>
      <c r="B96" s="3163"/>
      <c r="C96" s="3164"/>
      <c r="D96" s="3164"/>
      <c r="E96" s="3165"/>
      <c r="F96" s="1048"/>
      <c r="G96" s="3077" t="s">
        <v>57</v>
      </c>
      <c r="H96" s="878"/>
      <c r="I96" s="3078" t="s">
        <v>58</v>
      </c>
      <c r="J96" s="3078"/>
      <c r="K96" s="3078"/>
      <c r="L96" s="3078"/>
      <c r="M96" s="3078"/>
      <c r="N96" s="3078"/>
      <c r="O96" s="3078"/>
      <c r="P96" s="3078"/>
      <c r="Q96" s="3078"/>
      <c r="R96" s="3078"/>
      <c r="S96" s="3078"/>
      <c r="T96" s="3078"/>
      <c r="U96" s="3078"/>
      <c r="V96" s="3078"/>
      <c r="W96" s="3078"/>
      <c r="X96" s="3079"/>
      <c r="Y96" s="3079"/>
      <c r="Z96" s="3079"/>
      <c r="AA96" s="3079"/>
      <c r="AB96" s="3079"/>
      <c r="AC96" s="3079"/>
      <c r="AD96" s="3079"/>
      <c r="AE96" s="3080"/>
      <c r="AF96" s="3105">
        <v>21</v>
      </c>
      <c r="AG96" s="3109" t="e">
        <f>'FE-1770'!AG96</f>
        <v>#DIV/0!</v>
      </c>
      <c r="AH96" s="3109"/>
      <c r="AI96" s="3109"/>
      <c r="AJ96" s="3109"/>
      <c r="AK96" s="3109"/>
      <c r="AL96" s="3109"/>
      <c r="AM96" s="3109"/>
      <c r="AN96" s="3109"/>
      <c r="AO96" s="3109"/>
      <c r="AP96" s="807"/>
    </row>
    <row r="97" spans="1:42" ht="14.25" customHeight="1">
      <c r="A97" s="1049"/>
      <c r="B97" s="3163"/>
      <c r="C97" s="3164"/>
      <c r="D97" s="3164"/>
      <c r="E97" s="3165"/>
      <c r="F97" s="807"/>
      <c r="G97" s="3077"/>
      <c r="H97" s="878"/>
      <c r="I97" s="3078"/>
      <c r="J97" s="3078"/>
      <c r="K97" s="3078"/>
      <c r="L97" s="3078"/>
      <c r="M97" s="3078"/>
      <c r="N97" s="3078"/>
      <c r="O97" s="3078"/>
      <c r="P97" s="3078"/>
      <c r="Q97" s="3078"/>
      <c r="R97" s="3078"/>
      <c r="S97" s="3078"/>
      <c r="T97" s="3078"/>
      <c r="U97" s="3078"/>
      <c r="V97" s="3078"/>
      <c r="W97" s="3078"/>
      <c r="X97" s="3079"/>
      <c r="Y97" s="3079"/>
      <c r="Z97" s="3079"/>
      <c r="AA97" s="3079"/>
      <c r="AB97" s="3079"/>
      <c r="AC97" s="3079"/>
      <c r="AD97" s="3079"/>
      <c r="AE97" s="3080"/>
      <c r="AF97" s="3107"/>
      <c r="AG97" s="3109"/>
      <c r="AH97" s="3109"/>
      <c r="AI97" s="3109"/>
      <c r="AJ97" s="3109"/>
      <c r="AK97" s="3109"/>
      <c r="AL97" s="3109"/>
      <c r="AM97" s="3109"/>
      <c r="AN97" s="3109"/>
      <c r="AO97" s="3109"/>
      <c r="AP97" s="975"/>
    </row>
    <row r="98" spans="1:42" ht="7.5" customHeight="1">
      <c r="A98" s="1049"/>
      <c r="B98" s="3163"/>
      <c r="C98" s="3164"/>
      <c r="D98" s="3164"/>
      <c r="E98" s="3165"/>
      <c r="F98" s="807"/>
      <c r="G98" s="988"/>
      <c r="H98" s="878"/>
      <c r="I98" s="879" t="s">
        <v>59</v>
      </c>
      <c r="J98" s="807"/>
      <c r="K98" s="807"/>
      <c r="L98" s="807"/>
      <c r="M98" s="807"/>
      <c r="N98" s="878"/>
      <c r="O98" s="807"/>
      <c r="P98" s="879"/>
      <c r="Q98" s="807"/>
      <c r="R98" s="879"/>
      <c r="S98" s="807"/>
      <c r="T98" s="807"/>
      <c r="U98" s="878"/>
      <c r="V98" s="878"/>
      <c r="W98" s="878"/>
      <c r="X98" s="878"/>
      <c r="Y98" s="879"/>
      <c r="Z98" s="879"/>
      <c r="AA98" s="879"/>
      <c r="AB98" s="879"/>
      <c r="AC98" s="855"/>
      <c r="AD98" s="855"/>
      <c r="AE98" s="855"/>
      <c r="AF98" s="927"/>
      <c r="AG98" s="975"/>
      <c r="AH98" s="975"/>
      <c r="AI98" s="975"/>
      <c r="AJ98" s="975"/>
      <c r="AK98" s="975"/>
      <c r="AL98" s="975"/>
      <c r="AM98" s="975"/>
      <c r="AN98" s="975"/>
      <c r="AO98" s="1027"/>
      <c r="AP98" s="975"/>
    </row>
    <row r="99" spans="1:42" ht="7.5" customHeight="1">
      <c r="A99" s="1049"/>
      <c r="B99" s="3163"/>
      <c r="C99" s="3164"/>
      <c r="D99" s="3164"/>
      <c r="E99" s="3165"/>
      <c r="F99" s="807"/>
      <c r="G99" s="988"/>
      <c r="H99" s="878"/>
      <c r="I99" s="879"/>
      <c r="J99" s="807"/>
      <c r="K99" s="807"/>
      <c r="L99" s="807"/>
      <c r="M99" s="807"/>
      <c r="N99" s="878"/>
      <c r="O99" s="807"/>
      <c r="P99" s="879"/>
      <c r="Q99" s="807"/>
      <c r="R99" s="879"/>
      <c r="S99" s="807"/>
      <c r="T99" s="807"/>
      <c r="U99" s="878"/>
      <c r="V99" s="878"/>
      <c r="W99" s="878"/>
      <c r="X99" s="878"/>
      <c r="Y99" s="879"/>
      <c r="Z99" s="879"/>
      <c r="AA99" s="879"/>
      <c r="AB99" s="879"/>
      <c r="AC99" s="855"/>
      <c r="AD99" s="855"/>
      <c r="AE99" s="855"/>
      <c r="AF99" s="927"/>
      <c r="AG99" s="975"/>
      <c r="AH99" s="975"/>
      <c r="AI99" s="975"/>
      <c r="AJ99" s="975"/>
      <c r="AK99" s="975"/>
      <c r="AL99" s="975"/>
      <c r="AM99" s="975"/>
      <c r="AN99" s="975"/>
      <c r="AO99" s="1027"/>
      <c r="AP99" s="975"/>
    </row>
    <row r="100" spans="1:42" ht="20.100000000000001" customHeight="1">
      <c r="A100" s="1049"/>
      <c r="B100" s="3163"/>
      <c r="C100" s="3164"/>
      <c r="D100" s="3164"/>
      <c r="E100" s="3165"/>
      <c r="F100" s="807"/>
      <c r="G100" s="988"/>
      <c r="H100" s="878"/>
      <c r="I100" s="881" t="s">
        <v>39</v>
      </c>
      <c r="J100" s="1621" t="str">
        <f>'FE-1770'!J100</f>
        <v>x</v>
      </c>
      <c r="K100" s="1050" t="s">
        <v>263</v>
      </c>
      <c r="L100" s="807"/>
      <c r="M100" s="807"/>
      <c r="N100" s="878"/>
      <c r="O100" s="807"/>
      <c r="P100" s="879"/>
      <c r="Q100" s="807"/>
      <c r="R100" s="879"/>
      <c r="S100" s="807"/>
      <c r="T100" s="807"/>
      <c r="U100" s="878"/>
      <c r="V100" s="878"/>
      <c r="W100" s="878"/>
      <c r="X100" s="878"/>
      <c r="Y100" s="879"/>
      <c r="Z100" s="881" t="s">
        <v>46</v>
      </c>
      <c r="AA100" s="1621" t="str">
        <f>'FE-1770'!AA100</f>
        <v/>
      </c>
      <c r="AB100" s="880" t="s">
        <v>265</v>
      </c>
      <c r="AC100" s="855"/>
      <c r="AD100" s="855"/>
      <c r="AE100" s="855"/>
      <c r="AF100" s="927"/>
      <c r="AG100" s="975"/>
      <c r="AH100" s="975"/>
      <c r="AI100" s="975"/>
      <c r="AJ100" s="975"/>
      <c r="AK100" s="975"/>
      <c r="AL100" s="975"/>
      <c r="AM100" s="975"/>
      <c r="AN100" s="975"/>
      <c r="AO100" s="1027"/>
      <c r="AP100" s="975"/>
    </row>
    <row r="101" spans="1:42" ht="3" customHeight="1">
      <c r="A101" s="1049"/>
      <c r="B101" s="3163"/>
      <c r="C101" s="3164"/>
      <c r="D101" s="3164"/>
      <c r="E101" s="3165"/>
      <c r="F101" s="807"/>
      <c r="G101" s="988"/>
      <c r="H101" s="878"/>
      <c r="I101" s="1051"/>
      <c r="J101" s="807"/>
      <c r="K101" s="807"/>
      <c r="L101" s="807"/>
      <c r="M101" s="807"/>
      <c r="N101" s="878"/>
      <c r="O101" s="807"/>
      <c r="P101" s="879"/>
      <c r="Q101" s="807"/>
      <c r="R101" s="879"/>
      <c r="S101" s="807"/>
      <c r="T101" s="807"/>
      <c r="U101" s="878"/>
      <c r="V101" s="878"/>
      <c r="W101" s="878"/>
      <c r="X101" s="878"/>
      <c r="Y101" s="879"/>
      <c r="Z101" s="879"/>
      <c r="AA101" s="879"/>
      <c r="AB101" s="879"/>
      <c r="AC101" s="855"/>
      <c r="AD101" s="855"/>
      <c r="AE101" s="855"/>
      <c r="AF101" s="927"/>
      <c r="AG101" s="975"/>
      <c r="AH101" s="975"/>
      <c r="AI101" s="975"/>
      <c r="AJ101" s="975"/>
      <c r="AK101" s="975"/>
      <c r="AL101" s="975"/>
      <c r="AM101" s="975"/>
      <c r="AN101" s="975"/>
      <c r="AO101" s="1027"/>
      <c r="AP101" s="975"/>
    </row>
    <row r="102" spans="1:42" ht="20.100000000000001" customHeight="1">
      <c r="A102" s="1049"/>
      <c r="B102" s="3163"/>
      <c r="C102" s="3164"/>
      <c r="D102" s="3164"/>
      <c r="E102" s="3165"/>
      <c r="F102" s="848"/>
      <c r="G102" s="1052"/>
      <c r="H102" s="878"/>
      <c r="I102" s="881" t="s">
        <v>41</v>
      </c>
      <c r="J102" s="1621">
        <f>'FE-1770'!J102</f>
        <v>0</v>
      </c>
      <c r="K102" s="880" t="s">
        <v>264</v>
      </c>
      <c r="L102" s="989"/>
      <c r="M102" s="878"/>
      <c r="N102" s="1022"/>
      <c r="O102" s="879"/>
      <c r="P102" s="880"/>
      <c r="Q102" s="807"/>
      <c r="R102" s="807"/>
      <c r="S102" s="807"/>
      <c r="T102" s="807"/>
      <c r="U102" s="878"/>
      <c r="V102" s="1022"/>
      <c r="W102" s="1022"/>
      <c r="X102" s="807"/>
      <c r="Y102" s="880"/>
      <c r="Z102" s="878"/>
      <c r="AA102" s="878"/>
      <c r="AB102" s="878"/>
      <c r="AC102" s="878"/>
      <c r="AD102" s="878"/>
      <c r="AE102" s="878"/>
      <c r="AF102" s="878"/>
      <c r="AG102" s="878"/>
      <c r="AH102" s="878"/>
      <c r="AI102" s="878"/>
      <c r="AJ102" s="878"/>
      <c r="AK102" s="878"/>
      <c r="AL102" s="878"/>
      <c r="AM102" s="878"/>
      <c r="AN102" s="878"/>
      <c r="AO102" s="1053"/>
      <c r="AP102" s="878"/>
    </row>
    <row r="103" spans="1:42" ht="4.5" customHeight="1">
      <c r="A103" s="1049"/>
      <c r="B103" s="3166"/>
      <c r="C103" s="3167"/>
      <c r="D103" s="3167"/>
      <c r="E103" s="3168"/>
      <c r="F103" s="1054"/>
      <c r="G103" s="1055"/>
      <c r="H103" s="983"/>
      <c r="I103" s="1056"/>
      <c r="J103" s="1056"/>
      <c r="K103" s="1056"/>
      <c r="L103" s="1056"/>
      <c r="M103" s="983"/>
      <c r="N103" s="983"/>
      <c r="O103" s="983"/>
      <c r="P103" s="986"/>
      <c r="Q103" s="1056"/>
      <c r="R103" s="983"/>
      <c r="S103" s="983"/>
      <c r="T103" s="983"/>
      <c r="U103" s="983"/>
      <c r="V103" s="983"/>
      <c r="W103" s="983"/>
      <c r="X103" s="983"/>
      <c r="Y103" s="983"/>
      <c r="Z103" s="983"/>
      <c r="AA103" s="983"/>
      <c r="AB103" s="983"/>
      <c r="AC103" s="983"/>
      <c r="AD103" s="983"/>
      <c r="AE103" s="983"/>
      <c r="AF103" s="983"/>
      <c r="AG103" s="983"/>
      <c r="AH103" s="983"/>
      <c r="AI103" s="983"/>
      <c r="AJ103" s="983"/>
      <c r="AK103" s="983"/>
      <c r="AL103" s="983"/>
      <c r="AM103" s="983"/>
      <c r="AN103" s="983"/>
      <c r="AO103" s="1057"/>
      <c r="AP103" s="878"/>
    </row>
    <row r="104" spans="1:42" ht="12" customHeight="1">
      <c r="A104" s="1049"/>
      <c r="B104" s="1058"/>
      <c r="C104" s="1059"/>
      <c r="D104" s="1059"/>
      <c r="E104" s="1060"/>
      <c r="F104" s="848"/>
      <c r="G104" s="975" t="s">
        <v>237</v>
      </c>
      <c r="H104" s="807"/>
      <c r="I104" s="975"/>
      <c r="J104" s="975"/>
      <c r="K104" s="975"/>
      <c r="L104" s="975"/>
      <c r="M104" s="807"/>
      <c r="N104" s="1061"/>
      <c r="O104" s="1061"/>
      <c r="P104" s="878"/>
      <c r="Q104" s="878"/>
      <c r="R104" s="878"/>
      <c r="S104" s="878"/>
      <c r="T104" s="878"/>
      <c r="U104" s="878"/>
      <c r="V104" s="878"/>
      <c r="W104" s="878"/>
      <c r="X104" s="878"/>
      <c r="Y104" s="878"/>
      <c r="Z104" s="878"/>
      <c r="AA104" s="878"/>
      <c r="AB104" s="878"/>
      <c r="AC104" s="878"/>
      <c r="AD104" s="878"/>
      <c r="AE104" s="878"/>
      <c r="AF104" s="878"/>
      <c r="AG104" s="878"/>
      <c r="AH104" s="878"/>
      <c r="AI104" s="878"/>
      <c r="AJ104" s="878"/>
      <c r="AK104" s="878"/>
      <c r="AL104" s="878"/>
      <c r="AM104" s="878"/>
      <c r="AN104" s="878"/>
      <c r="AO104" s="1053"/>
      <c r="AP104" s="878"/>
    </row>
    <row r="105" spans="1:42" ht="16.5" customHeight="1">
      <c r="A105" s="920"/>
      <c r="B105" s="3182" t="s">
        <v>60</v>
      </c>
      <c r="C105" s="3183"/>
      <c r="D105" s="3183"/>
      <c r="E105" s="3184"/>
      <c r="F105" s="1062"/>
      <c r="G105" s="1063" t="s">
        <v>39</v>
      </c>
      <c r="H105" s="807"/>
      <c r="I105" s="1621">
        <f>'FE-1770'!I105</f>
        <v>0</v>
      </c>
      <c r="J105" s="1052" t="s">
        <v>61</v>
      </c>
      <c r="K105" s="807"/>
      <c r="L105" s="1052"/>
      <c r="M105" s="1052"/>
      <c r="N105" s="1052"/>
      <c r="O105" s="1052"/>
      <c r="P105" s="1052"/>
      <c r="Q105" s="1052"/>
      <c r="R105" s="1052"/>
      <c r="S105" s="1052"/>
      <c r="T105" s="1052"/>
      <c r="U105" s="1052"/>
      <c r="V105" s="1052"/>
      <c r="W105" s="1052"/>
      <c r="X105" s="1052"/>
      <c r="Y105" s="1052"/>
      <c r="Z105" s="1052"/>
      <c r="AA105" s="817" t="s">
        <v>102</v>
      </c>
      <c r="AB105" s="1623">
        <f>'FE-1770'!AB105</f>
        <v>0</v>
      </c>
      <c r="AC105" s="851" t="s">
        <v>227</v>
      </c>
      <c r="AD105" s="851"/>
      <c r="AE105" s="851"/>
      <c r="AF105" s="851"/>
      <c r="AG105" s="851"/>
      <c r="AH105" s="851"/>
      <c r="AI105" s="851"/>
      <c r="AJ105" s="851"/>
      <c r="AK105" s="851"/>
      <c r="AL105" s="851"/>
      <c r="AM105" s="851"/>
      <c r="AN105" s="851"/>
      <c r="AO105" s="1064"/>
      <c r="AP105" s="848"/>
    </row>
    <row r="106" spans="1:42" ht="2.25" customHeight="1">
      <c r="A106" s="920"/>
      <c r="B106" s="3182"/>
      <c r="C106" s="3183"/>
      <c r="D106" s="3183"/>
      <c r="E106" s="3184"/>
      <c r="F106" s="1062"/>
      <c r="G106" s="1063"/>
      <c r="H106" s="807"/>
      <c r="I106" s="1065"/>
      <c r="J106" s="975"/>
      <c r="K106" s="1052"/>
      <c r="L106" s="1052"/>
      <c r="M106" s="1052"/>
      <c r="N106" s="1052"/>
      <c r="O106" s="1052"/>
      <c r="P106" s="1052"/>
      <c r="Q106" s="1052"/>
      <c r="R106" s="1052"/>
      <c r="S106" s="1052"/>
      <c r="T106" s="1052"/>
      <c r="U106" s="1052"/>
      <c r="V106" s="1052"/>
      <c r="W106" s="1052"/>
      <c r="X106" s="1052"/>
      <c r="Y106" s="1052"/>
      <c r="Z106" s="1052"/>
      <c r="AA106" s="817"/>
      <c r="AB106" s="1066"/>
      <c r="AC106" s="851"/>
      <c r="AD106" s="851"/>
      <c r="AE106" s="851"/>
      <c r="AF106" s="851"/>
      <c r="AG106" s="851"/>
      <c r="AH106" s="851"/>
      <c r="AI106" s="851"/>
      <c r="AJ106" s="851"/>
      <c r="AK106" s="851"/>
      <c r="AL106" s="851"/>
      <c r="AM106" s="851"/>
      <c r="AN106" s="851"/>
      <c r="AO106" s="1064"/>
      <c r="AP106" s="848"/>
    </row>
    <row r="107" spans="1:42" ht="17.25" customHeight="1">
      <c r="A107" s="1067"/>
      <c r="B107" s="3182"/>
      <c r="C107" s="3183"/>
      <c r="D107" s="3183"/>
      <c r="E107" s="3184"/>
      <c r="F107" s="975"/>
      <c r="G107" s="1063" t="s">
        <v>41</v>
      </c>
      <c r="H107" s="807"/>
      <c r="I107" s="1621">
        <f>'FE-1770'!I107</f>
        <v>0</v>
      </c>
      <c r="J107" s="1052" t="s">
        <v>247</v>
      </c>
      <c r="K107" s="807"/>
      <c r="L107" s="1052"/>
      <c r="M107" s="1052"/>
      <c r="N107" s="1052"/>
      <c r="O107" s="1052"/>
      <c r="P107" s="1052"/>
      <c r="Q107" s="1052"/>
      <c r="R107" s="1052"/>
      <c r="S107" s="1052"/>
      <c r="T107" s="1052"/>
      <c r="U107" s="1052"/>
      <c r="V107" s="1052"/>
      <c r="W107" s="1052"/>
      <c r="X107" s="1052"/>
      <c r="Y107" s="1052"/>
      <c r="Z107" s="1052"/>
      <c r="AA107" s="817" t="s">
        <v>104</v>
      </c>
      <c r="AB107" s="1623">
        <f>'FE-1770'!AB107</f>
        <v>0</v>
      </c>
      <c r="AC107" s="2376" t="str">
        <f>IF(AB107="x",UPPER('GENERAL INFO'!Q66),"............................................................................................................................")</f>
        <v>............................................................................................................................</v>
      </c>
      <c r="AD107" s="2377"/>
      <c r="AE107" s="2377"/>
      <c r="AF107" s="2377"/>
      <c r="AG107" s="2377"/>
      <c r="AH107" s="2377"/>
      <c r="AI107" s="2377"/>
      <c r="AJ107" s="2377"/>
      <c r="AK107" s="2377"/>
      <c r="AL107" s="2377"/>
      <c r="AM107" s="2377"/>
      <c r="AN107" s="851"/>
      <c r="AO107" s="1064"/>
      <c r="AP107" s="848"/>
    </row>
    <row r="108" spans="1:42" ht="2.25" customHeight="1">
      <c r="A108" s="1067"/>
      <c r="B108" s="3182"/>
      <c r="C108" s="3183"/>
      <c r="D108" s="3183"/>
      <c r="E108" s="3184"/>
      <c r="F108" s="975"/>
      <c r="G108" s="1063"/>
      <c r="H108" s="807"/>
      <c r="I108" s="1068"/>
      <c r="J108" s="3112" t="s">
        <v>301</v>
      </c>
      <c r="K108" s="3118"/>
      <c r="L108" s="3118"/>
      <c r="M108" s="3118"/>
      <c r="N108" s="3118"/>
      <c r="O108" s="3118"/>
      <c r="P108" s="3118"/>
      <c r="Q108" s="3118"/>
      <c r="R108" s="3118"/>
      <c r="S108" s="3118"/>
      <c r="T108" s="3118"/>
      <c r="U108" s="3118"/>
      <c r="V108" s="3118"/>
      <c r="W108" s="3118"/>
      <c r="X108" s="3118"/>
      <c r="Y108" s="3118"/>
      <c r="Z108" s="3118"/>
      <c r="AA108" s="817"/>
      <c r="AB108" s="1069"/>
      <c r="AC108" s="851"/>
      <c r="AD108" s="851"/>
      <c r="AE108" s="851"/>
      <c r="AF108" s="851"/>
      <c r="AG108" s="851"/>
      <c r="AH108" s="851"/>
      <c r="AI108" s="851"/>
      <c r="AJ108" s="851"/>
      <c r="AK108" s="851"/>
      <c r="AL108" s="851"/>
      <c r="AM108" s="851"/>
      <c r="AN108" s="851"/>
      <c r="AO108" s="1064"/>
      <c r="AP108" s="848"/>
    </row>
    <row r="109" spans="1:42" ht="17.25" customHeight="1">
      <c r="A109" s="1067"/>
      <c r="B109" s="3182"/>
      <c r="C109" s="3183"/>
      <c r="D109" s="3183"/>
      <c r="E109" s="3184"/>
      <c r="F109" s="975"/>
      <c r="G109" s="1063" t="s">
        <v>46</v>
      </c>
      <c r="H109" s="807"/>
      <c r="I109" s="1621">
        <f>'FE-1770'!I109</f>
        <v>0</v>
      </c>
      <c r="J109" s="3118"/>
      <c r="K109" s="3118"/>
      <c r="L109" s="3118"/>
      <c r="M109" s="3118"/>
      <c r="N109" s="3118"/>
      <c r="O109" s="3118"/>
      <c r="P109" s="3118"/>
      <c r="Q109" s="3118"/>
      <c r="R109" s="3118"/>
      <c r="S109" s="3118"/>
      <c r="T109" s="3118"/>
      <c r="U109" s="3118"/>
      <c r="V109" s="3118"/>
      <c r="W109" s="3118"/>
      <c r="X109" s="3118"/>
      <c r="Y109" s="3118"/>
      <c r="Z109" s="3118"/>
      <c r="AA109" s="1070" t="s">
        <v>106</v>
      </c>
      <c r="AB109" s="1623">
        <f>'FE-1770'!AB109</f>
        <v>0</v>
      </c>
      <c r="AC109" s="3116" t="s">
        <v>353</v>
      </c>
      <c r="AD109" s="3117"/>
      <c r="AE109" s="3117"/>
      <c r="AF109" s="3117"/>
      <c r="AG109" s="3117"/>
      <c r="AH109" s="3117"/>
      <c r="AI109" s="3117"/>
      <c r="AJ109" s="3117"/>
      <c r="AK109" s="3117"/>
      <c r="AL109" s="3117"/>
      <c r="AM109" s="3117"/>
      <c r="AN109" s="3117"/>
      <c r="AO109" s="1064"/>
      <c r="AP109" s="848"/>
    </row>
    <row r="110" spans="1:42" ht="2.25" customHeight="1">
      <c r="A110" s="1067"/>
      <c r="B110" s="3182"/>
      <c r="C110" s="3183"/>
      <c r="D110" s="3183"/>
      <c r="E110" s="3184"/>
      <c r="F110" s="975"/>
      <c r="G110" s="1063"/>
      <c r="H110" s="807"/>
      <c r="I110" s="1068"/>
      <c r="J110" s="975"/>
      <c r="K110" s="1052"/>
      <c r="L110" s="1052"/>
      <c r="M110" s="1052"/>
      <c r="N110" s="1052"/>
      <c r="O110" s="1052"/>
      <c r="P110" s="1052"/>
      <c r="Q110" s="1052"/>
      <c r="R110" s="1052"/>
      <c r="S110" s="1052"/>
      <c r="T110" s="1052"/>
      <c r="U110" s="1052"/>
      <c r="V110" s="1052"/>
      <c r="W110" s="1052"/>
      <c r="X110" s="1052"/>
      <c r="Y110" s="1052"/>
      <c r="Z110" s="1052"/>
      <c r="AA110" s="817"/>
      <c r="AB110" s="1066"/>
      <c r="AC110" s="851"/>
      <c r="AD110" s="851"/>
      <c r="AE110" s="851"/>
      <c r="AF110" s="851"/>
      <c r="AG110" s="851"/>
      <c r="AH110" s="851"/>
      <c r="AI110" s="851"/>
      <c r="AJ110" s="851"/>
      <c r="AK110" s="851"/>
      <c r="AL110" s="851"/>
      <c r="AM110" s="851"/>
      <c r="AN110" s="851"/>
      <c r="AO110" s="1064"/>
      <c r="AP110" s="848"/>
    </row>
    <row r="111" spans="1:42" ht="17.25" customHeight="1">
      <c r="A111" s="1067"/>
      <c r="B111" s="3182"/>
      <c r="C111" s="3183"/>
      <c r="D111" s="3183"/>
      <c r="E111" s="3184"/>
      <c r="F111" s="975"/>
      <c r="G111" s="1063" t="s">
        <v>47</v>
      </c>
      <c r="H111" s="807"/>
      <c r="I111" s="1621">
        <f>'FE-1770'!I111</f>
        <v>0</v>
      </c>
      <c r="J111" s="851" t="s">
        <v>62</v>
      </c>
      <c r="K111" s="807"/>
      <c r="L111" s="851"/>
      <c r="M111" s="1052"/>
      <c r="N111" s="1052"/>
      <c r="O111" s="1052"/>
      <c r="P111" s="1052"/>
      <c r="Q111" s="1052"/>
      <c r="R111" s="1052"/>
      <c r="S111" s="1052"/>
      <c r="T111" s="1052"/>
      <c r="U111" s="1052"/>
      <c r="V111" s="1052"/>
      <c r="W111" s="1052"/>
      <c r="X111" s="1052"/>
      <c r="Y111" s="1052"/>
      <c r="Z111" s="1052"/>
      <c r="AA111" s="817" t="s">
        <v>108</v>
      </c>
      <c r="AB111" s="1623">
        <f>'FE-1770'!AB111</f>
        <v>0</v>
      </c>
      <c r="AC111" s="3116" t="s">
        <v>246</v>
      </c>
      <c r="AD111" s="3117"/>
      <c r="AE111" s="3117"/>
      <c r="AF111" s="3117"/>
      <c r="AG111" s="3117"/>
      <c r="AH111" s="3117"/>
      <c r="AI111" s="3117"/>
      <c r="AJ111" s="3117"/>
      <c r="AK111" s="3117"/>
      <c r="AL111" s="3117"/>
      <c r="AM111" s="3117"/>
      <c r="AN111" s="3117"/>
      <c r="AO111" s="1064"/>
      <c r="AP111" s="848"/>
    </row>
    <row r="112" spans="1:42" ht="2.25" customHeight="1">
      <c r="A112" s="1067"/>
      <c r="B112" s="3182"/>
      <c r="C112" s="3183"/>
      <c r="D112" s="3183"/>
      <c r="E112" s="3184"/>
      <c r="F112" s="975"/>
      <c r="G112" s="1063"/>
      <c r="H112" s="807"/>
      <c r="I112" s="1068"/>
      <c r="J112" s="975"/>
      <c r="K112" s="851"/>
      <c r="L112" s="851"/>
      <c r="M112" s="1052"/>
      <c r="N112" s="1052"/>
      <c r="O112" s="1052"/>
      <c r="P112" s="1052"/>
      <c r="Q112" s="1052"/>
      <c r="R112" s="1052"/>
      <c r="S112" s="1052"/>
      <c r="T112" s="1052"/>
      <c r="U112" s="1052"/>
      <c r="V112" s="1052"/>
      <c r="W112" s="1052"/>
      <c r="X112" s="1052"/>
      <c r="Y112" s="1052"/>
      <c r="Z112" s="1052"/>
      <c r="AA112" s="1051"/>
      <c r="AB112" s="1071"/>
      <c r="AC112" s="1052"/>
      <c r="AD112" s="1052"/>
      <c r="AE112" s="1052"/>
      <c r="AF112" s="1052"/>
      <c r="AG112" s="1052"/>
      <c r="AH112" s="1052"/>
      <c r="AI112" s="1052"/>
      <c r="AJ112" s="1052"/>
      <c r="AK112" s="1052"/>
      <c r="AL112" s="1052"/>
      <c r="AM112" s="1052"/>
      <c r="AN112" s="1052"/>
      <c r="AO112" s="1064"/>
      <c r="AP112" s="848"/>
    </row>
    <row r="113" spans="1:45" ht="15.75" customHeight="1">
      <c r="A113" s="1067"/>
      <c r="B113" s="3182"/>
      <c r="C113" s="3183"/>
      <c r="D113" s="3183"/>
      <c r="E113" s="3184"/>
      <c r="F113" s="975"/>
      <c r="G113" s="1063" t="s">
        <v>92</v>
      </c>
      <c r="H113" s="807"/>
      <c r="I113" s="1621">
        <f>'FE-1770'!I113</f>
        <v>0</v>
      </c>
      <c r="J113" s="3111" t="s">
        <v>266</v>
      </c>
      <c r="K113" s="3112"/>
      <c r="L113" s="3112"/>
      <c r="M113" s="3112"/>
      <c r="N113" s="3112"/>
      <c r="O113" s="3112"/>
      <c r="P113" s="3112"/>
      <c r="Q113" s="3112"/>
      <c r="R113" s="3112"/>
      <c r="S113" s="3112"/>
      <c r="T113" s="3112"/>
      <c r="U113" s="3112"/>
      <c r="V113" s="3112"/>
      <c r="W113" s="3112"/>
      <c r="X113" s="3112"/>
      <c r="Y113" s="807"/>
      <c r="Z113" s="1072"/>
      <c r="AA113" s="1073" t="s">
        <v>110</v>
      </c>
      <c r="AB113" s="1621">
        <f>'FE-1770'!AB113</f>
        <v>0</v>
      </c>
      <c r="AC113" s="3116" t="s">
        <v>355</v>
      </c>
      <c r="AD113" s="3117"/>
      <c r="AE113" s="3117"/>
      <c r="AF113" s="3117"/>
      <c r="AG113" s="3117"/>
      <c r="AH113" s="3117"/>
      <c r="AI113" s="3117"/>
      <c r="AJ113" s="3117"/>
      <c r="AK113" s="3117"/>
      <c r="AL113" s="3117"/>
      <c r="AM113" s="3117"/>
      <c r="AN113" s="3117"/>
      <c r="AO113" s="1074"/>
      <c r="AP113" s="1075"/>
      <c r="AQ113" s="878"/>
      <c r="AR113" s="878"/>
      <c r="AS113" s="878"/>
    </row>
    <row r="114" spans="1:45" ht="2.25" customHeight="1">
      <c r="A114" s="1067"/>
      <c r="B114" s="3182"/>
      <c r="C114" s="3183"/>
      <c r="D114" s="3183"/>
      <c r="E114" s="3184"/>
      <c r="F114" s="975"/>
      <c r="G114" s="1063"/>
      <c r="H114" s="807"/>
      <c r="I114" s="1068"/>
      <c r="J114" s="975"/>
      <c r="K114" s="1076"/>
      <c r="L114" s="1076"/>
      <c r="M114" s="1076"/>
      <c r="N114" s="1076"/>
      <c r="O114" s="1076"/>
      <c r="P114" s="1076"/>
      <c r="Q114" s="1076"/>
      <c r="R114" s="1076"/>
      <c r="S114" s="1076"/>
      <c r="T114" s="1076"/>
      <c r="U114" s="1076"/>
      <c r="V114" s="1076"/>
      <c r="W114" s="1076"/>
      <c r="X114" s="1076"/>
      <c r="Y114" s="1076"/>
      <c r="Z114" s="1076"/>
      <c r="AA114" s="1077"/>
      <c r="AB114" s="1071"/>
      <c r="AC114" s="1078"/>
      <c r="AD114" s="1078"/>
      <c r="AE114" s="1078"/>
      <c r="AF114" s="1078"/>
      <c r="AG114" s="1078"/>
      <c r="AH114" s="1078"/>
      <c r="AI114" s="1078"/>
      <c r="AJ114" s="1078"/>
      <c r="AK114" s="1078"/>
      <c r="AL114" s="1078"/>
      <c r="AM114" s="1078"/>
      <c r="AN114" s="1078"/>
      <c r="AO114" s="1074"/>
      <c r="AP114" s="1075"/>
      <c r="AQ114" s="878"/>
      <c r="AR114" s="878"/>
      <c r="AS114" s="878"/>
    </row>
    <row r="115" spans="1:45" ht="17.25" customHeight="1">
      <c r="A115" s="1067"/>
      <c r="B115" s="3182"/>
      <c r="C115" s="3183"/>
      <c r="D115" s="3183"/>
      <c r="E115" s="3184"/>
      <c r="F115" s="1079"/>
      <c r="G115" s="1063" t="s">
        <v>100</v>
      </c>
      <c r="H115" s="807"/>
      <c r="I115" s="1621">
        <f>'FE-1770'!I115</f>
        <v>0</v>
      </c>
      <c r="J115" s="799" t="str">
        <f>IF(I115="x","FOTOKOPI FORMULIR 1721-A1 DAN/ATAU 1721-A2 ("&amp;'GENERAL INFO'!M61&amp;" LEMBAR)","FOTOKOPI FORMULIR 1721-A1 DAN/ATAU 1721-A2 (............LEMBAR)")</f>
        <v>FOTOKOPI FORMULIR 1721-A1 DAN/ATAU 1721-A2 (............LEMBAR)</v>
      </c>
      <c r="K115" s="807"/>
      <c r="L115" s="1052"/>
      <c r="M115" s="1052"/>
      <c r="N115" s="1052"/>
      <c r="O115" s="1052"/>
      <c r="P115" s="1052"/>
      <c r="Q115" s="1052"/>
      <c r="R115" s="1052"/>
      <c r="S115" s="1052"/>
      <c r="T115" s="1052"/>
      <c r="U115" s="1052"/>
      <c r="V115" s="1052"/>
      <c r="W115" s="1052"/>
      <c r="X115" s="1052"/>
      <c r="Y115" s="1052"/>
      <c r="Z115" s="1052"/>
      <c r="AA115" s="1051" t="s">
        <v>112</v>
      </c>
      <c r="AB115" s="1621">
        <f>'FE-1770'!AB115</f>
        <v>0</v>
      </c>
      <c r="AC115" s="2376" t="str">
        <f>IF(AB115="x",UPPER('GENERAL INFO'!Q75),"............................................................................................................................")</f>
        <v>............................................................................................................................</v>
      </c>
      <c r="AD115" s="2377"/>
      <c r="AE115" s="2377"/>
      <c r="AF115" s="2377"/>
      <c r="AG115" s="2377"/>
      <c r="AH115" s="2377"/>
      <c r="AI115" s="2377"/>
      <c r="AJ115" s="2377"/>
      <c r="AK115" s="2377"/>
      <c r="AL115" s="2377"/>
      <c r="AM115" s="2377"/>
      <c r="AN115" s="1080"/>
      <c r="AO115" s="1081"/>
      <c r="AP115" s="848"/>
      <c r="AQ115" s="878"/>
      <c r="AR115" s="878"/>
      <c r="AS115" s="878"/>
    </row>
    <row r="116" spans="1:45" ht="0.75" customHeight="1">
      <c r="A116" s="1067"/>
      <c r="B116" s="1079"/>
      <c r="C116" s="975"/>
      <c r="D116" s="975"/>
      <c r="E116" s="1027"/>
      <c r="F116" s="1079"/>
      <c r="G116" s="807"/>
      <c r="H116" s="807"/>
      <c r="I116" s="975"/>
      <c r="J116" s="975"/>
      <c r="K116" s="1082"/>
      <c r="L116" s="1082"/>
      <c r="M116" s="848"/>
      <c r="N116" s="848"/>
      <c r="O116" s="848"/>
      <c r="P116" s="848"/>
      <c r="Q116" s="848"/>
      <c r="R116" s="848"/>
      <c r="S116" s="848"/>
      <c r="T116" s="848"/>
      <c r="U116" s="848"/>
      <c r="V116" s="848"/>
      <c r="W116" s="848"/>
      <c r="X116" s="848"/>
      <c r="Y116" s="848"/>
      <c r="Z116" s="848"/>
      <c r="AA116" s="848"/>
      <c r="AB116" s="848"/>
      <c r="AC116" s="1083"/>
      <c r="AD116" s="1083"/>
      <c r="AE116" s="1083"/>
      <c r="AF116" s="1083"/>
      <c r="AG116" s="1083"/>
      <c r="AH116" s="1083"/>
      <c r="AI116" s="1083"/>
      <c r="AJ116" s="1083"/>
      <c r="AK116" s="1083"/>
      <c r="AL116" s="1083"/>
      <c r="AM116" s="1083"/>
      <c r="AN116" s="1083"/>
      <c r="AO116" s="1084"/>
      <c r="AP116" s="848"/>
      <c r="AQ116" s="878"/>
      <c r="AR116" s="878"/>
      <c r="AS116" s="878"/>
    </row>
    <row r="117" spans="1:45" ht="2.25" customHeight="1">
      <c r="A117" s="1067"/>
      <c r="B117" s="1085"/>
      <c r="C117" s="1040"/>
      <c r="D117" s="1040"/>
      <c r="E117" s="1041"/>
      <c r="F117" s="1085"/>
      <c r="G117" s="948"/>
      <c r="H117" s="948"/>
      <c r="I117" s="1040"/>
      <c r="J117" s="1040"/>
      <c r="K117" s="1086"/>
      <c r="L117" s="1086"/>
      <c r="M117" s="1054"/>
      <c r="N117" s="1054"/>
      <c r="O117" s="1054"/>
      <c r="P117" s="1054"/>
      <c r="Q117" s="1054"/>
      <c r="R117" s="1054"/>
      <c r="S117" s="1054"/>
      <c r="T117" s="1054"/>
      <c r="U117" s="1054"/>
      <c r="V117" s="1054"/>
      <c r="W117" s="1054"/>
      <c r="X117" s="1054"/>
      <c r="Y117" s="1054"/>
      <c r="Z117" s="1054"/>
      <c r="AA117" s="1054"/>
      <c r="AB117" s="1054"/>
      <c r="AC117" s="1087"/>
      <c r="AD117" s="1087"/>
      <c r="AE117" s="1087"/>
      <c r="AF117" s="1087"/>
      <c r="AG117" s="1087"/>
      <c r="AH117" s="1087"/>
      <c r="AI117" s="1087"/>
      <c r="AJ117" s="1087"/>
      <c r="AK117" s="1087"/>
      <c r="AL117" s="1087"/>
      <c r="AM117" s="1087"/>
      <c r="AN117" s="1087"/>
      <c r="AO117" s="1088"/>
      <c r="AP117" s="852"/>
      <c r="AQ117" s="878"/>
      <c r="AR117" s="878"/>
      <c r="AS117" s="878"/>
    </row>
    <row r="118" spans="1:45" ht="12" customHeight="1">
      <c r="A118" s="807"/>
      <c r="B118" s="3178" t="s">
        <v>63</v>
      </c>
      <c r="C118" s="3179"/>
      <c r="D118" s="3179"/>
      <c r="E118" s="3179"/>
      <c r="F118" s="3179"/>
      <c r="G118" s="3179"/>
      <c r="H118" s="3179"/>
      <c r="I118" s="3179"/>
      <c r="J118" s="3179"/>
      <c r="K118" s="3179"/>
      <c r="L118" s="3179"/>
      <c r="M118" s="3179"/>
      <c r="N118" s="3179"/>
      <c r="O118" s="3179"/>
      <c r="P118" s="3179"/>
      <c r="Q118" s="3179"/>
      <c r="R118" s="3179"/>
      <c r="S118" s="3179"/>
      <c r="T118" s="3179"/>
      <c r="U118" s="3179"/>
      <c r="V118" s="3179"/>
      <c r="W118" s="3179"/>
      <c r="X118" s="3179"/>
      <c r="Y118" s="3179"/>
      <c r="Z118" s="3179"/>
      <c r="AA118" s="3179"/>
      <c r="AB118" s="3179"/>
      <c r="AC118" s="3179"/>
      <c r="AD118" s="3179"/>
      <c r="AE118" s="3179"/>
      <c r="AF118" s="3179"/>
      <c r="AG118" s="3179"/>
      <c r="AH118" s="3179"/>
      <c r="AI118" s="3179"/>
      <c r="AJ118" s="3179"/>
      <c r="AK118" s="3179"/>
      <c r="AL118" s="3179"/>
      <c r="AM118" s="3179"/>
      <c r="AN118" s="3179"/>
      <c r="AO118" s="3180"/>
      <c r="AP118" s="1089"/>
    </row>
    <row r="119" spans="1:45" ht="12" customHeight="1">
      <c r="B119" s="3158" t="s">
        <v>64</v>
      </c>
      <c r="C119" s="3159"/>
      <c r="D119" s="3159"/>
      <c r="E119" s="3159"/>
      <c r="F119" s="3159"/>
      <c r="G119" s="3159"/>
      <c r="H119" s="3159"/>
      <c r="I119" s="3159"/>
      <c r="J119" s="3159"/>
      <c r="K119" s="3159"/>
      <c r="L119" s="3159"/>
      <c r="M119" s="3159"/>
      <c r="N119" s="3159"/>
      <c r="O119" s="3159"/>
      <c r="P119" s="3159"/>
      <c r="Q119" s="3159"/>
      <c r="R119" s="3159"/>
      <c r="S119" s="3159"/>
      <c r="T119" s="3159"/>
      <c r="U119" s="3159"/>
      <c r="V119" s="3159"/>
      <c r="W119" s="3159"/>
      <c r="X119" s="3159"/>
      <c r="Y119" s="3159"/>
      <c r="Z119" s="3159"/>
      <c r="AA119" s="3159"/>
      <c r="AB119" s="3159"/>
      <c r="AC119" s="3159"/>
      <c r="AD119" s="3159"/>
      <c r="AE119" s="3159"/>
      <c r="AF119" s="3177" t="s">
        <v>65</v>
      </c>
      <c r="AG119" s="3177"/>
      <c r="AH119" s="3177"/>
      <c r="AI119" s="3177"/>
      <c r="AJ119" s="3177"/>
      <c r="AK119" s="3177"/>
      <c r="AL119" s="3177"/>
      <c r="AM119" s="3177"/>
      <c r="AN119" s="3177"/>
      <c r="AO119" s="1090"/>
      <c r="AP119" s="1089"/>
    </row>
    <row r="120" spans="1:45" ht="9" customHeight="1">
      <c r="A120" s="1089"/>
      <c r="B120" s="3158"/>
      <c r="C120" s="3159"/>
      <c r="D120" s="3159"/>
      <c r="E120" s="3159"/>
      <c r="F120" s="3159"/>
      <c r="G120" s="3159"/>
      <c r="H120" s="3159"/>
      <c r="I120" s="3159"/>
      <c r="J120" s="3159"/>
      <c r="K120" s="3159"/>
      <c r="L120" s="3159"/>
      <c r="M120" s="3159"/>
      <c r="N120" s="3159"/>
      <c r="O120" s="3159"/>
      <c r="P120" s="3159"/>
      <c r="Q120" s="3159"/>
      <c r="R120" s="3159"/>
      <c r="S120" s="3159"/>
      <c r="T120" s="3159"/>
      <c r="U120" s="3159"/>
      <c r="V120" s="3159"/>
      <c r="W120" s="3159"/>
      <c r="X120" s="3159"/>
      <c r="Y120" s="3159"/>
      <c r="Z120" s="3159"/>
      <c r="AA120" s="3159"/>
      <c r="AB120" s="3159"/>
      <c r="AC120" s="3159"/>
      <c r="AD120" s="3159"/>
      <c r="AE120" s="3159"/>
      <c r="AF120" s="3181"/>
      <c r="AG120" s="3181"/>
      <c r="AH120" s="3181"/>
      <c r="AI120" s="3181"/>
      <c r="AJ120" s="3181"/>
      <c r="AK120" s="3181"/>
      <c r="AL120" s="3181"/>
      <c r="AM120" s="3181"/>
      <c r="AN120" s="3181"/>
      <c r="AO120" s="1091"/>
      <c r="AP120" s="1092"/>
    </row>
    <row r="121" spans="1:45" ht="0.75" customHeight="1">
      <c r="A121" s="1092"/>
      <c r="B121" s="3158"/>
      <c r="C121" s="3159"/>
      <c r="D121" s="3159"/>
      <c r="E121" s="3159"/>
      <c r="F121" s="3159"/>
      <c r="G121" s="3159"/>
      <c r="H121" s="3159"/>
      <c r="I121" s="3159"/>
      <c r="J121" s="3159"/>
      <c r="K121" s="3159"/>
      <c r="L121" s="3159"/>
      <c r="M121" s="3159"/>
      <c r="N121" s="3159"/>
      <c r="O121" s="3159"/>
      <c r="P121" s="3159"/>
      <c r="Q121" s="3159"/>
      <c r="R121" s="3159"/>
      <c r="S121" s="3159"/>
      <c r="T121" s="3159"/>
      <c r="U121" s="3159"/>
      <c r="V121" s="3159"/>
      <c r="W121" s="3159"/>
      <c r="X121" s="3159"/>
      <c r="Y121" s="3159"/>
      <c r="Z121" s="3159"/>
      <c r="AA121" s="3159"/>
      <c r="AB121" s="3159"/>
      <c r="AC121" s="3159"/>
      <c r="AD121" s="3159"/>
      <c r="AE121" s="3159"/>
      <c r="AF121" s="3181"/>
      <c r="AG121" s="3181"/>
      <c r="AH121" s="3181"/>
      <c r="AI121" s="3181"/>
      <c r="AJ121" s="3181"/>
      <c r="AK121" s="3181"/>
      <c r="AL121" s="3181"/>
      <c r="AM121" s="3181"/>
      <c r="AN121" s="3181"/>
      <c r="AO121" s="1091"/>
      <c r="AP121" s="1092"/>
    </row>
    <row r="122" spans="1:45" ht="20.100000000000001" customHeight="1">
      <c r="B122" s="972"/>
      <c r="C122" s="975"/>
      <c r="D122" s="975"/>
      <c r="E122" s="975"/>
      <c r="F122" s="975"/>
      <c r="G122" s="975"/>
      <c r="H122" s="975"/>
      <c r="I122" s="1621">
        <f>'FE-1770'!I122</f>
        <v>0</v>
      </c>
      <c r="J122" s="885" t="s">
        <v>66</v>
      </c>
      <c r="K122" s="807"/>
      <c r="L122" s="807"/>
      <c r="M122" s="807"/>
      <c r="N122" s="807"/>
      <c r="O122" s="1624">
        <f>'FE-1770'!O122</f>
        <v>0</v>
      </c>
      <c r="P122" s="885" t="s">
        <v>67</v>
      </c>
      <c r="Q122" s="878"/>
      <c r="R122" s="3172" t="s">
        <v>68</v>
      </c>
      <c r="S122" s="3172"/>
      <c r="T122" s="3172"/>
      <c r="U122" s="1719"/>
      <c r="V122" s="1719"/>
      <c r="W122" s="1093"/>
      <c r="X122" s="1719"/>
      <c r="Y122" s="1719"/>
      <c r="Z122" s="1093"/>
      <c r="AA122" s="1719"/>
      <c r="AB122" s="1719"/>
      <c r="AC122" s="1719"/>
      <c r="AD122" s="1719"/>
      <c r="AE122" s="807"/>
      <c r="AF122" s="3181"/>
      <c r="AG122" s="3181"/>
      <c r="AH122" s="3181"/>
      <c r="AI122" s="3181"/>
      <c r="AJ122" s="3181"/>
      <c r="AK122" s="3181"/>
      <c r="AL122" s="3181"/>
      <c r="AM122" s="3181"/>
      <c r="AN122" s="3181"/>
      <c r="AO122" s="1094"/>
      <c r="AP122" s="857"/>
    </row>
    <row r="123" spans="1:45" ht="3" customHeight="1">
      <c r="B123" s="972"/>
      <c r="C123" s="975"/>
      <c r="D123" s="975"/>
      <c r="E123" s="975"/>
      <c r="F123" s="975"/>
      <c r="G123" s="975"/>
      <c r="H123" s="975"/>
      <c r="I123" s="975"/>
      <c r="J123" s="975"/>
      <c r="K123" s="807"/>
      <c r="L123" s="807"/>
      <c r="M123" s="807"/>
      <c r="N123" s="975"/>
      <c r="O123" s="975"/>
      <c r="P123" s="975"/>
      <c r="Q123" s="975"/>
      <c r="R123" s="975"/>
      <c r="S123" s="807"/>
      <c r="T123" s="975"/>
      <c r="U123" s="848"/>
      <c r="V123" s="975"/>
      <c r="W123" s="975"/>
      <c r="X123" s="807"/>
      <c r="Y123" s="975"/>
      <c r="Z123" s="975"/>
      <c r="AA123" s="975"/>
      <c r="AB123" s="975"/>
      <c r="AC123" s="1082"/>
      <c r="AD123" s="1095"/>
      <c r="AE123" s="1095"/>
      <c r="AF123" s="3181"/>
      <c r="AG123" s="3181"/>
      <c r="AH123" s="3181"/>
      <c r="AI123" s="3181"/>
      <c r="AJ123" s="3181"/>
      <c r="AK123" s="3181"/>
      <c r="AL123" s="3181"/>
      <c r="AM123" s="3181"/>
      <c r="AN123" s="3181"/>
      <c r="AO123" s="1094"/>
      <c r="AP123" s="857"/>
    </row>
    <row r="124" spans="1:45" ht="20.100000000000001" customHeight="1">
      <c r="B124" s="3156" t="s">
        <v>230</v>
      </c>
      <c r="C124" s="3157"/>
      <c r="D124" s="3157"/>
      <c r="E124" s="3157"/>
      <c r="F124" s="3157"/>
      <c r="G124" s="3157"/>
      <c r="H124" s="989"/>
      <c r="I124" s="1704" t="str">
        <f>'FE-1770'!I124</f>
        <v/>
      </c>
      <c r="J124" s="1717"/>
      <c r="K124" s="1717"/>
      <c r="L124" s="1717"/>
      <c r="M124" s="1717"/>
      <c r="N124" s="1717"/>
      <c r="O124" s="1717"/>
      <c r="P124" s="1717"/>
      <c r="Q124" s="1717"/>
      <c r="R124" s="1717"/>
      <c r="S124" s="1717"/>
      <c r="T124" s="1717"/>
      <c r="U124" s="1717"/>
      <c r="V124" s="1717"/>
      <c r="W124" s="1717"/>
      <c r="X124" s="1717"/>
      <c r="Y124" s="1717"/>
      <c r="Z124" s="1717"/>
      <c r="AA124" s="1717"/>
      <c r="AB124" s="1718"/>
      <c r="AC124" s="1718"/>
      <c r="AD124" s="1718"/>
      <c r="AE124" s="975"/>
      <c r="AF124" s="3181"/>
      <c r="AG124" s="3181"/>
      <c r="AH124" s="3181"/>
      <c r="AI124" s="3181"/>
      <c r="AJ124" s="3181"/>
      <c r="AK124" s="3181"/>
      <c r="AL124" s="3181"/>
      <c r="AM124" s="3181"/>
      <c r="AN124" s="3181"/>
      <c r="AO124" s="1094"/>
      <c r="AP124" s="857"/>
    </row>
    <row r="125" spans="1:45" ht="3" customHeight="1">
      <c r="A125" s="1067"/>
      <c r="B125" s="1096"/>
      <c r="C125" s="989"/>
      <c r="D125" s="989"/>
      <c r="E125" s="989"/>
      <c r="F125" s="989"/>
      <c r="G125" s="989"/>
      <c r="H125" s="989"/>
      <c r="I125" s="1097"/>
      <c r="J125" s="1097"/>
      <c r="K125" s="1097"/>
      <c r="L125" s="1097"/>
      <c r="M125" s="1097"/>
      <c r="N125" s="1097"/>
      <c r="O125" s="1097"/>
      <c r="P125" s="1097"/>
      <c r="Q125" s="1097"/>
      <c r="R125" s="1097"/>
      <c r="S125" s="1097"/>
      <c r="T125" s="1097"/>
      <c r="U125" s="1097"/>
      <c r="V125" s="1097"/>
      <c r="W125" s="1097"/>
      <c r="X125" s="1097"/>
      <c r="Y125" s="1097"/>
      <c r="Z125" s="1097"/>
      <c r="AA125" s="1097"/>
      <c r="AB125" s="1097"/>
      <c r="AC125" s="1097"/>
      <c r="AD125" s="975"/>
      <c r="AE125" s="975"/>
      <c r="AF125" s="3181"/>
      <c r="AG125" s="3181"/>
      <c r="AH125" s="3181"/>
      <c r="AI125" s="3181"/>
      <c r="AJ125" s="3181"/>
      <c r="AK125" s="3181"/>
      <c r="AL125" s="3181"/>
      <c r="AM125" s="3181"/>
      <c r="AN125" s="3181"/>
      <c r="AO125" s="1094"/>
      <c r="AP125" s="857"/>
    </row>
    <row r="126" spans="1:45" ht="20.100000000000001" customHeight="1">
      <c r="B126" s="3156" t="s">
        <v>229</v>
      </c>
      <c r="C126" s="3157"/>
      <c r="D126" s="3157"/>
      <c r="E126" s="3157"/>
      <c r="F126" s="3157"/>
      <c r="G126" s="3157"/>
      <c r="H126" s="989"/>
      <c r="I126" s="1698" t="str">
        <f>'FE-1770'!I126</f>
        <v/>
      </c>
      <c r="J126" s="1698" t="str">
        <f>'FE-1770'!J126</f>
        <v/>
      </c>
      <c r="K126" s="1098"/>
      <c r="L126" s="1698" t="str">
        <f>'FE-1770'!L126</f>
        <v/>
      </c>
      <c r="M126" s="1698" t="str">
        <f>'FE-1770'!M126</f>
        <v/>
      </c>
      <c r="N126" s="1698" t="str">
        <f>'FE-1770'!N126</f>
        <v/>
      </c>
      <c r="O126" s="1098"/>
      <c r="P126" s="1698" t="str">
        <f>'FE-1770'!P126</f>
        <v/>
      </c>
      <c r="Q126" s="1698" t="str">
        <f>'FE-1770'!Q126</f>
        <v/>
      </c>
      <c r="R126" s="1698" t="str">
        <f>'FE-1770'!R126</f>
        <v/>
      </c>
      <c r="S126" s="1098"/>
      <c r="T126" s="1698" t="str">
        <f>'FE-1770'!T126</f>
        <v/>
      </c>
      <c r="U126" s="1098"/>
      <c r="V126" s="1698" t="str">
        <f>'FE-1770'!V126</f>
        <v/>
      </c>
      <c r="W126" s="1698" t="str">
        <f>'FE-1770'!W126</f>
        <v/>
      </c>
      <c r="X126" s="1698" t="str">
        <f>'FE-1770'!X126</f>
        <v/>
      </c>
      <c r="Y126" s="1099"/>
      <c r="Z126" s="1698" t="str">
        <f>'FE-1770'!Z126</f>
        <v/>
      </c>
      <c r="AA126" s="1698" t="str">
        <f>'FE-1770'!AA126</f>
        <v/>
      </c>
      <c r="AB126" s="1698" t="str">
        <f>'FE-1770'!AB126</f>
        <v/>
      </c>
      <c r="AC126" s="1100"/>
      <c r="AD126" s="975"/>
      <c r="AE126" s="975"/>
      <c r="AF126" s="3181"/>
      <c r="AG126" s="3181"/>
      <c r="AH126" s="3181"/>
      <c r="AI126" s="3181"/>
      <c r="AJ126" s="3181"/>
      <c r="AK126" s="3181"/>
      <c r="AL126" s="3181"/>
      <c r="AM126" s="3181"/>
      <c r="AN126" s="3181"/>
      <c r="AO126" s="1094"/>
      <c r="AP126" s="857"/>
    </row>
    <row r="127" spans="1:45" ht="10.5" customHeight="1">
      <c r="A127" s="975"/>
      <c r="B127" s="1085"/>
      <c r="C127" s="1040"/>
      <c r="D127" s="1040"/>
      <c r="E127" s="1040"/>
      <c r="F127" s="1040"/>
      <c r="G127" s="1040"/>
      <c r="H127" s="1040"/>
      <c r="I127" s="1040"/>
      <c r="J127" s="1040"/>
      <c r="K127" s="1040"/>
      <c r="L127" s="1040"/>
      <c r="M127" s="1040"/>
      <c r="N127" s="1040"/>
      <c r="O127" s="1040"/>
      <c r="P127" s="1040"/>
      <c r="Q127" s="1040"/>
      <c r="R127" s="1040"/>
      <c r="S127" s="1040"/>
      <c r="T127" s="1040"/>
      <c r="U127" s="1040"/>
      <c r="V127" s="1040"/>
      <c r="W127" s="1040"/>
      <c r="X127" s="1040"/>
      <c r="Y127" s="1040"/>
      <c r="Z127" s="1040"/>
      <c r="AA127" s="1040"/>
      <c r="AB127" s="1040"/>
      <c r="AC127" s="1040"/>
      <c r="AD127" s="1040"/>
      <c r="AE127" s="1040"/>
      <c r="AF127" s="1040"/>
      <c r="AG127" s="1040"/>
      <c r="AH127" s="1040"/>
      <c r="AI127" s="1040"/>
      <c r="AJ127" s="1040"/>
      <c r="AK127" s="1040"/>
      <c r="AL127" s="1040"/>
      <c r="AM127" s="1040"/>
      <c r="AN127" s="1040"/>
      <c r="AO127" s="1041"/>
      <c r="AP127" s="975"/>
    </row>
    <row r="128" spans="1:45" ht="9.75" customHeight="1">
      <c r="A128" s="975"/>
      <c r="B128" s="1095" t="s">
        <v>70</v>
      </c>
      <c r="C128" s="975"/>
      <c r="D128" s="975"/>
      <c r="E128" s="975"/>
      <c r="F128" s="975"/>
      <c r="G128" s="975"/>
      <c r="H128" s="975"/>
      <c r="I128" s="975"/>
      <c r="J128" s="975"/>
      <c r="K128" s="975"/>
      <c r="L128" s="975"/>
      <c r="M128" s="975"/>
      <c r="N128" s="975"/>
      <c r="O128" s="975"/>
      <c r="P128" s="975"/>
      <c r="Q128" s="975"/>
      <c r="R128" s="975"/>
      <c r="S128" s="975"/>
      <c r="T128" s="975"/>
      <c r="U128" s="975"/>
      <c r="V128" s="975"/>
      <c r="W128" s="975"/>
      <c r="X128" s="975"/>
      <c r="Y128" s="975"/>
      <c r="Z128" s="975"/>
      <c r="AA128" s="975"/>
      <c r="AB128" s="975"/>
      <c r="AC128" s="975"/>
      <c r="AD128" s="975"/>
      <c r="AE128" s="975"/>
      <c r="AF128" s="975"/>
      <c r="AG128" s="975"/>
      <c r="AH128" s="975"/>
      <c r="AI128" s="975"/>
      <c r="AJ128" s="975"/>
      <c r="AK128" s="975"/>
      <c r="AL128" s="975"/>
      <c r="AM128" s="975"/>
      <c r="AN128" s="975"/>
      <c r="AO128" s="975"/>
      <c r="AP128" s="975"/>
    </row>
    <row r="129" spans="1:42" ht="12.75" customHeight="1">
      <c r="A129" s="1101"/>
      <c r="C129" s="1067"/>
      <c r="D129" s="1067"/>
      <c r="E129" s="1067"/>
      <c r="F129" s="1067"/>
      <c r="G129" s="1067"/>
      <c r="H129" s="1067"/>
      <c r="I129" s="1067"/>
      <c r="J129" s="1067"/>
      <c r="K129" s="1067"/>
      <c r="L129" s="1067"/>
      <c r="M129" s="1067"/>
      <c r="N129" s="1067"/>
      <c r="O129" s="1067"/>
      <c r="P129" s="1067"/>
      <c r="Q129" s="1067"/>
      <c r="R129" s="1067"/>
      <c r="S129" s="1067"/>
      <c r="T129" s="1067"/>
      <c r="U129" s="1067"/>
      <c r="V129" s="1067"/>
      <c r="W129" s="1067"/>
      <c r="X129" s="1067"/>
      <c r="Y129" s="1067"/>
      <c r="Z129" s="1067"/>
      <c r="AA129" s="1067"/>
      <c r="AB129" s="1067"/>
      <c r="AC129" s="1067"/>
      <c r="AD129" s="1067"/>
      <c r="AE129" s="1067"/>
      <c r="AF129" s="1067"/>
      <c r="AG129" s="1067"/>
      <c r="AH129" s="1067"/>
      <c r="AI129" s="1067"/>
      <c r="AJ129" s="1067"/>
      <c r="AK129" s="1067"/>
      <c r="AL129" s="1067"/>
      <c r="AM129" s="1067"/>
      <c r="AN129" s="1067"/>
      <c r="AO129" s="1067"/>
      <c r="AP129" s="1101"/>
    </row>
    <row r="130" spans="1:42" ht="12" customHeight="1">
      <c r="B130" s="1243" t="str">
        <f>IF('GENERAL INFO'!K13="x","","* Saya memiliki NPWP pada tahun berikutnya. Sehingga penghasilan saya pada tahun "&amp;taxyear&amp;" dikenakan kenaikan 20% dari pajak terhutang saya, berdasarkan")</f>
        <v/>
      </c>
    </row>
    <row r="131" spans="1:42" ht="11.25" customHeight="1">
      <c r="B131" s="1243" t="str">
        <f>IF('GENERAL INFO'!K13="x","","peraturan PER-31/PJ/2012 tanggal 25 Mei 2012.")</f>
        <v/>
      </c>
    </row>
    <row r="132" spans="1:42" ht="12" customHeight="1"/>
    <row r="133" spans="1:42" ht="12.75" customHeight="1"/>
    <row r="134" spans="1:42" ht="12.75" customHeight="1"/>
    <row r="135" spans="1:42" ht="8.25" customHeight="1"/>
    <row r="136" spans="1:42" ht="12.75" customHeight="1"/>
    <row r="137" spans="1:42" ht="15" customHeight="1"/>
    <row r="138" spans="1:42" ht="15" customHeight="1"/>
    <row r="139" spans="1:42" ht="15" customHeight="1"/>
    <row r="140" spans="1:42" ht="15" customHeight="1"/>
    <row r="141" spans="1:42" ht="15" customHeight="1"/>
    <row r="142" spans="1:42" ht="15" customHeight="1"/>
    <row r="143" spans="1:42" ht="15" customHeight="1"/>
    <row r="144" spans="1:42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20.25" customHeight="1"/>
    <row r="346" ht="20.25" customHeight="1"/>
    <row r="347" ht="20.25" customHeight="1"/>
    <row r="348" ht="20.25" customHeight="1"/>
    <row r="349" ht="20.25" customHeight="1"/>
    <row r="350" ht="20.25" customHeight="1"/>
    <row r="351" ht="20.25" customHeight="1"/>
    <row r="352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20.25" customHeight="1"/>
    <row r="360" ht="20.25" customHeight="1"/>
    <row r="361" ht="20.25" customHeight="1"/>
    <row r="362" ht="20.25" customHeight="1"/>
    <row r="363" ht="20.25" customHeight="1"/>
    <row r="364" ht="20.25" customHeight="1"/>
    <row r="365" ht="20.25" customHeight="1"/>
    <row r="366" ht="20.25" customHeight="1"/>
    <row r="367" ht="20.25" customHeight="1"/>
    <row r="368" ht="20.25" customHeight="1"/>
    <row r="369" ht="20.25" customHeight="1"/>
    <row r="370" ht="20.25" customHeight="1"/>
    <row r="371" ht="20.25" customHeight="1"/>
    <row r="372" ht="20.25" customHeight="1"/>
    <row r="373" ht="20.25" customHeight="1"/>
    <row r="374" ht="20.25" customHeight="1"/>
    <row r="375" ht="20.25" customHeight="1"/>
    <row r="376" ht="20.25" customHeight="1"/>
    <row r="377" ht="20.25" customHeight="1"/>
    <row r="378" ht="20.25" customHeight="1"/>
    <row r="379" ht="20.25" customHeight="1"/>
    <row r="380" ht="20.25" customHeight="1"/>
    <row r="381" ht="20.25" customHeight="1"/>
    <row r="382" ht="20.25" customHeight="1"/>
    <row r="383" ht="20.25" customHeight="1"/>
    <row r="384" ht="20.25" customHeight="1"/>
    <row r="385" ht="20.25" customHeight="1"/>
    <row r="386" ht="20.25" customHeight="1"/>
    <row r="387" ht="20.25" customHeight="1"/>
    <row r="388" ht="20.25" customHeight="1"/>
    <row r="389" ht="20.25" customHeight="1"/>
    <row r="390" ht="20.25" customHeight="1"/>
    <row r="391" ht="20.25" customHeight="1"/>
    <row r="392" ht="20.25" customHeight="1"/>
    <row r="393" ht="20.25" customHeight="1"/>
    <row r="394" ht="20.25" customHeight="1"/>
    <row r="395" ht="20.25" customHeight="1"/>
    <row r="396" ht="20.25" customHeight="1"/>
    <row r="397" ht="20.25" customHeight="1"/>
    <row r="398" ht="20.25" customHeight="1"/>
    <row r="399" ht="20.25" customHeight="1"/>
    <row r="400" ht="20.25" customHeight="1"/>
    <row r="401" ht="20.25" customHeight="1"/>
    <row r="402" ht="20.25" customHeight="1"/>
    <row r="403" ht="20.25" customHeight="1"/>
    <row r="404" ht="20.25" customHeight="1"/>
    <row r="405" ht="20.25" customHeight="1"/>
    <row r="406" ht="20.25" customHeight="1"/>
    <row r="407" ht="20.25" customHeight="1"/>
    <row r="408" ht="20.25" customHeight="1"/>
    <row r="409" ht="20.25" customHeight="1"/>
    <row r="410" ht="20.25" customHeight="1"/>
    <row r="411" ht="20.25" customHeight="1"/>
    <row r="412" ht="20.25" customHeight="1"/>
    <row r="413" ht="20.25" customHeight="1"/>
    <row r="414" ht="20.25" customHeight="1"/>
    <row r="415" ht="20.25" customHeight="1"/>
    <row r="416" ht="20.25" customHeight="1"/>
    <row r="417" ht="20.25" customHeight="1"/>
    <row r="418" ht="20.25" customHeight="1"/>
    <row r="419" ht="20.25" customHeight="1"/>
    <row r="420" ht="20.25" customHeight="1"/>
    <row r="421" ht="20.25" customHeight="1"/>
    <row r="422" ht="20.25" customHeight="1"/>
    <row r="423" ht="20.25" customHeight="1"/>
    <row r="424" ht="20.25" customHeight="1"/>
    <row r="425" ht="20.25" customHeight="1"/>
    <row r="426" ht="20.25" customHeight="1"/>
    <row r="427" ht="20.25" customHeight="1"/>
    <row r="428" ht="20.25" customHeight="1"/>
    <row r="429" ht="20.25" customHeight="1"/>
    <row r="430" ht="20.25" customHeight="1"/>
    <row r="431" ht="20.25" customHeight="1"/>
    <row r="432" ht="20.25" customHeight="1"/>
    <row r="433" ht="20.25" customHeight="1"/>
    <row r="434" ht="20.25" customHeight="1"/>
    <row r="435" ht="20.25" customHeight="1"/>
    <row r="436" ht="20.25" customHeight="1"/>
    <row r="437" ht="20.25" customHeight="1"/>
    <row r="438" ht="20.25" customHeight="1"/>
    <row r="439" ht="20.25" customHeight="1"/>
    <row r="440" ht="20.25" customHeight="1"/>
    <row r="441" ht="20.25" customHeight="1"/>
    <row r="442" ht="20.25" customHeight="1"/>
    <row r="443" ht="20.25" customHeight="1"/>
    <row r="444" ht="20.25" customHeight="1"/>
    <row r="445" ht="20.25" customHeight="1"/>
    <row r="446" ht="20.25" customHeight="1"/>
    <row r="447" ht="20.25" customHeight="1"/>
    <row r="448" ht="20.25" customHeight="1"/>
    <row r="449" ht="20.25" customHeight="1"/>
    <row r="450" ht="20.25" customHeight="1"/>
    <row r="451" ht="20.25" customHeight="1"/>
    <row r="452" ht="20.25" customHeight="1"/>
    <row r="453" ht="20.25" customHeight="1"/>
    <row r="454" ht="20.25" customHeight="1"/>
    <row r="455" ht="20.25" customHeight="1"/>
    <row r="456" ht="20.25" customHeight="1"/>
    <row r="457" ht="20.25" customHeight="1"/>
    <row r="458" ht="20.25" customHeight="1"/>
    <row r="459" ht="20.25" customHeight="1"/>
    <row r="460" ht="20.25" customHeight="1"/>
    <row r="461" ht="20.25" customHeight="1"/>
    <row r="462" ht="20.25" customHeight="1"/>
    <row r="463" ht="20.25" customHeight="1"/>
    <row r="464" ht="20.25" customHeight="1"/>
    <row r="465" ht="20.25" customHeight="1"/>
    <row r="466" ht="20.25" customHeight="1"/>
    <row r="467" ht="20.25" customHeight="1"/>
    <row r="468" ht="20.25" customHeight="1"/>
    <row r="469" ht="20.25" customHeight="1"/>
    <row r="470" ht="20.25" customHeight="1"/>
    <row r="471" ht="20.25" customHeight="1"/>
    <row r="472" ht="20.25" customHeight="1"/>
    <row r="473" ht="20.25" customHeight="1"/>
    <row r="474" ht="20.25" customHeight="1"/>
    <row r="475" ht="20.25" customHeight="1"/>
    <row r="476" ht="20.25" customHeight="1"/>
    <row r="477" ht="20.25" customHeight="1"/>
    <row r="478" ht="20.25" customHeight="1"/>
    <row r="479" ht="20.25" customHeight="1"/>
    <row r="480" ht="20.25" customHeight="1"/>
    <row r="481" ht="20.25" customHeight="1"/>
    <row r="482" ht="20.25" customHeight="1"/>
    <row r="483" ht="20.25" customHeight="1"/>
    <row r="484" ht="20.25" customHeight="1"/>
    <row r="485" ht="20.25" customHeight="1"/>
    <row r="486" ht="20.25" customHeight="1"/>
    <row r="487" ht="20.25" customHeight="1"/>
    <row r="488" ht="20.25" customHeight="1"/>
    <row r="489" ht="20.25" customHeight="1"/>
    <row r="490" ht="20.25" customHeight="1"/>
    <row r="491" ht="20.25" customHeight="1"/>
    <row r="492" ht="20.25" customHeight="1"/>
    <row r="493" ht="20.25" customHeight="1"/>
    <row r="494" ht="20.25" customHeight="1"/>
    <row r="495" ht="20.25" customHeight="1"/>
    <row r="496" ht="20.25" customHeight="1"/>
    <row r="497" ht="20.25" customHeight="1"/>
    <row r="498" ht="20.25" customHeight="1"/>
  </sheetData>
  <mergeCells count="124">
    <mergeCell ref="AG56:AO56"/>
    <mergeCell ref="AG58:AO58"/>
    <mergeCell ref="AG54:AO54"/>
    <mergeCell ref="AF6:AF7"/>
    <mergeCell ref="AG42:AO42"/>
    <mergeCell ref="AI14:AN14"/>
    <mergeCell ref="AG38:AO38"/>
    <mergeCell ref="AG40:AO40"/>
    <mergeCell ref="AD14:AG14"/>
    <mergeCell ref="AE3:AE10"/>
    <mergeCell ref="AG6:AG7"/>
    <mergeCell ref="M6:AD6"/>
    <mergeCell ref="AH3:AI4"/>
    <mergeCell ref="AF22:AG22"/>
    <mergeCell ref="AF36:AO36"/>
    <mergeCell ref="L3:AD4"/>
    <mergeCell ref="AL3:AM4"/>
    <mergeCell ref="AM6:AM7"/>
    <mergeCell ref="AL6:AL7"/>
    <mergeCell ref="AN6:AN7"/>
    <mergeCell ref="AG44:AO44"/>
    <mergeCell ref="AG46:AO46"/>
    <mergeCell ref="AG50:AO51"/>
    <mergeCell ref="AK6:AK7"/>
    <mergeCell ref="B126:G126"/>
    <mergeCell ref="B119:AE121"/>
    <mergeCell ref="B84:E94"/>
    <mergeCell ref="G85:G86"/>
    <mergeCell ref="W92:W93"/>
    <mergeCell ref="R122:T122"/>
    <mergeCell ref="AF85:AF87"/>
    <mergeCell ref="Y87:Z87"/>
    <mergeCell ref="AA87:AB87"/>
    <mergeCell ref="AD92:AD93"/>
    <mergeCell ref="W85:X87"/>
    <mergeCell ref="AF119:AN119"/>
    <mergeCell ref="B118:AO118"/>
    <mergeCell ref="B124:G124"/>
    <mergeCell ref="AF120:AN126"/>
    <mergeCell ref="B95:E103"/>
    <mergeCell ref="AC107:AM107"/>
    <mergeCell ref="B105:E115"/>
    <mergeCell ref="AC87:AD87"/>
    <mergeCell ref="AC115:AM115"/>
    <mergeCell ref="AC109:AN109"/>
    <mergeCell ref="AF96:AF97"/>
    <mergeCell ref="AD89:AD90"/>
    <mergeCell ref="V92:V93"/>
    <mergeCell ref="AK5:AL5"/>
    <mergeCell ref="AF50:AF51"/>
    <mergeCell ref="I71:AE71"/>
    <mergeCell ref="AG71:AO71"/>
    <mergeCell ref="AG73:AO75"/>
    <mergeCell ref="AG65:AO66"/>
    <mergeCell ref="AG63:AO63"/>
    <mergeCell ref="AK8:AL8"/>
    <mergeCell ref="AF65:AF66"/>
    <mergeCell ref="I54:AE54"/>
    <mergeCell ref="I38:AD38"/>
    <mergeCell ref="I42:AD42"/>
    <mergeCell ref="I40:AE40"/>
    <mergeCell ref="AF8:AG8"/>
    <mergeCell ref="B8:K8"/>
    <mergeCell ref="B38:E50"/>
    <mergeCell ref="AG68:AO68"/>
    <mergeCell ref="AM8:AN8"/>
    <mergeCell ref="AG48:AO48"/>
    <mergeCell ref="AG60:AO60"/>
    <mergeCell ref="D31:AO33"/>
    <mergeCell ref="E3:K5"/>
    <mergeCell ref="AJ3:AK4"/>
    <mergeCell ref="AI6:AI7"/>
    <mergeCell ref="AF3:AG4"/>
    <mergeCell ref="B9:K9"/>
    <mergeCell ref="B16:C33"/>
    <mergeCell ref="M7:AD7"/>
    <mergeCell ref="AH6:AH7"/>
    <mergeCell ref="AF5:AG5"/>
    <mergeCell ref="AH8:AI8"/>
    <mergeCell ref="B3:C7"/>
    <mergeCell ref="B14:E14"/>
    <mergeCell ref="I14:Q14"/>
    <mergeCell ref="AG85:AO87"/>
    <mergeCell ref="AC89:AC90"/>
    <mergeCell ref="J113:X113"/>
    <mergeCell ref="V89:V90"/>
    <mergeCell ref="AF89:AO90"/>
    <mergeCell ref="AF92:AO93"/>
    <mergeCell ref="AG77:AO77"/>
    <mergeCell ref="AG79:AO79"/>
    <mergeCell ref="AG96:AO97"/>
    <mergeCell ref="AC92:AC93"/>
    <mergeCell ref="Q77:AE77"/>
    <mergeCell ref="AG82:AO82"/>
    <mergeCell ref="AC111:AN111"/>
    <mergeCell ref="U85:V87"/>
    <mergeCell ref="J108:Z109"/>
    <mergeCell ref="W89:W90"/>
    <mergeCell ref="X89:AB90"/>
    <mergeCell ref="AC113:AN113"/>
    <mergeCell ref="B71:E82"/>
    <mergeCell ref="I77:O77"/>
    <mergeCell ref="AH5:AI5"/>
    <mergeCell ref="AM5:AN5"/>
    <mergeCell ref="E26:O27"/>
    <mergeCell ref="AJ6:AJ7"/>
    <mergeCell ref="G96:G97"/>
    <mergeCell ref="I96:AE97"/>
    <mergeCell ref="I60:AE60"/>
    <mergeCell ref="I48:AE48"/>
    <mergeCell ref="B35:AE36"/>
    <mergeCell ref="I44:AD44"/>
    <mergeCell ref="I63:AE63"/>
    <mergeCell ref="I65:AE65"/>
    <mergeCell ref="B63:E68"/>
    <mergeCell ref="B54:E60"/>
    <mergeCell ref="I68:AE68"/>
    <mergeCell ref="I56:AE56"/>
    <mergeCell ref="I82:AE82"/>
    <mergeCell ref="G65:G66"/>
    <mergeCell ref="I46:AD46"/>
    <mergeCell ref="Q79:AE79"/>
    <mergeCell ref="AF73:AF75"/>
    <mergeCell ref="U73:V75"/>
  </mergeCells>
  <phoneticPr fontId="20" type="noConversion"/>
  <printOptions horizontalCentered="1"/>
  <pageMargins left="0.11811023622047245" right="0.11811023622047245" top="0.11811023622047245" bottom="0.11811023622047245" header="0.11811023622047245" footer="0.11811023622047245"/>
  <pageSetup paperSize="5" scale="6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tabColor rgb="FF92D050"/>
  </sheetPr>
  <dimension ref="A1:BG469"/>
  <sheetViews>
    <sheetView showGridLines="0" view="pageBreakPreview" workbookViewId="0"/>
  </sheetViews>
  <sheetFormatPr defaultColWidth="9.140625" defaultRowHeight="12.75"/>
  <cols>
    <col min="1" max="1" width="3.5703125" style="973" customWidth="1"/>
    <col min="2" max="2" width="2.42578125" style="1247" customWidth="1"/>
    <col min="3" max="3" width="1" style="973" customWidth="1"/>
    <col min="4" max="4" width="3.28515625" style="1247" customWidth="1"/>
    <col min="5" max="5" width="4.7109375" style="1247" customWidth="1"/>
    <col min="6" max="6" width="3" style="1247" customWidth="1"/>
    <col min="7" max="7" width="3.28515625" style="1247" customWidth="1"/>
    <col min="8" max="8" width="9.5703125" style="1247" customWidth="1"/>
    <col min="9" max="9" width="0.5703125" style="1247" customWidth="1"/>
    <col min="10" max="10" width="0.28515625" style="1247" customWidth="1"/>
    <col min="11" max="11" width="0.42578125" style="1247" customWidth="1"/>
    <col min="12" max="12" width="0.28515625" style="1247" hidden="1" customWidth="1"/>
    <col min="13" max="13" width="2.140625" style="1247" customWidth="1"/>
    <col min="14" max="39" width="3.7109375" style="1247" customWidth="1"/>
    <col min="40" max="40" width="3.5703125" style="1247" customWidth="1"/>
    <col min="41" max="41" width="3.7109375" style="1247" customWidth="1"/>
    <col min="42" max="42" width="0.5703125" style="1247" hidden="1" customWidth="1"/>
    <col min="43" max="43" width="2.85546875" style="973" customWidth="1"/>
    <col min="44" max="97" width="2.85546875" style="1247" customWidth="1"/>
    <col min="98" max="191" width="3.85546875" style="1247" customWidth="1"/>
    <col min="192" max="16384" width="9.140625" style="1247"/>
  </cols>
  <sheetData>
    <row r="1" spans="1:43" ht="12.75" customHeight="1">
      <c r="A1" s="1245"/>
      <c r="B1" s="1246"/>
      <c r="J1" s="803"/>
      <c r="K1" s="803"/>
      <c r="L1" s="803"/>
      <c r="M1" s="803"/>
      <c r="N1" s="803"/>
      <c r="O1" s="803"/>
      <c r="P1" s="803"/>
      <c r="Q1" s="803"/>
      <c r="R1" s="803"/>
      <c r="S1" s="803"/>
      <c r="T1" s="803"/>
      <c r="U1" s="803"/>
      <c r="V1" s="803"/>
      <c r="W1" s="803"/>
      <c r="X1" s="803"/>
      <c r="Y1" s="803"/>
      <c r="Z1" s="803"/>
      <c r="AA1" s="803"/>
      <c r="AB1" s="803"/>
      <c r="AC1" s="803"/>
      <c r="AD1" s="803"/>
      <c r="AE1" s="973"/>
      <c r="AN1" s="1248"/>
    </row>
    <row r="2" spans="1:43" ht="5.25" customHeight="1">
      <c r="A2" s="900"/>
      <c r="B2" s="1246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03"/>
      <c r="U2" s="803"/>
      <c r="V2" s="803"/>
      <c r="W2" s="803"/>
      <c r="X2" s="803"/>
      <c r="Y2" s="803"/>
      <c r="Z2" s="803"/>
      <c r="AA2" s="803"/>
      <c r="AB2" s="803"/>
      <c r="AC2" s="803"/>
      <c r="AD2" s="803"/>
      <c r="AE2" s="973"/>
      <c r="AP2" s="1246"/>
    </row>
    <row r="3" spans="1:43" ht="15" customHeight="1">
      <c r="B3" s="3070" t="s">
        <v>0</v>
      </c>
      <c r="C3" s="3070"/>
      <c r="D3" s="3201" t="s">
        <v>221</v>
      </c>
      <c r="E3" s="3201"/>
      <c r="F3" s="3201"/>
      <c r="G3" s="3201"/>
      <c r="H3" s="3202"/>
      <c r="I3" s="1246"/>
      <c r="J3" s="3212" t="s">
        <v>71</v>
      </c>
      <c r="K3" s="3212"/>
      <c r="L3" s="3212"/>
      <c r="M3" s="3212"/>
      <c r="N3" s="3212"/>
      <c r="O3" s="3212"/>
      <c r="P3" s="3212"/>
      <c r="Q3" s="3212"/>
      <c r="R3" s="3212"/>
      <c r="S3" s="3212"/>
      <c r="T3" s="3212"/>
      <c r="U3" s="3212"/>
      <c r="V3" s="3212"/>
      <c r="W3" s="3212"/>
      <c r="X3" s="3212"/>
      <c r="Y3" s="3212"/>
      <c r="Z3" s="3212"/>
      <c r="AA3" s="3212"/>
      <c r="AB3" s="3212"/>
      <c r="AC3" s="3212"/>
      <c r="AD3" s="3213"/>
      <c r="AE3" s="3188" t="s">
        <v>3</v>
      </c>
      <c r="AF3" s="2507">
        <f>'FE-1770-I-hal 1'!AF3</f>
        <v>0</v>
      </c>
      <c r="AG3" s="2507"/>
      <c r="AH3" s="2507">
        <f>'FE-1770-I-hal 1'!AH3</f>
        <v>0</v>
      </c>
      <c r="AI3" s="2507"/>
      <c r="AJ3" s="2507">
        <f>'FE-1770-I-hal 1'!AJ3</f>
        <v>0</v>
      </c>
      <c r="AK3" s="2507"/>
      <c r="AL3" s="2507">
        <f>'FE-1770-I-hal 1'!AL3</f>
        <v>0</v>
      </c>
      <c r="AM3" s="2507"/>
      <c r="AN3" s="809"/>
      <c r="AO3" s="1249"/>
      <c r="AP3" s="1250"/>
    </row>
    <row r="4" spans="1:43" ht="11.25" customHeight="1">
      <c r="B4" s="3070"/>
      <c r="C4" s="3070"/>
      <c r="D4" s="3203" t="s">
        <v>72</v>
      </c>
      <c r="E4" s="3203"/>
      <c r="F4" s="3203"/>
      <c r="G4" s="3203"/>
      <c r="H4" s="3204"/>
      <c r="I4" s="3206" t="s">
        <v>2</v>
      </c>
      <c r="J4" s="3207"/>
      <c r="K4" s="3207"/>
      <c r="L4" s="3207"/>
      <c r="M4" s="3207"/>
      <c r="N4" s="3207"/>
      <c r="O4" s="3207"/>
      <c r="P4" s="3207"/>
      <c r="Q4" s="3207"/>
      <c r="R4" s="3207"/>
      <c r="S4" s="3207"/>
      <c r="T4" s="3207"/>
      <c r="U4" s="3207"/>
      <c r="V4" s="3207"/>
      <c r="W4" s="3207"/>
      <c r="X4" s="3207"/>
      <c r="Y4" s="3207"/>
      <c r="Z4" s="3207"/>
      <c r="AA4" s="3207"/>
      <c r="AB4" s="3207"/>
      <c r="AC4" s="3207"/>
      <c r="AD4" s="3208"/>
      <c r="AE4" s="3188"/>
      <c r="AF4" s="2507"/>
      <c r="AG4" s="2507"/>
      <c r="AH4" s="2507"/>
      <c r="AI4" s="2507"/>
      <c r="AJ4" s="2507"/>
      <c r="AK4" s="2507"/>
      <c r="AL4" s="2507"/>
      <c r="AM4" s="2507"/>
      <c r="AN4" s="809"/>
      <c r="AO4" s="1249"/>
      <c r="AP4" s="1250"/>
    </row>
    <row r="5" spans="1:43" ht="16.5" customHeight="1" thickBot="1">
      <c r="B5" s="3070"/>
      <c r="C5" s="3070"/>
      <c r="D5" s="3203"/>
      <c r="E5" s="3203"/>
      <c r="F5" s="3203"/>
      <c r="G5" s="3203"/>
      <c r="H5" s="3204"/>
      <c r="I5" s="3209"/>
      <c r="J5" s="3210"/>
      <c r="K5" s="3210"/>
      <c r="L5" s="3210"/>
      <c r="M5" s="3210"/>
      <c r="N5" s="3210"/>
      <c r="O5" s="3210"/>
      <c r="P5" s="3210"/>
      <c r="Q5" s="3210"/>
      <c r="R5" s="3210"/>
      <c r="S5" s="3210"/>
      <c r="T5" s="3210"/>
      <c r="U5" s="3210"/>
      <c r="V5" s="3210"/>
      <c r="W5" s="3210"/>
      <c r="X5" s="3210"/>
      <c r="Y5" s="3210"/>
      <c r="Z5" s="3210"/>
      <c r="AA5" s="3210"/>
      <c r="AB5" s="3210"/>
      <c r="AC5" s="3210"/>
      <c r="AD5" s="3211"/>
      <c r="AE5" s="3188"/>
      <c r="AF5" s="1246"/>
      <c r="AG5" s="1246"/>
      <c r="AH5" s="1246"/>
      <c r="AI5" s="1246"/>
      <c r="AJ5" s="809"/>
      <c r="AK5" s="1246"/>
      <c r="AL5" s="1246"/>
      <c r="AM5" s="1246"/>
      <c r="AN5" s="1246"/>
      <c r="AO5" s="1251"/>
      <c r="AP5" s="1252"/>
    </row>
    <row r="6" spans="1:43" ht="21.75" customHeight="1">
      <c r="B6" s="3070"/>
      <c r="C6" s="3070"/>
      <c r="D6" s="3203"/>
      <c r="E6" s="3203"/>
      <c r="F6" s="3203"/>
      <c r="G6" s="3203"/>
      <c r="H6" s="3204"/>
      <c r="I6" s="1246"/>
      <c r="J6" s="3214" t="s">
        <v>327</v>
      </c>
      <c r="K6" s="3214"/>
      <c r="L6" s="3214"/>
      <c r="M6" s="3214"/>
      <c r="N6" s="3214"/>
      <c r="O6" s="3214"/>
      <c r="P6" s="3214"/>
      <c r="Q6" s="3214"/>
      <c r="R6" s="3214"/>
      <c r="S6" s="3214"/>
      <c r="T6" s="3214"/>
      <c r="U6" s="3214"/>
      <c r="V6" s="3214"/>
      <c r="W6" s="3214"/>
      <c r="X6" s="3214"/>
      <c r="Y6" s="3214"/>
      <c r="Z6" s="3214"/>
      <c r="AA6" s="3214"/>
      <c r="AB6" s="3214"/>
      <c r="AC6" s="3214"/>
      <c r="AD6" s="3215"/>
      <c r="AE6" s="3188"/>
      <c r="AF6" s="1698" t="str">
        <f>'FE-1770-I-hal 1'!AF6</f>
        <v>0</v>
      </c>
      <c r="AG6" s="1698" t="str">
        <f>'FE-1770-I-hal 1'!AG6</f>
        <v>1</v>
      </c>
      <c r="AH6" s="1698" t="str">
        <f>'FE-1770-I-hal 1'!AH6</f>
        <v>0</v>
      </c>
      <c r="AI6" s="1698" t="str">
        <f>'FE-1770-I-hal 1'!AI6</f>
        <v>0</v>
      </c>
      <c r="AJ6" s="1113" t="s">
        <v>7</v>
      </c>
      <c r="AK6" s="1698" t="str">
        <f>'FE-1770-I-hal 1'!AK6</f>
        <v>0</v>
      </c>
      <c r="AL6" s="1698" t="str">
        <f>'FE-1770-I-hal 1'!AL6</f>
        <v>1</v>
      </c>
      <c r="AM6" s="1698" t="str">
        <f>'FE-1770-I-hal 1'!AM6</f>
        <v>0</v>
      </c>
      <c r="AN6" s="1698" t="str">
        <f>'FE-1770-I-hal 1'!AN6</f>
        <v>0</v>
      </c>
      <c r="AO6" s="1253"/>
      <c r="AP6" s="1253"/>
    </row>
    <row r="7" spans="1:43" ht="12" customHeight="1">
      <c r="B7" s="3197" t="s">
        <v>302</v>
      </c>
      <c r="C7" s="3197"/>
      <c r="D7" s="3197"/>
      <c r="E7" s="3197"/>
      <c r="F7" s="3197"/>
      <c r="G7" s="3197"/>
      <c r="H7" s="3198"/>
      <c r="I7" s="1246"/>
      <c r="J7" s="3216"/>
      <c r="K7" s="3216"/>
      <c r="L7" s="3216"/>
      <c r="M7" s="3216"/>
      <c r="N7" s="3216"/>
      <c r="O7" s="3216"/>
      <c r="P7" s="3216"/>
      <c r="Q7" s="3216"/>
      <c r="R7" s="3216"/>
      <c r="S7" s="3216"/>
      <c r="T7" s="3216"/>
      <c r="U7" s="3216"/>
      <c r="V7" s="3216"/>
      <c r="W7" s="3216"/>
      <c r="X7" s="3216"/>
      <c r="Y7" s="3216"/>
      <c r="Z7" s="3216"/>
      <c r="AA7" s="3216"/>
      <c r="AB7" s="3216"/>
      <c r="AC7" s="3216"/>
      <c r="AD7" s="3217"/>
      <c r="AE7" s="3188"/>
      <c r="AF7" s="3139" t="s">
        <v>4</v>
      </c>
      <c r="AG7" s="3139"/>
      <c r="AH7" s="3076" t="s">
        <v>5</v>
      </c>
      <c r="AI7" s="3076"/>
      <c r="AJ7" s="1254"/>
      <c r="AK7" s="3076" t="s">
        <v>4</v>
      </c>
      <c r="AL7" s="3076"/>
      <c r="AM7" s="3076" t="s">
        <v>5</v>
      </c>
      <c r="AN7" s="3076"/>
    </row>
    <row r="8" spans="1:43" ht="14.25" customHeight="1">
      <c r="B8" s="3199" t="s">
        <v>8</v>
      </c>
      <c r="C8" s="3199"/>
      <c r="D8" s="3199"/>
      <c r="E8" s="3199"/>
      <c r="F8" s="3199"/>
      <c r="G8" s="3199"/>
      <c r="H8" s="3200"/>
      <c r="I8" s="1255"/>
      <c r="J8" s="3216"/>
      <c r="K8" s="3216"/>
      <c r="L8" s="3216"/>
      <c r="M8" s="3216"/>
      <c r="N8" s="3216"/>
      <c r="O8" s="3216"/>
      <c r="P8" s="3216"/>
      <c r="Q8" s="3216"/>
      <c r="R8" s="3216"/>
      <c r="S8" s="3216"/>
      <c r="T8" s="3216"/>
      <c r="U8" s="3216"/>
      <c r="V8" s="3216"/>
      <c r="W8" s="3216"/>
      <c r="X8" s="3216"/>
      <c r="Y8" s="3216"/>
      <c r="Z8" s="3216"/>
      <c r="AA8" s="3216"/>
      <c r="AB8" s="3216"/>
      <c r="AC8" s="3216"/>
      <c r="AD8" s="3217"/>
      <c r="AE8" s="3188"/>
      <c r="AF8" s="792" t="str">
        <f>'FE-1770-I-hal 1'!AF8</f>
        <v/>
      </c>
      <c r="AG8" s="818" t="s">
        <v>9</v>
      </c>
      <c r="AH8" s="1120"/>
      <c r="AI8" s="1246"/>
      <c r="AJ8" s="792" t="str">
        <f>'FE-1770-I-hal 1'!AJ8</f>
        <v/>
      </c>
      <c r="AK8" s="818" t="s">
        <v>321</v>
      </c>
      <c r="AL8" s="1256"/>
      <c r="AM8" s="1120"/>
      <c r="AN8" s="1120"/>
      <c r="AO8" s="929"/>
      <c r="AP8" s="929"/>
    </row>
    <row r="9" spans="1:43" ht="6.75" customHeight="1" thickBot="1">
      <c r="B9" s="1257"/>
      <c r="C9" s="1258"/>
      <c r="D9" s="1259"/>
      <c r="E9" s="1259"/>
      <c r="F9" s="1259"/>
      <c r="G9" s="1260"/>
      <c r="H9" s="1261"/>
      <c r="I9" s="1262"/>
      <c r="J9" s="3218"/>
      <c r="K9" s="3218"/>
      <c r="L9" s="3218"/>
      <c r="M9" s="3218"/>
      <c r="N9" s="3218"/>
      <c r="O9" s="3218"/>
      <c r="P9" s="3218"/>
      <c r="Q9" s="3218"/>
      <c r="R9" s="3218"/>
      <c r="S9" s="3218"/>
      <c r="T9" s="3218"/>
      <c r="U9" s="3218"/>
      <c r="V9" s="3218"/>
      <c r="W9" s="3218"/>
      <c r="X9" s="3218"/>
      <c r="Y9" s="3218"/>
      <c r="Z9" s="3218"/>
      <c r="AA9" s="3218"/>
      <c r="AB9" s="3218"/>
      <c r="AC9" s="3218"/>
      <c r="AD9" s="3219"/>
      <c r="AE9" s="3205"/>
      <c r="AF9" s="1246"/>
      <c r="AG9" s="1246"/>
      <c r="AH9" s="1246"/>
      <c r="AI9" s="1246"/>
      <c r="AJ9" s="830"/>
      <c r="AK9" s="1246"/>
      <c r="AL9" s="1246"/>
      <c r="AM9" s="1246"/>
      <c r="AN9" s="1246"/>
    </row>
    <row r="10" spans="1:43" ht="3.75" customHeight="1">
      <c r="B10" s="870"/>
      <c r="C10" s="1263"/>
      <c r="D10" s="1264"/>
      <c r="E10" s="1264"/>
      <c r="F10" s="1264"/>
      <c r="G10" s="1265"/>
      <c r="H10" s="1266"/>
      <c r="I10" s="841"/>
      <c r="J10" s="843"/>
      <c r="K10" s="1267"/>
      <c r="L10" s="1267"/>
      <c r="M10" s="1267"/>
      <c r="N10" s="1267"/>
      <c r="O10" s="1267"/>
      <c r="P10" s="1267"/>
      <c r="Q10" s="1267"/>
      <c r="R10" s="1267"/>
      <c r="S10" s="1267"/>
      <c r="T10" s="1267"/>
      <c r="U10" s="1263"/>
      <c r="V10" s="1263"/>
      <c r="W10" s="1267"/>
      <c r="X10" s="1267"/>
      <c r="Y10" s="1267"/>
      <c r="Z10" s="1267"/>
      <c r="AA10" s="868"/>
      <c r="AB10" s="1268"/>
      <c r="AC10" s="1268"/>
      <c r="AD10" s="1263"/>
      <c r="AE10" s="870"/>
      <c r="AF10" s="1263"/>
      <c r="AG10" s="1263"/>
      <c r="AH10" s="1263"/>
      <c r="AI10" s="1263"/>
      <c r="AJ10" s="872"/>
      <c r="AK10" s="1263"/>
      <c r="AL10" s="1263"/>
      <c r="AM10" s="1263"/>
      <c r="AN10" s="1263"/>
      <c r="AO10" s="973"/>
      <c r="AP10" s="973"/>
    </row>
    <row r="11" spans="1:43" s="852" customFormat="1" ht="13.5" customHeight="1">
      <c r="A11" s="848"/>
      <c r="B11" s="3139" t="s">
        <v>73</v>
      </c>
      <c r="C11" s="3139"/>
      <c r="D11" s="3139"/>
      <c r="E11" s="3139"/>
      <c r="F11" s="823" t="s">
        <v>6</v>
      </c>
      <c r="G11" s="3232" t="s">
        <v>349</v>
      </c>
      <c r="H11" s="3232"/>
      <c r="I11" s="3232"/>
      <c r="J11" s="3232"/>
      <c r="K11" s="3232"/>
      <c r="L11" s="3232"/>
      <c r="M11" s="3232"/>
      <c r="N11" s="3232"/>
      <c r="O11" s="3232"/>
      <c r="P11" s="3232"/>
      <c r="Q11" s="3232"/>
      <c r="R11" s="823" t="s">
        <v>6</v>
      </c>
      <c r="S11" s="1052" t="s">
        <v>357</v>
      </c>
      <c r="V11" s="862"/>
      <c r="W11" s="862"/>
      <c r="X11" s="862"/>
      <c r="Y11" s="862"/>
      <c r="Z11" s="862"/>
      <c r="AA11" s="862"/>
      <c r="AC11" s="823" t="s">
        <v>6</v>
      </c>
      <c r="AD11" s="3112" t="s">
        <v>74</v>
      </c>
      <c r="AE11" s="3112"/>
      <c r="AF11" s="3112"/>
      <c r="AG11" s="3226"/>
      <c r="AH11" s="1244"/>
      <c r="AI11" s="3231" t="s">
        <v>222</v>
      </c>
      <c r="AJ11" s="3232"/>
      <c r="AK11" s="3232"/>
      <c r="AL11" s="3232"/>
      <c r="AM11" s="3232"/>
      <c r="AN11" s="3232"/>
      <c r="AO11" s="1269"/>
      <c r="AP11" s="862"/>
      <c r="AQ11" s="848"/>
    </row>
    <row r="12" spans="1:43" ht="4.5" customHeight="1" thickBot="1">
      <c r="B12" s="973"/>
      <c r="D12" s="1116"/>
      <c r="E12" s="1116"/>
      <c r="F12" s="1116"/>
      <c r="G12" s="1116"/>
      <c r="H12" s="1116"/>
      <c r="I12" s="1116"/>
      <c r="J12" s="1116"/>
      <c r="K12" s="855"/>
      <c r="L12" s="973"/>
      <c r="M12" s="973"/>
      <c r="N12" s="973"/>
      <c r="O12" s="973"/>
      <c r="P12" s="973"/>
      <c r="Q12" s="958"/>
      <c r="R12" s="958"/>
      <c r="S12" s="958"/>
      <c r="T12" s="958"/>
      <c r="U12" s="958"/>
      <c r="V12" s="958"/>
      <c r="W12" s="958"/>
      <c r="X12" s="958"/>
      <c r="Y12" s="958"/>
      <c r="Z12" s="958"/>
      <c r="AA12" s="857"/>
      <c r="AB12" s="1270"/>
      <c r="AC12" s="1270"/>
      <c r="AD12" s="973"/>
      <c r="AE12" s="859"/>
      <c r="AF12" s="860"/>
      <c r="AG12" s="861"/>
      <c r="AH12" s="861"/>
      <c r="AI12" s="861"/>
      <c r="AJ12" s="861"/>
      <c r="AK12" s="862"/>
      <c r="AL12" s="862"/>
      <c r="AM12" s="862"/>
      <c r="AN12" s="862"/>
      <c r="AO12" s="862"/>
      <c r="AP12" s="862"/>
    </row>
    <row r="13" spans="1:43" ht="6.75" customHeight="1">
      <c r="B13" s="1271"/>
      <c r="C13" s="864"/>
      <c r="D13" s="864"/>
      <c r="E13" s="864"/>
      <c r="F13" s="1272"/>
      <c r="G13" s="1272"/>
      <c r="H13" s="1272"/>
      <c r="I13" s="1272"/>
      <c r="J13" s="1272"/>
      <c r="K13" s="1263"/>
      <c r="L13" s="1263"/>
      <c r="M13" s="1263"/>
      <c r="N13" s="1263"/>
      <c r="O13" s="1263"/>
      <c r="P13" s="1263"/>
      <c r="Q13" s="1267"/>
      <c r="R13" s="1267"/>
      <c r="S13" s="1267"/>
      <c r="T13" s="1267"/>
      <c r="U13" s="1267"/>
      <c r="V13" s="1267"/>
      <c r="W13" s="1267"/>
      <c r="X13" s="1267"/>
      <c r="Y13" s="1267"/>
      <c r="Z13" s="1267"/>
      <c r="AA13" s="868"/>
      <c r="AB13" s="1268"/>
      <c r="AC13" s="1268"/>
      <c r="AD13" s="1263"/>
      <c r="AE13" s="870"/>
      <c r="AF13" s="871"/>
      <c r="AG13" s="872"/>
      <c r="AH13" s="872"/>
      <c r="AI13" s="872"/>
      <c r="AJ13" s="872"/>
      <c r="AK13" s="872"/>
      <c r="AL13" s="872"/>
      <c r="AM13" s="872"/>
      <c r="AN13" s="873"/>
      <c r="AO13" s="861"/>
      <c r="AP13" s="861"/>
    </row>
    <row r="14" spans="1:43" ht="20.100000000000001" customHeight="1">
      <c r="B14" s="1273" t="s">
        <v>12</v>
      </c>
      <c r="C14" s="1274"/>
      <c r="D14" s="1274"/>
      <c r="E14" s="1274"/>
      <c r="F14" s="1275"/>
      <c r="G14" s="855"/>
      <c r="H14" s="881" t="s">
        <v>13</v>
      </c>
      <c r="I14" s="973"/>
      <c r="J14" s="973"/>
      <c r="K14" s="973"/>
      <c r="L14" s="973"/>
      <c r="M14" s="973"/>
      <c r="N14" s="1423" t="str">
        <f>'FE-1770-I-hal 1'!N14</f>
        <v/>
      </c>
      <c r="O14" s="1423" t="str">
        <f>'FE-1770-I-hal 1'!O14</f>
        <v/>
      </c>
      <c r="P14" s="1343"/>
      <c r="Q14" s="1423" t="str">
        <f>'FE-1770-I-hal 1'!Q14</f>
        <v/>
      </c>
      <c r="R14" s="1423" t="str">
        <f>'FE-1770-I-hal 1'!R14</f>
        <v/>
      </c>
      <c r="S14" s="1423" t="str">
        <f>'FE-1770-I-hal 1'!S14</f>
        <v/>
      </c>
      <c r="T14" s="973"/>
      <c r="U14" s="1423" t="str">
        <f>'FE-1770-I-hal 1'!U14</f>
        <v/>
      </c>
      <c r="V14" s="1423" t="str">
        <f>'FE-1770-I-hal 1'!V14</f>
        <v/>
      </c>
      <c r="W14" s="1423" t="str">
        <f>'FE-1770-I-hal 1'!W14</f>
        <v/>
      </c>
      <c r="X14" s="973"/>
      <c r="Y14" s="1423" t="str">
        <f>'FE-1770-I-hal 1'!Y14</f>
        <v/>
      </c>
      <c r="Z14" s="900"/>
      <c r="AA14" s="1423" t="str">
        <f>'FE-1770-I-hal 1'!AA14</f>
        <v/>
      </c>
      <c r="AB14" s="1423" t="str">
        <f>'FE-1770-I-hal 1'!AB14</f>
        <v/>
      </c>
      <c r="AC14" s="1423" t="str">
        <f>'FE-1770-I-hal 1'!AC14</f>
        <v/>
      </c>
      <c r="AD14" s="973"/>
      <c r="AE14" s="1423" t="str">
        <f>'FE-1770-I-hal 1'!AE14</f>
        <v/>
      </c>
      <c r="AF14" s="1423" t="str">
        <f>'FE-1770-I-hal 1'!AF14</f>
        <v/>
      </c>
      <c r="AG14" s="1423" t="str">
        <f>'FE-1770-I-hal 1'!AG14</f>
        <v/>
      </c>
      <c r="AH14" s="973"/>
      <c r="AI14" s="973"/>
      <c r="AJ14" s="900"/>
      <c r="AK14" s="973"/>
      <c r="AL14" s="973"/>
      <c r="AM14" s="973"/>
      <c r="AN14" s="1276"/>
      <c r="AO14" s="973"/>
      <c r="AP14" s="973"/>
    </row>
    <row r="15" spans="1:43" ht="6.75" customHeight="1">
      <c r="B15" s="1277"/>
      <c r="C15" s="1274"/>
      <c r="D15" s="1274"/>
      <c r="E15" s="1274"/>
      <c r="F15" s="1275"/>
      <c r="G15" s="855"/>
      <c r="H15" s="855"/>
      <c r="I15" s="855"/>
      <c r="J15" s="1278"/>
      <c r="K15" s="973"/>
      <c r="L15" s="973"/>
      <c r="M15" s="619"/>
      <c r="N15" s="1278"/>
      <c r="O15" s="973"/>
      <c r="P15" s="973"/>
      <c r="Q15" s="900"/>
      <c r="R15" s="900"/>
      <c r="S15" s="973"/>
      <c r="T15" s="900"/>
      <c r="U15" s="900"/>
      <c r="V15" s="900"/>
      <c r="W15" s="900"/>
      <c r="X15" s="900"/>
      <c r="Y15" s="900"/>
      <c r="Z15" s="900"/>
      <c r="AA15" s="900"/>
      <c r="AB15" s="900"/>
      <c r="AC15" s="900"/>
      <c r="AD15" s="900"/>
      <c r="AE15" s="900"/>
      <c r="AF15" s="900"/>
      <c r="AG15" s="900"/>
      <c r="AH15" s="900"/>
      <c r="AI15" s="900"/>
      <c r="AJ15" s="900"/>
      <c r="AK15" s="900"/>
      <c r="AL15" s="900"/>
      <c r="AM15" s="973"/>
      <c r="AN15" s="1276"/>
      <c r="AO15" s="973"/>
      <c r="AP15" s="973"/>
    </row>
    <row r="16" spans="1:43" ht="20.100000000000001" customHeight="1">
      <c r="B16" s="1273" t="s">
        <v>14</v>
      </c>
      <c r="C16" s="1274"/>
      <c r="D16" s="1274"/>
      <c r="E16" s="1274"/>
      <c r="F16" s="1275"/>
      <c r="G16" s="855"/>
      <c r="H16" s="619" t="s">
        <v>13</v>
      </c>
      <c r="I16" s="973"/>
      <c r="J16" s="973"/>
      <c r="K16" s="973"/>
      <c r="L16" s="973"/>
      <c r="M16" s="973"/>
      <c r="N16" s="1707" t="str">
        <f>'FE-1770-I-hal 1'!N16</f>
        <v/>
      </c>
      <c r="O16" s="1720"/>
      <c r="P16" s="1720"/>
      <c r="Q16" s="1720"/>
      <c r="R16" s="1720"/>
      <c r="S16" s="1720"/>
      <c r="T16" s="1720"/>
      <c r="U16" s="1720"/>
      <c r="V16" s="1720"/>
      <c r="W16" s="1720"/>
      <c r="X16" s="1720"/>
      <c r="Y16" s="1720"/>
      <c r="Z16" s="1720"/>
      <c r="AA16" s="1720"/>
      <c r="AB16" s="1720"/>
      <c r="AC16" s="1720"/>
      <c r="AD16" s="1720"/>
      <c r="AE16" s="1720"/>
      <c r="AF16" s="1720"/>
      <c r="AG16" s="1720"/>
      <c r="AH16" s="1720"/>
      <c r="AI16" s="1720"/>
      <c r="AJ16" s="1720"/>
      <c r="AK16" s="1720"/>
      <c r="AL16" s="1720"/>
      <c r="AM16" s="889"/>
      <c r="AN16" s="1279"/>
      <c r="AO16" s="889"/>
      <c r="AP16" s="973"/>
    </row>
    <row r="17" spans="1:59" ht="8.25" customHeight="1" thickBot="1">
      <c r="B17" s="1280"/>
      <c r="C17" s="1281"/>
      <c r="D17" s="1281"/>
      <c r="E17" s="1281"/>
      <c r="F17" s="1282"/>
      <c r="G17" s="1283"/>
      <c r="H17" s="1283"/>
      <c r="I17" s="1283"/>
      <c r="J17" s="1284"/>
      <c r="K17" s="1285"/>
      <c r="L17" s="1284"/>
      <c r="M17" s="1258"/>
      <c r="N17" s="1258"/>
      <c r="O17" s="1258"/>
      <c r="P17" s="1258"/>
      <c r="Q17" s="1286"/>
      <c r="R17" s="1258"/>
      <c r="S17" s="1258"/>
      <c r="T17" s="1258"/>
      <c r="U17" s="1258"/>
      <c r="V17" s="1258"/>
      <c r="W17" s="1258"/>
      <c r="X17" s="1258"/>
      <c r="Y17" s="1258"/>
      <c r="Z17" s="1258"/>
      <c r="AA17" s="1258"/>
      <c r="AB17" s="1258"/>
      <c r="AC17" s="1258"/>
      <c r="AD17" s="1258"/>
      <c r="AE17" s="1258"/>
      <c r="AF17" s="1258"/>
      <c r="AG17" s="1258"/>
      <c r="AH17" s="1258"/>
      <c r="AI17" s="1258"/>
      <c r="AJ17" s="1258"/>
      <c r="AK17" s="1258"/>
      <c r="AL17" s="1258"/>
      <c r="AM17" s="1258"/>
      <c r="AN17" s="1287"/>
      <c r="AO17" s="973"/>
      <c r="AP17" s="973"/>
    </row>
    <row r="18" spans="1:59" ht="7.5" customHeight="1">
      <c r="G18" s="855"/>
      <c r="O18" s="1246"/>
      <c r="P18" s="1246"/>
      <c r="Q18" s="1120"/>
      <c r="R18" s="1246"/>
      <c r="S18" s="1246"/>
      <c r="T18" s="1246"/>
      <c r="U18" s="1246"/>
      <c r="V18" s="1246"/>
      <c r="W18" s="1246"/>
      <c r="X18" s="1246"/>
      <c r="Y18" s="1246"/>
      <c r="Z18" s="1246"/>
      <c r="AA18" s="1246"/>
      <c r="AB18" s="1288"/>
      <c r="AC18" s="900"/>
      <c r="AD18" s="900"/>
      <c r="AE18" s="900"/>
      <c r="AF18" s="900"/>
      <c r="AG18" s="900"/>
      <c r="AH18" s="900"/>
      <c r="AI18" s="900"/>
      <c r="AJ18" s="900"/>
      <c r="AK18" s="900"/>
      <c r="AL18" s="900"/>
      <c r="AM18" s="900"/>
      <c r="AN18" s="900"/>
      <c r="AO18" s="900"/>
      <c r="AP18" s="973"/>
    </row>
    <row r="19" spans="1:59" s="929" customFormat="1" ht="15" customHeight="1">
      <c r="A19" s="1048"/>
      <c r="B19" s="3229" t="s">
        <v>75</v>
      </c>
      <c r="C19" s="3229"/>
      <c r="D19" s="3229"/>
      <c r="E19" s="3229"/>
      <c r="G19" s="1289" t="s">
        <v>254</v>
      </c>
      <c r="H19" s="1290"/>
      <c r="I19" s="1290"/>
      <c r="J19" s="1290"/>
      <c r="K19" s="1290"/>
      <c r="L19" s="1290"/>
      <c r="M19" s="1290"/>
      <c r="N19" s="1290"/>
      <c r="O19" s="1290"/>
      <c r="P19" s="1290"/>
      <c r="Q19" s="1290"/>
      <c r="R19" s="1290"/>
      <c r="S19" s="1290"/>
      <c r="T19" s="1290"/>
      <c r="U19" s="1290"/>
      <c r="V19" s="1290"/>
      <c r="W19" s="1290"/>
      <c r="X19" s="1290"/>
      <c r="Y19" s="1290"/>
      <c r="Z19" s="1290"/>
      <c r="AA19" s="1290"/>
      <c r="AB19" s="1290"/>
      <c r="AC19" s="1290"/>
      <c r="AD19" s="1290"/>
      <c r="AF19" s="1290"/>
      <c r="AG19" s="1290"/>
      <c r="AH19" s="1290"/>
      <c r="AI19" s="1290"/>
      <c r="AJ19" s="1290"/>
      <c r="AK19" s="1290"/>
      <c r="AL19" s="1290"/>
      <c r="AM19" s="1290"/>
      <c r="AN19" s="1290"/>
      <c r="AO19" s="1291"/>
      <c r="AP19" s="1291"/>
      <c r="AQ19" s="1048"/>
    </row>
    <row r="20" spans="1:59" s="929" customFormat="1" ht="15" customHeight="1">
      <c r="A20" s="1048"/>
      <c r="C20" s="1048"/>
      <c r="G20" s="3230" t="s">
        <v>332</v>
      </c>
      <c r="H20" s="3230"/>
      <c r="I20" s="3230"/>
      <c r="J20" s="3230"/>
      <c r="K20" s="3230"/>
      <c r="L20" s="3230"/>
      <c r="M20" s="3230"/>
      <c r="N20" s="3230"/>
      <c r="O20" s="3230"/>
      <c r="P20" s="3230"/>
      <c r="Q20" s="3230"/>
      <c r="R20" s="3230"/>
      <c r="S20" s="3230"/>
      <c r="T20" s="3230"/>
      <c r="U20" s="3230"/>
      <c r="V20" s="3230"/>
      <c r="W20" s="3230"/>
      <c r="X20" s="3230"/>
      <c r="Y20" s="3230"/>
      <c r="Z20" s="1292"/>
      <c r="AA20" s="1292"/>
      <c r="AB20" s="1292"/>
      <c r="AC20" s="1292"/>
      <c r="AD20" s="1292"/>
      <c r="AE20" s="1292"/>
      <c r="AF20" s="1292"/>
      <c r="AG20" s="1292"/>
      <c r="AH20" s="1292"/>
      <c r="AI20" s="1292"/>
      <c r="AJ20" s="1292"/>
      <c r="AK20" s="1292"/>
      <c r="AL20" s="1292"/>
      <c r="AM20" s="1292"/>
      <c r="AN20" s="1292"/>
      <c r="AO20" s="1291"/>
      <c r="AP20" s="1291"/>
      <c r="AQ20" s="1048"/>
    </row>
    <row r="21" spans="1:59" s="929" customFormat="1" ht="3" customHeight="1">
      <c r="A21" s="1048"/>
      <c r="C21" s="1048"/>
      <c r="F21" s="1291"/>
      <c r="G21" s="1291"/>
      <c r="H21" s="1291"/>
      <c r="I21" s="1291"/>
      <c r="J21" s="1291"/>
      <c r="K21" s="1291"/>
      <c r="L21" s="1291"/>
      <c r="M21" s="1291"/>
      <c r="N21" s="1291"/>
      <c r="O21" s="1291"/>
      <c r="P21" s="1291"/>
      <c r="Q21" s="1291"/>
      <c r="R21" s="1291"/>
      <c r="S21" s="1291"/>
      <c r="T21" s="1291"/>
      <c r="U21" s="1291"/>
      <c r="V21" s="1291"/>
      <c r="W21" s="1291"/>
      <c r="X21" s="1291"/>
      <c r="Y21" s="1291"/>
      <c r="Z21" s="1291"/>
      <c r="AA21" s="1291"/>
      <c r="AB21" s="1291"/>
      <c r="AC21" s="1291"/>
      <c r="AD21" s="1291"/>
      <c r="AE21" s="1291"/>
      <c r="AF21" s="1291"/>
      <c r="AG21" s="1291"/>
      <c r="AH21" s="1291"/>
      <c r="AI21" s="1291"/>
      <c r="AJ21" s="1291"/>
      <c r="AK21" s="1291"/>
      <c r="AL21" s="1291"/>
      <c r="AM21" s="1291"/>
      <c r="AN21" s="1291"/>
      <c r="AO21" s="1291"/>
      <c r="AP21" s="1291"/>
      <c r="AQ21" s="1048"/>
    </row>
    <row r="22" spans="1:59" ht="6" customHeight="1">
      <c r="B22" s="1293"/>
      <c r="C22" s="1011"/>
      <c r="D22" s="1011"/>
      <c r="E22" s="1011"/>
      <c r="F22" s="1011"/>
      <c r="G22" s="1294"/>
      <c r="H22" s="1011"/>
      <c r="I22" s="1011"/>
      <c r="J22" s="1011"/>
      <c r="K22" s="1011"/>
      <c r="L22" s="1011"/>
      <c r="M22" s="1011"/>
      <c r="N22" s="1011"/>
      <c r="O22" s="1295"/>
      <c r="P22" s="1295"/>
      <c r="Q22" s="1296"/>
      <c r="R22" s="1295"/>
      <c r="S22" s="1295"/>
      <c r="T22" s="1295"/>
      <c r="U22" s="1295"/>
      <c r="V22" s="1295"/>
      <c r="W22" s="1295"/>
      <c r="X22" s="1295"/>
      <c r="Y22" s="1295"/>
      <c r="Z22" s="1295"/>
      <c r="AA22" s="1295"/>
      <c r="AB22" s="1297"/>
      <c r="AC22" s="1295"/>
      <c r="AD22" s="1295"/>
      <c r="AE22" s="1295"/>
      <c r="AF22" s="1295"/>
      <c r="AG22" s="1295"/>
      <c r="AH22" s="1295"/>
      <c r="AI22" s="1295"/>
      <c r="AJ22" s="1295"/>
      <c r="AK22" s="1295"/>
      <c r="AL22" s="1295"/>
      <c r="AM22" s="1295"/>
      <c r="AN22" s="1298"/>
      <c r="AO22" s="900"/>
      <c r="AP22" s="973"/>
    </row>
    <row r="23" spans="1:59" s="1303" customFormat="1" ht="20.100000000000001" customHeight="1">
      <c r="A23" s="992"/>
      <c r="B23" s="1299" t="s">
        <v>76</v>
      </c>
      <c r="C23" s="1116"/>
      <c r="D23" s="1116"/>
      <c r="E23" s="1116"/>
      <c r="F23" s="1116"/>
      <c r="G23" s="1116"/>
      <c r="H23" s="1116"/>
      <c r="I23" s="1116"/>
      <c r="J23" s="1116"/>
      <c r="K23" s="1116"/>
      <c r="L23" s="1116"/>
      <c r="M23" s="1116"/>
      <c r="N23" s="1114" t="s">
        <v>13</v>
      </c>
      <c r="O23" s="796" t="str">
        <f>'FE-1770-I-hal 1'!O23</f>
        <v/>
      </c>
      <c r="P23" s="1116" t="s">
        <v>77</v>
      </c>
      <c r="Q23" s="1116"/>
      <c r="R23" s="1116"/>
      <c r="S23" s="1116"/>
      <c r="T23" s="1116"/>
      <c r="U23" s="1116" t="s">
        <v>78</v>
      </c>
      <c r="V23" s="1116"/>
      <c r="W23" s="1116"/>
      <c r="X23" s="1116"/>
      <c r="Y23" s="796" t="str">
        <f>'FE-1770-I-hal 1'!Y23</f>
        <v/>
      </c>
      <c r="Z23" s="1116"/>
      <c r="AA23" s="1116"/>
      <c r="AB23" s="1116"/>
      <c r="AC23" s="1116"/>
      <c r="AD23" s="1116"/>
      <c r="AE23" s="796" t="str">
        <f>'FE-1770-I-hal 1'!AE23</f>
        <v/>
      </c>
      <c r="AF23" s="1116" t="s">
        <v>79</v>
      </c>
      <c r="AG23" s="1116"/>
      <c r="AH23" s="1116"/>
      <c r="AI23" s="1116"/>
      <c r="AJ23" s="1116"/>
      <c r="AK23" s="1116"/>
      <c r="AL23" s="1116"/>
      <c r="AM23" s="1116"/>
      <c r="AN23" s="1301"/>
      <c r="AO23" s="1116"/>
      <c r="AP23" s="1302"/>
      <c r="AQ23" s="1116"/>
      <c r="AR23" s="992"/>
      <c r="AS23" s="992"/>
      <c r="AT23" s="1115"/>
      <c r="AU23" s="992"/>
      <c r="AV23" s="992"/>
      <c r="AW23" s="992"/>
      <c r="AX23" s="992"/>
      <c r="AY23" s="992"/>
      <c r="AZ23" s="992"/>
      <c r="BA23" s="992"/>
      <c r="BB23" s="992"/>
      <c r="BC23" s="992"/>
      <c r="BD23" s="992"/>
      <c r="BE23" s="992"/>
      <c r="BF23" s="992"/>
      <c r="BG23" s="1116"/>
    </row>
    <row r="24" spans="1:59" s="1303" customFormat="1" ht="4.5" customHeight="1">
      <c r="A24" s="992"/>
      <c r="B24" s="1299"/>
      <c r="C24" s="1116"/>
      <c r="D24" s="1116"/>
      <c r="E24" s="1116"/>
      <c r="F24" s="1116"/>
      <c r="G24" s="1116"/>
      <c r="H24" s="1116"/>
      <c r="I24" s="1116"/>
      <c r="J24" s="1116"/>
      <c r="K24" s="1116"/>
      <c r="L24" s="1116"/>
      <c r="M24" s="1114"/>
      <c r="N24" s="1116"/>
      <c r="O24" s="992"/>
      <c r="P24" s="1116"/>
      <c r="Q24" s="1116"/>
      <c r="R24" s="1116"/>
      <c r="S24" s="1116"/>
      <c r="T24" s="1116"/>
      <c r="U24" s="992"/>
      <c r="V24" s="1116"/>
      <c r="W24" s="992"/>
      <c r="X24" s="992"/>
      <c r="Y24" s="1116"/>
      <c r="Z24" s="1116"/>
      <c r="AA24" s="1116"/>
      <c r="AB24" s="1116"/>
      <c r="AC24" s="992"/>
      <c r="AD24" s="992"/>
      <c r="AE24" s="992"/>
      <c r="AF24" s="992"/>
      <c r="AG24" s="992"/>
      <c r="AH24" s="992"/>
      <c r="AI24" s="1116"/>
      <c r="AJ24" s="1116"/>
      <c r="AK24" s="1116"/>
      <c r="AL24" s="1116"/>
      <c r="AM24" s="1116"/>
      <c r="AN24" s="1301"/>
      <c r="AO24" s="1116"/>
      <c r="AP24" s="1302"/>
      <c r="AQ24" s="1116"/>
      <c r="AR24" s="992"/>
      <c r="AS24" s="992"/>
      <c r="AT24" s="1115"/>
      <c r="AU24" s="992"/>
      <c r="AV24" s="992"/>
      <c r="AW24" s="992"/>
      <c r="AX24" s="992"/>
      <c r="AY24" s="992"/>
      <c r="AZ24" s="992"/>
      <c r="BA24" s="992"/>
      <c r="BB24" s="992"/>
      <c r="BC24" s="992"/>
      <c r="BD24" s="992"/>
      <c r="BE24" s="992"/>
      <c r="BF24" s="992"/>
      <c r="BG24" s="1116"/>
    </row>
    <row r="25" spans="1:59" s="1303" customFormat="1" ht="20.100000000000001" customHeight="1">
      <c r="A25" s="992"/>
      <c r="B25" s="1304" t="s">
        <v>80</v>
      </c>
      <c r="C25" s="1116"/>
      <c r="D25" s="1116"/>
      <c r="E25" s="1116"/>
      <c r="F25" s="1116"/>
      <c r="G25" s="1116"/>
      <c r="H25" s="1116"/>
      <c r="I25" s="1116"/>
      <c r="J25" s="1116"/>
      <c r="K25" s="1116"/>
      <c r="L25" s="1116"/>
      <c r="M25" s="1116"/>
      <c r="N25" s="1114" t="s">
        <v>13</v>
      </c>
      <c r="O25" s="796" t="str">
        <f>'FE-1770-I-hal 1'!O25</f>
        <v/>
      </c>
      <c r="P25" s="796" t="str">
        <f>'FE-1770-I-hal 1'!P25</f>
        <v/>
      </c>
      <c r="Q25" s="796" t="str">
        <f>'FE-1770-I-hal 1'!Q25</f>
        <v/>
      </c>
      <c r="R25" s="796" t="str">
        <f>'FE-1770-I-hal 1'!R25</f>
        <v/>
      </c>
      <c r="S25" s="796" t="str">
        <f>'FE-1770-I-hal 1'!S25</f>
        <v/>
      </c>
      <c r="T25" s="796" t="str">
        <f>'FE-1770-I-hal 1'!T25</f>
        <v/>
      </c>
      <c r="U25" s="796" t="str">
        <f>'FE-1770-I-hal 1'!U25</f>
        <v/>
      </c>
      <c r="V25" s="796" t="str">
        <f>'FE-1770-I-hal 1'!V25</f>
        <v/>
      </c>
      <c r="W25" s="796" t="str">
        <f>'FE-1770-I-hal 1'!W25</f>
        <v/>
      </c>
      <c r="X25" s="796" t="str">
        <f>'FE-1770-I-hal 1'!X25</f>
        <v/>
      </c>
      <c r="Y25" s="796" t="str">
        <f>'FE-1770-I-hal 1'!Y25</f>
        <v/>
      </c>
      <c r="Z25" s="796" t="str">
        <f>'FE-1770-I-hal 1'!Z25</f>
        <v/>
      </c>
      <c r="AA25" s="796" t="str">
        <f>'FE-1770-I-hal 1'!AA25</f>
        <v/>
      </c>
      <c r="AB25" s="796" t="str">
        <f>'FE-1770-I-hal 1'!AB25</f>
        <v/>
      </c>
      <c r="AC25" s="796" t="str">
        <f>'FE-1770-I-hal 1'!AC25</f>
        <v/>
      </c>
      <c r="AD25" s="796" t="str">
        <f>'FE-1770-I-hal 1'!AD25</f>
        <v/>
      </c>
      <c r="AE25" s="796" t="str">
        <f>'FE-1770-I-hal 1'!AE25</f>
        <v/>
      </c>
      <c r="AF25" s="796" t="str">
        <f>'FE-1770-I-hal 1'!AF25</f>
        <v/>
      </c>
      <c r="AG25" s="796" t="str">
        <f>'FE-1770-I-hal 1'!AG25</f>
        <v/>
      </c>
      <c r="AH25" s="796" t="str">
        <f>'FE-1770-I-hal 1'!AH25</f>
        <v/>
      </c>
      <c r="AI25" s="796" t="str">
        <f>'FE-1770-I-hal 1'!AI25</f>
        <v/>
      </c>
      <c r="AJ25" s="796" t="str">
        <f>'FE-1770-I-hal 1'!AJ25</f>
        <v/>
      </c>
      <c r="AK25" s="796" t="str">
        <f>'FE-1770-I-hal 1'!AK25</f>
        <v/>
      </c>
      <c r="AL25" s="796" t="str">
        <f>'FE-1770-I-hal 1'!AL25</f>
        <v/>
      </c>
      <c r="AM25" s="796" t="str">
        <f>'FE-1770-I-hal 1'!AM25</f>
        <v/>
      </c>
      <c r="AN25" s="1305"/>
      <c r="AO25" s="992"/>
      <c r="AP25" s="1302"/>
      <c r="AQ25" s="992"/>
      <c r="AR25" s="992"/>
      <c r="AS25" s="992"/>
      <c r="AT25" s="1115"/>
      <c r="AU25" s="992"/>
      <c r="AV25" s="992"/>
      <c r="AW25" s="992"/>
      <c r="AX25" s="992"/>
      <c r="AY25" s="992"/>
      <c r="AZ25" s="992"/>
      <c r="BA25" s="992"/>
      <c r="BB25" s="992"/>
      <c r="BC25" s="992"/>
      <c r="BD25" s="992"/>
      <c r="BE25" s="992"/>
      <c r="BF25" s="992"/>
      <c r="BG25" s="1116"/>
    </row>
    <row r="26" spans="1:59" s="1303" customFormat="1" ht="5.25" customHeight="1">
      <c r="A26" s="992"/>
      <c r="B26" s="1304"/>
      <c r="C26" s="1116"/>
      <c r="D26" s="1116"/>
      <c r="E26" s="1116"/>
      <c r="F26" s="1116"/>
      <c r="G26" s="1116"/>
      <c r="H26" s="1116"/>
      <c r="I26" s="1116"/>
      <c r="J26" s="1116"/>
      <c r="K26" s="1116"/>
      <c r="L26" s="1116"/>
      <c r="M26" s="1116"/>
      <c r="N26" s="1114"/>
      <c r="O26" s="1307"/>
      <c r="P26" s="1427"/>
      <c r="Q26" s="1307"/>
      <c r="R26" s="1307"/>
      <c r="S26" s="1322"/>
      <c r="T26" s="1427"/>
      <c r="U26" s="1427"/>
      <c r="V26" s="1427"/>
      <c r="W26" s="1427"/>
      <c r="X26" s="1427"/>
      <c r="Y26" s="1427"/>
      <c r="Z26" s="1427"/>
      <c r="AA26" s="1427"/>
      <c r="AB26" s="1427"/>
      <c r="AC26" s="1427"/>
      <c r="AD26" s="1427"/>
      <c r="AE26" s="1427"/>
      <c r="AF26" s="1427"/>
      <c r="AG26" s="1427"/>
      <c r="AH26" s="1427"/>
      <c r="AI26" s="1427"/>
      <c r="AJ26" s="1427"/>
      <c r="AK26" s="1427"/>
      <c r="AL26" s="1427"/>
      <c r="AM26" s="1427"/>
      <c r="AN26" s="1305"/>
      <c r="AO26" s="992"/>
      <c r="AP26" s="1302"/>
      <c r="AQ26" s="992"/>
      <c r="AR26" s="992"/>
      <c r="AS26" s="992"/>
      <c r="AT26" s="1115"/>
      <c r="AU26" s="992"/>
      <c r="AV26" s="992"/>
      <c r="AW26" s="992"/>
      <c r="AX26" s="992"/>
      <c r="AY26" s="992"/>
      <c r="AZ26" s="992"/>
      <c r="BA26" s="992"/>
      <c r="BB26" s="992"/>
      <c r="BC26" s="992"/>
      <c r="BD26" s="992"/>
      <c r="BE26" s="992"/>
      <c r="BF26" s="992"/>
      <c r="BG26" s="1116"/>
    </row>
    <row r="27" spans="1:59" s="1303" customFormat="1" ht="20.100000000000001" customHeight="1">
      <c r="A27" s="992"/>
      <c r="B27" s="1306" t="s">
        <v>81</v>
      </c>
      <c r="C27" s="1116"/>
      <c r="D27" s="1116"/>
      <c r="E27" s="1116"/>
      <c r="F27" s="1116"/>
      <c r="G27" s="1116"/>
      <c r="H27" s="1116"/>
      <c r="I27" s="1116"/>
      <c r="J27" s="1116"/>
      <c r="K27" s="1116"/>
      <c r="L27" s="1116"/>
      <c r="M27" s="1116"/>
      <c r="N27" s="1114" t="s">
        <v>13</v>
      </c>
      <c r="O27" s="796" t="str">
        <f>'FE-1770-I-hal 1'!O27</f>
        <v/>
      </c>
      <c r="P27" s="796" t="str">
        <f>'FE-1770-I-hal 1'!P27</f>
        <v/>
      </c>
      <c r="Q27" s="1307"/>
      <c r="R27" s="796" t="str">
        <f>'FE-1770-I-hal 1'!R27</f>
        <v/>
      </c>
      <c r="S27" s="796" t="str">
        <f>'FE-1770-I-hal 1'!S27</f>
        <v/>
      </c>
      <c r="T27" s="796" t="str">
        <f>'FE-1770-I-hal 1'!T27</f>
        <v/>
      </c>
      <c r="U27" s="1427"/>
      <c r="V27" s="796" t="str">
        <f>'FE-1770-I-hal 1'!V27</f>
        <v/>
      </c>
      <c r="W27" s="796" t="str">
        <f>'FE-1770-I-hal 1'!W27</f>
        <v/>
      </c>
      <c r="X27" s="796" t="str">
        <f>'FE-1770-I-hal 1'!X27</f>
        <v/>
      </c>
      <c r="Y27" s="1427"/>
      <c r="Z27" s="796" t="str">
        <f>'FE-1770-I-hal 1'!Z27</f>
        <v/>
      </c>
      <c r="AA27" s="1307"/>
      <c r="AB27" s="796" t="str">
        <f>'FE-1770-I-hal 1'!AB27</f>
        <v/>
      </c>
      <c r="AC27" s="796" t="str">
        <f>'FE-1770-I-hal 1'!AC27</f>
        <v/>
      </c>
      <c r="AD27" s="796" t="str">
        <f>'FE-1770-I-hal 1'!AD27</f>
        <v/>
      </c>
      <c r="AE27" s="1427"/>
      <c r="AF27" s="796" t="str">
        <f>'FE-1770-I-hal 1'!AF27</f>
        <v/>
      </c>
      <c r="AG27" s="796" t="str">
        <f>'FE-1770-I-hal 1'!AG27</f>
        <v/>
      </c>
      <c r="AH27" s="796" t="str">
        <f>'FE-1770-I-hal 1'!AH27</f>
        <v/>
      </c>
      <c r="AI27" s="1307"/>
      <c r="AJ27" s="1427"/>
      <c r="AK27" s="1307"/>
      <c r="AL27" s="1307"/>
      <c r="AM27" s="1307"/>
      <c r="AN27" s="1301"/>
      <c r="AO27" s="1116"/>
      <c r="AP27" s="1302"/>
      <c r="AQ27" s="992"/>
      <c r="AR27" s="992"/>
      <c r="AS27" s="992"/>
      <c r="AT27" s="1115"/>
      <c r="AU27" s="992"/>
      <c r="AV27" s="992"/>
      <c r="AW27" s="992"/>
      <c r="AX27" s="992"/>
      <c r="AY27" s="992"/>
      <c r="AZ27" s="992"/>
      <c r="BA27" s="992"/>
      <c r="BB27" s="992"/>
      <c r="BC27" s="992"/>
      <c r="BD27" s="992"/>
      <c r="BE27" s="992"/>
      <c r="BF27" s="992"/>
      <c r="BG27" s="1116"/>
    </row>
    <row r="28" spans="1:59" s="1303" customFormat="1" ht="6" customHeight="1">
      <c r="A28" s="992"/>
      <c r="B28" s="1304"/>
      <c r="C28" s="1116"/>
      <c r="D28" s="1116"/>
      <c r="E28" s="1116"/>
      <c r="F28" s="1116"/>
      <c r="G28" s="1116"/>
      <c r="H28" s="1116"/>
      <c r="I28" s="1116"/>
      <c r="J28" s="1116"/>
      <c r="K28" s="1116"/>
      <c r="L28" s="1116"/>
      <c r="M28" s="1116"/>
      <c r="N28" s="1114"/>
      <c r="O28" s="1427"/>
      <c r="P28" s="1427"/>
      <c r="Q28" s="1427"/>
      <c r="R28" s="1307"/>
      <c r="S28" s="1427"/>
      <c r="T28" s="1427"/>
      <c r="U28" s="1427"/>
      <c r="V28" s="1427"/>
      <c r="W28" s="1427"/>
      <c r="X28" s="1427"/>
      <c r="Y28" s="1427"/>
      <c r="Z28" s="1427"/>
      <c r="AA28" s="1427"/>
      <c r="AB28" s="1307"/>
      <c r="AC28" s="1427"/>
      <c r="AD28" s="1427"/>
      <c r="AE28" s="1427"/>
      <c r="AF28" s="1427"/>
      <c r="AG28" s="1427"/>
      <c r="AH28" s="1427"/>
      <c r="AI28" s="1427"/>
      <c r="AJ28" s="1427"/>
      <c r="AK28" s="1307"/>
      <c r="AL28" s="1307"/>
      <c r="AM28" s="1307"/>
      <c r="AN28" s="1301"/>
      <c r="AO28" s="1116"/>
      <c r="AP28" s="1302"/>
      <c r="AQ28" s="992"/>
      <c r="AR28" s="992"/>
      <c r="AS28" s="992"/>
      <c r="AT28" s="1115"/>
      <c r="AU28" s="992"/>
      <c r="AV28" s="992"/>
      <c r="AW28" s="992"/>
      <c r="AX28" s="992"/>
      <c r="AY28" s="992"/>
      <c r="AZ28" s="992"/>
      <c r="BA28" s="992"/>
      <c r="BB28" s="992"/>
      <c r="BC28" s="992"/>
      <c r="BD28" s="992"/>
      <c r="BE28" s="992"/>
      <c r="BF28" s="992"/>
      <c r="BG28" s="1116"/>
    </row>
    <row r="29" spans="1:59" s="1303" customFormat="1" ht="20.100000000000001" customHeight="1">
      <c r="A29" s="992"/>
      <c r="B29" s="1304" t="s">
        <v>82</v>
      </c>
      <c r="C29" s="1116"/>
      <c r="D29" s="1116"/>
      <c r="E29" s="1116"/>
      <c r="F29" s="1116"/>
      <c r="G29" s="1116"/>
      <c r="H29" s="1116"/>
      <c r="I29" s="1116"/>
      <c r="J29" s="1116"/>
      <c r="K29" s="1116"/>
      <c r="L29" s="1116"/>
      <c r="M29" s="1116"/>
      <c r="N29" s="1114" t="s">
        <v>13</v>
      </c>
      <c r="O29" s="796" t="str">
        <f>'FE-1770-I-hal 1'!O29</f>
        <v/>
      </c>
      <c r="P29" s="796" t="str">
        <f>'FE-1770-I-hal 1'!P29</f>
        <v/>
      </c>
      <c r="Q29" s="796" t="str">
        <f>'FE-1770-I-hal 1'!Q29</f>
        <v/>
      </c>
      <c r="R29" s="796" t="str">
        <f>'FE-1770-I-hal 1'!R29</f>
        <v/>
      </c>
      <c r="S29" s="796" t="str">
        <f>'FE-1770-I-hal 1'!S29</f>
        <v/>
      </c>
      <c r="T29" s="796" t="str">
        <f>'FE-1770-I-hal 1'!T29</f>
        <v/>
      </c>
      <c r="U29" s="796" t="str">
        <f>'FE-1770-I-hal 1'!U29</f>
        <v/>
      </c>
      <c r="V29" s="796" t="str">
        <f>'FE-1770-I-hal 1'!V29</f>
        <v/>
      </c>
      <c r="W29" s="796" t="str">
        <f>'FE-1770-I-hal 1'!W29</f>
        <v/>
      </c>
      <c r="X29" s="796" t="str">
        <f>'FE-1770-I-hal 1'!X29</f>
        <v/>
      </c>
      <c r="Y29" s="796" t="str">
        <f>'FE-1770-I-hal 1'!Y29</f>
        <v/>
      </c>
      <c r="Z29" s="796" t="str">
        <f>'FE-1770-I-hal 1'!Z29</f>
        <v/>
      </c>
      <c r="AA29" s="796" t="str">
        <f>'FE-1770-I-hal 1'!AA29</f>
        <v/>
      </c>
      <c r="AB29" s="796" t="str">
        <f>'FE-1770-I-hal 1'!AB29</f>
        <v/>
      </c>
      <c r="AC29" s="796" t="str">
        <f>'FE-1770-I-hal 1'!AC29</f>
        <v/>
      </c>
      <c r="AD29" s="796" t="str">
        <f>'FE-1770-I-hal 1'!AD29</f>
        <v/>
      </c>
      <c r="AE29" s="796" t="str">
        <f>'FE-1770-I-hal 1'!AE29</f>
        <v/>
      </c>
      <c r="AF29" s="796" t="str">
        <f>'FE-1770-I-hal 1'!AF29</f>
        <v/>
      </c>
      <c r="AG29" s="796" t="str">
        <f>'FE-1770-I-hal 1'!AG29</f>
        <v/>
      </c>
      <c r="AH29" s="796" t="str">
        <f>'FE-1770-I-hal 1'!AH29</f>
        <v/>
      </c>
      <c r="AI29" s="796" t="str">
        <f>'FE-1770-I-hal 1'!AI29</f>
        <v/>
      </c>
      <c r="AJ29" s="796" t="str">
        <f>'FE-1770-I-hal 1'!AJ29</f>
        <v/>
      </c>
      <c r="AK29" s="796" t="str">
        <f>'FE-1770-I-hal 1'!AK29</f>
        <v/>
      </c>
      <c r="AL29" s="796" t="str">
        <f>'FE-1770-I-hal 1'!AL29</f>
        <v/>
      </c>
      <c r="AM29" s="796" t="str">
        <f>'FE-1770-I-hal 1'!AM29</f>
        <v/>
      </c>
      <c r="AN29" s="1301"/>
      <c r="AO29" s="1116"/>
      <c r="AP29" s="1302"/>
      <c r="AQ29" s="992"/>
      <c r="AR29" s="992"/>
      <c r="AS29" s="992"/>
      <c r="AT29" s="1115"/>
      <c r="AU29" s="992"/>
      <c r="AV29" s="992"/>
      <c r="AW29" s="992"/>
      <c r="AX29" s="992"/>
      <c r="AY29" s="992"/>
      <c r="AZ29" s="992"/>
      <c r="BA29" s="992"/>
      <c r="BB29" s="992"/>
      <c r="BC29" s="992"/>
      <c r="BD29" s="992"/>
      <c r="BE29" s="992"/>
      <c r="BF29" s="992"/>
      <c r="BG29" s="1116"/>
    </row>
    <row r="30" spans="1:59" s="1303" customFormat="1" ht="4.5" customHeight="1">
      <c r="A30" s="992"/>
      <c r="B30" s="1304"/>
      <c r="C30" s="1116"/>
      <c r="D30" s="1116"/>
      <c r="E30" s="1116"/>
      <c r="F30" s="1116"/>
      <c r="G30" s="1116"/>
      <c r="H30" s="1116"/>
      <c r="I30" s="1116"/>
      <c r="J30" s="1116"/>
      <c r="K30" s="1116"/>
      <c r="L30" s="1116"/>
      <c r="M30" s="1116"/>
      <c r="N30" s="1114"/>
      <c r="O30" s="1427"/>
      <c r="P30" s="1427"/>
      <c r="Q30" s="1427"/>
      <c r="R30" s="1307"/>
      <c r="S30" s="1427"/>
      <c r="T30" s="1427"/>
      <c r="U30" s="1427"/>
      <c r="V30" s="1427"/>
      <c r="W30" s="1427"/>
      <c r="X30" s="1427"/>
      <c r="Y30" s="1427"/>
      <c r="Z30" s="1427"/>
      <c r="AA30" s="1427"/>
      <c r="AB30" s="1307"/>
      <c r="AC30" s="1427"/>
      <c r="AD30" s="1427"/>
      <c r="AE30" s="1427"/>
      <c r="AF30" s="1427"/>
      <c r="AG30" s="1427"/>
      <c r="AH30" s="1427"/>
      <c r="AI30" s="1427"/>
      <c r="AJ30" s="1427"/>
      <c r="AK30" s="1427"/>
      <c r="AL30" s="1427"/>
      <c r="AM30" s="1427"/>
      <c r="AN30" s="1305"/>
      <c r="AO30" s="992"/>
      <c r="AP30" s="1302"/>
      <c r="AQ30" s="992"/>
      <c r="AR30" s="992"/>
      <c r="AS30" s="992"/>
      <c r="AT30" s="1115"/>
      <c r="AU30" s="992"/>
      <c r="AV30" s="992"/>
      <c r="AW30" s="992"/>
      <c r="AX30" s="992"/>
      <c r="AY30" s="992"/>
      <c r="AZ30" s="992"/>
      <c r="BA30" s="992"/>
      <c r="BB30" s="992"/>
      <c r="BC30" s="992"/>
      <c r="BD30" s="992"/>
      <c r="BE30" s="992"/>
      <c r="BF30" s="992"/>
      <c r="BG30" s="1116"/>
    </row>
    <row r="31" spans="1:59" s="1303" customFormat="1" ht="20.100000000000001" customHeight="1">
      <c r="A31" s="992"/>
      <c r="B31" s="1306" t="s">
        <v>83</v>
      </c>
      <c r="C31" s="1116"/>
      <c r="D31" s="1116"/>
      <c r="E31" s="1116"/>
      <c r="F31" s="1116"/>
      <c r="G31" s="1116"/>
      <c r="H31" s="1116"/>
      <c r="I31" s="1116"/>
      <c r="J31" s="1116"/>
      <c r="K31" s="1116"/>
      <c r="L31" s="1116"/>
      <c r="M31" s="1116"/>
      <c r="N31" s="1114" t="s">
        <v>13</v>
      </c>
      <c r="O31" s="1709" t="str">
        <f>'FE-1770-I-hal 1'!O31</f>
        <v/>
      </c>
      <c r="P31" s="1709" t="str">
        <f>'FE-1770-I-hal 1'!P31</f>
        <v/>
      </c>
      <c r="Q31" s="1307"/>
      <c r="R31" s="796" t="str">
        <f>'FE-1770-I-hal 1'!R31</f>
        <v/>
      </c>
      <c r="S31" s="796" t="str">
        <f>'FE-1770-I-hal 1'!S31</f>
        <v/>
      </c>
      <c r="T31" s="796" t="str">
        <f>'FE-1770-I-hal 1'!T31</f>
        <v/>
      </c>
      <c r="U31" s="1427"/>
      <c r="V31" s="796" t="str">
        <f>'FE-1770-I-hal 1'!V31</f>
        <v/>
      </c>
      <c r="W31" s="796" t="str">
        <f>'FE-1770-I-hal 1'!W31</f>
        <v/>
      </c>
      <c r="X31" s="796" t="str">
        <f>'FE-1770-I-hal 1'!X31</f>
        <v/>
      </c>
      <c r="Y31" s="1427"/>
      <c r="Z31" s="796" t="str">
        <f>'FE-1770-I-hal 1'!Z31</f>
        <v/>
      </c>
      <c r="AA31" s="1307"/>
      <c r="AB31" s="796" t="str">
        <f>'FE-1770-I-hal 1'!AB31</f>
        <v/>
      </c>
      <c r="AC31" s="796" t="str">
        <f>'FE-1770-I-hal 1'!AC31</f>
        <v/>
      </c>
      <c r="AD31" s="796" t="str">
        <f>'FE-1770-I-hal 1'!AD31</f>
        <v/>
      </c>
      <c r="AE31" s="1427"/>
      <c r="AF31" s="796" t="str">
        <f>'FE-1770-I-hal 1'!AF31</f>
        <v/>
      </c>
      <c r="AG31" s="796" t="str">
        <f>'FE-1770-I-hal 1'!AG31</f>
        <v/>
      </c>
      <c r="AH31" s="796" t="str">
        <f>'FE-1770-I-hal 1'!AH31</f>
        <v/>
      </c>
      <c r="AI31" s="1307"/>
      <c r="AJ31" s="1427"/>
      <c r="AK31" s="1307"/>
      <c r="AL31" s="1307"/>
      <c r="AM31" s="1307"/>
      <c r="AN31" s="1301"/>
      <c r="AO31" s="1116"/>
      <c r="AP31" s="1302"/>
      <c r="AQ31" s="992"/>
      <c r="AR31" s="992"/>
      <c r="AS31" s="992"/>
      <c r="AT31" s="1115"/>
      <c r="AU31" s="992"/>
      <c r="AV31" s="992"/>
      <c r="AW31" s="992"/>
      <c r="AX31" s="992"/>
      <c r="AY31" s="992"/>
      <c r="AZ31" s="992"/>
      <c r="BA31" s="992"/>
      <c r="BB31" s="992"/>
      <c r="BC31" s="992"/>
      <c r="BD31" s="992"/>
      <c r="BE31" s="992"/>
      <c r="BF31" s="992"/>
      <c r="BG31" s="1116"/>
    </row>
    <row r="32" spans="1:59" s="1303" customFormat="1" ht="4.5" customHeight="1">
      <c r="A32" s="992"/>
      <c r="B32" s="1299"/>
      <c r="C32" s="1116"/>
      <c r="D32" s="1116"/>
      <c r="E32" s="1116"/>
      <c r="F32" s="1116"/>
      <c r="G32" s="1116"/>
      <c r="H32" s="1116"/>
      <c r="I32" s="1116"/>
      <c r="J32" s="1116"/>
      <c r="K32" s="1116"/>
      <c r="L32" s="1116"/>
      <c r="M32" s="1116"/>
      <c r="N32" s="1114"/>
      <c r="O32" s="1427"/>
      <c r="P32" s="1307"/>
      <c r="Q32" s="1427"/>
      <c r="R32" s="1307"/>
      <c r="S32" s="1307"/>
      <c r="T32" s="1427"/>
      <c r="U32" s="1427"/>
      <c r="V32" s="1427"/>
      <c r="W32" s="1427"/>
      <c r="X32" s="1427"/>
      <c r="Y32" s="1427"/>
      <c r="Z32" s="1427"/>
      <c r="AA32" s="1427"/>
      <c r="AB32" s="1427"/>
      <c r="AC32" s="1427"/>
      <c r="AD32" s="1427"/>
      <c r="AE32" s="1427"/>
      <c r="AF32" s="1427"/>
      <c r="AG32" s="1427"/>
      <c r="AH32" s="1427"/>
      <c r="AI32" s="1427"/>
      <c r="AJ32" s="1427"/>
      <c r="AK32" s="1427"/>
      <c r="AL32" s="1427"/>
      <c r="AM32" s="1427"/>
      <c r="AN32" s="1305"/>
      <c r="AO32" s="992"/>
      <c r="AP32" s="1302"/>
      <c r="AQ32" s="992"/>
      <c r="AR32" s="992"/>
      <c r="AS32" s="992"/>
      <c r="AT32" s="1115"/>
      <c r="AU32" s="992"/>
      <c r="AV32" s="992"/>
      <c r="AW32" s="992"/>
      <c r="AX32" s="992"/>
      <c r="AY32" s="992"/>
      <c r="AZ32" s="992"/>
      <c r="BA32" s="992"/>
      <c r="BB32" s="992"/>
      <c r="BC32" s="992"/>
      <c r="BD32" s="992"/>
      <c r="BE32" s="992"/>
      <c r="BF32" s="992"/>
      <c r="BG32" s="1116"/>
    </row>
    <row r="33" spans="1:59" s="1303" customFormat="1" ht="20.100000000000001" customHeight="1">
      <c r="A33" s="992"/>
      <c r="B33" s="1306" t="s">
        <v>84</v>
      </c>
      <c r="C33" s="1116"/>
      <c r="D33" s="1116"/>
      <c r="E33" s="1116"/>
      <c r="F33" s="1116"/>
      <c r="G33" s="1116"/>
      <c r="H33" s="1116"/>
      <c r="I33" s="1116"/>
      <c r="J33" s="1116"/>
      <c r="K33" s="1116"/>
      <c r="L33" s="1116"/>
      <c r="M33" s="1116"/>
      <c r="N33" s="1114" t="s">
        <v>13</v>
      </c>
      <c r="O33" s="796" t="str">
        <f>'FE-1770-I-hal 1'!O33</f>
        <v/>
      </c>
      <c r="P33" s="796" t="str">
        <f>'FE-1770-I-hal 1'!P33</f>
        <v/>
      </c>
      <c r="Q33" s="796" t="str">
        <f>'FE-1770-I-hal 1'!Q33</f>
        <v/>
      </c>
      <c r="R33" s="796" t="str">
        <f>'FE-1770-I-hal 1'!R33</f>
        <v/>
      </c>
      <c r="S33" s="796" t="str">
        <f>'FE-1770-I-hal 1'!S33</f>
        <v/>
      </c>
      <c r="T33" s="796" t="str">
        <f>'FE-1770-I-hal 1'!T33</f>
        <v/>
      </c>
      <c r="U33" s="796" t="str">
        <f>'FE-1770-I-hal 1'!U33</f>
        <v/>
      </c>
      <c r="V33" s="796" t="str">
        <f>'FE-1770-I-hal 1'!V33</f>
        <v/>
      </c>
      <c r="W33" s="796" t="str">
        <f>'FE-1770-I-hal 1'!W33</f>
        <v/>
      </c>
      <c r="X33" s="796" t="str">
        <f>'FE-1770-I-hal 1'!X33</f>
        <v/>
      </c>
      <c r="Y33" s="796" t="str">
        <f>'FE-1770-I-hal 1'!Y33</f>
        <v/>
      </c>
      <c r="Z33" s="796" t="str">
        <f>'FE-1770-I-hal 1'!Z33</f>
        <v/>
      </c>
      <c r="AA33" s="796" t="str">
        <f>'FE-1770-I-hal 1'!AA33</f>
        <v/>
      </c>
      <c r="AB33" s="796" t="str">
        <f>'FE-1770-I-hal 1'!AB33</f>
        <v/>
      </c>
      <c r="AC33" s="796" t="str">
        <f>'FE-1770-I-hal 1'!AC33</f>
        <v/>
      </c>
      <c r="AD33" s="796" t="str">
        <f>'FE-1770-I-hal 1'!AD33</f>
        <v/>
      </c>
      <c r="AE33" s="796" t="str">
        <f>'FE-1770-I-hal 1'!AE33</f>
        <v/>
      </c>
      <c r="AF33" s="796" t="str">
        <f>'FE-1770-I-hal 1'!AF33</f>
        <v/>
      </c>
      <c r="AG33" s="796" t="str">
        <f>'FE-1770-I-hal 1'!AG33</f>
        <v/>
      </c>
      <c r="AH33" s="796" t="str">
        <f>'FE-1770-I-hal 1'!AH33</f>
        <v/>
      </c>
      <c r="AI33" s="796" t="str">
        <f>'FE-1770-I-hal 1'!AI33</f>
        <v/>
      </c>
      <c r="AJ33" s="796" t="str">
        <f>'FE-1770-I-hal 1'!AJ33</f>
        <v/>
      </c>
      <c r="AK33" s="796" t="str">
        <f>'FE-1770-I-hal 1'!AK33</f>
        <v/>
      </c>
      <c r="AL33" s="796" t="str">
        <f>'FE-1770-I-hal 1'!AL33</f>
        <v/>
      </c>
      <c r="AM33" s="796" t="str">
        <f>'FE-1770-I-hal 1'!AM33</f>
        <v/>
      </c>
      <c r="AN33" s="1301"/>
      <c r="AO33" s="1116"/>
      <c r="AP33" s="1302"/>
      <c r="AQ33" s="992"/>
      <c r="AR33" s="992"/>
      <c r="AS33" s="992"/>
      <c r="AT33" s="1115"/>
      <c r="AU33" s="992"/>
      <c r="AV33" s="992"/>
      <c r="AW33" s="992"/>
      <c r="AX33" s="992"/>
      <c r="AY33" s="992"/>
      <c r="AZ33" s="992"/>
      <c r="BA33" s="992"/>
      <c r="BB33" s="992"/>
      <c r="BC33" s="992"/>
      <c r="BD33" s="992"/>
      <c r="BE33" s="992"/>
      <c r="BF33" s="992"/>
      <c r="BG33" s="1116"/>
    </row>
    <row r="34" spans="1:59" s="1303" customFormat="1" ht="4.5" customHeight="1">
      <c r="A34" s="992"/>
      <c r="B34" s="1299"/>
      <c r="C34" s="1116"/>
      <c r="D34" s="1116"/>
      <c r="E34" s="1116"/>
      <c r="F34" s="1116"/>
      <c r="G34" s="1116"/>
      <c r="H34" s="1116"/>
      <c r="I34" s="1116"/>
      <c r="J34" s="1116"/>
      <c r="K34" s="1116"/>
      <c r="L34" s="1116"/>
      <c r="M34" s="1116"/>
      <c r="N34" s="1114"/>
      <c r="O34" s="1307"/>
      <c r="P34" s="1307"/>
      <c r="Q34" s="1307"/>
      <c r="R34" s="1307"/>
      <c r="S34" s="1307"/>
      <c r="T34" s="1307"/>
      <c r="U34" s="1427"/>
      <c r="V34" s="1427"/>
      <c r="W34" s="1427"/>
      <c r="X34" s="1427"/>
      <c r="Y34" s="1427"/>
      <c r="Z34" s="1427"/>
      <c r="AA34" s="1427"/>
      <c r="AB34" s="1427"/>
      <c r="AC34" s="1427"/>
      <c r="AD34" s="1427"/>
      <c r="AE34" s="1427"/>
      <c r="AF34" s="1427"/>
      <c r="AG34" s="1427"/>
      <c r="AH34" s="1427"/>
      <c r="AI34" s="1427"/>
      <c r="AJ34" s="1427"/>
      <c r="AK34" s="1427"/>
      <c r="AL34" s="1427"/>
      <c r="AM34" s="1427"/>
      <c r="AN34" s="1305"/>
      <c r="AO34" s="992"/>
      <c r="AP34" s="1302"/>
      <c r="AQ34" s="992"/>
      <c r="AR34" s="992"/>
      <c r="AS34" s="992"/>
      <c r="AT34" s="1115"/>
      <c r="AU34" s="992"/>
      <c r="AV34" s="992"/>
      <c r="AW34" s="992"/>
      <c r="AX34" s="992"/>
      <c r="AY34" s="992"/>
      <c r="AZ34" s="992"/>
      <c r="BA34" s="992"/>
      <c r="BB34" s="992"/>
      <c r="BC34" s="992"/>
      <c r="BD34" s="992"/>
      <c r="BE34" s="992"/>
      <c r="BF34" s="992"/>
      <c r="BG34" s="1116"/>
    </row>
    <row r="35" spans="1:59" s="1303" customFormat="1" ht="20.100000000000001" customHeight="1">
      <c r="A35" s="992"/>
      <c r="B35" s="1306" t="s">
        <v>85</v>
      </c>
      <c r="C35" s="1115"/>
      <c r="D35" s="1115"/>
      <c r="E35" s="1115"/>
      <c r="F35" s="1115"/>
      <c r="G35" s="1115"/>
      <c r="H35" s="1115"/>
      <c r="I35" s="1115"/>
      <c r="J35" s="1115"/>
      <c r="K35" s="1115"/>
      <c r="L35" s="1115"/>
      <c r="M35" s="1116"/>
      <c r="N35" s="1114" t="s">
        <v>13</v>
      </c>
      <c r="O35" s="796" t="str">
        <f>'FE-1770-I-hal 1'!O35</f>
        <v/>
      </c>
      <c r="P35" s="796" t="str">
        <f>'FE-1770-I-hal 1'!P35</f>
        <v/>
      </c>
      <c r="Q35" s="1307"/>
      <c r="R35" s="796" t="str">
        <f>'FE-1770-I-hal 1'!R35</f>
        <v/>
      </c>
      <c r="S35" s="796" t="str">
        <f>'FE-1770-I-hal 1'!S35</f>
        <v/>
      </c>
      <c r="T35" s="796" t="str">
        <f>'FE-1770-I-hal 1'!T35</f>
        <v/>
      </c>
      <c r="U35" s="1427"/>
      <c r="V35" s="796" t="str">
        <f>'FE-1770-I-hal 1'!V35</f>
        <v/>
      </c>
      <c r="W35" s="796" t="str">
        <f>'FE-1770-I-hal 1'!W35</f>
        <v/>
      </c>
      <c r="X35" s="796" t="str">
        <f>'FE-1770-I-hal 1'!X35</f>
        <v/>
      </c>
      <c r="Y35" s="1427"/>
      <c r="Z35" s="796" t="str">
        <f>'FE-1770-I-hal 1'!Z35</f>
        <v/>
      </c>
      <c r="AA35" s="1307"/>
      <c r="AB35" s="796" t="str">
        <f>'FE-1770-I-hal 1'!AB35</f>
        <v/>
      </c>
      <c r="AC35" s="796" t="str">
        <f>'FE-1770-I-hal 1'!AC35</f>
        <v/>
      </c>
      <c r="AD35" s="796" t="str">
        <f>'FE-1770-I-hal 1'!AD35</f>
        <v/>
      </c>
      <c r="AE35" s="1427"/>
      <c r="AF35" s="796" t="str">
        <f>'FE-1770-I-hal 1'!AF35</f>
        <v/>
      </c>
      <c r="AG35" s="796" t="str">
        <f>'FE-1770-I-hal 1'!AG35</f>
        <v/>
      </c>
      <c r="AH35" s="796" t="str">
        <f>'FE-1770-I-hal 1'!AH35</f>
        <v/>
      </c>
      <c r="AI35" s="1427"/>
      <c r="AJ35" s="1427"/>
      <c r="AK35" s="1427"/>
      <c r="AL35" s="1427"/>
      <c r="AM35" s="1427"/>
      <c r="AN35" s="1305"/>
      <c r="AO35" s="992"/>
      <c r="AP35" s="1302"/>
      <c r="AQ35" s="992"/>
      <c r="AR35" s="992"/>
      <c r="AS35" s="992"/>
      <c r="AT35" s="1115"/>
      <c r="AU35" s="992"/>
      <c r="AV35" s="992"/>
      <c r="AW35" s="992"/>
      <c r="AX35" s="992"/>
      <c r="AY35" s="992"/>
      <c r="AZ35" s="992"/>
      <c r="BA35" s="992"/>
      <c r="BB35" s="992"/>
      <c r="BC35" s="992"/>
      <c r="BD35" s="992"/>
      <c r="BE35" s="992"/>
      <c r="BF35" s="992"/>
      <c r="BG35" s="1116"/>
    </row>
    <row r="36" spans="1:59" s="1303" customFormat="1" ht="5.25" customHeight="1">
      <c r="A36" s="992"/>
      <c r="B36" s="1299"/>
      <c r="C36" s="1115"/>
      <c r="D36" s="1115"/>
      <c r="E36" s="1115"/>
      <c r="F36" s="1115"/>
      <c r="G36" s="1115"/>
      <c r="H36" s="1115"/>
      <c r="I36" s="1115"/>
      <c r="J36" s="1115"/>
      <c r="K36" s="1115"/>
      <c r="L36" s="1115"/>
      <c r="M36" s="1116"/>
      <c r="N36" s="1114"/>
      <c r="O36" s="1427"/>
      <c r="P36" s="1427"/>
      <c r="Q36" s="1307"/>
      <c r="R36" s="1427"/>
      <c r="S36" s="1427"/>
      <c r="T36" s="1427"/>
      <c r="U36" s="1427"/>
      <c r="V36" s="1427"/>
      <c r="W36" s="1427"/>
      <c r="X36" s="1427"/>
      <c r="Y36" s="1427"/>
      <c r="Z36" s="1427"/>
      <c r="AA36" s="1307"/>
      <c r="AB36" s="1427"/>
      <c r="AC36" s="1427"/>
      <c r="AD36" s="1427"/>
      <c r="AE36" s="1427"/>
      <c r="AF36" s="1427"/>
      <c r="AG36" s="1427"/>
      <c r="AH36" s="1427"/>
      <c r="AI36" s="1427"/>
      <c r="AJ36" s="1427"/>
      <c r="AK36" s="1427"/>
      <c r="AL36" s="1427"/>
      <c r="AM36" s="1427"/>
      <c r="AN36" s="1305"/>
      <c r="AO36" s="992"/>
      <c r="AP36" s="1302"/>
      <c r="AQ36" s="992"/>
      <c r="AR36" s="992"/>
      <c r="AS36" s="992"/>
      <c r="AT36" s="1115"/>
      <c r="AU36" s="992"/>
      <c r="AV36" s="992"/>
      <c r="AW36" s="992"/>
      <c r="AX36" s="992"/>
      <c r="AY36" s="992"/>
      <c r="AZ36" s="992"/>
      <c r="BA36" s="992"/>
      <c r="BB36" s="992"/>
      <c r="BC36" s="992"/>
      <c r="BD36" s="992"/>
      <c r="BE36" s="992"/>
      <c r="BF36" s="992"/>
      <c r="BG36" s="1116"/>
    </row>
    <row r="37" spans="1:59" s="1311" customFormat="1" ht="20.100000000000001" customHeight="1">
      <c r="A37" s="1307"/>
      <c r="B37" s="1306" t="s">
        <v>86</v>
      </c>
      <c r="C37" s="1308"/>
      <c r="D37" s="1308"/>
      <c r="E37" s="1308"/>
      <c r="F37" s="1308"/>
      <c r="G37" s="1308"/>
      <c r="H37" s="1308"/>
      <c r="I37" s="1308"/>
      <c r="J37" s="1308"/>
      <c r="K37" s="1308"/>
      <c r="L37" s="1308"/>
      <c r="M37" s="1307"/>
      <c r="N37" s="1309" t="s">
        <v>13</v>
      </c>
      <c r="O37" s="796" t="str">
        <f>'FE-1770-I-hal 1'!O37</f>
        <v/>
      </c>
      <c r="P37" s="796" t="str">
        <f>'FE-1770-I-hal 1'!P37</f>
        <v/>
      </c>
      <c r="Q37" s="796" t="str">
        <f>'FE-1770-I-hal 1'!Q37</f>
        <v/>
      </c>
      <c r="R37" s="796" t="str">
        <f>'FE-1770-I-hal 1'!R37</f>
        <v/>
      </c>
      <c r="S37" s="796" t="str">
        <f>'FE-1770-I-hal 1'!S37</f>
        <v/>
      </c>
      <c r="T37" s="796" t="str">
        <f>'FE-1770-I-hal 1'!T37</f>
        <v/>
      </c>
      <c r="U37" s="796" t="str">
        <f>'FE-1770-I-hal 1'!U37</f>
        <v/>
      </c>
      <c r="V37" s="796" t="str">
        <f>'FE-1770-I-hal 1'!V37</f>
        <v/>
      </c>
      <c r="W37" s="796" t="str">
        <f>'FE-1770-I-hal 1'!W37</f>
        <v/>
      </c>
      <c r="X37" s="796" t="str">
        <f>'FE-1770-I-hal 1'!X37</f>
        <v/>
      </c>
      <c r="Y37" s="796" t="str">
        <f>'FE-1770-I-hal 1'!Y37</f>
        <v/>
      </c>
      <c r="Z37" s="796" t="str">
        <f>'FE-1770-I-hal 1'!Z37</f>
        <v/>
      </c>
      <c r="AA37" s="796" t="str">
        <f>'FE-1770-I-hal 1'!AA37</f>
        <v/>
      </c>
      <c r="AB37" s="796" t="str">
        <f>'FE-1770-I-hal 1'!AB37</f>
        <v/>
      </c>
      <c r="AC37" s="796" t="str">
        <f>'FE-1770-I-hal 1'!AC37</f>
        <v/>
      </c>
      <c r="AD37" s="796" t="str">
        <f>'FE-1770-I-hal 1'!AD37</f>
        <v/>
      </c>
      <c r="AE37" s="796" t="str">
        <f>'FE-1770-I-hal 1'!AE37</f>
        <v/>
      </c>
      <c r="AF37" s="796" t="str">
        <f>'FE-1770-I-hal 1'!AF37</f>
        <v/>
      </c>
      <c r="AG37" s="796" t="str">
        <f>'FE-1770-I-hal 1'!AG37</f>
        <v/>
      </c>
      <c r="AH37" s="796" t="str">
        <f>'FE-1770-I-hal 1'!AH37</f>
        <v/>
      </c>
      <c r="AI37" s="796" t="str">
        <f>'FE-1770-I-hal 1'!AI37</f>
        <v/>
      </c>
      <c r="AJ37" s="796" t="str">
        <f>'FE-1770-I-hal 1'!AJ37</f>
        <v/>
      </c>
      <c r="AK37" s="796" t="str">
        <f>'FE-1770-I-hal 1'!AK37</f>
        <v/>
      </c>
      <c r="AL37" s="796" t="str">
        <f>'FE-1770-I-hal 1'!AL37</f>
        <v/>
      </c>
      <c r="AM37" s="796" t="str">
        <f>'FE-1770-I-hal 1'!AM37</f>
        <v/>
      </c>
      <c r="AN37" s="1301"/>
      <c r="AO37" s="1116"/>
      <c r="AP37" s="1310"/>
      <c r="AQ37" s="1310"/>
      <c r="AR37" s="1310"/>
      <c r="AS37" s="1310"/>
      <c r="AT37" s="1310"/>
      <c r="AU37" s="1310"/>
      <c r="AV37" s="1310"/>
      <c r="AW37" s="1310"/>
      <c r="AX37" s="1310"/>
      <c r="AY37" s="1310"/>
      <c r="AZ37" s="1310"/>
      <c r="BA37" s="1310"/>
      <c r="BB37" s="1310"/>
      <c r="BC37" s="1310"/>
      <c r="BD37" s="1310"/>
      <c r="BE37" s="1310"/>
      <c r="BF37" s="1310"/>
      <c r="BG37" s="1307"/>
    </row>
    <row r="38" spans="1:59" s="1311" customFormat="1" ht="5.25" customHeight="1">
      <c r="A38" s="1307"/>
      <c r="B38" s="1312"/>
      <c r="C38" s="1308"/>
      <c r="D38" s="1308"/>
      <c r="E38" s="1308"/>
      <c r="F38" s="1308"/>
      <c r="G38" s="1308"/>
      <c r="H38" s="1308"/>
      <c r="I38" s="1308"/>
      <c r="J38" s="1308"/>
      <c r="K38" s="1308"/>
      <c r="L38" s="1308"/>
      <c r="M38" s="1307"/>
      <c r="N38" s="1309"/>
      <c r="O38" s="1427"/>
      <c r="P38" s="1427"/>
      <c r="Q38" s="1307"/>
      <c r="R38" s="1427"/>
      <c r="S38" s="1427"/>
      <c r="T38" s="1427"/>
      <c r="U38" s="1427"/>
      <c r="V38" s="1427"/>
      <c r="W38" s="1427"/>
      <c r="X38" s="1427"/>
      <c r="Y38" s="1427"/>
      <c r="Z38" s="1427"/>
      <c r="AA38" s="1307"/>
      <c r="AB38" s="1427"/>
      <c r="AC38" s="1427"/>
      <c r="AD38" s="1427"/>
      <c r="AE38" s="1427"/>
      <c r="AF38" s="1427"/>
      <c r="AG38" s="1427"/>
      <c r="AH38" s="1427"/>
      <c r="AI38" s="1427"/>
      <c r="AJ38" s="1427"/>
      <c r="AK38" s="1427"/>
      <c r="AL38" s="1427"/>
      <c r="AM38" s="1307"/>
      <c r="AN38" s="1301"/>
      <c r="AO38" s="1116"/>
      <c r="AP38" s="1310"/>
      <c r="AQ38" s="1310"/>
      <c r="AR38" s="1310"/>
      <c r="AS38" s="1310"/>
      <c r="AT38" s="1310"/>
      <c r="AU38" s="1310"/>
      <c r="AV38" s="1310"/>
      <c r="AW38" s="1310"/>
      <c r="AX38" s="1310"/>
      <c r="AY38" s="1310"/>
      <c r="AZ38" s="1310"/>
      <c r="BA38" s="1310"/>
      <c r="BB38" s="1310"/>
      <c r="BC38" s="1310"/>
      <c r="BD38" s="1310"/>
      <c r="BE38" s="1310"/>
      <c r="BF38" s="1310"/>
      <c r="BG38" s="1307"/>
    </row>
    <row r="39" spans="1:59" s="1311" customFormat="1" ht="20.100000000000001" customHeight="1">
      <c r="A39" s="1307"/>
      <c r="B39" s="1306" t="s">
        <v>87</v>
      </c>
      <c r="C39" s="1308"/>
      <c r="D39" s="1308"/>
      <c r="E39" s="1308"/>
      <c r="F39" s="1308"/>
      <c r="G39" s="1308"/>
      <c r="H39" s="1308"/>
      <c r="I39" s="1308"/>
      <c r="J39" s="1308"/>
      <c r="K39" s="1308"/>
      <c r="L39" s="1308"/>
      <c r="M39" s="1307"/>
      <c r="N39" s="1309" t="s">
        <v>13</v>
      </c>
      <c r="O39" s="796" t="str">
        <f>'FE-1770-I-hal 1'!O39</f>
        <v/>
      </c>
      <c r="P39" s="796" t="str">
        <f>'FE-1770-I-hal 1'!P39</f>
        <v/>
      </c>
      <c r="Q39" s="1307"/>
      <c r="R39" s="796" t="str">
        <f>'FE-1770-I-hal 1'!R39</f>
        <v/>
      </c>
      <c r="S39" s="796" t="str">
        <f>'FE-1770-I-hal 1'!S39</f>
        <v/>
      </c>
      <c r="T39" s="796" t="str">
        <f>'FE-1770-I-hal 1'!T39</f>
        <v/>
      </c>
      <c r="U39" s="1427"/>
      <c r="V39" s="796" t="str">
        <f>'FE-1770-I-hal 1'!V39</f>
        <v/>
      </c>
      <c r="W39" s="796" t="str">
        <f>'FE-1770-I-hal 1'!W39</f>
        <v/>
      </c>
      <c r="X39" s="796" t="str">
        <f>'FE-1770-I-hal 1'!X39</f>
        <v/>
      </c>
      <c r="Y39" s="1427"/>
      <c r="Z39" s="796" t="str">
        <f>'FE-1770-I-hal 1'!Z39</f>
        <v/>
      </c>
      <c r="AA39" s="1307"/>
      <c r="AB39" s="796" t="str">
        <f>'FE-1770-I-hal 1'!AB39</f>
        <v/>
      </c>
      <c r="AC39" s="796" t="str">
        <f>'FE-1770-I-hal 1'!AC39</f>
        <v/>
      </c>
      <c r="AD39" s="796" t="str">
        <f>'FE-1770-I-hal 1'!AD39</f>
        <v/>
      </c>
      <c r="AE39" s="1427"/>
      <c r="AF39" s="796" t="str">
        <f>'FE-1770-I-hal 1'!AF39</f>
        <v/>
      </c>
      <c r="AG39" s="796" t="str">
        <f>'FE-1770-I-hal 1'!AG39</f>
        <v/>
      </c>
      <c r="AH39" s="796" t="str">
        <f>'FE-1770-I-hal 1'!AH39</f>
        <v/>
      </c>
      <c r="AI39" s="1313"/>
      <c r="AJ39" s="1313"/>
      <c r="AK39" s="1313"/>
      <c r="AL39" s="1313"/>
      <c r="AM39" s="1313"/>
      <c r="AN39" s="1314"/>
      <c r="AO39" s="1313"/>
      <c r="AP39" s="1310"/>
      <c r="AQ39" s="1310"/>
      <c r="AR39" s="1310"/>
      <c r="AS39" s="1310"/>
      <c r="AT39" s="1310"/>
      <c r="AU39" s="1310"/>
      <c r="AV39" s="1310"/>
      <c r="AW39" s="1310"/>
      <c r="AX39" s="1310"/>
      <c r="AY39" s="1310"/>
      <c r="AZ39" s="1310"/>
      <c r="BA39" s="1310"/>
      <c r="BB39" s="1310"/>
      <c r="BC39" s="1310"/>
      <c r="BD39" s="1310"/>
      <c r="BE39" s="1310"/>
      <c r="BF39" s="1310"/>
      <c r="BG39" s="1307"/>
    </row>
    <row r="40" spans="1:59" s="1311" customFormat="1" ht="7.5" customHeight="1">
      <c r="A40" s="1307"/>
      <c r="B40" s="1315"/>
      <c r="C40" s="1316"/>
      <c r="D40" s="1316"/>
      <c r="E40" s="1316"/>
      <c r="F40" s="1316"/>
      <c r="G40" s="1316"/>
      <c r="H40" s="1316"/>
      <c r="I40" s="1316"/>
      <c r="J40" s="1316"/>
      <c r="K40" s="1316"/>
      <c r="L40" s="1316"/>
      <c r="M40" s="1316"/>
      <c r="N40" s="1317"/>
      <c r="O40" s="1317"/>
      <c r="P40" s="1317"/>
      <c r="Q40" s="1317"/>
      <c r="R40" s="1318"/>
      <c r="S40" s="1319"/>
      <c r="T40" s="1317"/>
      <c r="U40" s="1317"/>
      <c r="V40" s="1317"/>
      <c r="W40" s="1317"/>
      <c r="X40" s="1317"/>
      <c r="Y40" s="1317"/>
      <c r="Z40" s="1317"/>
      <c r="AA40" s="1317"/>
      <c r="AB40" s="1317"/>
      <c r="AC40" s="1317"/>
      <c r="AD40" s="1317"/>
      <c r="AE40" s="1317"/>
      <c r="AF40" s="1320"/>
      <c r="AG40" s="1320"/>
      <c r="AH40" s="1320"/>
      <c r="AI40" s="1320"/>
      <c r="AJ40" s="1320"/>
      <c r="AK40" s="1320"/>
      <c r="AL40" s="1320"/>
      <c r="AM40" s="1320"/>
      <c r="AN40" s="1321"/>
      <c r="AO40" s="1313"/>
      <c r="AP40" s="1310"/>
      <c r="AQ40" s="1310"/>
      <c r="AR40" s="1310"/>
      <c r="AS40" s="1310"/>
      <c r="AT40" s="1310"/>
      <c r="AU40" s="1310"/>
      <c r="AV40" s="1310"/>
      <c r="AW40" s="1310"/>
      <c r="AX40" s="1310"/>
      <c r="AY40" s="1310"/>
      <c r="AZ40" s="1310"/>
      <c r="BA40" s="1310"/>
      <c r="BB40" s="1310"/>
      <c r="BC40" s="1310"/>
      <c r="BD40" s="1310"/>
      <c r="BE40" s="1310"/>
      <c r="BF40" s="1310"/>
      <c r="BG40" s="1307"/>
    </row>
    <row r="41" spans="1:59" s="1311" customFormat="1">
      <c r="A41" s="1307"/>
      <c r="B41" s="1116"/>
      <c r="C41" s="1308"/>
      <c r="D41" s="1308"/>
      <c r="E41" s="1308"/>
      <c r="F41" s="1308"/>
      <c r="G41" s="1308"/>
      <c r="H41" s="1308"/>
      <c r="I41" s="1308"/>
      <c r="J41" s="1308"/>
      <c r="K41" s="1308"/>
      <c r="L41" s="1308"/>
      <c r="M41" s="1308"/>
      <c r="N41" s="1307"/>
      <c r="O41" s="1307"/>
      <c r="P41" s="1307"/>
      <c r="Q41" s="1307"/>
      <c r="R41" s="1309"/>
      <c r="S41" s="1322"/>
      <c r="T41" s="1307"/>
      <c r="U41" s="1307"/>
      <c r="V41" s="1307"/>
      <c r="W41" s="1307"/>
      <c r="X41" s="1307"/>
      <c r="Y41" s="1307"/>
      <c r="Z41" s="1307"/>
      <c r="AA41" s="1307"/>
      <c r="AB41" s="1307"/>
      <c r="AC41" s="3221"/>
      <c r="AD41" s="3221"/>
      <c r="AE41" s="3221"/>
      <c r="AF41" s="3221"/>
      <c r="AG41" s="3221"/>
      <c r="AH41" s="3221"/>
      <c r="AI41" s="3221"/>
      <c r="AJ41" s="3221"/>
      <c r="AK41" s="3221"/>
      <c r="AL41" s="3221"/>
      <c r="AM41" s="3221"/>
      <c r="AN41" s="3221"/>
      <c r="AO41" s="1313"/>
      <c r="AP41" s="1310"/>
      <c r="AQ41" s="1310"/>
      <c r="AR41" s="1310"/>
      <c r="AS41" s="1310"/>
      <c r="AT41" s="1310"/>
      <c r="AU41" s="1310"/>
      <c r="AV41" s="1310"/>
      <c r="AW41" s="1310"/>
      <c r="AX41" s="1310"/>
      <c r="AY41" s="1310"/>
      <c r="AZ41" s="1310"/>
      <c r="BA41" s="1310"/>
      <c r="BB41" s="1310"/>
      <c r="BC41" s="1310"/>
      <c r="BD41" s="1310"/>
      <c r="BE41" s="1310"/>
      <c r="BF41" s="1310"/>
      <c r="BG41" s="1307"/>
    </row>
    <row r="42" spans="1:59" ht="4.5" customHeight="1">
      <c r="A42" s="993"/>
      <c r="B42" s="1323"/>
      <c r="C42" s="1324"/>
      <c r="D42" s="1324"/>
      <c r="E42" s="1324"/>
      <c r="F42" s="1324"/>
      <c r="G42" s="1324"/>
      <c r="H42" s="1324"/>
      <c r="I42" s="1324"/>
      <c r="J42" s="1324"/>
      <c r="K42" s="1324"/>
      <c r="L42" s="1324"/>
      <c r="M42" s="1324"/>
      <c r="N42" s="1324"/>
      <c r="O42" s="1324"/>
      <c r="P42" s="1324"/>
      <c r="Q42" s="1324"/>
      <c r="R42" s="1324"/>
      <c r="S42" s="1324"/>
      <c r="T42" s="1324"/>
      <c r="U42" s="1324"/>
      <c r="V42" s="1324"/>
      <c r="W42" s="1324"/>
      <c r="X42" s="1324"/>
      <c r="Y42" s="1324"/>
      <c r="Z42" s="1324"/>
      <c r="AA42" s="1325"/>
      <c r="AB42" s="1325"/>
      <c r="AC42" s="3222" t="s">
        <v>242</v>
      </c>
      <c r="AD42" s="3222"/>
      <c r="AE42" s="3222"/>
      <c r="AF42" s="3222"/>
      <c r="AG42" s="3222"/>
      <c r="AH42" s="3222"/>
      <c r="AI42" s="3222"/>
      <c r="AJ42" s="3222"/>
      <c r="AK42" s="3222"/>
      <c r="AL42" s="3222"/>
      <c r="AM42" s="3222"/>
      <c r="AN42" s="3223"/>
      <c r="AO42" s="1326"/>
      <c r="AP42" s="1326"/>
    </row>
    <row r="43" spans="1:59" ht="3" customHeight="1">
      <c r="A43" s="993"/>
      <c r="B43" s="1327"/>
      <c r="C43" s="1089"/>
      <c r="D43" s="1089"/>
      <c r="E43" s="1089"/>
      <c r="F43" s="1089"/>
      <c r="G43" s="1089"/>
      <c r="H43" s="1089"/>
      <c r="I43" s="1089"/>
      <c r="J43" s="1089"/>
      <c r="K43" s="1089"/>
      <c r="L43" s="1089"/>
      <c r="M43" s="1089"/>
      <c r="N43" s="1089"/>
      <c r="O43" s="1089"/>
      <c r="P43" s="1089"/>
      <c r="Q43" s="1089"/>
      <c r="R43" s="1089"/>
      <c r="S43" s="1089"/>
      <c r="T43" s="1089"/>
      <c r="U43" s="1089"/>
      <c r="V43" s="1089"/>
      <c r="W43" s="1089"/>
      <c r="X43" s="1089"/>
      <c r="Y43" s="1089"/>
      <c r="Z43" s="1089"/>
      <c r="AA43" s="1326"/>
      <c r="AB43" s="1326"/>
      <c r="AC43" s="3224"/>
      <c r="AD43" s="3224"/>
      <c r="AE43" s="3224"/>
      <c r="AF43" s="3224"/>
      <c r="AG43" s="3224"/>
      <c r="AH43" s="3224"/>
      <c r="AI43" s="3224"/>
      <c r="AJ43" s="3224"/>
      <c r="AK43" s="3224"/>
      <c r="AL43" s="3224"/>
      <c r="AM43" s="3224"/>
      <c r="AN43" s="3225"/>
      <c r="AO43" s="1326"/>
      <c r="AP43" s="1326"/>
    </row>
    <row r="44" spans="1:59" ht="8.25" customHeight="1">
      <c r="A44" s="993"/>
      <c r="B44" s="3227" t="s">
        <v>18</v>
      </c>
      <c r="C44" s="1328"/>
      <c r="D44" s="3228" t="s">
        <v>255</v>
      </c>
      <c r="E44" s="3228"/>
      <c r="F44" s="3228"/>
      <c r="G44" s="3228"/>
      <c r="H44" s="3228"/>
      <c r="I44" s="3228"/>
      <c r="J44" s="3228"/>
      <c r="K44" s="3228"/>
      <c r="L44" s="3228"/>
      <c r="M44" s="3228"/>
      <c r="N44" s="3228"/>
      <c r="O44" s="3228"/>
      <c r="P44" s="3228"/>
      <c r="Q44" s="3228"/>
      <c r="R44" s="3228"/>
      <c r="S44" s="3228"/>
      <c r="T44" s="3228"/>
      <c r="U44" s="3228"/>
      <c r="V44" s="3228"/>
      <c r="W44" s="3228"/>
      <c r="X44" s="3228"/>
      <c r="Y44" s="3228"/>
      <c r="Z44" s="1329"/>
      <c r="AA44" s="1330"/>
      <c r="AB44" s="1330"/>
      <c r="AC44" s="3224"/>
      <c r="AD44" s="3224"/>
      <c r="AE44" s="3224"/>
      <c r="AF44" s="3224"/>
      <c r="AG44" s="3224"/>
      <c r="AH44" s="3224"/>
      <c r="AI44" s="3224"/>
      <c r="AJ44" s="3224"/>
      <c r="AK44" s="3224"/>
      <c r="AL44" s="3224"/>
      <c r="AM44" s="3224"/>
      <c r="AN44" s="3225"/>
      <c r="AO44" s="1330"/>
      <c r="AP44" s="1330"/>
      <c r="AR44" s="973"/>
      <c r="AS44" s="973"/>
      <c r="AT44" s="973"/>
      <c r="AU44" s="973"/>
      <c r="AV44" s="973"/>
      <c r="AW44" s="973"/>
      <c r="AX44" s="973"/>
      <c r="AY44" s="973"/>
      <c r="AZ44" s="973"/>
      <c r="BA44" s="973"/>
      <c r="BB44" s="973"/>
    </row>
    <row r="45" spans="1:59" ht="18.75" customHeight="1">
      <c r="A45" s="1048"/>
      <c r="B45" s="3227"/>
      <c r="C45" s="1328"/>
      <c r="D45" s="3228"/>
      <c r="E45" s="3228"/>
      <c r="F45" s="3228"/>
      <c r="G45" s="3228"/>
      <c r="H45" s="3228"/>
      <c r="I45" s="3228"/>
      <c r="J45" s="3228"/>
      <c r="K45" s="3228"/>
      <c r="L45" s="3228"/>
      <c r="M45" s="3228"/>
      <c r="N45" s="3228"/>
      <c r="O45" s="3228"/>
      <c r="P45" s="3228"/>
      <c r="Q45" s="3228"/>
      <c r="R45" s="3228"/>
      <c r="S45" s="3228"/>
      <c r="T45" s="3228"/>
      <c r="U45" s="3228"/>
      <c r="V45" s="3228"/>
      <c r="W45" s="3228"/>
      <c r="X45" s="3228"/>
      <c r="Y45" s="3228"/>
      <c r="Z45" s="1025"/>
      <c r="AA45" s="1025"/>
      <c r="AB45" s="1025"/>
      <c r="AC45" s="1039"/>
      <c r="AD45" s="1025"/>
      <c r="AE45" s="1025"/>
      <c r="AF45" s="1025"/>
      <c r="AG45" s="1025"/>
      <c r="AH45" s="1025"/>
      <c r="AI45" s="1025"/>
      <c r="AJ45" s="1025"/>
      <c r="AK45" s="1025"/>
      <c r="AL45" s="1025"/>
      <c r="AM45" s="1025"/>
      <c r="AN45" s="1331"/>
      <c r="AO45" s="1025"/>
      <c r="AP45" s="1025"/>
      <c r="AQ45" s="1328"/>
      <c r="AR45" s="1328"/>
      <c r="AS45" s="1328"/>
      <c r="AT45" s="1328"/>
      <c r="AU45" s="1328"/>
      <c r="AV45" s="1328"/>
      <c r="AW45" s="1328"/>
      <c r="AX45" s="1328"/>
      <c r="AY45" s="1328"/>
      <c r="AZ45" s="1328"/>
      <c r="BA45" s="1328"/>
      <c r="BB45" s="1328"/>
    </row>
    <row r="46" spans="1:59" ht="21.75" customHeight="1">
      <c r="A46" s="993"/>
      <c r="B46" s="1332"/>
      <c r="D46" s="1333" t="s">
        <v>39</v>
      </c>
      <c r="E46" s="3220" t="s">
        <v>195</v>
      </c>
      <c r="F46" s="3220"/>
      <c r="G46" s="3220"/>
      <c r="H46" s="3220"/>
      <c r="I46" s="3220"/>
      <c r="J46" s="3220"/>
      <c r="K46" s="3220"/>
      <c r="L46" s="3220"/>
      <c r="M46" s="3220"/>
      <c r="N46" s="3220"/>
      <c r="O46" s="3220"/>
      <c r="P46" s="3220"/>
      <c r="Q46" s="3220"/>
      <c r="R46" s="3220"/>
      <c r="S46" s="3220"/>
      <c r="T46" s="3220"/>
      <c r="U46" s="3220"/>
      <c r="V46" s="3220"/>
      <c r="W46" s="3220"/>
      <c r="X46" s="3220"/>
      <c r="Y46" s="3220"/>
      <c r="Z46" s="3220"/>
      <c r="AA46" s="3220"/>
      <c r="AB46" s="1334"/>
      <c r="AC46" s="1300" t="s">
        <v>88</v>
      </c>
      <c r="AD46" s="2566">
        <f>'FE-1770-I-hal 1'!AD46</f>
        <v>0</v>
      </c>
      <c r="AE46" s="2566"/>
      <c r="AF46" s="2566"/>
      <c r="AG46" s="2566"/>
      <c r="AH46" s="2566"/>
      <c r="AI46" s="2566"/>
      <c r="AJ46" s="2566"/>
      <c r="AK46" s="2566"/>
      <c r="AL46" s="2566"/>
      <c r="AM46" s="2566"/>
      <c r="AN46" s="2566"/>
      <c r="AO46" s="973"/>
      <c r="AP46" s="973"/>
    </row>
    <row r="47" spans="1:59" ht="3.75" customHeight="1">
      <c r="A47" s="1048"/>
      <c r="B47" s="1335"/>
      <c r="C47" s="855"/>
      <c r="D47" s="993"/>
      <c r="E47" s="1116"/>
      <c r="F47" s="1116"/>
      <c r="G47" s="1116"/>
      <c r="H47" s="1116"/>
      <c r="I47" s="1116"/>
      <c r="J47" s="1116"/>
      <c r="K47" s="1116"/>
      <c r="L47" s="1116"/>
      <c r="M47" s="1116"/>
      <c r="N47" s="1116"/>
      <c r="O47" s="1116"/>
      <c r="P47" s="1116"/>
      <c r="Q47" s="1116"/>
      <c r="R47" s="1116"/>
      <c r="S47" s="1116"/>
      <c r="T47" s="1116"/>
      <c r="U47" s="1116"/>
      <c r="V47" s="1116"/>
      <c r="W47" s="1116"/>
      <c r="X47" s="1116"/>
      <c r="Y47" s="1116"/>
      <c r="Z47" s="1116"/>
      <c r="AA47" s="973"/>
      <c r="AB47" s="973"/>
      <c r="AC47" s="1336"/>
      <c r="AD47" s="1815"/>
      <c r="AE47" s="1815"/>
      <c r="AF47" s="1815"/>
      <c r="AG47" s="1815"/>
      <c r="AH47" s="1815"/>
      <c r="AI47" s="1815"/>
      <c r="AJ47" s="1815"/>
      <c r="AK47" s="1815"/>
      <c r="AL47" s="1815"/>
      <c r="AM47" s="1815"/>
      <c r="AN47" s="1816"/>
      <c r="AO47" s="973"/>
      <c r="AP47" s="973"/>
    </row>
    <row r="48" spans="1:59" ht="22.5" customHeight="1">
      <c r="A48" s="993"/>
      <c r="B48" s="1338"/>
      <c r="C48" s="1339"/>
      <c r="D48" s="1333" t="s">
        <v>41</v>
      </c>
      <c r="E48" s="3091" t="s">
        <v>196</v>
      </c>
      <c r="F48" s="3091"/>
      <c r="G48" s="3091"/>
      <c r="H48" s="3091"/>
      <c r="I48" s="3091"/>
      <c r="J48" s="3091"/>
      <c r="K48" s="3091"/>
      <c r="L48" s="3091"/>
      <c r="M48" s="3091"/>
      <c r="N48" s="3091"/>
      <c r="O48" s="3091"/>
      <c r="P48" s="3091"/>
      <c r="Q48" s="3091"/>
      <c r="R48" s="3091"/>
      <c r="S48" s="3091"/>
      <c r="T48" s="3091"/>
      <c r="U48" s="3091"/>
      <c r="V48" s="3091"/>
      <c r="W48" s="3091"/>
      <c r="X48" s="3091"/>
      <c r="Y48" s="3091"/>
      <c r="Z48" s="3091"/>
      <c r="AA48" s="3091"/>
      <c r="AB48" s="1340"/>
      <c r="AC48" s="1300" t="s">
        <v>89</v>
      </c>
      <c r="AD48" s="2566">
        <f>'FE-1770-I-hal 1'!AD48</f>
        <v>0</v>
      </c>
      <c r="AE48" s="2566"/>
      <c r="AF48" s="2566"/>
      <c r="AG48" s="2566"/>
      <c r="AH48" s="2566"/>
      <c r="AI48" s="2566"/>
      <c r="AJ48" s="2566"/>
      <c r="AK48" s="2566"/>
      <c r="AL48" s="2566"/>
      <c r="AM48" s="2566"/>
      <c r="AN48" s="2566"/>
      <c r="AO48" s="973"/>
      <c r="AP48" s="973"/>
    </row>
    <row r="49" spans="1:42" ht="3.75" customHeight="1">
      <c r="A49" s="1048"/>
      <c r="B49" s="1341"/>
      <c r="C49" s="1112"/>
      <c r="D49" s="1333"/>
      <c r="E49" s="1116"/>
      <c r="F49" s="1116"/>
      <c r="G49" s="1116"/>
      <c r="H49" s="1116"/>
      <c r="I49" s="1116"/>
      <c r="J49" s="1116"/>
      <c r="K49" s="1116"/>
      <c r="L49" s="1116"/>
      <c r="M49" s="1116"/>
      <c r="N49" s="1116"/>
      <c r="O49" s="1116"/>
      <c r="P49" s="1116"/>
      <c r="Q49" s="1116"/>
      <c r="R49" s="1116"/>
      <c r="S49" s="1112"/>
      <c r="T49" s="1112"/>
      <c r="U49" s="1112"/>
      <c r="V49" s="1112"/>
      <c r="W49" s="1112"/>
      <c r="X49" s="1112"/>
      <c r="Y49" s="1112"/>
      <c r="Z49" s="1116"/>
      <c r="AA49" s="973"/>
      <c r="AB49" s="973"/>
      <c r="AC49" s="1336"/>
      <c r="AD49" s="1815"/>
      <c r="AE49" s="1815"/>
      <c r="AF49" s="1815"/>
      <c r="AG49" s="1815"/>
      <c r="AH49" s="1815"/>
      <c r="AI49" s="1815"/>
      <c r="AJ49" s="1815"/>
      <c r="AK49" s="1815"/>
      <c r="AL49" s="1815"/>
      <c r="AM49" s="1815"/>
      <c r="AN49" s="1816"/>
      <c r="AO49" s="973"/>
      <c r="AP49" s="973"/>
    </row>
    <row r="50" spans="1:42" ht="21.75" customHeight="1">
      <c r="A50" s="993"/>
      <c r="B50" s="1341"/>
      <c r="C50" s="1112"/>
      <c r="D50" s="1333" t="s">
        <v>46</v>
      </c>
      <c r="E50" s="3091" t="s">
        <v>197</v>
      </c>
      <c r="F50" s="3091"/>
      <c r="G50" s="3091"/>
      <c r="H50" s="3091"/>
      <c r="I50" s="3091"/>
      <c r="J50" s="3091"/>
      <c r="K50" s="3091"/>
      <c r="L50" s="3091"/>
      <c r="M50" s="3091"/>
      <c r="N50" s="3091"/>
      <c r="O50" s="3091"/>
      <c r="P50" s="3091"/>
      <c r="Q50" s="3091"/>
      <c r="R50" s="3091"/>
      <c r="S50" s="3091"/>
      <c r="T50" s="3091"/>
      <c r="U50" s="3091"/>
      <c r="V50" s="3091"/>
      <c r="W50" s="3091"/>
      <c r="X50" s="3091"/>
      <c r="Y50" s="3091"/>
      <c r="Z50" s="3091"/>
      <c r="AA50" s="3091"/>
      <c r="AB50" s="3237"/>
      <c r="AC50" s="1300" t="s">
        <v>90</v>
      </c>
      <c r="AD50" s="2566">
        <f>'FE-1770-I-hal 1'!AD50</f>
        <v>0</v>
      </c>
      <c r="AE50" s="2566"/>
      <c r="AF50" s="2566"/>
      <c r="AG50" s="2566"/>
      <c r="AH50" s="2566"/>
      <c r="AI50" s="2566"/>
      <c r="AJ50" s="2566"/>
      <c r="AK50" s="2566"/>
      <c r="AL50" s="2566"/>
      <c r="AM50" s="2566"/>
      <c r="AN50" s="2566"/>
      <c r="AO50" s="973"/>
      <c r="AP50" s="973"/>
    </row>
    <row r="51" spans="1:42" ht="3" customHeight="1">
      <c r="A51" s="1048"/>
      <c r="B51" s="1341"/>
      <c r="C51" s="1112"/>
      <c r="D51" s="1333"/>
      <c r="E51" s="1112"/>
      <c r="F51" s="1112"/>
      <c r="G51" s="1112"/>
      <c r="H51" s="1112"/>
      <c r="I51" s="1112"/>
      <c r="J51" s="1112"/>
      <c r="K51" s="1112"/>
      <c r="L51" s="1112"/>
      <c r="M51" s="1112"/>
      <c r="N51" s="1112"/>
      <c r="O51" s="1112"/>
      <c r="P51" s="1112"/>
      <c r="Q51" s="1112"/>
      <c r="R51" s="1112"/>
      <c r="S51" s="1112"/>
      <c r="T51" s="1112"/>
      <c r="U51" s="1116"/>
      <c r="V51" s="1116"/>
      <c r="W51" s="1116"/>
      <c r="X51" s="1116"/>
      <c r="Y51" s="1116"/>
      <c r="Z51" s="1116"/>
      <c r="AA51" s="973"/>
      <c r="AB51" s="973"/>
      <c r="AC51" s="1342"/>
      <c r="AD51" s="1815"/>
      <c r="AE51" s="1815"/>
      <c r="AF51" s="1815"/>
      <c r="AG51" s="1815"/>
      <c r="AH51" s="1815"/>
      <c r="AI51" s="1815"/>
      <c r="AJ51" s="1815"/>
      <c r="AK51" s="1815"/>
      <c r="AL51" s="1815"/>
      <c r="AM51" s="1815"/>
      <c r="AN51" s="1816"/>
      <c r="AO51" s="973"/>
      <c r="AP51" s="973"/>
    </row>
    <row r="52" spans="1:42" ht="22.5" customHeight="1">
      <c r="A52" s="993"/>
      <c r="B52" s="1344"/>
      <c r="C52" s="1345"/>
      <c r="D52" s="993" t="s">
        <v>47</v>
      </c>
      <c r="E52" s="3072" t="s">
        <v>198</v>
      </c>
      <c r="F52" s="3072"/>
      <c r="G52" s="3072"/>
      <c r="H52" s="3072"/>
      <c r="I52" s="3072"/>
      <c r="J52" s="3072"/>
      <c r="K52" s="3072"/>
      <c r="L52" s="3072"/>
      <c r="M52" s="3072"/>
      <c r="N52" s="3072"/>
      <c r="O52" s="3072"/>
      <c r="P52" s="3072"/>
      <c r="Q52" s="3072"/>
      <c r="R52" s="3072"/>
      <c r="S52" s="3072"/>
      <c r="T52" s="3072"/>
      <c r="U52" s="3072"/>
      <c r="V52" s="3072"/>
      <c r="W52" s="3072"/>
      <c r="X52" s="3072"/>
      <c r="Y52" s="3072"/>
      <c r="Z52" s="3072"/>
      <c r="AA52" s="3072"/>
      <c r="AB52" s="1340"/>
      <c r="AC52" s="1300" t="s">
        <v>91</v>
      </c>
      <c r="AD52" s="2566">
        <f>'FE-1770-I-hal 1'!AD52</f>
        <v>0</v>
      </c>
      <c r="AE52" s="2566"/>
      <c r="AF52" s="2566"/>
      <c r="AG52" s="2566"/>
      <c r="AH52" s="2566"/>
      <c r="AI52" s="2566"/>
      <c r="AJ52" s="2566"/>
      <c r="AK52" s="2566"/>
      <c r="AL52" s="2566"/>
      <c r="AM52" s="2566"/>
      <c r="AN52" s="2566"/>
      <c r="AO52" s="973"/>
      <c r="AP52" s="973"/>
    </row>
    <row r="53" spans="1:42" ht="3" customHeight="1">
      <c r="A53" s="1048"/>
      <c r="B53" s="1346"/>
      <c r="C53" s="855"/>
      <c r="D53" s="993"/>
      <c r="E53" s="1116"/>
      <c r="F53" s="1116"/>
      <c r="G53" s="1116"/>
      <c r="H53" s="1116"/>
      <c r="I53" s="1116"/>
      <c r="J53" s="1116"/>
      <c r="K53" s="1116"/>
      <c r="L53" s="1116"/>
      <c r="M53" s="1116"/>
      <c r="N53" s="1116"/>
      <c r="O53" s="1116"/>
      <c r="P53" s="1116"/>
      <c r="Q53" s="1116"/>
      <c r="R53" s="1116"/>
      <c r="S53" s="1116"/>
      <c r="T53" s="1116"/>
      <c r="U53" s="1116"/>
      <c r="V53" s="1116"/>
      <c r="W53" s="1116"/>
      <c r="X53" s="1116"/>
      <c r="Y53" s="1116"/>
      <c r="Z53" s="1116"/>
      <c r="AA53" s="973"/>
      <c r="AB53" s="973"/>
      <c r="AC53" s="1336"/>
      <c r="AD53" s="1815"/>
      <c r="AE53" s="1815"/>
      <c r="AF53" s="1815"/>
      <c r="AG53" s="1815"/>
      <c r="AH53" s="1815"/>
      <c r="AI53" s="1815"/>
      <c r="AJ53" s="1815"/>
      <c r="AK53" s="1815"/>
      <c r="AL53" s="1815"/>
      <c r="AM53" s="1815"/>
      <c r="AN53" s="1816"/>
      <c r="AO53" s="973"/>
      <c r="AP53" s="973"/>
    </row>
    <row r="54" spans="1:42" ht="22.5" customHeight="1">
      <c r="A54" s="993"/>
      <c r="B54" s="1344"/>
      <c r="C54" s="1347"/>
      <c r="D54" s="993" t="s">
        <v>92</v>
      </c>
      <c r="E54" s="3072" t="s">
        <v>199</v>
      </c>
      <c r="F54" s="3072"/>
      <c r="G54" s="3072"/>
      <c r="H54" s="3072"/>
      <c r="I54" s="3072"/>
      <c r="J54" s="3072"/>
      <c r="K54" s="3072"/>
      <c r="L54" s="3072"/>
      <c r="M54" s="3072"/>
      <c r="N54" s="3072"/>
      <c r="O54" s="3072"/>
      <c r="P54" s="3072"/>
      <c r="Q54" s="3072"/>
      <c r="R54" s="3072"/>
      <c r="S54" s="3072"/>
      <c r="T54" s="3072"/>
      <c r="U54" s="3072"/>
      <c r="V54" s="3072"/>
      <c r="W54" s="3072"/>
      <c r="X54" s="3072"/>
      <c r="Y54" s="3072"/>
      <c r="Z54" s="3072"/>
      <c r="AA54" s="3072"/>
      <c r="AB54" s="1348"/>
      <c r="AC54" s="1349" t="s">
        <v>93</v>
      </c>
      <c r="AD54" s="2566">
        <f>'FE-1770-I-hal 1'!AD54</f>
        <v>0</v>
      </c>
      <c r="AE54" s="2566"/>
      <c r="AF54" s="2566"/>
      <c r="AG54" s="2566"/>
      <c r="AH54" s="2566"/>
      <c r="AI54" s="2566"/>
      <c r="AJ54" s="2566"/>
      <c r="AK54" s="2566"/>
      <c r="AL54" s="2566"/>
      <c r="AM54" s="2566"/>
      <c r="AN54" s="2566"/>
      <c r="AO54" s="973"/>
      <c r="AP54" s="973"/>
    </row>
    <row r="55" spans="1:42" ht="5.25" customHeight="1">
      <c r="A55" s="993"/>
      <c r="B55" s="1350"/>
      <c r="C55" s="971"/>
      <c r="D55" s="1351"/>
      <c r="E55" s="1352"/>
      <c r="F55" s="1352"/>
      <c r="G55" s="1352"/>
      <c r="H55" s="1352"/>
      <c r="I55" s="1352"/>
      <c r="J55" s="1352"/>
      <c r="K55" s="1352"/>
      <c r="L55" s="1352"/>
      <c r="M55" s="1352"/>
      <c r="N55" s="1352"/>
      <c r="O55" s="1352"/>
      <c r="P55" s="1352"/>
      <c r="Q55" s="1352"/>
      <c r="R55" s="1352"/>
      <c r="S55" s="1352"/>
      <c r="T55" s="1352"/>
      <c r="U55" s="1352"/>
      <c r="V55" s="1352"/>
      <c r="W55" s="1352"/>
      <c r="X55" s="1352"/>
      <c r="Y55" s="1352"/>
      <c r="Z55" s="1033"/>
      <c r="AA55" s="1353"/>
      <c r="AB55" s="1353"/>
      <c r="AC55" s="1342"/>
      <c r="AD55" s="1817"/>
      <c r="AE55" s="1817"/>
      <c r="AF55" s="1817"/>
      <c r="AG55" s="1817"/>
      <c r="AH55" s="1817"/>
      <c r="AI55" s="1817"/>
      <c r="AJ55" s="1817"/>
      <c r="AK55" s="1817"/>
      <c r="AL55" s="1817"/>
      <c r="AM55" s="1817"/>
      <c r="AN55" s="1818"/>
      <c r="AO55" s="973"/>
      <c r="AP55" s="973"/>
    </row>
    <row r="56" spans="1:42" ht="0.75" customHeight="1">
      <c r="A56" s="993"/>
      <c r="B56" s="1344"/>
      <c r="C56" s="1347"/>
      <c r="D56" s="993"/>
      <c r="E56" s="1354"/>
      <c r="F56" s="1354"/>
      <c r="G56" s="1354"/>
      <c r="H56" s="1354"/>
      <c r="I56" s="1354"/>
      <c r="J56" s="1354"/>
      <c r="K56" s="1354"/>
      <c r="L56" s="1354"/>
      <c r="M56" s="1354"/>
      <c r="N56" s="1354"/>
      <c r="O56" s="1354"/>
      <c r="P56" s="1354"/>
      <c r="Q56" s="1354"/>
      <c r="R56" s="1354"/>
      <c r="S56" s="1354"/>
      <c r="T56" s="1354"/>
      <c r="U56" s="1354"/>
      <c r="V56" s="1354"/>
      <c r="W56" s="1354"/>
      <c r="X56" s="1354"/>
      <c r="Y56" s="1354"/>
      <c r="Z56" s="1116"/>
      <c r="AA56" s="973"/>
      <c r="AB56" s="973"/>
      <c r="AC56" s="1121"/>
      <c r="AD56" s="1815"/>
      <c r="AE56" s="1815"/>
      <c r="AF56" s="1815"/>
      <c r="AG56" s="1815"/>
      <c r="AH56" s="1815"/>
      <c r="AI56" s="1815"/>
      <c r="AJ56" s="1815"/>
      <c r="AK56" s="1815"/>
      <c r="AL56" s="1815"/>
      <c r="AM56" s="1815"/>
      <c r="AN56" s="1816"/>
      <c r="AO56" s="973"/>
      <c r="AP56" s="973"/>
    </row>
    <row r="57" spans="1:42" ht="3.75" customHeight="1">
      <c r="A57" s="993"/>
      <c r="B57" s="1344"/>
      <c r="C57" s="1347"/>
      <c r="D57" s="1322"/>
      <c r="E57" s="1420"/>
      <c r="F57" s="1420"/>
      <c r="G57" s="1420"/>
      <c r="H57" s="1420"/>
      <c r="I57" s="1420"/>
      <c r="J57" s="1420"/>
      <c r="K57" s="1420"/>
      <c r="L57" s="1420"/>
      <c r="M57" s="1420"/>
      <c r="N57" s="1420"/>
      <c r="O57" s="1420"/>
      <c r="P57" s="1420"/>
      <c r="Q57" s="1420"/>
      <c r="R57" s="1420"/>
      <c r="S57" s="1420"/>
      <c r="T57" s="879"/>
      <c r="U57" s="879"/>
      <c r="V57" s="879"/>
      <c r="W57" s="879"/>
      <c r="X57" s="879"/>
      <c r="Y57" s="879"/>
      <c r="Z57" s="879"/>
      <c r="AA57" s="1309"/>
      <c r="AB57" s="973"/>
      <c r="AC57" s="891"/>
      <c r="AD57" s="1815"/>
      <c r="AE57" s="1815"/>
      <c r="AF57" s="1815"/>
      <c r="AG57" s="1815"/>
      <c r="AH57" s="1815"/>
      <c r="AI57" s="1815"/>
      <c r="AJ57" s="1815"/>
      <c r="AK57" s="1815"/>
      <c r="AL57" s="1815"/>
      <c r="AM57" s="1815"/>
      <c r="AN57" s="1816"/>
      <c r="AO57" s="973"/>
      <c r="AP57" s="973"/>
    </row>
    <row r="58" spans="1:42" ht="18" customHeight="1">
      <c r="A58" s="993"/>
      <c r="B58" s="1355" t="s">
        <v>19</v>
      </c>
      <c r="C58" s="1356"/>
      <c r="D58" s="3238" t="s">
        <v>94</v>
      </c>
      <c r="E58" s="3238"/>
      <c r="F58" s="3238"/>
      <c r="G58" s="3238"/>
      <c r="H58" s="3238"/>
      <c r="I58" s="3238"/>
      <c r="J58" s="3238"/>
      <c r="K58" s="3238"/>
      <c r="L58" s="3238"/>
      <c r="M58" s="3238"/>
      <c r="N58" s="3238"/>
      <c r="O58" s="3238"/>
      <c r="P58" s="3238"/>
      <c r="Q58" s="3238"/>
      <c r="R58" s="3238"/>
      <c r="S58" s="3238"/>
      <c r="T58" s="3238"/>
      <c r="U58" s="3238"/>
      <c r="V58" s="3238"/>
      <c r="W58" s="3238"/>
      <c r="X58" s="3238"/>
      <c r="Y58" s="3238"/>
      <c r="Z58" s="3238"/>
      <c r="AA58" s="1309"/>
      <c r="AB58" s="973"/>
      <c r="AC58" s="891"/>
      <c r="AD58" s="1815"/>
      <c r="AE58" s="1815"/>
      <c r="AF58" s="1815"/>
      <c r="AG58" s="1815"/>
      <c r="AH58" s="1815"/>
      <c r="AI58" s="1815"/>
      <c r="AJ58" s="1815"/>
      <c r="AK58" s="1815"/>
      <c r="AL58" s="1815"/>
      <c r="AM58" s="1815"/>
      <c r="AN58" s="1816"/>
      <c r="AO58" s="973"/>
      <c r="AP58" s="973"/>
    </row>
    <row r="59" spans="1:42" ht="24" customHeight="1">
      <c r="A59" s="993"/>
      <c r="B59" s="1344"/>
      <c r="C59" s="855"/>
      <c r="D59" s="993" t="s">
        <v>39</v>
      </c>
      <c r="E59" s="3072" t="s">
        <v>200</v>
      </c>
      <c r="F59" s="3072"/>
      <c r="G59" s="3072"/>
      <c r="H59" s="3072"/>
      <c r="I59" s="3072"/>
      <c r="J59" s="3072"/>
      <c r="K59" s="3072"/>
      <c r="L59" s="3072"/>
      <c r="M59" s="3072"/>
      <c r="N59" s="3072"/>
      <c r="O59" s="3072"/>
      <c r="P59" s="3072"/>
      <c r="Q59" s="3072"/>
      <c r="R59" s="3072"/>
      <c r="S59" s="3072"/>
      <c r="T59" s="3072"/>
      <c r="U59" s="3072"/>
      <c r="V59" s="3072"/>
      <c r="W59" s="3072"/>
      <c r="X59" s="3072"/>
      <c r="Y59" s="3072"/>
      <c r="Z59" s="3072"/>
      <c r="AA59" s="3072"/>
      <c r="AB59" s="1357"/>
      <c r="AC59" s="1358" t="s">
        <v>95</v>
      </c>
      <c r="AD59" s="2566">
        <f>'FE-1770-I-hal 1'!AD59</f>
        <v>0</v>
      </c>
      <c r="AE59" s="2566"/>
      <c r="AF59" s="2566"/>
      <c r="AG59" s="2566"/>
      <c r="AH59" s="2566"/>
      <c r="AI59" s="2566"/>
      <c r="AJ59" s="2566"/>
      <c r="AK59" s="2566"/>
      <c r="AL59" s="2566"/>
      <c r="AM59" s="2566"/>
      <c r="AN59" s="2566"/>
      <c r="AO59" s="973"/>
      <c r="AP59" s="973"/>
    </row>
    <row r="60" spans="1:42" ht="2.25" customHeight="1">
      <c r="A60" s="993"/>
      <c r="B60" s="1344"/>
      <c r="C60" s="855"/>
      <c r="D60" s="993"/>
      <c r="E60" s="1116"/>
      <c r="F60" s="1116"/>
      <c r="G60" s="1116"/>
      <c r="H60" s="1116"/>
      <c r="I60" s="1116"/>
      <c r="J60" s="1116"/>
      <c r="K60" s="1116"/>
      <c r="L60" s="1116"/>
      <c r="M60" s="1116"/>
      <c r="N60" s="1116"/>
      <c r="O60" s="1116"/>
      <c r="P60" s="1116"/>
      <c r="Q60" s="1116"/>
      <c r="R60" s="1116"/>
      <c r="S60" s="1116"/>
      <c r="T60" s="1116"/>
      <c r="U60" s="1116"/>
      <c r="V60" s="1116"/>
      <c r="W60" s="1116"/>
      <c r="X60" s="1116"/>
      <c r="Y60" s="1116"/>
      <c r="Z60" s="855"/>
      <c r="AA60" s="973"/>
      <c r="AB60" s="973"/>
      <c r="AC60" s="982"/>
      <c r="AD60" s="1815"/>
      <c r="AE60" s="1815"/>
      <c r="AF60" s="1815"/>
      <c r="AG60" s="1815"/>
      <c r="AH60" s="1815"/>
      <c r="AI60" s="1815"/>
      <c r="AJ60" s="1815"/>
      <c r="AK60" s="1815"/>
      <c r="AL60" s="1815"/>
      <c r="AM60" s="1815"/>
      <c r="AN60" s="1816"/>
      <c r="AO60" s="973"/>
      <c r="AP60" s="973"/>
    </row>
    <row r="61" spans="1:42" ht="26.25" customHeight="1">
      <c r="A61" s="993"/>
      <c r="B61" s="1344"/>
      <c r="C61" s="855"/>
      <c r="D61" s="993" t="s">
        <v>41</v>
      </c>
      <c r="E61" s="3072" t="s">
        <v>201</v>
      </c>
      <c r="F61" s="3072"/>
      <c r="G61" s="3072"/>
      <c r="H61" s="3072"/>
      <c r="I61" s="3072"/>
      <c r="J61" s="3072"/>
      <c r="K61" s="3072"/>
      <c r="L61" s="3072"/>
      <c r="M61" s="3072"/>
      <c r="N61" s="3072"/>
      <c r="O61" s="3072"/>
      <c r="P61" s="3072"/>
      <c r="Q61" s="3072"/>
      <c r="R61" s="3072"/>
      <c r="S61" s="3072"/>
      <c r="T61" s="3072"/>
      <c r="U61" s="3072"/>
      <c r="V61" s="3072"/>
      <c r="W61" s="3072"/>
      <c r="X61" s="3072"/>
      <c r="Y61" s="3072"/>
      <c r="Z61" s="3072"/>
      <c r="AA61" s="3072"/>
      <c r="AB61" s="1340"/>
      <c r="AC61" s="1358" t="s">
        <v>96</v>
      </c>
      <c r="AD61" s="2566">
        <f>'FE-1770-I-hal 1'!AD61</f>
        <v>0</v>
      </c>
      <c r="AE61" s="2566"/>
      <c r="AF61" s="2566"/>
      <c r="AG61" s="2566"/>
      <c r="AH61" s="2566"/>
      <c r="AI61" s="2566"/>
      <c r="AJ61" s="2566"/>
      <c r="AK61" s="2566"/>
      <c r="AL61" s="2566"/>
      <c r="AM61" s="2566"/>
      <c r="AN61" s="2566"/>
      <c r="AO61" s="973"/>
      <c r="AP61" s="973"/>
    </row>
    <row r="62" spans="1:42" ht="2.25" customHeight="1">
      <c r="A62" s="1359"/>
      <c r="B62" s="1360"/>
      <c r="C62" s="1361"/>
      <c r="D62" s="999"/>
      <c r="E62" s="1362"/>
      <c r="F62" s="1362"/>
      <c r="G62" s="1362"/>
      <c r="H62" s="1362"/>
      <c r="I62" s="1362"/>
      <c r="J62" s="1362"/>
      <c r="K62" s="1362"/>
      <c r="L62" s="1362"/>
      <c r="M62" s="1116"/>
      <c r="N62" s="1116"/>
      <c r="O62" s="1116"/>
      <c r="P62" s="1116"/>
      <c r="Q62" s="1116"/>
      <c r="R62" s="1116"/>
      <c r="S62" s="1116"/>
      <c r="T62" s="1116"/>
      <c r="U62" s="1116"/>
      <c r="V62" s="1116"/>
      <c r="W62" s="1116"/>
      <c r="X62" s="1116"/>
      <c r="Y62" s="1116"/>
      <c r="Z62" s="973"/>
      <c r="AA62" s="973"/>
      <c r="AB62" s="973"/>
      <c r="AC62" s="982"/>
      <c r="AD62" s="1815"/>
      <c r="AE62" s="1815"/>
      <c r="AF62" s="1815"/>
      <c r="AG62" s="1815"/>
      <c r="AH62" s="1815"/>
      <c r="AI62" s="1815"/>
      <c r="AJ62" s="1815"/>
      <c r="AK62" s="1815"/>
      <c r="AL62" s="1815"/>
      <c r="AM62" s="1815"/>
      <c r="AN62" s="1816"/>
      <c r="AO62" s="973"/>
      <c r="AP62" s="973"/>
    </row>
    <row r="63" spans="1:42" ht="24" customHeight="1">
      <c r="A63" s="1359"/>
      <c r="B63" s="1360"/>
      <c r="C63" s="1361"/>
      <c r="D63" s="999" t="s">
        <v>46</v>
      </c>
      <c r="E63" s="3235" t="s">
        <v>202</v>
      </c>
      <c r="F63" s="3235"/>
      <c r="G63" s="3235"/>
      <c r="H63" s="3235"/>
      <c r="I63" s="3235"/>
      <c r="J63" s="3235"/>
      <c r="K63" s="3235"/>
      <c r="L63" s="3235"/>
      <c r="M63" s="3235"/>
      <c r="N63" s="3235"/>
      <c r="O63" s="3235"/>
      <c r="P63" s="3235"/>
      <c r="Q63" s="3235"/>
      <c r="R63" s="3235"/>
      <c r="S63" s="3235"/>
      <c r="T63" s="3235"/>
      <c r="U63" s="3235"/>
      <c r="V63" s="3235"/>
      <c r="W63" s="3235"/>
      <c r="X63" s="3235"/>
      <c r="Y63" s="3235"/>
      <c r="Z63" s="3235"/>
      <c r="AA63" s="3235"/>
      <c r="AB63" s="1363"/>
      <c r="AC63" s="1364" t="s">
        <v>97</v>
      </c>
      <c r="AD63" s="2566">
        <f>'FE-1770-I-hal 1'!AD63</f>
        <v>0</v>
      </c>
      <c r="AE63" s="2566"/>
      <c r="AF63" s="2566"/>
      <c r="AG63" s="2566"/>
      <c r="AH63" s="2566"/>
      <c r="AI63" s="2566"/>
      <c r="AJ63" s="2566"/>
      <c r="AK63" s="2566"/>
      <c r="AL63" s="2566"/>
      <c r="AM63" s="2566"/>
      <c r="AN63" s="2566"/>
      <c r="AO63" s="973"/>
      <c r="AP63" s="973"/>
    </row>
    <row r="64" spans="1:42" ht="3" customHeight="1">
      <c r="A64" s="1359"/>
      <c r="B64" s="1360"/>
      <c r="C64" s="1361"/>
      <c r="D64" s="999"/>
      <c r="E64" s="1365"/>
      <c r="F64" s="1365"/>
      <c r="G64" s="1365"/>
      <c r="H64" s="1365"/>
      <c r="I64" s="1365"/>
      <c r="J64" s="1365"/>
      <c r="K64" s="1365"/>
      <c r="L64" s="1365"/>
      <c r="M64" s="1365"/>
      <c r="N64" s="1365"/>
      <c r="O64" s="1365"/>
      <c r="P64" s="1365"/>
      <c r="Q64" s="1365"/>
      <c r="R64" s="1365"/>
      <c r="S64" s="1365"/>
      <c r="T64" s="1365"/>
      <c r="U64" s="1365"/>
      <c r="V64" s="1365"/>
      <c r="W64" s="1365"/>
      <c r="X64" s="1365"/>
      <c r="Y64" s="1365"/>
      <c r="Z64" s="973"/>
      <c r="AA64" s="973"/>
      <c r="AB64" s="973"/>
      <c r="AC64" s="982"/>
      <c r="AD64" s="1815"/>
      <c r="AE64" s="1815"/>
      <c r="AF64" s="1815"/>
      <c r="AG64" s="1815"/>
      <c r="AH64" s="1815"/>
      <c r="AI64" s="1815"/>
      <c r="AJ64" s="1815"/>
      <c r="AK64" s="1815"/>
      <c r="AL64" s="1815"/>
      <c r="AM64" s="1815"/>
      <c r="AN64" s="1816"/>
      <c r="AO64" s="973"/>
      <c r="AP64" s="973"/>
    </row>
    <row r="65" spans="1:42" ht="34.5" customHeight="1">
      <c r="A65" s="1048"/>
      <c r="B65" s="1366"/>
      <c r="C65" s="1347"/>
      <c r="D65" s="993" t="s">
        <v>47</v>
      </c>
      <c r="E65" s="3235" t="s">
        <v>203</v>
      </c>
      <c r="F65" s="3235"/>
      <c r="G65" s="3235"/>
      <c r="H65" s="3235"/>
      <c r="I65" s="3235"/>
      <c r="J65" s="3235"/>
      <c r="K65" s="3235"/>
      <c r="L65" s="3235"/>
      <c r="M65" s="3235"/>
      <c r="N65" s="3235"/>
      <c r="O65" s="3235"/>
      <c r="P65" s="3235"/>
      <c r="Q65" s="3235"/>
      <c r="R65" s="3235"/>
      <c r="S65" s="3235"/>
      <c r="T65" s="3235"/>
      <c r="U65" s="3235"/>
      <c r="V65" s="3235"/>
      <c r="W65" s="3235"/>
      <c r="X65" s="3235"/>
      <c r="Y65" s="3235"/>
      <c r="Z65" s="3235"/>
      <c r="AA65" s="3235"/>
      <c r="AB65" s="1367"/>
      <c r="AC65" s="1364" t="s">
        <v>98</v>
      </c>
      <c r="AD65" s="2570">
        <f>'FE-1770-I-hal 1'!AD65</f>
        <v>0</v>
      </c>
      <c r="AE65" s="2570"/>
      <c r="AF65" s="2570"/>
      <c r="AG65" s="2570"/>
      <c r="AH65" s="2570"/>
      <c r="AI65" s="2570"/>
      <c r="AJ65" s="2570"/>
      <c r="AK65" s="2570"/>
      <c r="AL65" s="2570"/>
      <c r="AM65" s="2570"/>
      <c r="AN65" s="2570"/>
      <c r="AO65" s="973"/>
      <c r="AP65" s="973"/>
    </row>
    <row r="66" spans="1:42" ht="3" customHeight="1">
      <c r="A66" s="1048"/>
      <c r="B66" s="1368"/>
      <c r="C66" s="1347"/>
      <c r="D66" s="993"/>
      <c r="E66" s="979"/>
      <c r="F66" s="979"/>
      <c r="G66" s="979"/>
      <c r="H66" s="979"/>
      <c r="I66" s="979"/>
      <c r="J66" s="979"/>
      <c r="K66" s="979"/>
      <c r="L66" s="979"/>
      <c r="M66" s="979"/>
      <c r="N66" s="979"/>
      <c r="O66" s="979"/>
      <c r="P66" s="979"/>
      <c r="Q66" s="979"/>
      <c r="R66" s="979"/>
      <c r="S66" s="979"/>
      <c r="T66" s="979"/>
      <c r="U66" s="979"/>
      <c r="V66" s="979"/>
      <c r="W66" s="979"/>
      <c r="X66" s="979"/>
      <c r="Y66" s="979"/>
      <c r="Z66" s="855"/>
      <c r="AA66" s="973"/>
      <c r="AB66" s="973"/>
      <c r="AC66" s="982"/>
      <c r="AD66" s="1815"/>
      <c r="AE66" s="1815"/>
      <c r="AF66" s="1815"/>
      <c r="AG66" s="1815"/>
      <c r="AH66" s="1815"/>
      <c r="AI66" s="1815"/>
      <c r="AJ66" s="1815"/>
      <c r="AK66" s="1815"/>
      <c r="AL66" s="1815"/>
      <c r="AM66" s="1815"/>
      <c r="AN66" s="1816"/>
      <c r="AO66" s="973"/>
      <c r="AP66" s="973"/>
    </row>
    <row r="67" spans="1:42" ht="21.75" customHeight="1">
      <c r="A67" s="1048"/>
      <c r="B67" s="1366"/>
      <c r="C67" s="1347"/>
      <c r="D67" s="993" t="s">
        <v>92</v>
      </c>
      <c r="E67" s="3072" t="s">
        <v>204</v>
      </c>
      <c r="F67" s="3072"/>
      <c r="G67" s="3072"/>
      <c r="H67" s="3072"/>
      <c r="I67" s="3072"/>
      <c r="J67" s="3072"/>
      <c r="K67" s="3072"/>
      <c r="L67" s="3072"/>
      <c r="M67" s="3072"/>
      <c r="N67" s="3072"/>
      <c r="O67" s="3072"/>
      <c r="P67" s="3072"/>
      <c r="Q67" s="3072"/>
      <c r="R67" s="3072"/>
      <c r="S67" s="3072"/>
      <c r="T67" s="3072"/>
      <c r="U67" s="3072"/>
      <c r="V67" s="3072"/>
      <c r="W67" s="3072"/>
      <c r="X67" s="3072"/>
      <c r="Y67" s="3072"/>
      <c r="Z67" s="3072"/>
      <c r="AA67" s="3092"/>
      <c r="AB67" s="1337"/>
      <c r="AC67" s="1300" t="s">
        <v>99</v>
      </c>
      <c r="AD67" s="2566">
        <f>'FE-1770-I-hal 1'!AD67</f>
        <v>0</v>
      </c>
      <c r="AE67" s="2566"/>
      <c r="AF67" s="2566"/>
      <c r="AG67" s="2566"/>
      <c r="AH67" s="2566"/>
      <c r="AI67" s="2566"/>
      <c r="AJ67" s="2566"/>
      <c r="AK67" s="2566"/>
      <c r="AL67" s="2566"/>
      <c r="AM67" s="2566"/>
      <c r="AN67" s="2566"/>
      <c r="AO67" s="973"/>
      <c r="AP67" s="973"/>
    </row>
    <row r="68" spans="1:42" ht="3" customHeight="1">
      <c r="A68" s="1048"/>
      <c r="B68" s="1368"/>
      <c r="C68" s="1347"/>
      <c r="D68" s="993"/>
      <c r="E68" s="979"/>
      <c r="F68" s="979"/>
      <c r="G68" s="979"/>
      <c r="H68" s="979"/>
      <c r="I68" s="979"/>
      <c r="J68" s="979"/>
      <c r="K68" s="979"/>
      <c r="L68" s="979"/>
      <c r="M68" s="979"/>
      <c r="N68" s="979"/>
      <c r="O68" s="979"/>
      <c r="P68" s="979"/>
      <c r="Q68" s="979"/>
      <c r="R68" s="979"/>
      <c r="S68" s="979"/>
      <c r="T68" s="979"/>
      <c r="U68" s="979"/>
      <c r="V68" s="979"/>
      <c r="W68" s="979"/>
      <c r="X68" s="979"/>
      <c r="Y68" s="979"/>
      <c r="Z68" s="855"/>
      <c r="AA68" s="973"/>
      <c r="AB68" s="973"/>
      <c r="AC68" s="982"/>
      <c r="AD68" s="1815"/>
      <c r="AE68" s="1815"/>
      <c r="AF68" s="1815"/>
      <c r="AG68" s="1815"/>
      <c r="AH68" s="1815"/>
      <c r="AI68" s="1815"/>
      <c r="AJ68" s="1815"/>
      <c r="AK68" s="1815"/>
      <c r="AL68" s="1815"/>
      <c r="AM68" s="1815"/>
      <c r="AN68" s="1816"/>
      <c r="AO68" s="973"/>
      <c r="AP68" s="973"/>
    </row>
    <row r="69" spans="1:42" ht="22.5" customHeight="1">
      <c r="A69" s="1048"/>
      <c r="B69" s="1366"/>
      <c r="C69" s="1278"/>
      <c r="D69" s="993" t="s">
        <v>100</v>
      </c>
      <c r="E69" s="3072" t="s">
        <v>205</v>
      </c>
      <c r="F69" s="3072"/>
      <c r="G69" s="3072"/>
      <c r="H69" s="3072"/>
      <c r="I69" s="3072"/>
      <c r="J69" s="3072"/>
      <c r="K69" s="3072"/>
      <c r="L69" s="3072"/>
      <c r="M69" s="3072"/>
      <c r="N69" s="3072"/>
      <c r="O69" s="3072"/>
      <c r="P69" s="3072"/>
      <c r="Q69" s="3072"/>
      <c r="R69" s="3072"/>
      <c r="S69" s="3072"/>
      <c r="T69" s="3072"/>
      <c r="U69" s="3072"/>
      <c r="V69" s="3072"/>
      <c r="W69" s="3072"/>
      <c r="X69" s="3072"/>
      <c r="Y69" s="3072"/>
      <c r="Z69" s="3092"/>
      <c r="AA69" s="3092"/>
      <c r="AB69" s="1369"/>
      <c r="AC69" s="1358" t="s">
        <v>101</v>
      </c>
      <c r="AD69" s="2566">
        <f>'FE-1770-I-hal 1'!AD69</f>
        <v>0</v>
      </c>
      <c r="AE69" s="2566"/>
      <c r="AF69" s="2566"/>
      <c r="AG69" s="2566"/>
      <c r="AH69" s="2566"/>
      <c r="AI69" s="2566"/>
      <c r="AJ69" s="2566"/>
      <c r="AK69" s="2566"/>
      <c r="AL69" s="2566"/>
      <c r="AM69" s="2566"/>
      <c r="AN69" s="2566"/>
      <c r="AO69" s="973"/>
      <c r="AP69" s="973"/>
    </row>
    <row r="70" spans="1:42" ht="2.25" customHeight="1">
      <c r="A70" s="1048"/>
      <c r="B70" s="1368"/>
      <c r="C70" s="1347"/>
      <c r="D70" s="993"/>
      <c r="E70" s="979"/>
      <c r="F70" s="979"/>
      <c r="G70" s="979"/>
      <c r="H70" s="979"/>
      <c r="I70" s="979"/>
      <c r="J70" s="979"/>
      <c r="K70" s="979"/>
      <c r="L70" s="979"/>
      <c r="M70" s="979"/>
      <c r="N70" s="979"/>
      <c r="O70" s="979"/>
      <c r="P70" s="979"/>
      <c r="Q70" s="979"/>
      <c r="R70" s="979"/>
      <c r="S70" s="979"/>
      <c r="T70" s="979"/>
      <c r="U70" s="979"/>
      <c r="V70" s="979"/>
      <c r="W70" s="979"/>
      <c r="X70" s="979"/>
      <c r="Y70" s="979"/>
      <c r="Z70" s="855"/>
      <c r="AA70" s="973"/>
      <c r="AB70" s="973"/>
      <c r="AC70" s="982"/>
      <c r="AD70" s="1815"/>
      <c r="AE70" s="1815"/>
      <c r="AF70" s="1815"/>
      <c r="AG70" s="1815"/>
      <c r="AH70" s="1815"/>
      <c r="AI70" s="1815"/>
      <c r="AJ70" s="1815"/>
      <c r="AK70" s="1815"/>
      <c r="AL70" s="1815"/>
      <c r="AM70" s="1815"/>
      <c r="AN70" s="1816"/>
      <c r="AO70" s="973"/>
      <c r="AP70" s="973"/>
    </row>
    <row r="71" spans="1:42" ht="22.5" customHeight="1">
      <c r="A71" s="1048"/>
      <c r="B71" s="1366"/>
      <c r="C71" s="1347"/>
      <c r="D71" s="993" t="s">
        <v>102</v>
      </c>
      <c r="E71" s="3072" t="s">
        <v>206</v>
      </c>
      <c r="F71" s="3072"/>
      <c r="G71" s="3072"/>
      <c r="H71" s="3072"/>
      <c r="I71" s="3072"/>
      <c r="J71" s="3072"/>
      <c r="K71" s="3072"/>
      <c r="L71" s="3072"/>
      <c r="M71" s="3072"/>
      <c r="N71" s="3072"/>
      <c r="O71" s="3072"/>
      <c r="P71" s="3072"/>
      <c r="Q71" s="3072"/>
      <c r="R71" s="3072"/>
      <c r="S71" s="3072"/>
      <c r="T71" s="3072"/>
      <c r="U71" s="3072"/>
      <c r="V71" s="3072"/>
      <c r="W71" s="3072"/>
      <c r="X71" s="3072"/>
      <c r="Y71" s="3072"/>
      <c r="Z71" s="3092"/>
      <c r="AA71" s="3092"/>
      <c r="AB71" s="1337"/>
      <c r="AC71" s="1300" t="s">
        <v>103</v>
      </c>
      <c r="AD71" s="2566">
        <f>'FE-1770-I-hal 1'!AD71</f>
        <v>0</v>
      </c>
      <c r="AE71" s="2566"/>
      <c r="AF71" s="2566"/>
      <c r="AG71" s="2566"/>
      <c r="AH71" s="2566"/>
      <c r="AI71" s="2566"/>
      <c r="AJ71" s="2566"/>
      <c r="AK71" s="2566"/>
      <c r="AL71" s="2566"/>
      <c r="AM71" s="2566"/>
      <c r="AN71" s="2566"/>
      <c r="AO71" s="973"/>
      <c r="AP71" s="973"/>
    </row>
    <row r="72" spans="1:42" ht="2.25" customHeight="1">
      <c r="A72" s="1048"/>
      <c r="B72" s="1366"/>
      <c r="C72" s="1347"/>
      <c r="D72" s="993"/>
      <c r="E72" s="979"/>
      <c r="F72" s="979"/>
      <c r="G72" s="979"/>
      <c r="H72" s="979"/>
      <c r="I72" s="979"/>
      <c r="J72" s="979"/>
      <c r="K72" s="979"/>
      <c r="L72" s="979"/>
      <c r="M72" s="979"/>
      <c r="N72" s="979"/>
      <c r="O72" s="979"/>
      <c r="P72" s="979"/>
      <c r="Q72" s="979"/>
      <c r="R72" s="979"/>
      <c r="S72" s="979"/>
      <c r="T72" s="979"/>
      <c r="U72" s="979"/>
      <c r="V72" s="979"/>
      <c r="W72" s="979"/>
      <c r="X72" s="979"/>
      <c r="Y72" s="979"/>
      <c r="Z72" s="855"/>
      <c r="AA72" s="973"/>
      <c r="AB72" s="973"/>
      <c r="AC72" s="982"/>
      <c r="AD72" s="1815"/>
      <c r="AE72" s="1815"/>
      <c r="AF72" s="1815"/>
      <c r="AG72" s="1815"/>
      <c r="AH72" s="1815"/>
      <c r="AI72" s="1815"/>
      <c r="AJ72" s="1815"/>
      <c r="AK72" s="1815"/>
      <c r="AL72" s="1815"/>
      <c r="AM72" s="1815"/>
      <c r="AN72" s="1816"/>
      <c r="AO72" s="973"/>
      <c r="AP72" s="973"/>
    </row>
    <row r="73" spans="1:42" ht="21.75" customHeight="1">
      <c r="A73" s="1048"/>
      <c r="B73" s="1370"/>
      <c r="D73" s="993" t="s">
        <v>104</v>
      </c>
      <c r="E73" s="3072" t="s">
        <v>207</v>
      </c>
      <c r="F73" s="3072"/>
      <c r="G73" s="3072"/>
      <c r="H73" s="3072"/>
      <c r="I73" s="3072"/>
      <c r="J73" s="3072"/>
      <c r="K73" s="3072"/>
      <c r="L73" s="3072"/>
      <c r="M73" s="3072"/>
      <c r="N73" s="3072"/>
      <c r="O73" s="3072"/>
      <c r="P73" s="3072"/>
      <c r="Q73" s="3072"/>
      <c r="R73" s="3072"/>
      <c r="S73" s="3072"/>
      <c r="T73" s="3072"/>
      <c r="U73" s="3072"/>
      <c r="V73" s="3072"/>
      <c r="W73" s="3072"/>
      <c r="X73" s="3072"/>
      <c r="Y73" s="3072"/>
      <c r="Z73" s="3092"/>
      <c r="AA73" s="3092"/>
      <c r="AB73" s="1027"/>
      <c r="AC73" s="1300" t="s">
        <v>105</v>
      </c>
      <c r="AD73" s="2566">
        <f>'FE-1770-I-hal 1'!AD73</f>
        <v>0</v>
      </c>
      <c r="AE73" s="2566"/>
      <c r="AF73" s="2566"/>
      <c r="AG73" s="2566"/>
      <c r="AH73" s="2566"/>
      <c r="AI73" s="2566"/>
      <c r="AJ73" s="2566"/>
      <c r="AK73" s="2566"/>
      <c r="AL73" s="2566"/>
      <c r="AM73" s="2566"/>
      <c r="AN73" s="2566"/>
      <c r="AO73" s="975"/>
      <c r="AP73" s="975"/>
    </row>
    <row r="74" spans="1:42" ht="3" customHeight="1">
      <c r="A74" s="1048"/>
      <c r="B74" s="1370"/>
      <c r="D74" s="993"/>
      <c r="E74" s="1116"/>
      <c r="F74" s="1116"/>
      <c r="G74" s="1116"/>
      <c r="H74" s="1116"/>
      <c r="I74" s="1116"/>
      <c r="J74" s="1116"/>
      <c r="K74" s="1116"/>
      <c r="L74" s="1116"/>
      <c r="M74" s="1116"/>
      <c r="N74" s="1116"/>
      <c r="O74" s="1116"/>
      <c r="P74" s="1116"/>
      <c r="Q74" s="1116"/>
      <c r="R74" s="1116"/>
      <c r="S74" s="1116"/>
      <c r="T74" s="1116"/>
      <c r="U74" s="1116"/>
      <c r="V74" s="1116"/>
      <c r="W74" s="1116"/>
      <c r="X74" s="1116"/>
      <c r="Y74" s="1116"/>
      <c r="Z74" s="975"/>
      <c r="AA74" s="973"/>
      <c r="AB74" s="975"/>
      <c r="AC74" s="982"/>
      <c r="AD74" s="1807"/>
      <c r="AE74" s="1807"/>
      <c r="AF74" s="1807"/>
      <c r="AG74" s="1807"/>
      <c r="AH74" s="1807"/>
      <c r="AI74" s="1807"/>
      <c r="AJ74" s="1807"/>
      <c r="AK74" s="1807"/>
      <c r="AL74" s="1807"/>
      <c r="AM74" s="1807"/>
      <c r="AN74" s="1808"/>
      <c r="AO74" s="975"/>
      <c r="AP74" s="975"/>
    </row>
    <row r="75" spans="1:42" ht="24.75" customHeight="1">
      <c r="A75" s="993"/>
      <c r="B75" s="1344"/>
      <c r="C75" s="1278"/>
      <c r="D75" s="993" t="s">
        <v>106</v>
      </c>
      <c r="E75" s="3091" t="s">
        <v>208</v>
      </c>
      <c r="F75" s="3091"/>
      <c r="G75" s="3091"/>
      <c r="H75" s="3091"/>
      <c r="I75" s="3091"/>
      <c r="J75" s="3091"/>
      <c r="K75" s="3091"/>
      <c r="L75" s="3091"/>
      <c r="M75" s="3091"/>
      <c r="N75" s="3091"/>
      <c r="O75" s="3091"/>
      <c r="P75" s="3091"/>
      <c r="Q75" s="3091"/>
      <c r="R75" s="3091"/>
      <c r="S75" s="3091"/>
      <c r="T75" s="3091"/>
      <c r="U75" s="3091"/>
      <c r="V75" s="3091"/>
      <c r="W75" s="3091"/>
      <c r="X75" s="3091"/>
      <c r="Y75" s="3091"/>
      <c r="Z75" s="3091"/>
      <c r="AA75" s="3091"/>
      <c r="AB75" s="1340"/>
      <c r="AC75" s="1358" t="s">
        <v>107</v>
      </c>
      <c r="AD75" s="2566">
        <f>'FE-1770-I-hal 1'!AD75</f>
        <v>0</v>
      </c>
      <c r="AE75" s="2566"/>
      <c r="AF75" s="2566"/>
      <c r="AG75" s="2566"/>
      <c r="AH75" s="2566"/>
      <c r="AI75" s="2566"/>
      <c r="AJ75" s="2566"/>
      <c r="AK75" s="2566"/>
      <c r="AL75" s="2566"/>
      <c r="AM75" s="2566"/>
      <c r="AN75" s="2566"/>
      <c r="AO75" s="855"/>
      <c r="AP75" s="855"/>
    </row>
    <row r="76" spans="1:42" ht="2.25" customHeight="1">
      <c r="A76" s="993"/>
      <c r="B76" s="1368"/>
      <c r="C76" s="1347"/>
      <c r="D76" s="993"/>
      <c r="E76" s="979"/>
      <c r="F76" s="979"/>
      <c r="G76" s="979"/>
      <c r="H76" s="979"/>
      <c r="I76" s="979"/>
      <c r="J76" s="979"/>
      <c r="K76" s="979"/>
      <c r="L76" s="979"/>
      <c r="M76" s="979"/>
      <c r="N76" s="979"/>
      <c r="O76" s="979"/>
      <c r="P76" s="979"/>
      <c r="Q76" s="979"/>
      <c r="R76" s="979"/>
      <c r="S76" s="979"/>
      <c r="T76" s="979"/>
      <c r="U76" s="979"/>
      <c r="V76" s="979"/>
      <c r="W76" s="979"/>
      <c r="X76" s="1116"/>
      <c r="Y76" s="1116"/>
      <c r="Z76" s="855"/>
      <c r="AA76" s="973"/>
      <c r="AB76" s="855"/>
      <c r="AC76" s="952"/>
      <c r="AD76" s="1819"/>
      <c r="AE76" s="1819"/>
      <c r="AF76" s="1819"/>
      <c r="AG76" s="1819"/>
      <c r="AH76" s="1819"/>
      <c r="AI76" s="1819"/>
      <c r="AJ76" s="1819"/>
      <c r="AK76" s="1819"/>
      <c r="AL76" s="1819"/>
      <c r="AM76" s="1819"/>
      <c r="AN76" s="1820"/>
      <c r="AO76" s="855"/>
      <c r="AP76" s="855"/>
    </row>
    <row r="77" spans="1:42" ht="23.25" customHeight="1">
      <c r="A77" s="993"/>
      <c r="B77" s="1344"/>
      <c r="C77" s="1118"/>
      <c r="D77" s="993" t="s">
        <v>108</v>
      </c>
      <c r="E77" s="3234" t="s">
        <v>209</v>
      </c>
      <c r="F77" s="3234"/>
      <c r="G77" s="3234"/>
      <c r="H77" s="3234"/>
      <c r="I77" s="3234"/>
      <c r="J77" s="3234"/>
      <c r="K77" s="3234"/>
      <c r="L77" s="3234"/>
      <c r="M77" s="3234"/>
      <c r="N77" s="3234"/>
      <c r="O77" s="3234"/>
      <c r="P77" s="3234"/>
      <c r="Q77" s="3234"/>
      <c r="R77" s="3234"/>
      <c r="S77" s="3234"/>
      <c r="T77" s="3234"/>
      <c r="U77" s="3234"/>
      <c r="V77" s="3234"/>
      <c r="W77" s="3234"/>
      <c r="X77" s="3234"/>
      <c r="Y77" s="3234"/>
      <c r="Z77" s="3234"/>
      <c r="AA77" s="3234"/>
      <c r="AB77" s="1372"/>
      <c r="AC77" s="1364" t="s">
        <v>109</v>
      </c>
      <c r="AD77" s="2566">
        <f>'FE-1770-I-hal 1'!AD77</f>
        <v>0</v>
      </c>
      <c r="AE77" s="2566"/>
      <c r="AF77" s="2566"/>
      <c r="AG77" s="2566"/>
      <c r="AH77" s="2566"/>
      <c r="AI77" s="2566"/>
      <c r="AJ77" s="2566"/>
      <c r="AK77" s="2566"/>
      <c r="AL77" s="2566"/>
      <c r="AM77" s="2566"/>
      <c r="AN77" s="2566"/>
      <c r="AO77" s="855"/>
      <c r="AP77" s="855"/>
    </row>
    <row r="78" spans="1:42" ht="3.75" customHeight="1">
      <c r="A78" s="993"/>
      <c r="B78" s="1344"/>
      <c r="C78" s="1118"/>
      <c r="D78" s="993"/>
      <c r="E78" s="1365"/>
      <c r="F78" s="1365"/>
      <c r="G78" s="1365"/>
      <c r="H78" s="1365"/>
      <c r="I78" s="1365"/>
      <c r="J78" s="1365"/>
      <c r="K78" s="1365"/>
      <c r="L78" s="1365"/>
      <c r="M78" s="1365"/>
      <c r="N78" s="1365"/>
      <c r="O78" s="1365"/>
      <c r="P78" s="1365"/>
      <c r="Q78" s="1365"/>
      <c r="R78" s="1365"/>
      <c r="S78" s="1365"/>
      <c r="T78" s="1365"/>
      <c r="U78" s="1365"/>
      <c r="V78" s="1365"/>
      <c r="W78" s="1365"/>
      <c r="X78" s="1365"/>
      <c r="Y78" s="1365"/>
      <c r="Z78" s="1373"/>
      <c r="AA78" s="973"/>
      <c r="AB78" s="1373"/>
      <c r="AC78" s="1374"/>
      <c r="AD78" s="1821"/>
      <c r="AE78" s="1821"/>
      <c r="AF78" s="1821"/>
      <c r="AG78" s="1821"/>
      <c r="AH78" s="1821"/>
      <c r="AI78" s="1821"/>
      <c r="AJ78" s="1821"/>
      <c r="AK78" s="1821"/>
      <c r="AL78" s="1819"/>
      <c r="AM78" s="1819"/>
      <c r="AN78" s="1820"/>
      <c r="AO78" s="855"/>
      <c r="AP78" s="855"/>
    </row>
    <row r="79" spans="1:42" ht="22.5" customHeight="1">
      <c r="A79" s="855"/>
      <c r="B79" s="1366"/>
      <c r="C79" s="1278"/>
      <c r="D79" s="993" t="s">
        <v>110</v>
      </c>
      <c r="E79" s="3235" t="s">
        <v>210</v>
      </c>
      <c r="F79" s="3235"/>
      <c r="G79" s="3235"/>
      <c r="H79" s="3235"/>
      <c r="I79" s="3235"/>
      <c r="J79" s="3235"/>
      <c r="K79" s="3235"/>
      <c r="L79" s="3235"/>
      <c r="M79" s="3235"/>
      <c r="N79" s="3235"/>
      <c r="O79" s="3235"/>
      <c r="P79" s="3235"/>
      <c r="Q79" s="3235"/>
      <c r="R79" s="3235"/>
      <c r="S79" s="3235"/>
      <c r="T79" s="3235"/>
      <c r="U79" s="3235"/>
      <c r="V79" s="3235"/>
      <c r="W79" s="3235"/>
      <c r="X79" s="3235"/>
      <c r="Y79" s="3235"/>
      <c r="Z79" s="3235"/>
      <c r="AA79" s="3092"/>
      <c r="AB79" s="1371"/>
      <c r="AC79" s="1300" t="s">
        <v>111</v>
      </c>
      <c r="AD79" s="2566">
        <f>'FE-1770-I-hal 1'!AD79</f>
        <v>0</v>
      </c>
      <c r="AE79" s="2566"/>
      <c r="AF79" s="2566"/>
      <c r="AG79" s="2566"/>
      <c r="AH79" s="2566"/>
      <c r="AI79" s="2566"/>
      <c r="AJ79" s="2566"/>
      <c r="AK79" s="2566"/>
      <c r="AL79" s="2566"/>
      <c r="AM79" s="2566"/>
      <c r="AN79" s="2566"/>
      <c r="AO79" s="855"/>
      <c r="AP79" s="855"/>
    </row>
    <row r="80" spans="1:42" ht="3.75" customHeight="1">
      <c r="A80" s="855"/>
      <c r="B80" s="1368"/>
      <c r="C80" s="1347"/>
      <c r="D80" s="993"/>
      <c r="E80" s="979"/>
      <c r="F80" s="979"/>
      <c r="G80" s="979"/>
      <c r="H80" s="979"/>
      <c r="I80" s="979"/>
      <c r="J80" s="979"/>
      <c r="K80" s="979"/>
      <c r="L80" s="979"/>
      <c r="M80" s="979"/>
      <c r="N80" s="979"/>
      <c r="O80" s="979"/>
      <c r="P80" s="979"/>
      <c r="Q80" s="979"/>
      <c r="R80" s="979"/>
      <c r="S80" s="979"/>
      <c r="T80" s="979"/>
      <c r="U80" s="979"/>
      <c r="V80" s="979"/>
      <c r="W80" s="979"/>
      <c r="X80" s="1116"/>
      <c r="Y80" s="1116"/>
      <c r="Z80" s="855"/>
      <c r="AA80" s="973"/>
      <c r="AB80" s="855"/>
      <c r="AC80" s="982"/>
      <c r="AD80" s="1819"/>
      <c r="AE80" s="1819"/>
      <c r="AF80" s="1819"/>
      <c r="AG80" s="1819"/>
      <c r="AH80" s="1819"/>
      <c r="AI80" s="1819"/>
      <c r="AJ80" s="1819"/>
      <c r="AK80" s="1819"/>
      <c r="AL80" s="1819"/>
      <c r="AM80" s="1819"/>
      <c r="AN80" s="1820"/>
      <c r="AO80" s="855"/>
      <c r="AP80" s="855"/>
    </row>
    <row r="81" spans="1:42" ht="21" customHeight="1">
      <c r="A81" s="993"/>
      <c r="B81" s="1344"/>
      <c r="C81" s="1347"/>
      <c r="D81" s="993" t="s">
        <v>112</v>
      </c>
      <c r="E81" s="3072" t="s">
        <v>211</v>
      </c>
      <c r="F81" s="3072"/>
      <c r="G81" s="3072"/>
      <c r="H81" s="3072"/>
      <c r="I81" s="3072"/>
      <c r="J81" s="3072"/>
      <c r="K81" s="3072"/>
      <c r="L81" s="3072"/>
      <c r="M81" s="3072"/>
      <c r="N81" s="3072"/>
      <c r="O81" s="3072"/>
      <c r="P81" s="3072"/>
      <c r="Q81" s="3072"/>
      <c r="R81" s="3072"/>
      <c r="S81" s="3072"/>
      <c r="T81" s="3072"/>
      <c r="U81" s="3072"/>
      <c r="V81" s="3072"/>
      <c r="W81" s="3072"/>
      <c r="X81" s="3072"/>
      <c r="Y81" s="3072"/>
      <c r="Z81" s="3092"/>
      <c r="AA81" s="3092"/>
      <c r="AB81" s="1369"/>
      <c r="AC81" s="1375" t="s">
        <v>113</v>
      </c>
      <c r="AD81" s="2566">
        <f>'FE-1770-I-hal 1'!AD81</f>
        <v>0</v>
      </c>
      <c r="AE81" s="2566"/>
      <c r="AF81" s="2566"/>
      <c r="AG81" s="2566"/>
      <c r="AH81" s="2566"/>
      <c r="AI81" s="2566"/>
      <c r="AJ81" s="2566"/>
      <c r="AK81" s="2566"/>
      <c r="AL81" s="2566"/>
      <c r="AM81" s="2566"/>
      <c r="AN81" s="2566"/>
      <c r="AO81" s="855"/>
      <c r="AP81" s="855"/>
    </row>
    <row r="82" spans="1:42" ht="5.25" customHeight="1">
      <c r="A82" s="993"/>
      <c r="B82" s="1344"/>
      <c r="C82" s="1347"/>
      <c r="D82" s="993"/>
      <c r="E82" s="1117"/>
      <c r="F82" s="1117"/>
      <c r="G82" s="1117"/>
      <c r="H82" s="1117"/>
      <c r="I82" s="1117"/>
      <c r="J82" s="1117"/>
      <c r="K82" s="1117"/>
      <c r="L82" s="1117"/>
      <c r="M82" s="1117"/>
      <c r="N82" s="1117"/>
      <c r="O82" s="1117"/>
      <c r="P82" s="1117"/>
      <c r="Q82" s="1117"/>
      <c r="R82" s="1117"/>
      <c r="S82" s="1117"/>
      <c r="T82" s="1117"/>
      <c r="U82" s="1117"/>
      <c r="V82" s="1117"/>
      <c r="W82" s="1117"/>
      <c r="X82" s="1117"/>
      <c r="Y82" s="1117"/>
      <c r="Z82" s="1376"/>
      <c r="AA82" s="973"/>
      <c r="AB82" s="1376"/>
      <c r="AC82" s="1377"/>
      <c r="AD82" s="2566"/>
      <c r="AE82" s="2566"/>
      <c r="AF82" s="2566"/>
      <c r="AG82" s="2566"/>
      <c r="AH82" s="2566"/>
      <c r="AI82" s="2566"/>
      <c r="AJ82" s="2566"/>
      <c r="AK82" s="2566"/>
      <c r="AL82" s="2566"/>
      <c r="AM82" s="2566"/>
      <c r="AN82" s="2566"/>
      <c r="AO82" s="855"/>
      <c r="AP82" s="855"/>
    </row>
    <row r="83" spans="1:42" ht="3.75" customHeight="1">
      <c r="A83" s="987"/>
      <c r="B83" s="1378"/>
      <c r="C83" s="1379"/>
      <c r="D83" s="1379"/>
      <c r="E83" s="1379"/>
      <c r="F83" s="1379"/>
      <c r="G83" s="1040"/>
      <c r="H83" s="1040"/>
      <c r="I83" s="1040"/>
      <c r="J83" s="1040"/>
      <c r="K83" s="1040"/>
      <c r="L83" s="1040"/>
      <c r="M83" s="1040"/>
      <c r="N83" s="1040"/>
      <c r="O83" s="1040"/>
      <c r="P83" s="1040"/>
      <c r="Q83" s="1040"/>
      <c r="R83" s="1040"/>
      <c r="S83" s="1040"/>
      <c r="T83" s="1040"/>
      <c r="U83" s="1040"/>
      <c r="V83" s="1040"/>
      <c r="W83" s="1040"/>
      <c r="X83" s="1040"/>
      <c r="Y83" s="1040"/>
      <c r="Z83" s="1040"/>
      <c r="AA83" s="1380"/>
      <c r="AB83" s="1040"/>
      <c r="AC83" s="1381"/>
      <c r="AD83" s="1822"/>
      <c r="AE83" s="1822"/>
      <c r="AF83" s="1822"/>
      <c r="AG83" s="1822"/>
      <c r="AH83" s="1822"/>
      <c r="AI83" s="1822"/>
      <c r="AJ83" s="1822"/>
      <c r="AK83" s="1822"/>
      <c r="AL83" s="1822"/>
      <c r="AM83" s="1822"/>
      <c r="AN83" s="1823"/>
      <c r="AO83" s="975"/>
      <c r="AP83" s="975"/>
    </row>
    <row r="84" spans="1:42" ht="7.5" customHeight="1">
      <c r="A84" s="993"/>
      <c r="B84" s="3239" t="s">
        <v>20</v>
      </c>
      <c r="C84" s="1356"/>
      <c r="D84" s="3238" t="s">
        <v>114</v>
      </c>
      <c r="E84" s="3238"/>
      <c r="F84" s="3238"/>
      <c r="G84" s="3238"/>
      <c r="H84" s="3238"/>
      <c r="I84" s="3238"/>
      <c r="J84" s="3238"/>
      <c r="K84" s="3238"/>
      <c r="L84" s="3238"/>
      <c r="M84" s="3238"/>
      <c r="N84" s="3238"/>
      <c r="O84" s="3238"/>
      <c r="P84" s="3238"/>
      <c r="Q84" s="3238"/>
      <c r="R84" s="3238"/>
      <c r="S84" s="3238"/>
      <c r="T84" s="3238"/>
      <c r="U84" s="3238"/>
      <c r="V84" s="3238"/>
      <c r="W84" s="3238"/>
      <c r="X84" s="855"/>
      <c r="Y84" s="855"/>
      <c r="Z84" s="855"/>
      <c r="AA84" s="976"/>
      <c r="AB84" s="855"/>
      <c r="AC84" s="879"/>
      <c r="AD84" s="1819"/>
      <c r="AE84" s="1819"/>
      <c r="AF84" s="1819"/>
      <c r="AG84" s="1819"/>
      <c r="AH84" s="1807"/>
      <c r="AI84" s="1807"/>
      <c r="AJ84" s="1807"/>
      <c r="AK84" s="1807"/>
      <c r="AL84" s="1807"/>
      <c r="AM84" s="1807"/>
      <c r="AN84" s="1808"/>
      <c r="AO84" s="975"/>
      <c r="AP84" s="975"/>
    </row>
    <row r="85" spans="1:42" ht="12" customHeight="1">
      <c r="A85" s="855"/>
      <c r="B85" s="3239"/>
      <c r="C85" s="1356"/>
      <c r="D85" s="3238"/>
      <c r="E85" s="3238"/>
      <c r="F85" s="3238"/>
      <c r="G85" s="3238"/>
      <c r="H85" s="3238"/>
      <c r="I85" s="3238"/>
      <c r="J85" s="3238"/>
      <c r="K85" s="3238"/>
      <c r="L85" s="3238"/>
      <c r="M85" s="3238"/>
      <c r="N85" s="3238"/>
      <c r="O85" s="3238"/>
      <c r="P85" s="3238"/>
      <c r="Q85" s="3238"/>
      <c r="R85" s="3238"/>
      <c r="S85" s="3238"/>
      <c r="T85" s="3238"/>
      <c r="U85" s="3238"/>
      <c r="V85" s="3238"/>
      <c r="W85" s="3238"/>
      <c r="X85" s="855"/>
      <c r="Y85" s="855"/>
      <c r="Z85" s="855"/>
      <c r="AA85" s="1309"/>
      <c r="AB85" s="855"/>
      <c r="AC85" s="879"/>
      <c r="AD85" s="1819"/>
      <c r="AE85" s="1819"/>
      <c r="AF85" s="1819"/>
      <c r="AG85" s="1819"/>
      <c r="AH85" s="1819"/>
      <c r="AI85" s="1819"/>
      <c r="AJ85" s="1819"/>
      <c r="AK85" s="1819"/>
      <c r="AL85" s="1819"/>
      <c r="AM85" s="1819"/>
      <c r="AN85" s="1820"/>
      <c r="AO85" s="855"/>
      <c r="AP85" s="855"/>
    </row>
    <row r="86" spans="1:42" ht="24" customHeight="1">
      <c r="A86" s="855"/>
      <c r="B86" s="1382"/>
      <c r="C86" s="1383"/>
      <c r="D86" s="993" t="s">
        <v>39</v>
      </c>
      <c r="E86" s="3072" t="s">
        <v>212</v>
      </c>
      <c r="F86" s="3072"/>
      <c r="G86" s="3072"/>
      <c r="H86" s="3072"/>
      <c r="I86" s="3072"/>
      <c r="J86" s="3072"/>
      <c r="K86" s="3072"/>
      <c r="L86" s="3072"/>
      <c r="M86" s="3072"/>
      <c r="N86" s="3072"/>
      <c r="O86" s="3072"/>
      <c r="P86" s="3072"/>
      <c r="Q86" s="3072"/>
      <c r="R86" s="3072"/>
      <c r="S86" s="3072"/>
      <c r="T86" s="3072"/>
      <c r="U86" s="3072"/>
      <c r="V86" s="3072"/>
      <c r="W86" s="3072"/>
      <c r="X86" s="3072"/>
      <c r="Y86" s="3072"/>
      <c r="Z86" s="3072"/>
      <c r="AA86" s="3072"/>
      <c r="AB86" s="1340"/>
      <c r="AC86" s="1358" t="s">
        <v>115</v>
      </c>
      <c r="AD86" s="2566">
        <f>'FE-1770-I-hal 1'!AD86</f>
        <v>0</v>
      </c>
      <c r="AE86" s="2566"/>
      <c r="AF86" s="2566"/>
      <c r="AG86" s="2566"/>
      <c r="AH86" s="2566"/>
      <c r="AI86" s="2566"/>
      <c r="AJ86" s="2566"/>
      <c r="AK86" s="2566"/>
      <c r="AL86" s="2566"/>
      <c r="AM86" s="2566"/>
      <c r="AN86" s="2566"/>
      <c r="AO86" s="855"/>
      <c r="AP86" s="855"/>
    </row>
    <row r="87" spans="1:42" ht="3.75" customHeight="1">
      <c r="A87" s="855"/>
      <c r="B87" s="1382"/>
      <c r="C87" s="1383"/>
      <c r="D87" s="1384"/>
      <c r="E87" s="1385"/>
      <c r="F87" s="1385"/>
      <c r="G87" s="1385"/>
      <c r="H87" s="1385"/>
      <c r="I87" s="1385"/>
      <c r="J87" s="1385"/>
      <c r="K87" s="1385"/>
      <c r="L87" s="1385"/>
      <c r="M87" s="1385"/>
      <c r="N87" s="1385"/>
      <c r="O87" s="1385"/>
      <c r="P87" s="1385"/>
      <c r="Q87" s="1385"/>
      <c r="R87" s="1385"/>
      <c r="S87" s="1385"/>
      <c r="T87" s="1385"/>
      <c r="U87" s="1385"/>
      <c r="V87" s="1385"/>
      <c r="W87" s="1385"/>
      <c r="X87" s="1116"/>
      <c r="Y87" s="1116"/>
      <c r="Z87" s="855"/>
      <c r="AA87" s="973"/>
      <c r="AB87" s="855"/>
      <c r="AC87" s="1121"/>
      <c r="AD87" s="1819"/>
      <c r="AE87" s="1819"/>
      <c r="AF87" s="1819"/>
      <c r="AG87" s="1819"/>
      <c r="AH87" s="1819"/>
      <c r="AI87" s="1819"/>
      <c r="AJ87" s="1819"/>
      <c r="AK87" s="1819"/>
      <c r="AL87" s="1819"/>
      <c r="AM87" s="1819"/>
      <c r="AN87" s="1820"/>
      <c r="AO87" s="855"/>
      <c r="AP87" s="855"/>
    </row>
    <row r="88" spans="1:42" ht="24.75" customHeight="1">
      <c r="A88" s="855"/>
      <c r="B88" s="1382"/>
      <c r="C88" s="1383"/>
      <c r="D88" s="993" t="s">
        <v>41</v>
      </c>
      <c r="E88" s="3072" t="s">
        <v>213</v>
      </c>
      <c r="F88" s="3072"/>
      <c r="G88" s="3072"/>
      <c r="H88" s="3072"/>
      <c r="I88" s="3072"/>
      <c r="J88" s="3072"/>
      <c r="K88" s="3072"/>
      <c r="L88" s="3072"/>
      <c r="M88" s="3072"/>
      <c r="N88" s="3072"/>
      <c r="O88" s="3072"/>
      <c r="P88" s="3072"/>
      <c r="Q88" s="3072"/>
      <c r="R88" s="3072"/>
      <c r="S88" s="3072"/>
      <c r="T88" s="3072"/>
      <c r="U88" s="3072"/>
      <c r="V88" s="3072"/>
      <c r="W88" s="3072"/>
      <c r="X88" s="3072"/>
      <c r="Y88" s="3072"/>
      <c r="Z88" s="3072"/>
      <c r="AA88" s="3092"/>
      <c r="AB88" s="1386"/>
      <c r="AC88" s="1300" t="s">
        <v>116</v>
      </c>
      <c r="AD88" s="2566">
        <f>'FE-1770-I-hal 1'!AD88</f>
        <v>0</v>
      </c>
      <c r="AE88" s="2566"/>
      <c r="AF88" s="2566"/>
      <c r="AG88" s="2566"/>
      <c r="AH88" s="2566"/>
      <c r="AI88" s="2566"/>
      <c r="AJ88" s="2566"/>
      <c r="AK88" s="2566"/>
      <c r="AL88" s="2566"/>
      <c r="AM88" s="2566"/>
      <c r="AN88" s="2566"/>
      <c r="AO88" s="855"/>
      <c r="AP88" s="855"/>
    </row>
    <row r="89" spans="1:42" ht="3.75" customHeight="1">
      <c r="A89" s="855"/>
      <c r="B89" s="1382"/>
      <c r="C89" s="1383"/>
      <c r="D89" s="1384"/>
      <c r="E89" s="1385"/>
      <c r="F89" s="1385"/>
      <c r="G89" s="1385"/>
      <c r="H89" s="1385"/>
      <c r="I89" s="1385"/>
      <c r="J89" s="1385"/>
      <c r="K89" s="1385"/>
      <c r="L89" s="1385"/>
      <c r="M89" s="1385"/>
      <c r="N89" s="1385"/>
      <c r="O89" s="1385"/>
      <c r="P89" s="1385"/>
      <c r="Q89" s="1385"/>
      <c r="R89" s="1385"/>
      <c r="S89" s="1385"/>
      <c r="T89" s="1385"/>
      <c r="U89" s="1385"/>
      <c r="V89" s="1385"/>
      <c r="W89" s="1385"/>
      <c r="X89" s="1116"/>
      <c r="Y89" s="1116"/>
      <c r="Z89" s="855"/>
      <c r="AA89" s="973"/>
      <c r="AB89" s="855"/>
      <c r="AC89" s="1121"/>
      <c r="AD89" s="1819"/>
      <c r="AE89" s="1819"/>
      <c r="AF89" s="1819"/>
      <c r="AG89" s="1819"/>
      <c r="AH89" s="1819"/>
      <c r="AI89" s="1819"/>
      <c r="AJ89" s="1819"/>
      <c r="AK89" s="1819"/>
      <c r="AL89" s="1819"/>
      <c r="AM89" s="1819"/>
      <c r="AN89" s="1820"/>
      <c r="AO89" s="855"/>
      <c r="AP89" s="855"/>
    </row>
    <row r="90" spans="1:42" ht="22.5" customHeight="1">
      <c r="A90" s="855"/>
      <c r="B90" s="1382"/>
      <c r="C90" s="1383"/>
      <c r="D90" s="1384" t="s">
        <v>46</v>
      </c>
      <c r="E90" s="3235" t="s">
        <v>214</v>
      </c>
      <c r="F90" s="3235"/>
      <c r="G90" s="3235"/>
      <c r="H90" s="3235"/>
      <c r="I90" s="3235"/>
      <c r="J90" s="3235"/>
      <c r="K90" s="3235"/>
      <c r="L90" s="3235"/>
      <c r="M90" s="3235"/>
      <c r="N90" s="3235"/>
      <c r="O90" s="3235"/>
      <c r="P90" s="3235"/>
      <c r="Q90" s="3235"/>
      <c r="R90" s="3235"/>
      <c r="S90" s="3235"/>
      <c r="T90" s="3235"/>
      <c r="U90" s="3235"/>
      <c r="V90" s="3235"/>
      <c r="W90" s="3235"/>
      <c r="X90" s="3235"/>
      <c r="Y90" s="3235"/>
      <c r="Z90" s="3092"/>
      <c r="AA90" s="3092"/>
      <c r="AB90" s="1369"/>
      <c r="AC90" s="1358" t="s">
        <v>117</v>
      </c>
      <c r="AD90" s="2566">
        <f>'FE-1770-I-hal 1'!AD90</f>
        <v>0</v>
      </c>
      <c r="AE90" s="2566"/>
      <c r="AF90" s="2566"/>
      <c r="AG90" s="2566"/>
      <c r="AH90" s="2566"/>
      <c r="AI90" s="2566"/>
      <c r="AJ90" s="2566"/>
      <c r="AK90" s="2566"/>
      <c r="AL90" s="2566"/>
      <c r="AM90" s="2566"/>
      <c r="AN90" s="2566"/>
      <c r="AO90" s="855"/>
      <c r="AP90" s="855"/>
    </row>
    <row r="91" spans="1:42" ht="3.75" customHeight="1">
      <c r="A91" s="855"/>
      <c r="B91" s="1382"/>
      <c r="C91" s="1383"/>
      <c r="D91" s="1384"/>
      <c r="E91" s="1387"/>
      <c r="F91" s="1387"/>
      <c r="G91" s="1387"/>
      <c r="H91" s="1387"/>
      <c r="I91" s="1387"/>
      <c r="J91" s="1387"/>
      <c r="K91" s="1387"/>
      <c r="L91" s="1387"/>
      <c r="M91" s="1387"/>
      <c r="N91" s="1387"/>
      <c r="O91" s="1387"/>
      <c r="P91" s="1387"/>
      <c r="Q91" s="1385"/>
      <c r="R91" s="1385"/>
      <c r="S91" s="1385"/>
      <c r="T91" s="1385"/>
      <c r="U91" s="1385"/>
      <c r="V91" s="1385"/>
      <c r="W91" s="1385"/>
      <c r="X91" s="1116"/>
      <c r="Y91" s="1116"/>
      <c r="Z91" s="855"/>
      <c r="AA91" s="973"/>
      <c r="AB91" s="855"/>
      <c r="AC91" s="1121"/>
      <c r="AD91" s="1819"/>
      <c r="AE91" s="1819"/>
      <c r="AF91" s="1819"/>
      <c r="AG91" s="1819"/>
      <c r="AH91" s="1819"/>
      <c r="AI91" s="1819"/>
      <c r="AJ91" s="1819"/>
      <c r="AK91" s="1819"/>
      <c r="AL91" s="1819"/>
      <c r="AM91" s="1819"/>
      <c r="AN91" s="1820"/>
      <c r="AO91" s="855"/>
      <c r="AP91" s="855"/>
    </row>
    <row r="92" spans="1:42" ht="21.75" customHeight="1">
      <c r="A92" s="1347"/>
      <c r="B92" s="1332"/>
      <c r="C92" s="975"/>
      <c r="D92" s="993" t="s">
        <v>47</v>
      </c>
      <c r="E92" s="3072" t="s">
        <v>215</v>
      </c>
      <c r="F92" s="3072"/>
      <c r="G92" s="3072"/>
      <c r="H92" s="3072"/>
      <c r="I92" s="3072"/>
      <c r="J92" s="3072"/>
      <c r="K92" s="3072"/>
      <c r="L92" s="3072"/>
      <c r="M92" s="3072"/>
      <c r="N92" s="3072"/>
      <c r="O92" s="3072"/>
      <c r="P92" s="3072"/>
      <c r="Q92" s="3072"/>
      <c r="R92" s="3072"/>
      <c r="S92" s="3072"/>
      <c r="T92" s="3072"/>
      <c r="U92" s="3072"/>
      <c r="V92" s="3072"/>
      <c r="W92" s="3072"/>
      <c r="X92" s="3072"/>
      <c r="Y92" s="3072"/>
      <c r="Z92" s="3092"/>
      <c r="AA92" s="3092"/>
      <c r="AB92" s="1388"/>
      <c r="AC92" s="1375" t="s">
        <v>118</v>
      </c>
      <c r="AD92" s="2566">
        <f>'FE-1770-I-hal 1'!AD92</f>
        <v>0</v>
      </c>
      <c r="AE92" s="2566"/>
      <c r="AF92" s="2566"/>
      <c r="AG92" s="2566"/>
      <c r="AH92" s="2566"/>
      <c r="AI92" s="2566"/>
      <c r="AJ92" s="2566"/>
      <c r="AK92" s="2566"/>
      <c r="AL92" s="2566"/>
      <c r="AM92" s="2566"/>
      <c r="AN92" s="2566"/>
      <c r="AO92" s="855"/>
      <c r="AP92" s="855"/>
    </row>
    <row r="93" spans="1:42" ht="3" customHeight="1">
      <c r="A93" s="975"/>
      <c r="B93" s="1389"/>
      <c r="C93" s="1012"/>
      <c r="D93" s="1012"/>
      <c r="E93" s="1012"/>
      <c r="F93" s="1012"/>
      <c r="G93" s="1012"/>
      <c r="H93" s="1012"/>
      <c r="I93" s="1012"/>
      <c r="J93" s="1012"/>
      <c r="K93" s="1012"/>
      <c r="L93" s="1012"/>
      <c r="M93" s="1012"/>
      <c r="N93" s="1012"/>
      <c r="O93" s="1012"/>
      <c r="P93" s="1012"/>
      <c r="Q93" s="1012"/>
      <c r="R93" s="1012"/>
      <c r="S93" s="1012"/>
      <c r="T93" s="1012"/>
      <c r="U93" s="1012"/>
      <c r="V93" s="1012"/>
      <c r="W93" s="1012"/>
      <c r="X93" s="1012"/>
      <c r="Y93" s="1012"/>
      <c r="Z93" s="1012"/>
      <c r="AA93" s="1011"/>
      <c r="AB93" s="1012"/>
      <c r="AC93" s="1010"/>
      <c r="AD93" s="1824"/>
      <c r="AE93" s="1824"/>
      <c r="AF93" s="1824"/>
      <c r="AG93" s="1824"/>
      <c r="AH93" s="1824"/>
      <c r="AI93" s="1824"/>
      <c r="AJ93" s="1824"/>
      <c r="AK93" s="1824"/>
      <c r="AL93" s="1824"/>
      <c r="AM93" s="1824"/>
      <c r="AN93" s="1825"/>
      <c r="AO93" s="857"/>
      <c r="AP93" s="857"/>
    </row>
    <row r="94" spans="1:42" ht="4.5" customHeight="1">
      <c r="A94" s="975"/>
      <c r="B94" s="1390"/>
      <c r="C94" s="1356"/>
      <c r="D94" s="973"/>
      <c r="E94" s="1333"/>
      <c r="F94" s="1333"/>
      <c r="G94" s="1333"/>
      <c r="H94" s="1333"/>
      <c r="I94" s="1333"/>
      <c r="J94" s="1333"/>
      <c r="K94" s="1333"/>
      <c r="L94" s="1333"/>
      <c r="M94" s="1333"/>
      <c r="N94" s="1333"/>
      <c r="O94" s="1333"/>
      <c r="P94" s="1333"/>
      <c r="Q94" s="1333"/>
      <c r="R94" s="1333"/>
      <c r="S94" s="1333"/>
      <c r="T94" s="1333"/>
      <c r="U94" s="1333"/>
      <c r="V94" s="1333"/>
      <c r="W94" s="1333"/>
      <c r="X94" s="1333"/>
      <c r="Y94" s="1333"/>
      <c r="Z94" s="1333"/>
      <c r="AA94" s="1333"/>
      <c r="AB94" s="1333"/>
      <c r="AC94" s="973"/>
      <c r="AD94" s="1826"/>
      <c r="AE94" s="1826"/>
      <c r="AF94" s="1826"/>
      <c r="AG94" s="1826"/>
      <c r="AH94" s="1826"/>
      <c r="AI94" s="1826"/>
      <c r="AJ94" s="1826"/>
      <c r="AK94" s="1807"/>
      <c r="AL94" s="1807"/>
      <c r="AM94" s="1807"/>
      <c r="AN94" s="1808"/>
      <c r="AO94" s="857"/>
      <c r="AP94" s="857"/>
    </row>
    <row r="95" spans="1:42" ht="21" customHeight="1">
      <c r="A95" s="975"/>
      <c r="B95" s="1355">
        <v>4</v>
      </c>
      <c r="C95" s="1356"/>
      <c r="D95" s="3236" t="s">
        <v>216</v>
      </c>
      <c r="E95" s="3236"/>
      <c r="F95" s="3236"/>
      <c r="G95" s="3236"/>
      <c r="H95" s="3236"/>
      <c r="I95" s="3236"/>
      <c r="J95" s="3236"/>
      <c r="K95" s="3236"/>
      <c r="L95" s="3236"/>
      <c r="M95" s="3236"/>
      <c r="N95" s="3236"/>
      <c r="O95" s="3236"/>
      <c r="P95" s="3236"/>
      <c r="Q95" s="3236"/>
      <c r="R95" s="3236"/>
      <c r="S95" s="3236"/>
      <c r="T95" s="3236"/>
      <c r="U95" s="3236"/>
      <c r="V95" s="3236"/>
      <c r="W95" s="3236"/>
      <c r="X95" s="3236"/>
      <c r="Y95" s="3236"/>
      <c r="Z95" s="3236"/>
      <c r="AA95" s="3236"/>
      <c r="AB95" s="1392"/>
      <c r="AC95" s="1300">
        <v>4</v>
      </c>
      <c r="AD95" s="2566">
        <f>'FE-1770-I-hal 1'!AD95</f>
        <v>0</v>
      </c>
      <c r="AE95" s="2566"/>
      <c r="AF95" s="2566"/>
      <c r="AG95" s="2566"/>
      <c r="AH95" s="2566"/>
      <c r="AI95" s="2566"/>
      <c r="AJ95" s="2566"/>
      <c r="AK95" s="2566"/>
      <c r="AL95" s="2566"/>
      <c r="AM95" s="2566"/>
      <c r="AN95" s="2566"/>
      <c r="AO95" s="857"/>
      <c r="AP95" s="857"/>
    </row>
    <row r="96" spans="1:42" ht="3.75" customHeight="1">
      <c r="A96" s="1347"/>
      <c r="B96" s="1393"/>
      <c r="C96" s="1040"/>
      <c r="D96" s="1394"/>
      <c r="E96" s="1394"/>
      <c r="F96" s="1394"/>
      <c r="G96" s="1394"/>
      <c r="H96" s="1394"/>
      <c r="I96" s="1394"/>
      <c r="J96" s="1394"/>
      <c r="K96" s="1394"/>
      <c r="L96" s="1394"/>
      <c r="M96" s="1394"/>
      <c r="N96" s="1394"/>
      <c r="O96" s="1394"/>
      <c r="P96" s="1394"/>
      <c r="Q96" s="1394"/>
      <c r="R96" s="1394"/>
      <c r="S96" s="1394"/>
      <c r="T96" s="1394"/>
      <c r="U96" s="1394"/>
      <c r="V96" s="1394"/>
      <c r="W96" s="1394"/>
      <c r="X96" s="1394"/>
      <c r="Y96" s="1394"/>
      <c r="Z96" s="1394"/>
      <c r="AA96" s="1394"/>
      <c r="AB96" s="1394"/>
      <c r="AC96" s="1394"/>
      <c r="AD96" s="1394"/>
      <c r="AE96" s="1394"/>
      <c r="AF96" s="1394"/>
      <c r="AG96" s="1394"/>
      <c r="AH96" s="1394"/>
      <c r="AI96" s="1394"/>
      <c r="AJ96" s="1394"/>
      <c r="AK96" s="1395"/>
      <c r="AL96" s="1395"/>
      <c r="AM96" s="1395"/>
      <c r="AN96" s="1396"/>
      <c r="AO96" s="857"/>
      <c r="AP96" s="857"/>
    </row>
    <row r="97" spans="1:42" ht="6" customHeight="1">
      <c r="A97" s="1347"/>
      <c r="B97" s="975"/>
      <c r="C97" s="975"/>
      <c r="D97" s="1391"/>
      <c r="E97" s="1391"/>
      <c r="F97" s="1391"/>
      <c r="G97" s="1391"/>
      <c r="H97" s="1391"/>
      <c r="I97" s="1391"/>
      <c r="J97" s="1391"/>
      <c r="K97" s="1391"/>
      <c r="L97" s="1391"/>
      <c r="M97" s="1391"/>
      <c r="N97" s="1391"/>
      <c r="O97" s="1391"/>
      <c r="P97" s="1391"/>
      <c r="Q97" s="1391"/>
      <c r="R97" s="1391"/>
      <c r="S97" s="1391"/>
      <c r="T97" s="1391"/>
      <c r="U97" s="1391"/>
      <c r="V97" s="1391"/>
      <c r="W97" s="1391"/>
      <c r="X97" s="1391"/>
      <c r="Y97" s="1391"/>
      <c r="Z97" s="1391"/>
      <c r="AA97" s="1391"/>
      <c r="AB97" s="1391"/>
      <c r="AC97" s="1391"/>
      <c r="AD97" s="1391"/>
      <c r="AE97" s="1391"/>
      <c r="AF97" s="1391"/>
      <c r="AG97" s="1391"/>
      <c r="AH97" s="1391"/>
      <c r="AI97" s="1391"/>
      <c r="AJ97" s="1391"/>
      <c r="AK97" s="857"/>
      <c r="AL97" s="857"/>
      <c r="AM97" s="857"/>
      <c r="AN97" s="857"/>
      <c r="AO97" s="857"/>
      <c r="AP97" s="857"/>
    </row>
    <row r="98" spans="1:42" ht="9.75" customHeight="1">
      <c r="A98" s="1347"/>
      <c r="B98" s="1397"/>
      <c r="C98" s="1278"/>
      <c r="D98" s="960"/>
      <c r="E98" s="960"/>
      <c r="F98" s="1391"/>
      <c r="G98" s="1391"/>
      <c r="H98" s="1391"/>
      <c r="I98" s="1391"/>
      <c r="J98" s="1391"/>
      <c r="K98" s="1391"/>
      <c r="L98" s="1391"/>
      <c r="M98" s="1391"/>
      <c r="N98" s="1391"/>
      <c r="O98" s="1391"/>
      <c r="P98" s="1391"/>
      <c r="Q98" s="1391"/>
      <c r="R98" s="1391"/>
      <c r="S98" s="1391"/>
      <c r="T98" s="1391"/>
      <c r="U98" s="1391"/>
      <c r="V98" s="1391"/>
      <c r="W98" s="1391"/>
      <c r="X98" s="1391"/>
      <c r="Y98" s="1391"/>
      <c r="Z98" s="1398" t="s">
        <v>217</v>
      </c>
      <c r="AA98" s="1398"/>
      <c r="AB98" s="1398"/>
      <c r="AC98" s="1398"/>
      <c r="AD98" s="1398"/>
      <c r="AE98" s="1398"/>
      <c r="AF98" s="1398"/>
      <c r="AG98" s="1398"/>
      <c r="AH98" s="1398"/>
      <c r="AI98" s="1398"/>
      <c r="AJ98" s="1398"/>
      <c r="AK98" s="1398"/>
      <c r="AL98" s="1398"/>
      <c r="AN98" s="857"/>
      <c r="AO98" s="857"/>
      <c r="AP98" s="857"/>
    </row>
    <row r="99" spans="1:42" ht="6" customHeight="1">
      <c r="A99" s="1347"/>
      <c r="B99" s="975"/>
      <c r="C99" s="975"/>
      <c r="D99" s="1391"/>
      <c r="E99" s="1391"/>
      <c r="F99" s="1391"/>
      <c r="G99" s="1391"/>
      <c r="H99" s="1391"/>
      <c r="I99" s="1391"/>
      <c r="J99" s="1391"/>
      <c r="K99" s="1391"/>
      <c r="L99" s="1391"/>
      <c r="M99" s="1391"/>
      <c r="N99" s="1391"/>
      <c r="O99" s="1391"/>
      <c r="P99" s="1391"/>
      <c r="Q99" s="1391"/>
      <c r="R99" s="1391"/>
      <c r="S99" s="1391"/>
      <c r="T99" s="1391"/>
      <c r="U99" s="1391"/>
      <c r="V99" s="1391"/>
      <c r="W99" s="1391"/>
      <c r="X99" s="1391"/>
      <c r="Y99" s="1391"/>
      <c r="Z99" s="1391"/>
      <c r="AA99" s="1391"/>
      <c r="AB99" s="1391"/>
      <c r="AC99" s="1391"/>
      <c r="AD99" s="1391"/>
      <c r="AE99" s="1391"/>
      <c r="AF99" s="1391"/>
      <c r="AG99" s="1391"/>
      <c r="AH99" s="1391"/>
      <c r="AI99" s="1391"/>
      <c r="AJ99" s="1391"/>
      <c r="AK99" s="857"/>
      <c r="AL99" s="857"/>
      <c r="AM99" s="857"/>
      <c r="AN99" s="857"/>
      <c r="AO99" s="857"/>
      <c r="AP99" s="857"/>
    </row>
    <row r="100" spans="1:42" ht="12.75" customHeight="1">
      <c r="A100" s="1399"/>
      <c r="B100" s="973"/>
      <c r="C100" s="975"/>
      <c r="D100" s="975"/>
      <c r="E100" s="975"/>
      <c r="F100" s="975"/>
      <c r="G100" s="975"/>
      <c r="H100" s="975"/>
      <c r="I100" s="975"/>
      <c r="J100" s="975"/>
      <c r="K100" s="975"/>
      <c r="L100" s="975"/>
      <c r="M100" s="975"/>
      <c r="N100" s="975"/>
      <c r="O100" s="975"/>
      <c r="P100" s="975"/>
      <c r="Q100" s="975"/>
      <c r="R100" s="975"/>
      <c r="S100" s="975"/>
      <c r="T100" s="975"/>
      <c r="U100" s="975"/>
      <c r="V100" s="975"/>
      <c r="W100" s="975"/>
      <c r="X100" s="975"/>
      <c r="Y100" s="975"/>
      <c r="Z100" s="975"/>
      <c r="AA100" s="975"/>
      <c r="AB100" s="975"/>
      <c r="AC100" s="975"/>
      <c r="AD100" s="975"/>
      <c r="AE100" s="975"/>
      <c r="AF100" s="975"/>
      <c r="AG100" s="975"/>
      <c r="AH100" s="975"/>
      <c r="AI100" s="975"/>
      <c r="AJ100" s="975"/>
      <c r="AK100" s="975"/>
      <c r="AL100" s="975"/>
      <c r="AM100" s="975"/>
      <c r="AN100" s="1399"/>
      <c r="AP100" s="1400"/>
    </row>
    <row r="101" spans="1:42" ht="12" customHeight="1"/>
    <row r="102" spans="1:42" ht="11.25" customHeight="1">
      <c r="D102" s="3233"/>
      <c r="E102" s="3233"/>
      <c r="F102" s="3233"/>
      <c r="G102" s="3233"/>
      <c r="H102" s="3233"/>
      <c r="AA102" s="1401"/>
    </row>
    <row r="103" spans="1:42" ht="12" customHeight="1">
      <c r="D103" s="3233"/>
      <c r="E103" s="3233"/>
      <c r="F103" s="3233"/>
      <c r="G103" s="3233"/>
      <c r="H103" s="3233"/>
    </row>
    <row r="104" spans="1:42" ht="12.75" customHeight="1"/>
    <row r="105" spans="1:42" ht="12.75" customHeight="1"/>
    <row r="106" spans="1:42" ht="8.25" customHeight="1"/>
    <row r="107" spans="1:42" ht="12.75" customHeight="1"/>
    <row r="108" spans="1:42" ht="15" customHeight="1"/>
    <row r="109" spans="1:42" ht="15" customHeight="1"/>
    <row r="110" spans="1:42" ht="15" customHeight="1"/>
    <row r="111" spans="1:42" ht="15" customHeight="1"/>
    <row r="112" spans="1:4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5" ht="15" customHeight="1"/>
    <row r="206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3" ht="15" customHeight="1"/>
    <row r="224" ht="15" customHeight="1"/>
    <row r="225" ht="15" customHeight="1"/>
    <row r="226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5" customHeight="1"/>
    <row r="257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5" customHeight="1"/>
    <row r="300" ht="15" customHeight="1"/>
    <row r="301" ht="15" customHeight="1"/>
    <row r="302" ht="15" customHeight="1"/>
    <row r="303" ht="15" customHeight="1"/>
    <row r="304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20.25" customHeight="1"/>
    <row r="317" ht="20.25" customHeight="1"/>
    <row r="318" ht="20.25" customHeight="1"/>
    <row r="319" ht="20.25" customHeight="1"/>
    <row r="320" ht="20.25" customHeight="1"/>
    <row r="321" ht="20.25" customHeight="1"/>
    <row r="322" ht="20.25" customHeight="1"/>
    <row r="323" ht="20.25" customHeight="1"/>
    <row r="324" ht="20.25" customHeight="1"/>
    <row r="325" ht="20.25" customHeight="1"/>
    <row r="326" ht="20.25" customHeight="1"/>
    <row r="327" ht="20.25" customHeight="1"/>
    <row r="328" ht="20.25" customHeight="1"/>
    <row r="329" ht="20.25" customHeight="1"/>
    <row r="330" ht="20.25" customHeight="1"/>
    <row r="331" ht="20.25" customHeight="1"/>
    <row r="332" ht="20.25" customHeight="1"/>
    <row r="333" ht="20.25" customHeight="1"/>
    <row r="334" ht="20.25" customHeight="1"/>
    <row r="335" ht="20.25" customHeight="1"/>
    <row r="336" ht="20.25" customHeight="1"/>
    <row r="337" ht="20.25" customHeight="1"/>
    <row r="338" ht="20.25" customHeight="1"/>
    <row r="339" ht="20.25" customHeight="1"/>
    <row r="340" ht="20.25" customHeight="1"/>
    <row r="341" ht="20.25" customHeight="1"/>
    <row r="342" ht="20.25" customHeight="1"/>
    <row r="343" ht="20.25" customHeight="1"/>
    <row r="344" ht="20.25" customHeight="1"/>
    <row r="345" ht="20.25" customHeight="1"/>
    <row r="346" ht="20.25" customHeight="1"/>
    <row r="347" ht="20.25" customHeight="1"/>
    <row r="348" ht="20.25" customHeight="1"/>
    <row r="349" ht="20.25" customHeight="1"/>
    <row r="350" ht="20.25" customHeight="1"/>
    <row r="351" ht="20.25" customHeight="1"/>
    <row r="352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20.25" customHeight="1"/>
    <row r="360" ht="20.25" customHeight="1"/>
    <row r="361" ht="20.25" customHeight="1"/>
    <row r="362" ht="20.25" customHeight="1"/>
    <row r="363" ht="20.25" customHeight="1"/>
    <row r="364" ht="20.25" customHeight="1"/>
    <row r="365" ht="20.25" customHeight="1"/>
    <row r="366" ht="20.25" customHeight="1"/>
    <row r="367" ht="20.25" customHeight="1"/>
    <row r="368" ht="20.25" customHeight="1"/>
    <row r="369" ht="20.25" customHeight="1"/>
    <row r="370" ht="20.25" customHeight="1"/>
    <row r="371" ht="20.25" customHeight="1"/>
    <row r="372" ht="20.25" customHeight="1"/>
    <row r="373" ht="20.25" customHeight="1"/>
    <row r="374" ht="20.25" customHeight="1"/>
    <row r="375" ht="20.25" customHeight="1"/>
    <row r="376" ht="20.25" customHeight="1"/>
    <row r="377" ht="20.25" customHeight="1"/>
    <row r="378" ht="20.25" customHeight="1"/>
    <row r="379" ht="20.25" customHeight="1"/>
    <row r="380" ht="20.25" customHeight="1"/>
    <row r="381" ht="20.25" customHeight="1"/>
    <row r="382" ht="20.25" customHeight="1"/>
    <row r="383" ht="20.25" customHeight="1"/>
    <row r="384" ht="20.25" customHeight="1"/>
    <row r="385" ht="20.25" customHeight="1"/>
    <row r="386" ht="20.25" customHeight="1"/>
    <row r="387" ht="20.25" customHeight="1"/>
    <row r="388" ht="20.25" customHeight="1"/>
    <row r="389" ht="20.25" customHeight="1"/>
    <row r="390" ht="20.25" customHeight="1"/>
    <row r="391" ht="20.25" customHeight="1"/>
    <row r="392" ht="20.25" customHeight="1"/>
    <row r="393" ht="20.25" customHeight="1"/>
    <row r="394" ht="20.25" customHeight="1"/>
    <row r="395" ht="20.25" customHeight="1"/>
    <row r="396" ht="20.25" customHeight="1"/>
    <row r="397" ht="20.25" customHeight="1"/>
    <row r="398" ht="20.25" customHeight="1"/>
    <row r="399" ht="20.25" customHeight="1"/>
    <row r="400" ht="20.25" customHeight="1"/>
    <row r="401" ht="20.25" customHeight="1"/>
    <row r="402" ht="20.25" customHeight="1"/>
    <row r="403" ht="20.25" customHeight="1"/>
    <row r="404" ht="20.25" customHeight="1"/>
    <row r="405" ht="20.25" customHeight="1"/>
    <row r="406" ht="20.25" customHeight="1"/>
    <row r="407" ht="20.25" customHeight="1"/>
    <row r="408" ht="20.25" customHeight="1"/>
    <row r="409" ht="20.25" customHeight="1"/>
    <row r="410" ht="20.25" customHeight="1"/>
    <row r="411" ht="20.25" customHeight="1"/>
    <row r="412" ht="20.25" customHeight="1"/>
    <row r="413" ht="20.25" customHeight="1"/>
    <row r="414" ht="20.25" customHeight="1"/>
    <row r="415" ht="20.25" customHeight="1"/>
    <row r="416" ht="20.25" customHeight="1"/>
    <row r="417" ht="20.25" customHeight="1"/>
    <row r="418" ht="20.25" customHeight="1"/>
    <row r="419" ht="20.25" customHeight="1"/>
    <row r="420" ht="20.25" customHeight="1"/>
    <row r="421" ht="20.25" customHeight="1"/>
    <row r="422" ht="20.25" customHeight="1"/>
    <row r="423" ht="20.25" customHeight="1"/>
    <row r="424" ht="20.25" customHeight="1"/>
    <row r="425" ht="20.25" customHeight="1"/>
    <row r="426" ht="20.25" customHeight="1"/>
    <row r="427" ht="20.25" customHeight="1"/>
    <row r="428" ht="20.25" customHeight="1"/>
    <row r="429" ht="20.25" customHeight="1"/>
    <row r="430" ht="20.25" customHeight="1"/>
    <row r="431" ht="20.25" customHeight="1"/>
    <row r="432" ht="20.25" customHeight="1"/>
    <row r="433" ht="20.25" customHeight="1"/>
    <row r="434" ht="20.25" customHeight="1"/>
    <row r="435" ht="20.25" customHeight="1"/>
    <row r="436" ht="20.25" customHeight="1"/>
    <row r="437" ht="20.25" customHeight="1"/>
    <row r="438" ht="20.25" customHeight="1"/>
    <row r="439" ht="20.25" customHeight="1"/>
    <row r="440" ht="20.25" customHeight="1"/>
    <row r="441" ht="20.25" customHeight="1"/>
    <row r="442" ht="20.25" customHeight="1"/>
    <row r="443" ht="20.25" customHeight="1"/>
    <row r="444" ht="20.25" customHeight="1"/>
    <row r="445" ht="20.25" customHeight="1"/>
    <row r="446" ht="20.25" customHeight="1"/>
    <row r="447" ht="20.25" customHeight="1"/>
    <row r="448" ht="20.25" customHeight="1"/>
    <row r="449" ht="20.25" customHeight="1"/>
    <row r="450" ht="20.25" customHeight="1"/>
    <row r="451" ht="20.25" customHeight="1"/>
    <row r="452" ht="20.25" customHeight="1"/>
    <row r="453" ht="20.25" customHeight="1"/>
    <row r="454" ht="20.25" customHeight="1"/>
    <row r="455" ht="20.25" customHeight="1"/>
    <row r="456" ht="20.25" customHeight="1"/>
    <row r="457" ht="20.25" customHeight="1"/>
    <row r="458" ht="20.25" customHeight="1"/>
    <row r="459" ht="20.25" customHeight="1"/>
    <row r="460" ht="20.25" customHeight="1"/>
    <row r="461" ht="20.25" customHeight="1"/>
    <row r="462" ht="20.25" customHeight="1"/>
    <row r="463" ht="20.25" customHeight="1"/>
    <row r="464" ht="20.25" customHeight="1"/>
    <row r="465" ht="20.25" customHeight="1"/>
    <row r="466" ht="20.25" customHeight="1"/>
    <row r="467" ht="20.25" customHeight="1"/>
    <row r="468" ht="20.25" customHeight="1"/>
    <row r="469" ht="20.25" customHeight="1"/>
  </sheetData>
  <mergeCells count="75">
    <mergeCell ref="AD95:AN95"/>
    <mergeCell ref="AD75:AN75"/>
    <mergeCell ref="AD77:AN77"/>
    <mergeCell ref="AD79:AN79"/>
    <mergeCell ref="AD81:AN82"/>
    <mergeCell ref="AD88:AN88"/>
    <mergeCell ref="AD90:AN90"/>
    <mergeCell ref="AD92:AN92"/>
    <mergeCell ref="AD86:AN86"/>
    <mergeCell ref="AD48:AN48"/>
    <mergeCell ref="AD52:AN52"/>
    <mergeCell ref="AD50:AN50"/>
    <mergeCell ref="AD54:AN54"/>
    <mergeCell ref="AD59:AN59"/>
    <mergeCell ref="E54:AA54"/>
    <mergeCell ref="AD73:AN73"/>
    <mergeCell ref="AD67:AN67"/>
    <mergeCell ref="E90:AA90"/>
    <mergeCell ref="E71:AA71"/>
    <mergeCell ref="E65:AA65"/>
    <mergeCell ref="AD61:AN61"/>
    <mergeCell ref="AD63:AN63"/>
    <mergeCell ref="AD65:AN65"/>
    <mergeCell ref="AD69:AN69"/>
    <mergeCell ref="AD71:AN71"/>
    <mergeCell ref="B84:B85"/>
    <mergeCell ref="D84:W85"/>
    <mergeCell ref="E67:AA67"/>
    <mergeCell ref="E61:AA61"/>
    <mergeCell ref="E63:AA63"/>
    <mergeCell ref="E69:AA69"/>
    <mergeCell ref="AK7:AL7"/>
    <mergeCell ref="D102:H103"/>
    <mergeCell ref="E73:AA73"/>
    <mergeCell ref="E75:AA75"/>
    <mergeCell ref="E77:AA77"/>
    <mergeCell ref="E79:AA79"/>
    <mergeCell ref="E81:AA81"/>
    <mergeCell ref="E86:AA86"/>
    <mergeCell ref="E92:AA92"/>
    <mergeCell ref="D95:AA95"/>
    <mergeCell ref="E88:AA88"/>
    <mergeCell ref="E48:AA48"/>
    <mergeCell ref="E50:AB50"/>
    <mergeCell ref="D58:Z58"/>
    <mergeCell ref="E59:AA59"/>
    <mergeCell ref="E52:AA52"/>
    <mergeCell ref="E46:AA46"/>
    <mergeCell ref="AC41:AN41"/>
    <mergeCell ref="AC42:AN44"/>
    <mergeCell ref="B11:E11"/>
    <mergeCell ref="AD11:AG11"/>
    <mergeCell ref="AD46:AN46"/>
    <mergeCell ref="B44:B45"/>
    <mergeCell ref="D44:Y45"/>
    <mergeCell ref="B19:E19"/>
    <mergeCell ref="G20:Y20"/>
    <mergeCell ref="AI11:AN11"/>
    <mergeCell ref="G11:Q11"/>
    <mergeCell ref="AJ3:AK4"/>
    <mergeCell ref="AL3:AM4"/>
    <mergeCell ref="B7:H7"/>
    <mergeCell ref="B8:H8"/>
    <mergeCell ref="B3:C6"/>
    <mergeCell ref="D3:H3"/>
    <mergeCell ref="D4:H6"/>
    <mergeCell ref="AF3:AG4"/>
    <mergeCell ref="AH3:AI4"/>
    <mergeCell ref="AE3:AE9"/>
    <mergeCell ref="AF7:AG7"/>
    <mergeCell ref="I4:AD5"/>
    <mergeCell ref="J3:AD3"/>
    <mergeCell ref="AM7:AN7"/>
    <mergeCell ref="J6:AD9"/>
    <mergeCell ref="AH7:AI7"/>
  </mergeCells>
  <phoneticPr fontId="20" type="noConversion"/>
  <printOptions horizontalCentered="1"/>
  <pageMargins left="0.11811023622047245" right="0.11811023622047245" top="0.39370078740157483" bottom="0.19685039370078741" header="7.874015748031496E-2" footer="7.874015748031496E-2"/>
  <pageSetup paperSize="5" scale="75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tabColor rgb="FF92D050"/>
  </sheetPr>
  <dimension ref="A1:BC440"/>
  <sheetViews>
    <sheetView showGridLines="0" view="pageBreakPreview" zoomScaleSheetLayoutView="100" workbookViewId="0"/>
  </sheetViews>
  <sheetFormatPr defaultColWidth="9.140625" defaultRowHeight="12.75"/>
  <cols>
    <col min="1" max="1" width="3.7109375" style="973" customWidth="1"/>
    <col min="2" max="2" width="3" style="1247" customWidth="1"/>
    <col min="3" max="3" width="4.5703125" style="1247" customWidth="1"/>
    <col min="4" max="5" width="3.28515625" style="1247" customWidth="1"/>
    <col min="6" max="6" width="3" style="1247" customWidth="1"/>
    <col min="7" max="7" width="2.85546875" style="1247" customWidth="1"/>
    <col min="8" max="8" width="5.7109375" style="1247" customWidth="1"/>
    <col min="9" max="9" width="0.42578125" style="1247" hidden="1" customWidth="1"/>
    <col min="10" max="10" width="1.85546875" style="1247" customWidth="1"/>
    <col min="11" max="36" width="3.7109375" style="1247" customWidth="1"/>
    <col min="37" max="37" width="3.5703125" style="1247" customWidth="1"/>
    <col min="38" max="38" width="3.7109375" style="1247" customWidth="1"/>
    <col min="39" max="39" width="1.28515625" style="1247" customWidth="1"/>
    <col min="40" max="93" width="2.85546875" style="1247" customWidth="1"/>
    <col min="94" max="187" width="3.85546875" style="1247" customWidth="1"/>
    <col min="188" max="16384" width="9.140625" style="1247"/>
  </cols>
  <sheetData>
    <row r="1" spans="1:38" ht="12.75" customHeight="1">
      <c r="A1" s="1245"/>
      <c r="B1" s="1246"/>
      <c r="J1" s="803"/>
      <c r="K1" s="803"/>
      <c r="L1" s="803"/>
      <c r="M1" s="803"/>
      <c r="N1" s="803"/>
      <c r="O1" s="803"/>
      <c r="P1" s="803"/>
      <c r="Q1" s="803"/>
      <c r="R1" s="803"/>
      <c r="S1" s="803"/>
      <c r="T1" s="803"/>
      <c r="U1" s="803"/>
      <c r="V1" s="803"/>
      <c r="W1" s="803"/>
      <c r="X1" s="803"/>
      <c r="Y1" s="803"/>
      <c r="Z1" s="803"/>
      <c r="AA1" s="803"/>
      <c r="AB1" s="803"/>
      <c r="AC1" s="973"/>
      <c r="AL1" s="1402"/>
    </row>
    <row r="2" spans="1:38" ht="5.25" customHeight="1">
      <c r="A2" s="900"/>
      <c r="B2" s="1246"/>
      <c r="I2" s="803"/>
      <c r="J2" s="803"/>
      <c r="K2" s="803"/>
      <c r="L2" s="803"/>
      <c r="M2" s="803"/>
      <c r="N2" s="803"/>
      <c r="O2" s="803"/>
      <c r="P2" s="803"/>
      <c r="Q2" s="803"/>
      <c r="R2" s="803"/>
      <c r="S2" s="803"/>
      <c r="T2" s="803"/>
      <c r="U2" s="803"/>
      <c r="V2" s="803"/>
      <c r="W2" s="803"/>
      <c r="X2" s="803"/>
      <c r="Y2" s="803"/>
      <c r="Z2" s="803"/>
      <c r="AA2" s="803"/>
      <c r="AB2" s="803"/>
      <c r="AC2" s="973"/>
      <c r="AL2" s="1246"/>
    </row>
    <row r="3" spans="1:38" ht="15" customHeight="1">
      <c r="B3" s="3240" t="s">
        <v>0</v>
      </c>
      <c r="C3" s="3201" t="s">
        <v>119</v>
      </c>
      <c r="D3" s="3201"/>
      <c r="E3" s="3201"/>
      <c r="F3" s="3201"/>
      <c r="G3" s="3201"/>
      <c r="H3" s="3202"/>
      <c r="I3" s="3277" t="s">
        <v>71</v>
      </c>
      <c r="J3" s="3278"/>
      <c r="K3" s="3278"/>
      <c r="L3" s="3278"/>
      <c r="M3" s="3278"/>
      <c r="N3" s="3278"/>
      <c r="O3" s="3278"/>
      <c r="P3" s="3278"/>
      <c r="Q3" s="3278"/>
      <c r="R3" s="3278"/>
      <c r="S3" s="3278"/>
      <c r="T3" s="3278"/>
      <c r="U3" s="3278"/>
      <c r="V3" s="3278"/>
      <c r="W3" s="3278"/>
      <c r="X3" s="3278"/>
      <c r="Y3" s="3278"/>
      <c r="Z3" s="3278"/>
      <c r="AA3" s="3278"/>
      <c r="AB3" s="3279"/>
      <c r="AC3" s="3262" t="s">
        <v>3</v>
      </c>
      <c r="AD3" s="2507">
        <f>'FE-1770-I-hal 2'!AD3</f>
        <v>0</v>
      </c>
      <c r="AE3" s="2507"/>
      <c r="AF3" s="2507">
        <f>'FE-1770-I-hal 2'!AF3</f>
        <v>0</v>
      </c>
      <c r="AG3" s="2507"/>
      <c r="AH3" s="2507">
        <f>'FE-1770-I-hal 2'!AH3</f>
        <v>0</v>
      </c>
      <c r="AI3" s="2507"/>
      <c r="AJ3" s="2507">
        <f>'FE-1770-I-hal 2'!AJ3</f>
        <v>0</v>
      </c>
      <c r="AK3" s="2507"/>
      <c r="AL3" s="809"/>
    </row>
    <row r="4" spans="1:38" ht="11.25" customHeight="1">
      <c r="B4" s="3240"/>
      <c r="C4" s="3269" t="s">
        <v>120</v>
      </c>
      <c r="D4" s="3269"/>
      <c r="E4" s="3269"/>
      <c r="F4" s="3269"/>
      <c r="G4" s="3269"/>
      <c r="H4" s="3270"/>
      <c r="I4" s="3193" t="s">
        <v>2</v>
      </c>
      <c r="J4" s="3194"/>
      <c r="K4" s="3194"/>
      <c r="L4" s="3194"/>
      <c r="M4" s="3194"/>
      <c r="N4" s="3194"/>
      <c r="O4" s="3194"/>
      <c r="P4" s="3194"/>
      <c r="Q4" s="3194"/>
      <c r="R4" s="3194"/>
      <c r="S4" s="3194"/>
      <c r="T4" s="3194"/>
      <c r="U4" s="3194"/>
      <c r="V4" s="3194"/>
      <c r="W4" s="3194"/>
      <c r="X4" s="3194"/>
      <c r="Y4" s="3194"/>
      <c r="Z4" s="3194"/>
      <c r="AA4" s="3194"/>
      <c r="AB4" s="3275"/>
      <c r="AC4" s="3262"/>
      <c r="AD4" s="2507"/>
      <c r="AE4" s="2507"/>
      <c r="AF4" s="2507"/>
      <c r="AG4" s="2507"/>
      <c r="AH4" s="2507"/>
      <c r="AI4" s="2507"/>
      <c r="AJ4" s="2507"/>
      <c r="AK4" s="2507"/>
      <c r="AL4" s="809"/>
    </row>
    <row r="5" spans="1:38" ht="13.5" customHeight="1" thickBot="1">
      <c r="B5" s="3240"/>
      <c r="C5" s="3269"/>
      <c r="D5" s="3269"/>
      <c r="E5" s="3269"/>
      <c r="F5" s="3269"/>
      <c r="G5" s="3269"/>
      <c r="H5" s="3270"/>
      <c r="I5" s="3195"/>
      <c r="J5" s="3196"/>
      <c r="K5" s="3196"/>
      <c r="L5" s="3196"/>
      <c r="M5" s="3196"/>
      <c r="N5" s="3196"/>
      <c r="O5" s="3196"/>
      <c r="P5" s="3196"/>
      <c r="Q5" s="3196"/>
      <c r="R5" s="3196"/>
      <c r="S5" s="3196"/>
      <c r="T5" s="3196"/>
      <c r="U5" s="3196"/>
      <c r="V5" s="3196"/>
      <c r="W5" s="3196"/>
      <c r="X5" s="3196"/>
      <c r="Y5" s="3196"/>
      <c r="Z5" s="3196"/>
      <c r="AA5" s="3196"/>
      <c r="AB5" s="3276"/>
      <c r="AC5" s="3262"/>
      <c r="AD5" s="1246"/>
      <c r="AE5" s="1246"/>
      <c r="AF5" s="1246"/>
      <c r="AG5" s="1246"/>
      <c r="AH5" s="809"/>
      <c r="AI5" s="1246"/>
      <c r="AJ5" s="1246"/>
      <c r="AK5" s="1246"/>
      <c r="AL5" s="1246"/>
    </row>
    <row r="6" spans="1:38" ht="5.0999999999999996" customHeight="1">
      <c r="B6" s="3240"/>
      <c r="C6" s="3269"/>
      <c r="D6" s="3269"/>
      <c r="E6" s="3269"/>
      <c r="F6" s="3269"/>
      <c r="G6" s="3269"/>
      <c r="H6" s="3270"/>
      <c r="I6" s="1122"/>
      <c r="J6" s="1403"/>
      <c r="K6" s="3271" t="s">
        <v>328</v>
      </c>
      <c r="L6" s="3271"/>
      <c r="M6" s="3271"/>
      <c r="N6" s="3271"/>
      <c r="O6" s="3271"/>
      <c r="P6" s="3271"/>
      <c r="Q6" s="3271"/>
      <c r="R6" s="3271"/>
      <c r="S6" s="3271"/>
      <c r="T6" s="3271"/>
      <c r="U6" s="3271"/>
      <c r="V6" s="3271"/>
      <c r="W6" s="3271"/>
      <c r="X6" s="3271"/>
      <c r="Y6" s="3271"/>
      <c r="Z6" s="3271"/>
      <c r="AA6" s="3271"/>
      <c r="AB6" s="3272"/>
      <c r="AC6" s="3262"/>
      <c r="AD6" s="1246"/>
      <c r="AE6" s="1246"/>
      <c r="AF6" s="1246"/>
      <c r="AG6" s="1246"/>
      <c r="AH6" s="809"/>
      <c r="AI6" s="1246"/>
      <c r="AJ6" s="1246"/>
      <c r="AK6" s="1246"/>
      <c r="AL6" s="1246"/>
    </row>
    <row r="7" spans="1:38" s="1397" customFormat="1" ht="19.5" customHeight="1">
      <c r="A7" s="1278"/>
      <c r="B7" s="3240"/>
      <c r="C7" s="3269"/>
      <c r="D7" s="3269"/>
      <c r="E7" s="3269"/>
      <c r="F7" s="3269"/>
      <c r="G7" s="3269"/>
      <c r="H7" s="3270"/>
      <c r="I7" s="1119"/>
      <c r="J7" s="1404" t="s">
        <v>6</v>
      </c>
      <c r="K7" s="3273"/>
      <c r="L7" s="3273"/>
      <c r="M7" s="3273"/>
      <c r="N7" s="3273"/>
      <c r="O7" s="3273"/>
      <c r="P7" s="3273"/>
      <c r="Q7" s="3273"/>
      <c r="R7" s="3273"/>
      <c r="S7" s="3273"/>
      <c r="T7" s="3273"/>
      <c r="U7" s="3273"/>
      <c r="V7" s="3273"/>
      <c r="W7" s="3273"/>
      <c r="X7" s="3273"/>
      <c r="Y7" s="3273"/>
      <c r="Z7" s="3273"/>
      <c r="AA7" s="3273"/>
      <c r="AB7" s="3274"/>
      <c r="AC7" s="3262"/>
      <c r="AD7" s="1698" t="str">
        <f>'FE-1770-I-hal 2'!AD7</f>
        <v>0</v>
      </c>
      <c r="AE7" s="1698" t="str">
        <f>'FE-1770-I-hal 2'!AE7</f>
        <v>1</v>
      </c>
      <c r="AF7" s="1698" t="str">
        <f>'FE-1770-I-hal 2'!AF7</f>
        <v>0</v>
      </c>
      <c r="AG7" s="1698" t="str">
        <f>'FE-1770-I-hal 2'!AG7</f>
        <v>0</v>
      </c>
      <c r="AH7" s="1113" t="s">
        <v>7</v>
      </c>
      <c r="AI7" s="1698" t="str">
        <f>'FE-1770-I-hal 2'!AI7</f>
        <v>0</v>
      </c>
      <c r="AJ7" s="1698" t="str">
        <f>'FE-1770-I-hal 2'!AJ7</f>
        <v>1</v>
      </c>
      <c r="AK7" s="1698" t="str">
        <f>'FE-1770-I-hal 2'!AK7</f>
        <v>0</v>
      </c>
      <c r="AL7" s="1698" t="str">
        <f>'FE-1770-I-hal 2'!AL7</f>
        <v>0</v>
      </c>
    </row>
    <row r="8" spans="1:38" ht="17.25" customHeight="1">
      <c r="B8" s="3197" t="s">
        <v>302</v>
      </c>
      <c r="C8" s="3197"/>
      <c r="D8" s="3197"/>
      <c r="E8" s="3197"/>
      <c r="F8" s="3197"/>
      <c r="G8" s="3197"/>
      <c r="H8" s="3198"/>
      <c r="I8" s="1246"/>
      <c r="J8" s="1405" t="s">
        <v>6</v>
      </c>
      <c r="K8" s="3131" t="s">
        <v>329</v>
      </c>
      <c r="L8" s="3131"/>
      <c r="M8" s="3131"/>
      <c r="N8" s="3131"/>
      <c r="O8" s="3131"/>
      <c r="P8" s="3131"/>
      <c r="Q8" s="3131"/>
      <c r="R8" s="3131"/>
      <c r="S8" s="3131"/>
      <c r="T8" s="3131"/>
      <c r="U8" s="3131"/>
      <c r="V8" s="3131"/>
      <c r="W8" s="3131"/>
      <c r="X8" s="3131"/>
      <c r="Y8" s="3131"/>
      <c r="Z8" s="3131"/>
      <c r="AA8" s="3131"/>
      <c r="AB8" s="3268"/>
      <c r="AC8" s="3262"/>
      <c r="AD8" s="3139" t="s">
        <v>4</v>
      </c>
      <c r="AE8" s="3139"/>
      <c r="AF8" s="3076" t="s">
        <v>5</v>
      </c>
      <c r="AG8" s="3261"/>
      <c r="AH8" s="820"/>
      <c r="AI8" s="3076" t="s">
        <v>4</v>
      </c>
      <c r="AJ8" s="3261"/>
      <c r="AK8" s="3076" t="s">
        <v>5</v>
      </c>
      <c r="AL8" s="3261"/>
    </row>
    <row r="9" spans="1:38" ht="15" customHeight="1">
      <c r="B9" s="3199" t="s">
        <v>8</v>
      </c>
      <c r="C9" s="3199"/>
      <c r="D9" s="3199"/>
      <c r="E9" s="3199"/>
      <c r="F9" s="3199"/>
      <c r="G9" s="3199"/>
      <c r="H9" s="3200"/>
      <c r="I9" s="1246"/>
      <c r="J9" s="1406" t="s">
        <v>6</v>
      </c>
      <c r="K9" s="819" t="s">
        <v>330</v>
      </c>
      <c r="L9" s="810"/>
      <c r="M9" s="810"/>
      <c r="N9" s="810"/>
      <c r="O9" s="810"/>
      <c r="P9" s="810"/>
      <c r="Q9" s="810"/>
      <c r="R9" s="810"/>
      <c r="S9" s="810"/>
      <c r="T9" s="810"/>
      <c r="U9" s="810"/>
      <c r="V9" s="810"/>
      <c r="W9" s="810"/>
      <c r="X9" s="810"/>
      <c r="Y9" s="810"/>
      <c r="Z9" s="810"/>
      <c r="AA9" s="810"/>
      <c r="AB9" s="1407"/>
      <c r="AC9" s="3262"/>
      <c r="AD9" s="792" t="str">
        <f>'FE-1770-I-hal 2'!AD9</f>
        <v/>
      </c>
      <c r="AE9" s="1408" t="s">
        <v>9</v>
      </c>
      <c r="AF9" s="1246"/>
      <c r="AG9" s="1246"/>
      <c r="AH9" s="792" t="str">
        <f>'FE-1770-I-hal 2'!AH9</f>
        <v/>
      </c>
      <c r="AI9" s="1408" t="s">
        <v>321</v>
      </c>
      <c r="AJ9" s="1246"/>
      <c r="AK9" s="1246"/>
      <c r="AL9" s="1246"/>
    </row>
    <row r="10" spans="1:38" ht="3.75" customHeight="1">
      <c r="C10" s="960"/>
      <c r="D10" s="960"/>
      <c r="E10" s="960"/>
      <c r="F10" s="960"/>
      <c r="G10" s="960"/>
      <c r="H10" s="1409"/>
      <c r="I10" s="1246"/>
      <c r="J10" s="1246"/>
      <c r="K10" s="1246"/>
      <c r="L10" s="1410"/>
      <c r="M10" s="1410"/>
      <c r="N10" s="1410"/>
      <c r="O10" s="1410"/>
      <c r="P10" s="1410"/>
      <c r="Q10" s="1410"/>
      <c r="R10" s="1410"/>
      <c r="S10" s="1410"/>
      <c r="T10" s="1410"/>
      <c r="U10" s="1410"/>
      <c r="V10" s="1410"/>
      <c r="W10" s="1410"/>
      <c r="X10" s="1410"/>
      <c r="Y10" s="1410"/>
      <c r="Z10" s="1410"/>
      <c r="AA10" s="1410"/>
      <c r="AB10" s="1411"/>
      <c r="AC10" s="3262"/>
      <c r="AD10" s="1246"/>
      <c r="AE10" s="1246"/>
      <c r="AF10" s="1120"/>
      <c r="AG10" s="1246"/>
      <c r="AH10" s="1246"/>
      <c r="AI10" s="1246"/>
      <c r="AJ10" s="1256"/>
      <c r="AK10" s="1120"/>
      <c r="AL10" s="1120"/>
    </row>
    <row r="11" spans="1:38" ht="3" customHeight="1" thickBot="1">
      <c r="B11" s="1257"/>
      <c r="C11" s="1258"/>
      <c r="D11" s="1259"/>
      <c r="E11" s="1259"/>
      <c r="F11" s="1259"/>
      <c r="G11" s="1260"/>
      <c r="H11" s="1261"/>
      <c r="I11" s="1262"/>
      <c r="J11" s="1412"/>
      <c r="K11" s="1412"/>
      <c r="L11" s="1412"/>
      <c r="M11" s="1412"/>
      <c r="N11" s="1412"/>
      <c r="O11" s="1412"/>
      <c r="P11" s="1412"/>
      <c r="Q11" s="1412"/>
      <c r="R11" s="1412"/>
      <c r="S11" s="1412"/>
      <c r="T11" s="1412"/>
      <c r="U11" s="1412"/>
      <c r="V11" s="1412"/>
      <c r="W11" s="1412"/>
      <c r="X11" s="1412"/>
      <c r="Y11" s="1412"/>
      <c r="Z11" s="1412"/>
      <c r="AA11" s="1412"/>
      <c r="AB11" s="1413"/>
      <c r="AC11" s="3263"/>
      <c r="AD11" s="1246"/>
      <c r="AE11" s="1246"/>
      <c r="AF11" s="1246"/>
      <c r="AG11" s="1246"/>
      <c r="AH11" s="830"/>
      <c r="AI11" s="1246"/>
      <c r="AJ11" s="1246"/>
      <c r="AK11" s="1246"/>
      <c r="AL11" s="1246"/>
    </row>
    <row r="12" spans="1:38" ht="3.75" customHeight="1">
      <c r="B12" s="870"/>
      <c r="C12" s="1263"/>
      <c r="D12" s="1264"/>
      <c r="E12" s="1264"/>
      <c r="F12" s="1264"/>
      <c r="G12" s="1265"/>
      <c r="H12" s="1266"/>
      <c r="I12" s="841"/>
      <c r="J12" s="1267"/>
      <c r="K12" s="1267"/>
      <c r="L12" s="1267"/>
      <c r="M12" s="1267"/>
      <c r="N12" s="1267"/>
      <c r="O12" s="1267"/>
      <c r="P12" s="1267"/>
      <c r="Q12" s="1267"/>
      <c r="R12" s="1267"/>
      <c r="S12" s="1263"/>
      <c r="T12" s="1263"/>
      <c r="U12" s="1267"/>
      <c r="V12" s="1267"/>
      <c r="W12" s="1267"/>
      <c r="X12" s="1267"/>
      <c r="Y12" s="868"/>
      <c r="Z12" s="1268"/>
      <c r="AA12" s="1268"/>
      <c r="AB12" s="1263"/>
      <c r="AC12" s="870"/>
      <c r="AD12" s="1263"/>
      <c r="AE12" s="1263"/>
      <c r="AF12" s="1263"/>
      <c r="AG12" s="1263"/>
      <c r="AH12" s="872"/>
      <c r="AI12" s="1263"/>
      <c r="AJ12" s="1263"/>
      <c r="AK12" s="1263"/>
      <c r="AL12" s="1263"/>
    </row>
    <row r="13" spans="1:38" s="852" customFormat="1" ht="15" customHeight="1">
      <c r="A13" s="848"/>
      <c r="B13" s="826" t="s">
        <v>121</v>
      </c>
      <c r="C13" s="826"/>
      <c r="D13" s="826"/>
      <c r="E13" s="823" t="s">
        <v>6</v>
      </c>
      <c r="F13" s="3232" t="s">
        <v>349</v>
      </c>
      <c r="G13" s="3232"/>
      <c r="H13" s="3232"/>
      <c r="I13" s="3232"/>
      <c r="J13" s="3232"/>
      <c r="K13" s="3232"/>
      <c r="L13" s="3232"/>
      <c r="M13" s="3232"/>
      <c r="N13" s="3232"/>
      <c r="O13" s="3232"/>
      <c r="P13" s="823" t="s">
        <v>6</v>
      </c>
      <c r="Q13" s="1052" t="s">
        <v>357</v>
      </c>
      <c r="T13" s="862"/>
      <c r="U13" s="862"/>
      <c r="V13" s="862"/>
      <c r="W13" s="862"/>
      <c r="X13" s="862"/>
      <c r="Y13" s="848"/>
      <c r="AA13" s="823" t="s">
        <v>6</v>
      </c>
      <c r="AB13" s="3232" t="s">
        <v>74</v>
      </c>
      <c r="AC13" s="3232"/>
      <c r="AD13" s="3232"/>
      <c r="AE13" s="3267"/>
      <c r="AF13" s="1414"/>
      <c r="AG13" s="3232" t="s">
        <v>223</v>
      </c>
      <c r="AH13" s="3232"/>
      <c r="AI13" s="3232"/>
      <c r="AJ13" s="3232"/>
      <c r="AK13" s="3232"/>
      <c r="AL13" s="3232"/>
    </row>
    <row r="14" spans="1:38" ht="4.5" customHeight="1" thickBot="1">
      <c r="B14" s="973"/>
      <c r="C14" s="973"/>
      <c r="D14" s="1116"/>
      <c r="E14" s="1116"/>
      <c r="F14" s="1116"/>
      <c r="G14" s="1116"/>
      <c r="H14" s="1116"/>
      <c r="I14" s="1116"/>
      <c r="J14" s="973"/>
      <c r="K14" s="973"/>
      <c r="L14" s="973"/>
      <c r="M14" s="973"/>
      <c r="N14" s="973"/>
      <c r="O14" s="958"/>
      <c r="P14" s="958"/>
      <c r="Q14" s="958"/>
      <c r="R14" s="958"/>
      <c r="S14" s="958"/>
      <c r="T14" s="958"/>
      <c r="U14" s="958"/>
      <c r="V14" s="958"/>
      <c r="W14" s="958"/>
      <c r="X14" s="958"/>
      <c r="Y14" s="857"/>
      <c r="Z14" s="1270"/>
      <c r="AA14" s="1270"/>
      <c r="AB14" s="973"/>
      <c r="AC14" s="859"/>
      <c r="AD14" s="860"/>
      <c r="AE14" s="861"/>
      <c r="AF14" s="861"/>
      <c r="AG14" s="861"/>
      <c r="AH14" s="861"/>
      <c r="AI14" s="862"/>
      <c r="AJ14" s="862"/>
      <c r="AK14" s="862"/>
      <c r="AL14" s="862"/>
    </row>
    <row r="15" spans="1:38" ht="6.75" customHeight="1">
      <c r="B15" s="1271"/>
      <c r="C15" s="864"/>
      <c r="D15" s="864"/>
      <c r="E15" s="864"/>
      <c r="F15" s="1272"/>
      <c r="G15" s="1272"/>
      <c r="H15" s="1272"/>
      <c r="I15" s="1272"/>
      <c r="J15" s="1263"/>
      <c r="K15" s="1263"/>
      <c r="L15" s="1263"/>
      <c r="M15" s="1263"/>
      <c r="N15" s="1263"/>
      <c r="O15" s="1267"/>
      <c r="P15" s="1267"/>
      <c r="Q15" s="1267"/>
      <c r="R15" s="1267"/>
      <c r="S15" s="1267"/>
      <c r="T15" s="1267"/>
      <c r="U15" s="1267"/>
      <c r="V15" s="1267"/>
      <c r="W15" s="1267"/>
      <c r="X15" s="1267"/>
      <c r="Y15" s="868"/>
      <c r="Z15" s="1268"/>
      <c r="AA15" s="1268"/>
      <c r="AB15" s="1263"/>
      <c r="AC15" s="870"/>
      <c r="AD15" s="871"/>
      <c r="AE15" s="872"/>
      <c r="AF15" s="872"/>
      <c r="AG15" s="872"/>
      <c r="AH15" s="872"/>
      <c r="AI15" s="872"/>
      <c r="AJ15" s="872"/>
      <c r="AK15" s="872"/>
      <c r="AL15" s="873"/>
    </row>
    <row r="16" spans="1:38" ht="20.100000000000001" customHeight="1">
      <c r="B16" s="1415" t="s">
        <v>12</v>
      </c>
      <c r="C16" s="885"/>
      <c r="D16" s="885"/>
      <c r="E16" s="885"/>
      <c r="F16" s="879"/>
      <c r="G16" s="879"/>
      <c r="H16" s="881" t="s">
        <v>13</v>
      </c>
      <c r="I16" s="1275"/>
      <c r="J16" s="973"/>
      <c r="K16" s="1423" t="str">
        <f>'FE-1770-I-hal 2'!K16</f>
        <v/>
      </c>
      <c r="L16" s="1423" t="str">
        <f>'FE-1770-I-hal 2'!L16</f>
        <v/>
      </c>
      <c r="M16" s="1343"/>
      <c r="N16" s="1423" t="str">
        <f>'FE-1770-I-hal 2'!N16</f>
        <v/>
      </c>
      <c r="O16" s="1423" t="str">
        <f>'FE-1770-I-hal 2'!O16</f>
        <v/>
      </c>
      <c r="P16" s="1423" t="str">
        <f>'FE-1770-I-hal 2'!P16</f>
        <v/>
      </c>
      <c r="Q16" s="973"/>
      <c r="R16" s="1423" t="str">
        <f>'FE-1770-I-hal 2'!R16</f>
        <v/>
      </c>
      <c r="S16" s="1423" t="str">
        <f>'FE-1770-I-hal 2'!S16</f>
        <v/>
      </c>
      <c r="T16" s="1423" t="str">
        <f>'FE-1770-I-hal 2'!T16</f>
        <v/>
      </c>
      <c r="U16" s="973"/>
      <c r="V16" s="1423" t="str">
        <f>'FE-1770-I-hal 2'!V16</f>
        <v/>
      </c>
      <c r="W16" s="900"/>
      <c r="X16" s="1423" t="str">
        <f>'FE-1770-I-hal 2'!X16</f>
        <v/>
      </c>
      <c r="Y16" s="1423" t="str">
        <f>'FE-1770-I-hal 2'!Y16</f>
        <v/>
      </c>
      <c r="Z16" s="1423" t="str">
        <f>'FE-1770-I-hal 2'!Z16</f>
        <v/>
      </c>
      <c r="AA16" s="973"/>
      <c r="AB16" s="1423" t="str">
        <f>'FE-1770-I-hal 2'!AB16</f>
        <v/>
      </c>
      <c r="AC16" s="1423" t="str">
        <f>'FE-1770-I-hal 2'!AC16</f>
        <v/>
      </c>
      <c r="AD16" s="1423" t="str">
        <f>'FE-1770-I-hal 2'!AD16</f>
        <v/>
      </c>
      <c r="AE16" s="973"/>
      <c r="AF16" s="973"/>
      <c r="AG16" s="973"/>
      <c r="AH16" s="900"/>
      <c r="AI16" s="973"/>
      <c r="AJ16" s="973"/>
      <c r="AK16" s="973"/>
      <c r="AL16" s="1276"/>
    </row>
    <row r="17" spans="1:50" ht="6" customHeight="1">
      <c r="B17" s="1416"/>
      <c r="C17" s="885"/>
      <c r="D17" s="885"/>
      <c r="E17" s="885"/>
      <c r="F17" s="879"/>
      <c r="G17" s="879"/>
      <c r="H17" s="879"/>
      <c r="I17" s="855"/>
      <c r="J17" s="1278"/>
      <c r="K17" s="973"/>
      <c r="L17" s="973"/>
      <c r="M17" s="900"/>
      <c r="N17" s="900"/>
      <c r="O17" s="973"/>
      <c r="P17" s="900"/>
      <c r="Q17" s="900"/>
      <c r="R17" s="900"/>
      <c r="S17" s="900"/>
      <c r="T17" s="900"/>
      <c r="U17" s="900"/>
      <c r="V17" s="900"/>
      <c r="W17" s="900"/>
      <c r="X17" s="900"/>
      <c r="Y17" s="900"/>
      <c r="Z17" s="900"/>
      <c r="AA17" s="900"/>
      <c r="AB17" s="900"/>
      <c r="AC17" s="900"/>
      <c r="AD17" s="900"/>
      <c r="AE17" s="900"/>
      <c r="AF17" s="900"/>
      <c r="AG17" s="900"/>
      <c r="AH17" s="900"/>
      <c r="AI17" s="900"/>
      <c r="AJ17" s="900"/>
      <c r="AK17" s="973"/>
      <c r="AL17" s="1276"/>
    </row>
    <row r="18" spans="1:50" ht="20.100000000000001" customHeight="1">
      <c r="B18" s="1415" t="s">
        <v>14</v>
      </c>
      <c r="C18" s="885"/>
      <c r="D18" s="885"/>
      <c r="E18" s="885"/>
      <c r="F18" s="879"/>
      <c r="G18" s="879"/>
      <c r="H18" s="619" t="s">
        <v>13</v>
      </c>
      <c r="I18" s="855"/>
      <c r="J18" s="973"/>
      <c r="K18" s="1699" t="str">
        <f>'FE-1770-I-hal 2'!K18</f>
        <v/>
      </c>
      <c r="L18" s="1721"/>
      <c r="M18" s="1721"/>
      <c r="N18" s="1721"/>
      <c r="O18" s="1721"/>
      <c r="P18" s="1721"/>
      <c r="Q18" s="1721"/>
      <c r="R18" s="1721"/>
      <c r="S18" s="1721"/>
      <c r="T18" s="1721"/>
      <c r="U18" s="1721"/>
      <c r="V18" s="1721"/>
      <c r="W18" s="1721"/>
      <c r="X18" s="1721"/>
      <c r="Y18" s="1721"/>
      <c r="Z18" s="1721"/>
      <c r="AA18" s="1721"/>
      <c r="AB18" s="1721"/>
      <c r="AC18" s="1721"/>
      <c r="AD18" s="1721"/>
      <c r="AE18" s="1721"/>
      <c r="AF18" s="1721"/>
      <c r="AG18" s="1721"/>
      <c r="AH18" s="1721"/>
      <c r="AI18" s="1721"/>
      <c r="AJ18" s="889"/>
      <c r="AK18" s="889"/>
      <c r="AL18" s="1276"/>
    </row>
    <row r="19" spans="1:50" ht="8.25" customHeight="1" thickBot="1">
      <c r="B19" s="1280"/>
      <c r="C19" s="1281"/>
      <c r="D19" s="1281"/>
      <c r="E19" s="1281"/>
      <c r="F19" s="1282"/>
      <c r="G19" s="1283"/>
      <c r="H19" s="1283"/>
      <c r="I19" s="1283"/>
      <c r="J19" s="1284"/>
      <c r="K19" s="1258"/>
      <c r="L19" s="1258"/>
      <c r="M19" s="1258"/>
      <c r="N19" s="1258"/>
      <c r="O19" s="1286"/>
      <c r="P19" s="1258"/>
      <c r="Q19" s="1258"/>
      <c r="R19" s="1258"/>
      <c r="S19" s="1258"/>
      <c r="T19" s="1258"/>
      <c r="U19" s="1258"/>
      <c r="V19" s="1258"/>
      <c r="W19" s="1258"/>
      <c r="X19" s="1258"/>
      <c r="Y19" s="1258"/>
      <c r="Z19" s="1258"/>
      <c r="AA19" s="1258"/>
      <c r="AB19" s="1258"/>
      <c r="AC19" s="1258"/>
      <c r="AD19" s="1258"/>
      <c r="AE19" s="1258"/>
      <c r="AF19" s="1258"/>
      <c r="AG19" s="1258"/>
      <c r="AH19" s="1258"/>
      <c r="AI19" s="1258"/>
      <c r="AJ19" s="1258"/>
      <c r="AK19" s="1258"/>
      <c r="AL19" s="1287"/>
    </row>
    <row r="20" spans="1:50" ht="8.25" customHeight="1">
      <c r="G20" s="855"/>
      <c r="M20" s="1246"/>
      <c r="N20" s="1246"/>
      <c r="O20" s="1120"/>
      <c r="P20" s="1246"/>
      <c r="Q20" s="1246"/>
      <c r="R20" s="1246"/>
      <c r="S20" s="1246"/>
      <c r="T20" s="1246"/>
      <c r="U20" s="1246"/>
      <c r="V20" s="1246"/>
      <c r="W20" s="1246"/>
      <c r="X20" s="1246"/>
      <c r="Y20" s="1246"/>
      <c r="Z20" s="1288"/>
      <c r="AA20" s="900"/>
      <c r="AB20" s="900"/>
      <c r="AC20" s="900"/>
      <c r="AD20" s="900"/>
      <c r="AE20" s="900"/>
      <c r="AF20" s="900"/>
      <c r="AG20" s="900"/>
      <c r="AH20" s="900"/>
      <c r="AI20" s="900"/>
      <c r="AJ20" s="900"/>
      <c r="AK20" s="900"/>
      <c r="AL20" s="973"/>
    </row>
    <row r="21" spans="1:50" s="929" customFormat="1" ht="16.5" customHeight="1">
      <c r="A21" s="1048"/>
      <c r="B21" s="1289" t="s">
        <v>122</v>
      </c>
      <c r="E21" s="1289" t="s">
        <v>254</v>
      </c>
      <c r="F21" s="1290"/>
      <c r="G21" s="1290"/>
      <c r="H21" s="1290"/>
      <c r="I21" s="1290"/>
      <c r="J21" s="1290"/>
      <c r="K21" s="1290"/>
      <c r="L21" s="1290"/>
      <c r="M21" s="1290"/>
      <c r="N21" s="1290"/>
      <c r="O21" s="1290"/>
      <c r="P21" s="1290"/>
      <c r="Q21" s="1290"/>
      <c r="R21" s="1290"/>
      <c r="S21" s="1290"/>
      <c r="T21" s="1290"/>
      <c r="U21" s="1290"/>
      <c r="V21" s="1290"/>
      <c r="W21" s="1290"/>
      <c r="X21" s="1290"/>
      <c r="Y21" s="1290"/>
      <c r="Z21" s="1290"/>
      <c r="AA21" s="1290"/>
      <c r="AB21" s="1290"/>
      <c r="AC21" s="1290"/>
      <c r="AD21" s="1290"/>
      <c r="AE21" s="1290"/>
      <c r="AF21" s="1290"/>
      <c r="AG21" s="1290"/>
      <c r="AH21" s="1290"/>
      <c r="AI21" s="1290"/>
      <c r="AJ21" s="1290"/>
      <c r="AK21" s="1290"/>
      <c r="AL21" s="1290"/>
    </row>
    <row r="22" spans="1:50" s="929" customFormat="1" ht="15" customHeight="1">
      <c r="A22" s="1048"/>
      <c r="E22" s="3230" t="s">
        <v>331</v>
      </c>
      <c r="F22" s="3230"/>
      <c r="G22" s="3230"/>
      <c r="H22" s="3230"/>
      <c r="I22" s="3230"/>
      <c r="J22" s="3230"/>
      <c r="K22" s="3230"/>
      <c r="L22" s="3230"/>
      <c r="M22" s="3230"/>
      <c r="N22" s="3230"/>
      <c r="O22" s="3230"/>
      <c r="P22" s="3230"/>
      <c r="Q22" s="3230"/>
      <c r="R22" s="3230"/>
      <c r="S22" s="3230"/>
      <c r="T22" s="3230"/>
      <c r="U22" s="3230"/>
      <c r="V22" s="3230"/>
      <c r="W22" s="3230"/>
      <c r="X22" s="3230"/>
      <c r="Y22" s="3230"/>
      <c r="Z22" s="3230"/>
      <c r="AA22" s="3230"/>
      <c r="AB22" s="3230"/>
      <c r="AC22" s="3230"/>
      <c r="AD22" s="1292"/>
      <c r="AE22" s="1292"/>
      <c r="AF22" s="1292"/>
      <c r="AG22" s="1292"/>
      <c r="AH22" s="1292"/>
      <c r="AI22" s="1292"/>
      <c r="AJ22" s="1292"/>
      <c r="AK22" s="1292"/>
      <c r="AL22" s="1292"/>
    </row>
    <row r="23" spans="1:50" ht="6.95" customHeight="1">
      <c r="A23" s="993"/>
      <c r="B23" s="3280"/>
      <c r="C23" s="3280"/>
      <c r="D23" s="3280"/>
      <c r="E23" s="3280"/>
      <c r="F23" s="3280"/>
      <c r="G23" s="3280"/>
      <c r="H23" s="3280"/>
      <c r="I23" s="3280"/>
      <c r="J23" s="3280"/>
      <c r="K23" s="3280"/>
      <c r="L23" s="3280"/>
      <c r="M23" s="3280"/>
      <c r="N23" s="3280"/>
      <c r="O23" s="3280"/>
      <c r="P23" s="3280"/>
      <c r="Q23" s="3280"/>
      <c r="R23" s="3280"/>
      <c r="S23" s="3280"/>
      <c r="T23" s="3280"/>
      <c r="U23" s="3280"/>
      <c r="V23" s="3280"/>
      <c r="W23" s="3280"/>
      <c r="X23" s="3280"/>
      <c r="Y23" s="3282"/>
      <c r="Z23" s="3282"/>
      <c r="AA23" s="3282"/>
      <c r="AB23" s="3282"/>
      <c r="AC23" s="3282"/>
      <c r="AD23" s="3282"/>
      <c r="AE23" s="3282"/>
      <c r="AF23" s="3282"/>
      <c r="AG23" s="3282"/>
      <c r="AH23" s="3282"/>
      <c r="AI23" s="3282"/>
      <c r="AJ23" s="3282"/>
      <c r="AK23" s="3282"/>
      <c r="AL23" s="3282"/>
    </row>
    <row r="24" spans="1:50" ht="35.25" customHeight="1">
      <c r="A24" s="1048"/>
      <c r="B24" s="3283" t="s">
        <v>123</v>
      </c>
      <c r="C24" s="3284"/>
      <c r="D24" s="3311" t="s">
        <v>124</v>
      </c>
      <c r="E24" s="3312"/>
      <c r="F24" s="3312"/>
      <c r="G24" s="3312"/>
      <c r="H24" s="3312"/>
      <c r="I24" s="3312"/>
      <c r="J24" s="3312"/>
      <c r="K24" s="3312"/>
      <c r="L24" s="3312"/>
      <c r="M24" s="3312"/>
      <c r="N24" s="3313"/>
      <c r="O24" s="3311" t="s">
        <v>125</v>
      </c>
      <c r="P24" s="3312"/>
      <c r="Q24" s="3312"/>
      <c r="R24" s="3312"/>
      <c r="S24" s="3312"/>
      <c r="T24" s="3312"/>
      <c r="U24" s="3312"/>
      <c r="V24" s="3313"/>
      <c r="W24" s="3311" t="s">
        <v>126</v>
      </c>
      <c r="X24" s="3312"/>
      <c r="Y24" s="3313"/>
      <c r="Z24" s="3284" t="s">
        <v>127</v>
      </c>
      <c r="AA24" s="3284"/>
      <c r="AB24" s="3284"/>
      <c r="AC24" s="3284"/>
      <c r="AD24" s="3284"/>
      <c r="AE24" s="3284"/>
      <c r="AF24" s="3284"/>
      <c r="AG24" s="3284"/>
      <c r="AH24" s="3284"/>
      <c r="AI24" s="3284"/>
      <c r="AJ24" s="3284"/>
      <c r="AK24" s="3284"/>
      <c r="AL24" s="3285"/>
      <c r="AM24" s="1328"/>
      <c r="AN24" s="1328"/>
      <c r="AO24" s="1328"/>
      <c r="AP24" s="1328"/>
      <c r="AQ24" s="1328"/>
      <c r="AR24" s="1328"/>
      <c r="AS24" s="1328"/>
      <c r="AT24" s="1328"/>
      <c r="AU24" s="1328"/>
      <c r="AV24" s="1328"/>
      <c r="AW24" s="1328"/>
      <c r="AX24" s="1328"/>
    </row>
    <row r="25" spans="1:50" ht="13.5" customHeight="1">
      <c r="A25" s="993"/>
      <c r="B25" s="3264" t="s">
        <v>128</v>
      </c>
      <c r="C25" s="3298"/>
      <c r="D25" s="3264" t="s">
        <v>129</v>
      </c>
      <c r="E25" s="3265"/>
      <c r="F25" s="3265"/>
      <c r="G25" s="3265"/>
      <c r="H25" s="3265"/>
      <c r="I25" s="3265"/>
      <c r="J25" s="3265"/>
      <c r="K25" s="3265"/>
      <c r="L25" s="3265"/>
      <c r="M25" s="3265"/>
      <c r="N25" s="3266"/>
      <c r="O25" s="3264" t="s">
        <v>130</v>
      </c>
      <c r="P25" s="3265"/>
      <c r="Q25" s="3265"/>
      <c r="R25" s="3265"/>
      <c r="S25" s="3265"/>
      <c r="T25" s="3265"/>
      <c r="U25" s="3265"/>
      <c r="V25" s="3266"/>
      <c r="W25" s="3264" t="s">
        <v>131</v>
      </c>
      <c r="X25" s="3265"/>
      <c r="Y25" s="3266"/>
      <c r="Z25" s="3265" t="s">
        <v>132</v>
      </c>
      <c r="AA25" s="3265"/>
      <c r="AB25" s="3265"/>
      <c r="AC25" s="3265"/>
      <c r="AD25" s="3265"/>
      <c r="AE25" s="3265"/>
      <c r="AF25" s="3265"/>
      <c r="AG25" s="3265"/>
      <c r="AH25" s="3265"/>
      <c r="AI25" s="3265"/>
      <c r="AJ25" s="3265"/>
      <c r="AK25" s="3265"/>
      <c r="AL25" s="3266"/>
    </row>
    <row r="26" spans="1:50" ht="36.75" customHeight="1">
      <c r="A26" s="1048"/>
      <c r="B26" s="3281">
        <v>1</v>
      </c>
      <c r="C26" s="3281"/>
      <c r="D26" s="3306" t="s">
        <v>133</v>
      </c>
      <c r="E26" s="3306"/>
      <c r="F26" s="3306"/>
      <c r="G26" s="3306"/>
      <c r="H26" s="3306"/>
      <c r="I26" s="3306"/>
      <c r="J26" s="3306"/>
      <c r="K26" s="3306"/>
      <c r="L26" s="3306"/>
      <c r="M26" s="3306"/>
      <c r="N26" s="3306"/>
      <c r="O26" s="2566">
        <f>'FE-1770-I-hal 2'!O26</f>
        <v>0</v>
      </c>
      <c r="P26" s="2566"/>
      <c r="Q26" s="2566"/>
      <c r="R26" s="2566"/>
      <c r="S26" s="2566"/>
      <c r="T26" s="2566"/>
      <c r="U26" s="2566"/>
      <c r="V26" s="2566"/>
      <c r="W26" s="2655">
        <f>'FE-1770-I-hal 2'!W26</f>
        <v>0</v>
      </c>
      <c r="X26" s="2655"/>
      <c r="Y26" s="2655"/>
      <c r="Z26" s="2566">
        <f>'FE-1770-I-hal 2'!Z26</f>
        <v>0</v>
      </c>
      <c r="AA26" s="3309"/>
      <c r="AB26" s="3309"/>
      <c r="AC26" s="3309"/>
      <c r="AD26" s="3309"/>
      <c r="AE26" s="3309"/>
      <c r="AF26" s="3309"/>
      <c r="AG26" s="3309"/>
      <c r="AH26" s="3309"/>
      <c r="AI26" s="3309"/>
      <c r="AJ26" s="3309"/>
      <c r="AK26" s="3309"/>
      <c r="AL26" s="3309"/>
    </row>
    <row r="27" spans="1:50" ht="36.75" customHeight="1">
      <c r="A27" s="993"/>
      <c r="B27" s="3241">
        <v>2</v>
      </c>
      <c r="C27" s="3241"/>
      <c r="D27" s="3307" t="s">
        <v>134</v>
      </c>
      <c r="E27" s="3307"/>
      <c r="F27" s="3307"/>
      <c r="G27" s="3307"/>
      <c r="H27" s="3307"/>
      <c r="I27" s="3307"/>
      <c r="J27" s="3307"/>
      <c r="K27" s="3307"/>
      <c r="L27" s="3307"/>
      <c r="M27" s="3307"/>
      <c r="N27" s="3307"/>
      <c r="O27" s="2566">
        <f>'FE-1770-I-hal 2'!O27</f>
        <v>0</v>
      </c>
      <c r="P27" s="2566"/>
      <c r="Q27" s="2566"/>
      <c r="R27" s="2566"/>
      <c r="S27" s="2566"/>
      <c r="T27" s="2566"/>
      <c r="U27" s="2566"/>
      <c r="V27" s="2566"/>
      <c r="W27" s="2655">
        <f>'FE-1770-I-hal 2'!W27</f>
        <v>0</v>
      </c>
      <c r="X27" s="2655"/>
      <c r="Y27" s="2655"/>
      <c r="Z27" s="2566">
        <f>'FE-1770-I-hal 2'!Z27</f>
        <v>0</v>
      </c>
      <c r="AA27" s="2566"/>
      <c r="AB27" s="2566"/>
      <c r="AC27" s="2566"/>
      <c r="AD27" s="2566"/>
      <c r="AE27" s="2566"/>
      <c r="AF27" s="2566"/>
      <c r="AG27" s="2566"/>
      <c r="AH27" s="2566"/>
      <c r="AI27" s="2566"/>
      <c r="AJ27" s="2566"/>
      <c r="AK27" s="2566"/>
      <c r="AL27" s="2566"/>
    </row>
    <row r="28" spans="1:50" ht="35.25" customHeight="1">
      <c r="A28" s="1048"/>
      <c r="B28" s="3241">
        <v>3</v>
      </c>
      <c r="C28" s="3241"/>
      <c r="D28" s="3308" t="s">
        <v>135</v>
      </c>
      <c r="E28" s="3308"/>
      <c r="F28" s="3308"/>
      <c r="G28" s="3308"/>
      <c r="H28" s="3308"/>
      <c r="I28" s="3308"/>
      <c r="J28" s="3308"/>
      <c r="K28" s="3308"/>
      <c r="L28" s="3308"/>
      <c r="M28" s="3308"/>
      <c r="N28" s="3308"/>
      <c r="O28" s="2566">
        <f>'FE-1770-I-hal 2'!O28</f>
        <v>0</v>
      </c>
      <c r="P28" s="2566"/>
      <c r="Q28" s="2566"/>
      <c r="R28" s="2566"/>
      <c r="S28" s="2566"/>
      <c r="T28" s="2566"/>
      <c r="U28" s="2566"/>
      <c r="V28" s="2566"/>
      <c r="W28" s="2655">
        <f>'FE-1770-I-hal 2'!W28</f>
        <v>0</v>
      </c>
      <c r="X28" s="2655"/>
      <c r="Y28" s="2655"/>
      <c r="Z28" s="2566">
        <f>'FE-1770-I-hal 2'!Z28</f>
        <v>0</v>
      </c>
      <c r="AA28" s="2566"/>
      <c r="AB28" s="2566"/>
      <c r="AC28" s="2566"/>
      <c r="AD28" s="2566"/>
      <c r="AE28" s="2566"/>
      <c r="AF28" s="2566"/>
      <c r="AG28" s="2566"/>
      <c r="AH28" s="2566"/>
      <c r="AI28" s="2566"/>
      <c r="AJ28" s="2566"/>
      <c r="AK28" s="2566"/>
      <c r="AL28" s="2566"/>
    </row>
    <row r="29" spans="1:50" ht="36" customHeight="1">
      <c r="A29" s="993"/>
      <c r="B29" s="3241">
        <v>4</v>
      </c>
      <c r="C29" s="3241"/>
      <c r="D29" s="3307" t="s">
        <v>136</v>
      </c>
      <c r="E29" s="3307"/>
      <c r="F29" s="3307"/>
      <c r="G29" s="3307"/>
      <c r="H29" s="3307"/>
      <c r="I29" s="3307"/>
      <c r="J29" s="3307"/>
      <c r="K29" s="3307"/>
      <c r="L29" s="3307"/>
      <c r="M29" s="3307"/>
      <c r="N29" s="3307"/>
      <c r="O29" s="2566">
        <f>'FE-1770-I-hal 2'!O29</f>
        <v>0</v>
      </c>
      <c r="P29" s="2566"/>
      <c r="Q29" s="2566"/>
      <c r="R29" s="2566"/>
      <c r="S29" s="2566"/>
      <c r="T29" s="2566"/>
      <c r="U29" s="2566"/>
      <c r="V29" s="2566"/>
      <c r="W29" s="2655">
        <f>'FE-1770-I-hal 2'!W29</f>
        <v>0</v>
      </c>
      <c r="X29" s="2655"/>
      <c r="Y29" s="2655"/>
      <c r="Z29" s="2566">
        <f>'FE-1770-I-hal 2'!Z29</f>
        <v>0</v>
      </c>
      <c r="AA29" s="2566"/>
      <c r="AB29" s="2566"/>
      <c r="AC29" s="2566"/>
      <c r="AD29" s="2566"/>
      <c r="AE29" s="2566"/>
      <c r="AF29" s="2566"/>
      <c r="AG29" s="2566"/>
      <c r="AH29" s="2566"/>
      <c r="AI29" s="2566"/>
      <c r="AJ29" s="2566"/>
      <c r="AK29" s="2566"/>
      <c r="AL29" s="2566"/>
    </row>
    <row r="30" spans="1:50" ht="36" customHeight="1">
      <c r="A30" s="1048"/>
      <c r="B30" s="3241">
        <v>5</v>
      </c>
      <c r="C30" s="3241"/>
      <c r="D30" s="3307" t="s">
        <v>137</v>
      </c>
      <c r="E30" s="3307"/>
      <c r="F30" s="3307"/>
      <c r="G30" s="3307"/>
      <c r="H30" s="3307"/>
      <c r="I30" s="3307"/>
      <c r="J30" s="3307"/>
      <c r="K30" s="3307"/>
      <c r="L30" s="3307"/>
      <c r="M30" s="3307"/>
      <c r="N30" s="3307"/>
      <c r="O30" s="2566">
        <f>'FE-1770-I-hal 2'!O30</f>
        <v>0</v>
      </c>
      <c r="P30" s="2566"/>
      <c r="Q30" s="2566"/>
      <c r="R30" s="2566"/>
      <c r="S30" s="2566"/>
      <c r="T30" s="2566"/>
      <c r="U30" s="2566"/>
      <c r="V30" s="2566"/>
      <c r="W30" s="2655">
        <f>'FE-1770-I-hal 2'!W30</f>
        <v>0</v>
      </c>
      <c r="X30" s="2655"/>
      <c r="Y30" s="2655"/>
      <c r="Z30" s="2566">
        <f>'FE-1770-I-hal 2'!Z30</f>
        <v>0</v>
      </c>
      <c r="AA30" s="2566"/>
      <c r="AB30" s="2566"/>
      <c r="AC30" s="2566"/>
      <c r="AD30" s="2566"/>
      <c r="AE30" s="2566"/>
      <c r="AF30" s="2566"/>
      <c r="AG30" s="2566"/>
      <c r="AH30" s="2566"/>
      <c r="AI30" s="2566"/>
      <c r="AJ30" s="2566"/>
      <c r="AK30" s="2566"/>
      <c r="AL30" s="2566"/>
    </row>
    <row r="31" spans="1:50" ht="32.25" customHeight="1">
      <c r="A31" s="1048"/>
      <c r="B31" s="3258" t="s">
        <v>138</v>
      </c>
      <c r="C31" s="3259"/>
      <c r="D31" s="3259"/>
      <c r="E31" s="3259"/>
      <c r="F31" s="3259"/>
      <c r="G31" s="3259"/>
      <c r="H31" s="3259"/>
      <c r="I31" s="3259"/>
      <c r="J31" s="3259"/>
      <c r="K31" s="3259"/>
      <c r="L31" s="3259"/>
      <c r="M31" s="3259"/>
      <c r="N31" s="3260"/>
      <c r="O31" s="3318"/>
      <c r="P31" s="3259"/>
      <c r="Q31" s="3259"/>
      <c r="R31" s="3259"/>
      <c r="S31" s="3259"/>
      <c r="T31" s="3259"/>
      <c r="U31" s="3259"/>
      <c r="V31" s="3260"/>
      <c r="W31" s="1417"/>
      <c r="X31" s="3314" t="s">
        <v>139</v>
      </c>
      <c r="Y31" s="3315"/>
      <c r="Z31" s="2666">
        <f>'FE-1770-I-hal 2'!Z31</f>
        <v>0</v>
      </c>
      <c r="AA31" s="2667"/>
      <c r="AB31" s="2667"/>
      <c r="AC31" s="2667"/>
      <c r="AD31" s="2667"/>
      <c r="AE31" s="2667"/>
      <c r="AF31" s="2667"/>
      <c r="AG31" s="2667"/>
      <c r="AH31" s="2667"/>
      <c r="AI31" s="2667"/>
      <c r="AJ31" s="2667"/>
      <c r="AK31" s="2667"/>
      <c r="AL31" s="2668"/>
      <c r="AM31" s="973"/>
    </row>
    <row r="32" spans="1:50" ht="3" customHeight="1">
      <c r="A32" s="993"/>
      <c r="B32" s="1118"/>
      <c r="C32" s="1347"/>
      <c r="D32" s="804"/>
      <c r="E32" s="905"/>
      <c r="F32" s="905"/>
      <c r="G32" s="905"/>
      <c r="H32" s="905"/>
      <c r="I32" s="905"/>
      <c r="J32" s="905"/>
      <c r="K32" s="905"/>
      <c r="L32" s="905"/>
      <c r="M32" s="905"/>
      <c r="N32" s="905"/>
      <c r="O32" s="905"/>
      <c r="P32" s="905"/>
      <c r="Q32" s="905"/>
      <c r="R32" s="879"/>
      <c r="S32" s="879"/>
      <c r="T32" s="879"/>
      <c r="U32" s="879"/>
      <c r="V32" s="879"/>
      <c r="W32" s="879"/>
      <c r="X32" s="879"/>
      <c r="Y32" s="1309"/>
      <c r="Z32" s="973"/>
      <c r="AA32" s="973"/>
      <c r="AB32" s="973"/>
      <c r="AC32" s="973"/>
      <c r="AD32" s="973"/>
      <c r="AE32" s="973"/>
      <c r="AF32" s="973"/>
      <c r="AG32" s="973"/>
      <c r="AH32" s="973"/>
      <c r="AI32" s="973"/>
      <c r="AJ32" s="973"/>
      <c r="AK32" s="973"/>
      <c r="AL32" s="973"/>
    </row>
    <row r="33" spans="1:50" ht="15" customHeight="1">
      <c r="A33" s="993"/>
      <c r="B33" s="1118"/>
      <c r="C33" s="1347"/>
      <c r="D33" s="804"/>
      <c r="E33" s="905"/>
      <c r="F33" s="905"/>
      <c r="G33" s="905"/>
      <c r="H33" s="905"/>
      <c r="I33" s="905"/>
      <c r="J33" s="905"/>
      <c r="K33" s="905"/>
      <c r="L33" s="905"/>
      <c r="M33" s="905"/>
      <c r="N33" s="905"/>
      <c r="O33" s="905"/>
      <c r="P33" s="905"/>
      <c r="Q33" s="905"/>
      <c r="R33" s="879"/>
      <c r="S33" s="879"/>
      <c r="T33" s="879"/>
      <c r="U33" s="879"/>
      <c r="V33" s="879"/>
      <c r="W33" s="879"/>
      <c r="X33" s="879"/>
      <c r="Y33" s="1309"/>
      <c r="Z33" s="963" t="s">
        <v>271</v>
      </c>
      <c r="AA33" s="973"/>
      <c r="AB33" s="973"/>
      <c r="AC33" s="973"/>
      <c r="AD33" s="973"/>
      <c r="AE33" s="973"/>
      <c r="AF33" s="973"/>
      <c r="AG33" s="973"/>
      <c r="AH33" s="973"/>
      <c r="AI33" s="973"/>
      <c r="AJ33" s="973"/>
      <c r="AK33" s="973"/>
      <c r="AL33" s="973"/>
    </row>
    <row r="34" spans="1:50" ht="14.25" customHeight="1">
      <c r="A34" s="993"/>
      <c r="B34" s="933" t="s">
        <v>140</v>
      </c>
      <c r="C34" s="805"/>
      <c r="D34" s="804"/>
      <c r="E34" s="1418" t="s">
        <v>270</v>
      </c>
      <c r="G34" s="1419"/>
      <c r="H34" s="1419"/>
      <c r="I34" s="1419"/>
      <c r="J34" s="1419"/>
      <c r="K34" s="1419"/>
      <c r="L34" s="1419"/>
      <c r="M34" s="1419"/>
      <c r="N34" s="1419"/>
      <c r="O34" s="1419"/>
      <c r="P34" s="1420"/>
      <c r="Q34" s="1420"/>
      <c r="R34" s="879"/>
      <c r="S34" s="879"/>
      <c r="T34" s="879"/>
      <c r="U34" s="879"/>
      <c r="V34" s="879"/>
      <c r="W34" s="879"/>
      <c r="X34" s="879"/>
      <c r="Y34" s="1309"/>
      <c r="Z34" s="973"/>
      <c r="AA34" s="973"/>
      <c r="AB34" s="973"/>
      <c r="AC34" s="973"/>
      <c r="AD34" s="973"/>
      <c r="AE34" s="973"/>
      <c r="AF34" s="973"/>
      <c r="AG34" s="973"/>
      <c r="AH34" s="973"/>
      <c r="AI34" s="973"/>
      <c r="AJ34" s="973"/>
      <c r="AK34" s="973"/>
      <c r="AL34" s="973"/>
    </row>
    <row r="35" spans="1:50" ht="17.25" customHeight="1">
      <c r="A35" s="993"/>
      <c r="B35" s="1421"/>
      <c r="C35" s="805"/>
      <c r="D35" s="804"/>
      <c r="E35" s="1418" t="s">
        <v>273</v>
      </c>
      <c r="G35" s="1419"/>
      <c r="H35" s="1419"/>
      <c r="I35" s="1419"/>
      <c r="J35" s="1419"/>
      <c r="K35" s="1419"/>
      <c r="L35" s="1419"/>
      <c r="M35" s="1419"/>
      <c r="N35" s="1419"/>
      <c r="O35" s="1419"/>
      <c r="P35" s="1420"/>
      <c r="Q35" s="1420"/>
      <c r="R35" s="879"/>
      <c r="S35" s="879"/>
      <c r="T35" s="879"/>
      <c r="U35" s="879"/>
      <c r="V35" s="879"/>
      <c r="W35" s="879"/>
      <c r="X35" s="879"/>
      <c r="Y35" s="1309"/>
      <c r="Z35" s="973"/>
      <c r="AA35" s="973"/>
      <c r="AB35" s="973"/>
      <c r="AC35" s="973"/>
      <c r="AD35" s="973"/>
      <c r="AE35" s="973"/>
      <c r="AF35" s="973"/>
      <c r="AG35" s="973"/>
      <c r="AH35" s="973"/>
      <c r="AI35" s="973"/>
      <c r="AJ35" s="973"/>
      <c r="AK35" s="973"/>
      <c r="AL35" s="973"/>
    </row>
    <row r="36" spans="1:50" ht="30" customHeight="1">
      <c r="A36" s="1048"/>
      <c r="B36" s="3286" t="s">
        <v>123</v>
      </c>
      <c r="C36" s="3287"/>
      <c r="D36" s="3286" t="s">
        <v>275</v>
      </c>
      <c r="E36" s="3305"/>
      <c r="F36" s="3305"/>
      <c r="G36" s="3305"/>
      <c r="H36" s="3305"/>
      <c r="I36" s="3305"/>
      <c r="J36" s="3305"/>
      <c r="K36" s="3305"/>
      <c r="L36" s="3305"/>
      <c r="M36" s="3305"/>
      <c r="N36" s="3287"/>
      <c r="O36" s="3286" t="s">
        <v>309</v>
      </c>
      <c r="P36" s="3305"/>
      <c r="Q36" s="3305"/>
      <c r="R36" s="3305"/>
      <c r="S36" s="3305"/>
      <c r="T36" s="3305"/>
      <c r="U36" s="3305"/>
      <c r="V36" s="3287"/>
      <c r="W36" s="3286" t="s">
        <v>308</v>
      </c>
      <c r="X36" s="3305"/>
      <c r="Y36" s="3305"/>
      <c r="Z36" s="3305"/>
      <c r="AA36" s="3305"/>
      <c r="AB36" s="3305"/>
      <c r="AC36" s="3305"/>
      <c r="AD36" s="3287"/>
      <c r="AE36" s="3286" t="s">
        <v>307</v>
      </c>
      <c r="AF36" s="3284"/>
      <c r="AG36" s="3284"/>
      <c r="AH36" s="3284"/>
      <c r="AI36" s="3284"/>
      <c r="AJ36" s="3284"/>
      <c r="AK36" s="3284"/>
      <c r="AL36" s="3285"/>
      <c r="AM36" s="1328"/>
      <c r="AN36" s="1328"/>
      <c r="AO36" s="1328"/>
      <c r="AP36" s="1328"/>
      <c r="AQ36" s="1328"/>
      <c r="AR36" s="1328"/>
      <c r="AS36" s="1328"/>
      <c r="AT36" s="1328"/>
      <c r="AU36" s="1328"/>
      <c r="AV36" s="1328"/>
      <c r="AW36" s="1328"/>
      <c r="AX36" s="1328"/>
    </row>
    <row r="37" spans="1:50" ht="13.5" customHeight="1">
      <c r="A37" s="1048"/>
      <c r="B37" s="3288"/>
      <c r="C37" s="3289"/>
      <c r="D37" s="3288"/>
      <c r="E37" s="3310"/>
      <c r="F37" s="3310"/>
      <c r="G37" s="3310"/>
      <c r="H37" s="3310"/>
      <c r="I37" s="3310"/>
      <c r="J37" s="3310"/>
      <c r="K37" s="3310"/>
      <c r="L37" s="3310"/>
      <c r="M37" s="3310"/>
      <c r="N37" s="3289"/>
      <c r="O37" s="3288" t="s">
        <v>172</v>
      </c>
      <c r="P37" s="3310"/>
      <c r="Q37" s="3310"/>
      <c r="R37" s="3310"/>
      <c r="S37" s="3310"/>
      <c r="T37" s="3310"/>
      <c r="U37" s="3310"/>
      <c r="V37" s="3289"/>
      <c r="W37" s="3288" t="s">
        <v>172</v>
      </c>
      <c r="X37" s="3310"/>
      <c r="Y37" s="3310"/>
      <c r="Z37" s="3310"/>
      <c r="AA37" s="3310"/>
      <c r="AB37" s="3310"/>
      <c r="AC37" s="3310"/>
      <c r="AD37" s="3289"/>
      <c r="AE37" s="3288" t="s">
        <v>172</v>
      </c>
      <c r="AF37" s="3310"/>
      <c r="AG37" s="3310"/>
      <c r="AH37" s="3310"/>
      <c r="AI37" s="3310"/>
      <c r="AJ37" s="3310"/>
      <c r="AK37" s="3310"/>
      <c r="AL37" s="3289"/>
      <c r="AM37" s="1328"/>
      <c r="AN37" s="1328"/>
      <c r="AO37" s="1328"/>
      <c r="AP37" s="1328"/>
      <c r="AQ37" s="1328"/>
      <c r="AR37" s="1328"/>
      <c r="AS37" s="1328"/>
      <c r="AT37" s="1328"/>
      <c r="AU37" s="1328"/>
      <c r="AV37" s="1328"/>
      <c r="AW37" s="1328"/>
      <c r="AX37" s="1328"/>
    </row>
    <row r="38" spans="1:50" ht="13.5" customHeight="1">
      <c r="A38" s="993"/>
      <c r="B38" s="3264" t="s">
        <v>128</v>
      </c>
      <c r="C38" s="3298"/>
      <c r="D38" s="3264" t="s">
        <v>129</v>
      </c>
      <c r="E38" s="3265"/>
      <c r="F38" s="3265"/>
      <c r="G38" s="3265"/>
      <c r="H38" s="3265"/>
      <c r="I38" s="3265"/>
      <c r="J38" s="3265"/>
      <c r="K38" s="3265"/>
      <c r="L38" s="3265"/>
      <c r="M38" s="3265"/>
      <c r="N38" s="3266"/>
      <c r="O38" s="3264" t="s">
        <v>130</v>
      </c>
      <c r="P38" s="3265"/>
      <c r="Q38" s="3265"/>
      <c r="R38" s="3265"/>
      <c r="S38" s="3265"/>
      <c r="T38" s="3265"/>
      <c r="U38" s="3265"/>
      <c r="V38" s="3266"/>
      <c r="W38" s="3264" t="s">
        <v>131</v>
      </c>
      <c r="X38" s="3265"/>
      <c r="Y38" s="3265"/>
      <c r="Z38" s="3265"/>
      <c r="AA38" s="3265"/>
      <c r="AB38" s="3265"/>
      <c r="AC38" s="3265"/>
      <c r="AD38" s="3266"/>
      <c r="AE38" s="3264" t="s">
        <v>132</v>
      </c>
      <c r="AF38" s="3265"/>
      <c r="AG38" s="3265"/>
      <c r="AH38" s="3265"/>
      <c r="AI38" s="3265"/>
      <c r="AJ38" s="3265"/>
      <c r="AK38" s="3265"/>
      <c r="AL38" s="3266"/>
    </row>
    <row r="39" spans="1:50" ht="13.5" customHeight="1">
      <c r="A39" s="993"/>
      <c r="B39" s="3290">
        <v>1</v>
      </c>
      <c r="C39" s="3291"/>
      <c r="D39" s="2682" t="str">
        <f>'FE-1770-I-hal 2'!D39</f>
        <v/>
      </c>
      <c r="E39" s="2683"/>
      <c r="F39" s="2683"/>
      <c r="G39" s="2683"/>
      <c r="H39" s="2683"/>
      <c r="I39" s="2683"/>
      <c r="J39" s="2683"/>
      <c r="K39" s="2683"/>
      <c r="L39" s="2683"/>
      <c r="M39" s="2683"/>
      <c r="N39" s="2684"/>
      <c r="O39" s="2676">
        <f>'FE-1770-I-hal 2'!O39</f>
        <v>0</v>
      </c>
      <c r="P39" s="2677"/>
      <c r="Q39" s="2677"/>
      <c r="R39" s="2677"/>
      <c r="S39" s="2677"/>
      <c r="T39" s="2677"/>
      <c r="U39" s="2677"/>
      <c r="V39" s="2678"/>
      <c r="W39" s="2676">
        <f>'FE-1770-I-hal 2'!W39</f>
        <v>0</v>
      </c>
      <c r="X39" s="2677"/>
      <c r="Y39" s="2677"/>
      <c r="Z39" s="2677"/>
      <c r="AA39" s="2677"/>
      <c r="AB39" s="2677"/>
      <c r="AC39" s="2677"/>
      <c r="AD39" s="2678"/>
      <c r="AE39" s="2676">
        <f>'FE-1770-I-hal 2'!AE39</f>
        <v>0</v>
      </c>
      <c r="AF39" s="2677"/>
      <c r="AG39" s="2677"/>
      <c r="AH39" s="2677"/>
      <c r="AI39" s="2677"/>
      <c r="AJ39" s="2677"/>
      <c r="AK39" s="2677"/>
      <c r="AL39" s="2678"/>
    </row>
    <row r="40" spans="1:50" ht="13.5" customHeight="1">
      <c r="A40" s="993"/>
      <c r="B40" s="3292"/>
      <c r="C40" s="3293"/>
      <c r="D40" s="2682" t="str">
        <f>'FE-1770-I-hal 2'!D40</f>
        <v/>
      </c>
      <c r="E40" s="2683"/>
      <c r="F40" s="2683"/>
      <c r="G40" s="2683"/>
      <c r="H40" s="2683"/>
      <c r="I40" s="2683"/>
      <c r="J40" s="2683"/>
      <c r="K40" s="2683"/>
      <c r="L40" s="2683"/>
      <c r="M40" s="2683"/>
      <c r="N40" s="2684"/>
      <c r="O40" s="2679"/>
      <c r="P40" s="2680"/>
      <c r="Q40" s="2680"/>
      <c r="R40" s="2680"/>
      <c r="S40" s="2680"/>
      <c r="T40" s="2680"/>
      <c r="U40" s="2680"/>
      <c r="V40" s="2681"/>
      <c r="W40" s="2679"/>
      <c r="X40" s="2680"/>
      <c r="Y40" s="2680"/>
      <c r="Z40" s="2680"/>
      <c r="AA40" s="2680"/>
      <c r="AB40" s="2680"/>
      <c r="AC40" s="2680"/>
      <c r="AD40" s="2681"/>
      <c r="AE40" s="2679"/>
      <c r="AF40" s="2680"/>
      <c r="AG40" s="2680"/>
      <c r="AH40" s="2680"/>
      <c r="AI40" s="2680"/>
      <c r="AJ40" s="2680"/>
      <c r="AK40" s="2680"/>
      <c r="AL40" s="2681"/>
    </row>
    <row r="41" spans="1:50" ht="13.5" customHeight="1">
      <c r="A41" s="993"/>
      <c r="B41" s="3290">
        <v>2</v>
      </c>
      <c r="C41" s="3291"/>
      <c r="D41" s="2682" t="str">
        <f>'FE-1770-I-hal 2'!D41</f>
        <v/>
      </c>
      <c r="E41" s="2683"/>
      <c r="F41" s="2683"/>
      <c r="G41" s="2683"/>
      <c r="H41" s="2683"/>
      <c r="I41" s="2683"/>
      <c r="J41" s="2683"/>
      <c r="K41" s="2683"/>
      <c r="L41" s="2683"/>
      <c r="M41" s="2683"/>
      <c r="N41" s="2684"/>
      <c r="O41" s="2676">
        <f>'FE-1770-I-hal 2'!O41</f>
        <v>0</v>
      </c>
      <c r="P41" s="2677"/>
      <c r="Q41" s="2677"/>
      <c r="R41" s="2677"/>
      <c r="S41" s="2677"/>
      <c r="T41" s="2677"/>
      <c r="U41" s="2677"/>
      <c r="V41" s="2678"/>
      <c r="W41" s="2676">
        <f>'FE-1770-I-hal 2'!W41</f>
        <v>0</v>
      </c>
      <c r="X41" s="2677"/>
      <c r="Y41" s="2677"/>
      <c r="Z41" s="2677"/>
      <c r="AA41" s="2677"/>
      <c r="AB41" s="2677"/>
      <c r="AC41" s="2677"/>
      <c r="AD41" s="2678"/>
      <c r="AE41" s="2676">
        <f>'FE-1770-I-hal 2'!AE41</f>
        <v>0</v>
      </c>
      <c r="AF41" s="2677"/>
      <c r="AG41" s="2677"/>
      <c r="AH41" s="2677"/>
      <c r="AI41" s="2677"/>
      <c r="AJ41" s="2677"/>
      <c r="AK41" s="2677"/>
      <c r="AL41" s="2678"/>
    </row>
    <row r="42" spans="1:50" ht="13.5" customHeight="1">
      <c r="A42" s="993"/>
      <c r="B42" s="3292"/>
      <c r="C42" s="3293"/>
      <c r="D42" s="2682" t="str">
        <f>'FE-1770-I-hal 2'!D42</f>
        <v/>
      </c>
      <c r="E42" s="2683"/>
      <c r="F42" s="2683"/>
      <c r="G42" s="2683"/>
      <c r="H42" s="2683"/>
      <c r="I42" s="2683"/>
      <c r="J42" s="2683"/>
      <c r="K42" s="2683"/>
      <c r="L42" s="2683"/>
      <c r="M42" s="2683"/>
      <c r="N42" s="2684"/>
      <c r="O42" s="2679"/>
      <c r="P42" s="2680"/>
      <c r="Q42" s="2680"/>
      <c r="R42" s="2680"/>
      <c r="S42" s="2680"/>
      <c r="T42" s="2680"/>
      <c r="U42" s="2680"/>
      <c r="V42" s="2681"/>
      <c r="W42" s="2679"/>
      <c r="X42" s="2680"/>
      <c r="Y42" s="2680"/>
      <c r="Z42" s="2680"/>
      <c r="AA42" s="2680"/>
      <c r="AB42" s="2680"/>
      <c r="AC42" s="2680"/>
      <c r="AD42" s="2681"/>
      <c r="AE42" s="2679"/>
      <c r="AF42" s="2680"/>
      <c r="AG42" s="2680"/>
      <c r="AH42" s="2680"/>
      <c r="AI42" s="2680"/>
      <c r="AJ42" s="2680"/>
      <c r="AK42" s="2680"/>
      <c r="AL42" s="2681"/>
    </row>
    <row r="43" spans="1:50" ht="13.5" customHeight="1">
      <c r="A43" s="993"/>
      <c r="B43" s="3290">
        <v>3</v>
      </c>
      <c r="C43" s="3291"/>
      <c r="D43" s="2682" t="str">
        <f>'FE-1770-I-hal 2'!D43</f>
        <v/>
      </c>
      <c r="E43" s="2683"/>
      <c r="F43" s="2683"/>
      <c r="G43" s="2683"/>
      <c r="H43" s="2683"/>
      <c r="I43" s="2683"/>
      <c r="J43" s="2683"/>
      <c r="K43" s="2683"/>
      <c r="L43" s="2683"/>
      <c r="M43" s="2683"/>
      <c r="N43" s="2684"/>
      <c r="O43" s="2676">
        <f>'FE-1770-I-hal 2'!O43</f>
        <v>0</v>
      </c>
      <c r="P43" s="2677"/>
      <c r="Q43" s="2677"/>
      <c r="R43" s="2677"/>
      <c r="S43" s="2677"/>
      <c r="T43" s="2677"/>
      <c r="U43" s="2677"/>
      <c r="V43" s="2678"/>
      <c r="W43" s="2676">
        <f>'FE-1770-I-hal 2'!W43</f>
        <v>0</v>
      </c>
      <c r="X43" s="2677"/>
      <c r="Y43" s="2677"/>
      <c r="Z43" s="2677"/>
      <c r="AA43" s="2677"/>
      <c r="AB43" s="2677"/>
      <c r="AC43" s="2677"/>
      <c r="AD43" s="2678"/>
      <c r="AE43" s="2676">
        <f>'FE-1770-I-hal 2'!AE43</f>
        <v>0</v>
      </c>
      <c r="AF43" s="2677"/>
      <c r="AG43" s="2677"/>
      <c r="AH43" s="2677"/>
      <c r="AI43" s="2677"/>
      <c r="AJ43" s="2677"/>
      <c r="AK43" s="2677"/>
      <c r="AL43" s="2678"/>
    </row>
    <row r="44" spans="1:50" ht="13.5" customHeight="1">
      <c r="A44" s="993"/>
      <c r="B44" s="3292"/>
      <c r="C44" s="3293"/>
      <c r="D44" s="2682" t="str">
        <f>'FE-1770-I-hal 2'!D44</f>
        <v/>
      </c>
      <c r="E44" s="2683"/>
      <c r="F44" s="2683"/>
      <c r="G44" s="2683"/>
      <c r="H44" s="2683"/>
      <c r="I44" s="2683"/>
      <c r="J44" s="2683"/>
      <c r="K44" s="2683"/>
      <c r="L44" s="2683"/>
      <c r="M44" s="2683"/>
      <c r="N44" s="2684"/>
      <c r="O44" s="2679"/>
      <c r="P44" s="2680"/>
      <c r="Q44" s="2680"/>
      <c r="R44" s="2680"/>
      <c r="S44" s="2680"/>
      <c r="T44" s="2680"/>
      <c r="U44" s="2680"/>
      <c r="V44" s="2681"/>
      <c r="W44" s="2679"/>
      <c r="X44" s="2680"/>
      <c r="Y44" s="2680"/>
      <c r="Z44" s="2680"/>
      <c r="AA44" s="2680"/>
      <c r="AB44" s="2680"/>
      <c r="AC44" s="2680"/>
      <c r="AD44" s="2681"/>
      <c r="AE44" s="2679"/>
      <c r="AF44" s="2680"/>
      <c r="AG44" s="2680"/>
      <c r="AH44" s="2680"/>
      <c r="AI44" s="2680"/>
      <c r="AJ44" s="2680"/>
      <c r="AK44" s="2680"/>
      <c r="AL44" s="2681"/>
    </row>
    <row r="45" spans="1:50" ht="13.5" customHeight="1">
      <c r="A45" s="993"/>
      <c r="B45" s="3290">
        <v>4</v>
      </c>
      <c r="C45" s="3291"/>
      <c r="D45" s="2682" t="str">
        <f>IF('FE-1770-I-hal 2'!D45="","",'FE-1770-I-hal 2'!D45)</f>
        <v/>
      </c>
      <c r="E45" s="2683"/>
      <c r="F45" s="2683"/>
      <c r="G45" s="2683"/>
      <c r="H45" s="2683"/>
      <c r="I45" s="2683"/>
      <c r="J45" s="2683"/>
      <c r="K45" s="2683"/>
      <c r="L45" s="2683"/>
      <c r="M45" s="2683"/>
      <c r="N45" s="2684"/>
      <c r="O45" s="2676">
        <f>'FE-1770-I-hal 2'!O45</f>
        <v>0</v>
      </c>
      <c r="P45" s="2677"/>
      <c r="Q45" s="2677"/>
      <c r="R45" s="2677"/>
      <c r="S45" s="2677"/>
      <c r="T45" s="2677"/>
      <c r="U45" s="2677"/>
      <c r="V45" s="2678"/>
      <c r="W45" s="2676">
        <f>'FE-1770-I-hal 2'!W45</f>
        <v>0</v>
      </c>
      <c r="X45" s="2677"/>
      <c r="Y45" s="2677"/>
      <c r="Z45" s="2677"/>
      <c r="AA45" s="2677"/>
      <c r="AB45" s="2677"/>
      <c r="AC45" s="2677"/>
      <c r="AD45" s="2678"/>
      <c r="AE45" s="2676">
        <f>'FE-1770-I-hal 2'!AE45</f>
        <v>0</v>
      </c>
      <c r="AF45" s="2677"/>
      <c r="AG45" s="2677"/>
      <c r="AH45" s="2677"/>
      <c r="AI45" s="2677"/>
      <c r="AJ45" s="2677"/>
      <c r="AK45" s="2677"/>
      <c r="AL45" s="2678"/>
    </row>
    <row r="46" spans="1:50" ht="13.5" customHeight="1">
      <c r="A46" s="993"/>
      <c r="B46" s="3292"/>
      <c r="C46" s="3293"/>
      <c r="D46" s="2682" t="str">
        <f>IF('FE-1770-I-hal 2'!D46="","",'FE-1770-I-hal 2'!D46)</f>
        <v/>
      </c>
      <c r="E46" s="2683"/>
      <c r="F46" s="2683"/>
      <c r="G46" s="2683"/>
      <c r="H46" s="2683"/>
      <c r="I46" s="2683"/>
      <c r="J46" s="2683"/>
      <c r="K46" s="2683"/>
      <c r="L46" s="2683"/>
      <c r="M46" s="2683"/>
      <c r="N46" s="2684"/>
      <c r="O46" s="2679"/>
      <c r="P46" s="2680"/>
      <c r="Q46" s="2680"/>
      <c r="R46" s="2680"/>
      <c r="S46" s="2680"/>
      <c r="T46" s="2680"/>
      <c r="U46" s="2680"/>
      <c r="V46" s="2681"/>
      <c r="W46" s="2679"/>
      <c r="X46" s="2680"/>
      <c r="Y46" s="2680"/>
      <c r="Z46" s="2680"/>
      <c r="AA46" s="2680"/>
      <c r="AB46" s="2680"/>
      <c r="AC46" s="2680"/>
      <c r="AD46" s="2681"/>
      <c r="AE46" s="2679"/>
      <c r="AF46" s="2680"/>
      <c r="AG46" s="2680"/>
      <c r="AH46" s="2680"/>
      <c r="AI46" s="2680"/>
      <c r="AJ46" s="2680"/>
      <c r="AK46" s="2680"/>
      <c r="AL46" s="2681"/>
    </row>
    <row r="47" spans="1:50" ht="13.5" customHeight="1">
      <c r="A47" s="1048"/>
      <c r="B47" s="3294">
        <v>5</v>
      </c>
      <c r="C47" s="3295"/>
      <c r="D47" s="2682" t="str">
        <f>IF('FE-1770-I-hal 2'!D47="","",'FE-1770-I-hal 2'!D47)</f>
        <v/>
      </c>
      <c r="E47" s="2683"/>
      <c r="F47" s="2683"/>
      <c r="G47" s="2683"/>
      <c r="H47" s="2683"/>
      <c r="I47" s="2683"/>
      <c r="J47" s="2683"/>
      <c r="K47" s="2683"/>
      <c r="L47" s="2683"/>
      <c r="M47" s="2683"/>
      <c r="N47" s="2684"/>
      <c r="O47" s="2676">
        <f>'FE-1770-I-hal 2'!O47</f>
        <v>0</v>
      </c>
      <c r="P47" s="2677"/>
      <c r="Q47" s="2677"/>
      <c r="R47" s="2677"/>
      <c r="S47" s="2677"/>
      <c r="T47" s="2677"/>
      <c r="U47" s="2677"/>
      <c r="V47" s="2678"/>
      <c r="W47" s="2676">
        <f>'FE-1770-I-hal 2'!W47</f>
        <v>0</v>
      </c>
      <c r="X47" s="2677"/>
      <c r="Y47" s="2677"/>
      <c r="Z47" s="2677"/>
      <c r="AA47" s="2677"/>
      <c r="AB47" s="2677"/>
      <c r="AC47" s="2677"/>
      <c r="AD47" s="2678"/>
      <c r="AE47" s="2676">
        <f>'FE-1770-I-hal 2'!AE47</f>
        <v>0</v>
      </c>
      <c r="AF47" s="2677"/>
      <c r="AG47" s="2677"/>
      <c r="AH47" s="2677"/>
      <c r="AI47" s="2677"/>
      <c r="AJ47" s="2677"/>
      <c r="AK47" s="2677"/>
      <c r="AL47" s="2678"/>
    </row>
    <row r="48" spans="1:50" ht="13.5" customHeight="1">
      <c r="A48" s="993"/>
      <c r="B48" s="3296"/>
      <c r="C48" s="3297"/>
      <c r="D48" s="2682" t="str">
        <f>IF('FE-1770-I-hal 2'!D48="","",'FE-1770-I-hal 2'!D48)</f>
        <v/>
      </c>
      <c r="E48" s="2683"/>
      <c r="F48" s="2683"/>
      <c r="G48" s="2683"/>
      <c r="H48" s="2683"/>
      <c r="I48" s="2683"/>
      <c r="J48" s="2683"/>
      <c r="K48" s="2683"/>
      <c r="L48" s="2683"/>
      <c r="M48" s="2683"/>
      <c r="N48" s="2684"/>
      <c r="O48" s="2679"/>
      <c r="P48" s="2680"/>
      <c r="Q48" s="2680"/>
      <c r="R48" s="2680"/>
      <c r="S48" s="2680"/>
      <c r="T48" s="2680"/>
      <c r="U48" s="2680"/>
      <c r="V48" s="2681"/>
      <c r="W48" s="2679"/>
      <c r="X48" s="2680"/>
      <c r="Y48" s="2680"/>
      <c r="Z48" s="2680"/>
      <c r="AA48" s="2680"/>
      <c r="AB48" s="2680"/>
      <c r="AC48" s="2680"/>
      <c r="AD48" s="2681"/>
      <c r="AE48" s="2679"/>
      <c r="AF48" s="2680"/>
      <c r="AG48" s="2680"/>
      <c r="AH48" s="2680"/>
      <c r="AI48" s="2680"/>
      <c r="AJ48" s="2680"/>
      <c r="AK48" s="2680"/>
      <c r="AL48" s="2681"/>
    </row>
    <row r="49" spans="1:39" ht="13.5" customHeight="1">
      <c r="A49" s="1048"/>
      <c r="B49" s="3254">
        <v>6</v>
      </c>
      <c r="C49" s="3255"/>
      <c r="D49" s="2682" t="str">
        <f>IF('FE-1770-I-hal 2'!D49="","",'FE-1770-I-hal 2'!D49)</f>
        <v/>
      </c>
      <c r="E49" s="2683"/>
      <c r="F49" s="2683"/>
      <c r="G49" s="2683"/>
      <c r="H49" s="2683"/>
      <c r="I49" s="2683"/>
      <c r="J49" s="2683"/>
      <c r="K49" s="2683"/>
      <c r="L49" s="2683"/>
      <c r="M49" s="2683"/>
      <c r="N49" s="2684"/>
      <c r="O49" s="2676">
        <f>'FE-1770-I-hal 2'!O49</f>
        <v>0</v>
      </c>
      <c r="P49" s="2677"/>
      <c r="Q49" s="2677"/>
      <c r="R49" s="2677"/>
      <c r="S49" s="2677"/>
      <c r="T49" s="2677"/>
      <c r="U49" s="2677"/>
      <c r="V49" s="2678"/>
      <c r="W49" s="2676">
        <f>'FE-1770-I-hal 2'!W49</f>
        <v>0</v>
      </c>
      <c r="X49" s="2677"/>
      <c r="Y49" s="2677"/>
      <c r="Z49" s="2677"/>
      <c r="AA49" s="2677"/>
      <c r="AB49" s="2677"/>
      <c r="AC49" s="2677"/>
      <c r="AD49" s="2678"/>
      <c r="AE49" s="2676">
        <f>'FE-1770-I-hal 2'!AE49</f>
        <v>0</v>
      </c>
      <c r="AF49" s="2677"/>
      <c r="AG49" s="2677"/>
      <c r="AH49" s="2677"/>
      <c r="AI49" s="2677"/>
      <c r="AJ49" s="2677"/>
      <c r="AK49" s="2677"/>
      <c r="AL49" s="2678"/>
    </row>
    <row r="50" spans="1:39" ht="13.5" customHeight="1">
      <c r="A50" s="993"/>
      <c r="B50" s="3256"/>
      <c r="C50" s="3257"/>
      <c r="D50" s="2682" t="str">
        <f>IF('FE-1770-I-hal 2'!D50="","",'FE-1770-I-hal 2'!D50)</f>
        <v/>
      </c>
      <c r="E50" s="2683"/>
      <c r="F50" s="2683"/>
      <c r="G50" s="2683"/>
      <c r="H50" s="2683"/>
      <c r="I50" s="2683"/>
      <c r="J50" s="2683"/>
      <c r="K50" s="2683"/>
      <c r="L50" s="2683"/>
      <c r="M50" s="2683"/>
      <c r="N50" s="2684"/>
      <c r="O50" s="2679"/>
      <c r="P50" s="2680"/>
      <c r="Q50" s="2680"/>
      <c r="R50" s="2680"/>
      <c r="S50" s="2680"/>
      <c r="T50" s="2680"/>
      <c r="U50" s="2680"/>
      <c r="V50" s="2681"/>
      <c r="W50" s="2679"/>
      <c r="X50" s="2680"/>
      <c r="Y50" s="2680"/>
      <c r="Z50" s="2680"/>
      <c r="AA50" s="2680"/>
      <c r="AB50" s="2680"/>
      <c r="AC50" s="2680"/>
      <c r="AD50" s="2681"/>
      <c r="AE50" s="2679"/>
      <c r="AF50" s="2680"/>
      <c r="AG50" s="2680"/>
      <c r="AH50" s="2680"/>
      <c r="AI50" s="2680"/>
      <c r="AJ50" s="2680"/>
      <c r="AK50" s="2680"/>
      <c r="AL50" s="2681"/>
    </row>
    <row r="51" spans="1:39" ht="20.100000000000001" customHeight="1">
      <c r="A51" s="1048"/>
      <c r="B51" s="3258" t="s">
        <v>274</v>
      </c>
      <c r="C51" s="3259"/>
      <c r="D51" s="3259"/>
      <c r="E51" s="3259"/>
      <c r="F51" s="3259"/>
      <c r="G51" s="3259"/>
      <c r="H51" s="3259"/>
      <c r="I51" s="3259"/>
      <c r="J51" s="3259"/>
      <c r="K51" s="3259"/>
      <c r="L51" s="3259"/>
      <c r="M51" s="3259"/>
      <c r="N51" s="3259"/>
      <c r="O51" s="3259"/>
      <c r="P51" s="3259"/>
      <c r="Q51" s="3259"/>
      <c r="R51" s="3259"/>
      <c r="S51" s="3259"/>
      <c r="T51" s="3259"/>
      <c r="U51" s="3259"/>
      <c r="V51" s="3260"/>
      <c r="W51" s="3302"/>
      <c r="X51" s="3303"/>
      <c r="Y51" s="3303"/>
      <c r="Z51" s="3303"/>
      <c r="AA51" s="3304"/>
      <c r="AB51" s="3326" t="s">
        <v>276</v>
      </c>
      <c r="AC51" s="3327"/>
      <c r="AD51" s="3328"/>
      <c r="AE51" s="3320">
        <f>'FE-1770-I-hal 2'!AE51</f>
        <v>0</v>
      </c>
      <c r="AF51" s="3321"/>
      <c r="AG51" s="3321"/>
      <c r="AH51" s="3321"/>
      <c r="AI51" s="3321"/>
      <c r="AJ51" s="3321"/>
      <c r="AK51" s="3321"/>
      <c r="AL51" s="3322"/>
      <c r="AM51" s="973"/>
    </row>
    <row r="52" spans="1:39" ht="15" customHeight="1">
      <c r="A52" s="993"/>
      <c r="B52" s="1118"/>
      <c r="C52" s="1347"/>
      <c r="D52" s="804"/>
      <c r="E52" s="905"/>
      <c r="F52" s="905"/>
      <c r="G52" s="905"/>
      <c r="H52" s="905"/>
      <c r="I52" s="905"/>
      <c r="J52" s="905"/>
      <c r="K52" s="905"/>
      <c r="L52" s="905"/>
      <c r="M52" s="905"/>
      <c r="N52" s="905"/>
      <c r="O52" s="905"/>
      <c r="P52" s="905"/>
      <c r="Q52" s="905"/>
      <c r="R52" s="879"/>
      <c r="S52" s="879"/>
      <c r="T52" s="879"/>
      <c r="U52" s="879"/>
      <c r="V52" s="879"/>
      <c r="W52" s="879"/>
      <c r="X52" s="879"/>
      <c r="Y52" s="1309"/>
      <c r="Z52" s="963" t="s">
        <v>277</v>
      </c>
      <c r="AA52" s="973"/>
      <c r="AB52" s="973"/>
      <c r="AC52" s="973"/>
      <c r="AD52" s="973"/>
      <c r="AE52" s="973"/>
      <c r="AF52" s="973"/>
      <c r="AG52" s="973"/>
      <c r="AH52" s="973"/>
      <c r="AI52" s="973"/>
      <c r="AJ52" s="973"/>
      <c r="AK52" s="973"/>
      <c r="AL52" s="973"/>
    </row>
    <row r="53" spans="1:39" ht="14.25" customHeight="1">
      <c r="A53" s="993"/>
      <c r="B53" s="933" t="s">
        <v>278</v>
      </c>
      <c r="C53" s="805"/>
      <c r="D53" s="804"/>
      <c r="E53" s="1418" t="s">
        <v>272</v>
      </c>
      <c r="G53" s="1419"/>
      <c r="H53" s="1419"/>
      <c r="I53" s="1419"/>
      <c r="J53" s="1419"/>
      <c r="K53" s="1419"/>
      <c r="L53" s="1419"/>
      <c r="M53" s="1419"/>
      <c r="N53" s="1419"/>
      <c r="O53" s="1419"/>
      <c r="P53" s="1420"/>
      <c r="Q53" s="1420"/>
      <c r="R53" s="879"/>
      <c r="S53" s="879"/>
      <c r="T53" s="879"/>
      <c r="U53" s="879"/>
      <c r="V53" s="879"/>
      <c r="W53" s="879"/>
      <c r="X53" s="879"/>
      <c r="Y53" s="1309"/>
      <c r="Z53" s="973"/>
      <c r="AA53" s="973"/>
      <c r="AB53" s="973"/>
      <c r="AC53" s="973"/>
      <c r="AD53" s="973"/>
      <c r="AE53" s="973"/>
      <c r="AF53" s="973"/>
      <c r="AG53" s="973"/>
      <c r="AH53" s="973"/>
      <c r="AI53" s="973"/>
      <c r="AJ53" s="973"/>
      <c r="AK53" s="973"/>
      <c r="AL53" s="973"/>
    </row>
    <row r="54" spans="1:39" ht="17.25" customHeight="1">
      <c r="A54" s="993"/>
      <c r="B54" s="1421"/>
      <c r="C54" s="805"/>
      <c r="D54" s="804"/>
      <c r="E54" s="1418" t="s">
        <v>273</v>
      </c>
      <c r="G54" s="1419"/>
      <c r="H54" s="1419"/>
      <c r="I54" s="1419"/>
      <c r="J54" s="1419"/>
      <c r="K54" s="1419"/>
      <c r="L54" s="1419"/>
      <c r="M54" s="1419"/>
      <c r="N54" s="1419"/>
      <c r="O54" s="1419"/>
      <c r="P54" s="1420"/>
      <c r="Q54" s="1420"/>
      <c r="R54" s="879"/>
      <c r="S54" s="879"/>
      <c r="T54" s="879"/>
      <c r="U54" s="879"/>
      <c r="V54" s="879"/>
      <c r="W54" s="879"/>
      <c r="X54" s="879"/>
      <c r="Y54" s="1309"/>
      <c r="Z54" s="973"/>
      <c r="AA54" s="973"/>
      <c r="AB54" s="973"/>
      <c r="AC54" s="973"/>
      <c r="AD54" s="973"/>
      <c r="AE54" s="973"/>
      <c r="AF54" s="973"/>
      <c r="AG54" s="973"/>
      <c r="AH54" s="973"/>
      <c r="AI54" s="973"/>
      <c r="AJ54" s="973"/>
      <c r="AK54" s="973"/>
      <c r="AL54" s="973"/>
    </row>
    <row r="55" spans="1:39" ht="2.25" customHeight="1">
      <c r="A55" s="993"/>
      <c r="B55" s="1421"/>
      <c r="C55" s="805"/>
      <c r="D55" s="804"/>
      <c r="E55" s="1419"/>
      <c r="F55" s="1422"/>
      <c r="G55" s="1419"/>
      <c r="H55" s="1419"/>
      <c r="I55" s="1419"/>
      <c r="J55" s="1419"/>
      <c r="K55" s="1419"/>
      <c r="L55" s="1419"/>
      <c r="M55" s="1419"/>
      <c r="N55" s="1419"/>
      <c r="O55" s="1419"/>
      <c r="P55" s="1420"/>
      <c r="Q55" s="1420"/>
      <c r="R55" s="879"/>
      <c r="S55" s="879"/>
      <c r="T55" s="879"/>
      <c r="U55" s="879"/>
      <c r="V55" s="879"/>
      <c r="W55" s="879"/>
      <c r="X55" s="879"/>
      <c r="Y55" s="1309"/>
      <c r="Z55" s="973"/>
      <c r="AA55" s="973"/>
      <c r="AB55" s="973"/>
      <c r="AC55" s="973"/>
      <c r="AD55" s="973"/>
      <c r="AE55" s="973"/>
      <c r="AF55" s="973"/>
      <c r="AG55" s="973"/>
      <c r="AH55" s="973"/>
      <c r="AI55" s="973"/>
      <c r="AJ55" s="973"/>
      <c r="AK55" s="973"/>
      <c r="AL55" s="973"/>
    </row>
    <row r="56" spans="1:39" ht="29.25" customHeight="1">
      <c r="A56" s="993"/>
      <c r="B56" s="3311" t="s">
        <v>123</v>
      </c>
      <c r="C56" s="3313"/>
      <c r="D56" s="3299" t="s">
        <v>141</v>
      </c>
      <c r="E56" s="3300"/>
      <c r="F56" s="3300"/>
      <c r="G56" s="3300"/>
      <c r="H56" s="3300"/>
      <c r="I56" s="3300"/>
      <c r="J56" s="3300"/>
      <c r="K56" s="3300"/>
      <c r="L56" s="3300"/>
      <c r="M56" s="3300"/>
      <c r="N56" s="3300"/>
      <c r="O56" s="3300"/>
      <c r="P56" s="3300"/>
      <c r="Q56" s="3300"/>
      <c r="R56" s="3300"/>
      <c r="S56" s="3300"/>
      <c r="T56" s="3300"/>
      <c r="U56" s="3300"/>
      <c r="V56" s="3300"/>
      <c r="W56" s="3300"/>
      <c r="X56" s="3300"/>
      <c r="Y56" s="3301"/>
      <c r="Z56" s="3299" t="s">
        <v>279</v>
      </c>
      <c r="AA56" s="3300"/>
      <c r="AB56" s="3300"/>
      <c r="AC56" s="3300"/>
      <c r="AD56" s="3300"/>
      <c r="AE56" s="3300"/>
      <c r="AF56" s="3300"/>
      <c r="AG56" s="3300"/>
      <c r="AH56" s="3300"/>
      <c r="AI56" s="3300"/>
      <c r="AJ56" s="3300"/>
      <c r="AK56" s="3300"/>
      <c r="AL56" s="3301"/>
    </row>
    <row r="57" spans="1:39" ht="12.75" customHeight="1">
      <c r="A57" s="993"/>
      <c r="B57" s="3264" t="s">
        <v>128</v>
      </c>
      <c r="C57" s="3266"/>
      <c r="D57" s="3264" t="s">
        <v>129</v>
      </c>
      <c r="E57" s="3265"/>
      <c r="F57" s="3265"/>
      <c r="G57" s="3265"/>
      <c r="H57" s="3265"/>
      <c r="I57" s="3265"/>
      <c r="J57" s="3265"/>
      <c r="K57" s="3265"/>
      <c r="L57" s="3265"/>
      <c r="M57" s="3265"/>
      <c r="N57" s="3265"/>
      <c r="O57" s="3265"/>
      <c r="P57" s="3265"/>
      <c r="Q57" s="3265"/>
      <c r="R57" s="3265"/>
      <c r="S57" s="3265"/>
      <c r="T57" s="3265"/>
      <c r="U57" s="3265"/>
      <c r="V57" s="3265"/>
      <c r="W57" s="3265"/>
      <c r="X57" s="3265"/>
      <c r="Y57" s="3266"/>
      <c r="Z57" s="3264" t="s">
        <v>130</v>
      </c>
      <c r="AA57" s="3265"/>
      <c r="AB57" s="3265"/>
      <c r="AC57" s="3265"/>
      <c r="AD57" s="3265"/>
      <c r="AE57" s="3265"/>
      <c r="AF57" s="3265"/>
      <c r="AG57" s="3265"/>
      <c r="AH57" s="3265"/>
      <c r="AI57" s="3265"/>
      <c r="AJ57" s="3265"/>
      <c r="AK57" s="3265"/>
      <c r="AL57" s="3266"/>
    </row>
    <row r="58" spans="1:39" ht="30" customHeight="1">
      <c r="A58" s="993"/>
      <c r="B58" s="3281">
        <v>1</v>
      </c>
      <c r="C58" s="3281"/>
      <c r="D58" s="3323" t="s">
        <v>142</v>
      </c>
      <c r="E58" s="3324"/>
      <c r="F58" s="3324"/>
      <c r="G58" s="3324"/>
      <c r="H58" s="3324"/>
      <c r="I58" s="3324"/>
      <c r="J58" s="3324"/>
      <c r="K58" s="3324"/>
      <c r="L58" s="3324"/>
      <c r="M58" s="3324"/>
      <c r="N58" s="3324"/>
      <c r="O58" s="3324"/>
      <c r="P58" s="3324"/>
      <c r="Q58" s="3324"/>
      <c r="R58" s="3324"/>
      <c r="S58" s="3324"/>
      <c r="T58" s="3324"/>
      <c r="U58" s="3324"/>
      <c r="V58" s="3324"/>
      <c r="W58" s="3324"/>
      <c r="X58" s="3324"/>
      <c r="Y58" s="3325"/>
      <c r="Z58" s="3319">
        <f>'FE-1770-I-hal 2'!Z58</f>
        <v>0</v>
      </c>
      <c r="AA58" s="3319"/>
      <c r="AB58" s="3319"/>
      <c r="AC58" s="3319"/>
      <c r="AD58" s="3319"/>
      <c r="AE58" s="3319"/>
      <c r="AF58" s="3319"/>
      <c r="AG58" s="3319"/>
      <c r="AH58" s="3319"/>
      <c r="AI58" s="3319"/>
      <c r="AJ58" s="3319"/>
      <c r="AK58" s="3319"/>
      <c r="AL58" s="3319"/>
    </row>
    <row r="59" spans="1:39" ht="30" customHeight="1">
      <c r="A59" s="1359"/>
      <c r="B59" s="3241">
        <v>2</v>
      </c>
      <c r="C59" s="3241"/>
      <c r="D59" s="3307" t="s">
        <v>143</v>
      </c>
      <c r="E59" s="3307"/>
      <c r="F59" s="3307"/>
      <c r="G59" s="3307"/>
      <c r="H59" s="3307"/>
      <c r="I59" s="3307"/>
      <c r="J59" s="3307"/>
      <c r="K59" s="3307"/>
      <c r="L59" s="3307"/>
      <c r="M59" s="3307"/>
      <c r="N59" s="3307"/>
      <c r="O59" s="3307"/>
      <c r="P59" s="3307"/>
      <c r="Q59" s="3307"/>
      <c r="R59" s="3307"/>
      <c r="S59" s="3307"/>
      <c r="T59" s="3307"/>
      <c r="U59" s="3307"/>
      <c r="V59" s="3307"/>
      <c r="W59" s="3307"/>
      <c r="X59" s="3307"/>
      <c r="Y59" s="3307"/>
      <c r="Z59" s="3319">
        <f>'FE-1770-I-hal 2'!Z59</f>
        <v>0</v>
      </c>
      <c r="AA59" s="3319"/>
      <c r="AB59" s="3319"/>
      <c r="AC59" s="3319"/>
      <c r="AD59" s="3319"/>
      <c r="AE59" s="3319"/>
      <c r="AF59" s="3319"/>
      <c r="AG59" s="3319"/>
      <c r="AH59" s="3319"/>
      <c r="AI59" s="3319"/>
      <c r="AJ59" s="3319"/>
      <c r="AK59" s="3319"/>
      <c r="AL59" s="3319"/>
    </row>
    <row r="60" spans="1:39" ht="30" customHeight="1">
      <c r="A60" s="1359"/>
      <c r="B60" s="3241">
        <v>3</v>
      </c>
      <c r="C60" s="3241"/>
      <c r="D60" s="3307" t="s">
        <v>144</v>
      </c>
      <c r="E60" s="3307"/>
      <c r="F60" s="3307"/>
      <c r="G60" s="3307"/>
      <c r="H60" s="3307"/>
      <c r="I60" s="3307"/>
      <c r="J60" s="3307"/>
      <c r="K60" s="3307"/>
      <c r="L60" s="3307"/>
      <c r="M60" s="3307"/>
      <c r="N60" s="3307"/>
      <c r="O60" s="3307"/>
      <c r="P60" s="3307"/>
      <c r="Q60" s="3307"/>
      <c r="R60" s="3307"/>
      <c r="S60" s="3307"/>
      <c r="T60" s="3307"/>
      <c r="U60" s="3307"/>
      <c r="V60" s="3307"/>
      <c r="W60" s="3307"/>
      <c r="X60" s="3307"/>
      <c r="Y60" s="3307"/>
      <c r="Z60" s="3319">
        <f>'FE-1770-I-hal 2'!Z60</f>
        <v>0</v>
      </c>
      <c r="AA60" s="3319"/>
      <c r="AB60" s="3319"/>
      <c r="AC60" s="3319"/>
      <c r="AD60" s="3319"/>
      <c r="AE60" s="3319"/>
      <c r="AF60" s="3319"/>
      <c r="AG60" s="3319"/>
      <c r="AH60" s="3319"/>
      <c r="AI60" s="3319"/>
      <c r="AJ60" s="3319"/>
      <c r="AK60" s="3319"/>
      <c r="AL60" s="3319"/>
    </row>
    <row r="61" spans="1:39" ht="30" customHeight="1">
      <c r="A61" s="1359"/>
      <c r="B61" s="3241">
        <v>4</v>
      </c>
      <c r="C61" s="3241"/>
      <c r="D61" s="3307" t="s">
        <v>145</v>
      </c>
      <c r="E61" s="3307"/>
      <c r="F61" s="3307"/>
      <c r="G61" s="3307"/>
      <c r="H61" s="3307"/>
      <c r="I61" s="3307"/>
      <c r="J61" s="3307"/>
      <c r="K61" s="3307"/>
      <c r="L61" s="3307"/>
      <c r="M61" s="3307"/>
      <c r="N61" s="3307"/>
      <c r="O61" s="3307"/>
      <c r="P61" s="3307"/>
      <c r="Q61" s="3307"/>
      <c r="R61" s="3307"/>
      <c r="S61" s="3307"/>
      <c r="T61" s="3307"/>
      <c r="U61" s="3307"/>
      <c r="V61" s="3307"/>
      <c r="W61" s="3307"/>
      <c r="X61" s="3307"/>
      <c r="Y61" s="3307"/>
      <c r="Z61" s="3319">
        <f>'FE-1770-I-hal 2'!Z61</f>
        <v>0</v>
      </c>
      <c r="AA61" s="3319"/>
      <c r="AB61" s="3319"/>
      <c r="AC61" s="3319"/>
      <c r="AD61" s="3319"/>
      <c r="AE61" s="3319"/>
      <c r="AF61" s="3319"/>
      <c r="AG61" s="3319"/>
      <c r="AH61" s="3319"/>
      <c r="AI61" s="3319"/>
      <c r="AJ61" s="3319"/>
      <c r="AK61" s="3319"/>
      <c r="AL61" s="3319"/>
    </row>
    <row r="62" spans="1:39" ht="30" customHeight="1">
      <c r="A62" s="1359"/>
      <c r="B62" s="3241">
        <v>5</v>
      </c>
      <c r="C62" s="3241"/>
      <c r="D62" s="3307" t="s">
        <v>310</v>
      </c>
      <c r="E62" s="3307"/>
      <c r="F62" s="3307"/>
      <c r="G62" s="3307"/>
      <c r="H62" s="3307"/>
      <c r="I62" s="3307"/>
      <c r="J62" s="3307"/>
      <c r="K62" s="3307"/>
      <c r="L62" s="3307"/>
      <c r="M62" s="3307"/>
      <c r="N62" s="3307"/>
      <c r="O62" s="3307"/>
      <c r="P62" s="3307"/>
      <c r="Q62" s="3307"/>
      <c r="R62" s="3307"/>
      <c r="S62" s="3307"/>
      <c r="T62" s="3307"/>
      <c r="U62" s="3307"/>
      <c r="V62" s="3307"/>
      <c r="W62" s="3307"/>
      <c r="X62" s="3307"/>
      <c r="Y62" s="3307"/>
      <c r="Z62" s="3319">
        <f>'FE-1770-I-hal 2'!Z62</f>
        <v>0</v>
      </c>
      <c r="AA62" s="3319"/>
      <c r="AB62" s="3319"/>
      <c r="AC62" s="3319"/>
      <c r="AD62" s="3319"/>
      <c r="AE62" s="3319"/>
      <c r="AF62" s="3319"/>
      <c r="AG62" s="3319"/>
      <c r="AH62" s="3319"/>
      <c r="AI62" s="3319"/>
      <c r="AJ62" s="3319"/>
      <c r="AK62" s="3319"/>
      <c r="AL62" s="3319"/>
    </row>
    <row r="63" spans="1:39" ht="30" customHeight="1">
      <c r="A63" s="1359"/>
      <c r="B63" s="3241">
        <v>6</v>
      </c>
      <c r="C63" s="3241"/>
      <c r="D63" s="3307" t="s">
        <v>146</v>
      </c>
      <c r="E63" s="3307"/>
      <c r="F63" s="3307"/>
      <c r="G63" s="3307"/>
      <c r="H63" s="3307"/>
      <c r="I63" s="3307"/>
      <c r="J63" s="3307"/>
      <c r="K63" s="3307"/>
      <c r="L63" s="3307"/>
      <c r="M63" s="3307"/>
      <c r="N63" s="3307"/>
      <c r="O63" s="3307"/>
      <c r="P63" s="3307"/>
      <c r="Q63" s="3307"/>
      <c r="R63" s="3307"/>
      <c r="S63" s="3307"/>
      <c r="T63" s="3307"/>
      <c r="U63" s="3307"/>
      <c r="V63" s="3307"/>
      <c r="W63" s="3307"/>
      <c r="X63" s="3307"/>
      <c r="Y63" s="3307"/>
      <c r="Z63" s="3319">
        <f>'FE-1770-I-hal 2'!Z63</f>
        <v>0</v>
      </c>
      <c r="AA63" s="3319"/>
      <c r="AB63" s="3319"/>
      <c r="AC63" s="3319"/>
      <c r="AD63" s="3319"/>
      <c r="AE63" s="3319"/>
      <c r="AF63" s="3319"/>
      <c r="AG63" s="3319"/>
      <c r="AH63" s="3319"/>
      <c r="AI63" s="3319"/>
      <c r="AJ63" s="3319"/>
      <c r="AK63" s="3319"/>
      <c r="AL63" s="3319"/>
    </row>
    <row r="64" spans="1:39" ht="30" customHeight="1">
      <c r="A64" s="1048"/>
      <c r="B64" s="3258" t="s">
        <v>280</v>
      </c>
      <c r="C64" s="3259"/>
      <c r="D64" s="3259"/>
      <c r="E64" s="3259"/>
      <c r="F64" s="3259"/>
      <c r="G64" s="3259"/>
      <c r="H64" s="3259"/>
      <c r="I64" s="3259"/>
      <c r="J64" s="3259"/>
      <c r="K64" s="3259"/>
      <c r="L64" s="3259"/>
      <c r="M64" s="3259"/>
      <c r="N64" s="3259"/>
      <c r="O64" s="3259"/>
      <c r="P64" s="3259"/>
      <c r="Q64" s="3259"/>
      <c r="R64" s="3259"/>
      <c r="S64" s="3259"/>
      <c r="T64" s="3259"/>
      <c r="U64" s="3259"/>
      <c r="V64" s="3259"/>
      <c r="W64" s="3260"/>
      <c r="X64" s="3316" t="s">
        <v>281</v>
      </c>
      <c r="Y64" s="3317"/>
      <c r="Z64" s="2741">
        <f>'GENERAL INFO'!V171</f>
        <v>0</v>
      </c>
      <c r="AA64" s="2742"/>
      <c r="AB64" s="2742"/>
      <c r="AC64" s="2742"/>
      <c r="AD64" s="2742"/>
      <c r="AE64" s="2742"/>
      <c r="AF64" s="2742"/>
      <c r="AG64" s="2742"/>
      <c r="AH64" s="2742"/>
      <c r="AI64" s="2742"/>
      <c r="AJ64" s="2742"/>
      <c r="AK64" s="2742"/>
      <c r="AL64" s="2743"/>
    </row>
    <row r="65" spans="1:55" ht="21" customHeight="1" thickBot="1">
      <c r="A65" s="1048"/>
      <c r="B65" s="1397"/>
      <c r="C65" s="1347"/>
      <c r="D65" s="960"/>
      <c r="E65" s="931"/>
      <c r="F65" s="931"/>
      <c r="G65" s="931"/>
      <c r="H65" s="931"/>
      <c r="I65" s="931"/>
      <c r="J65" s="931"/>
      <c r="K65" s="931"/>
      <c r="L65" s="931"/>
      <c r="M65" s="931"/>
      <c r="N65" s="931"/>
      <c r="O65" s="931"/>
      <c r="P65" s="931"/>
      <c r="Q65" s="931"/>
      <c r="R65" s="931"/>
      <c r="S65" s="931"/>
      <c r="T65" s="931"/>
      <c r="U65" s="1345"/>
      <c r="V65" s="1345"/>
      <c r="W65" s="1345"/>
      <c r="X65" s="855"/>
      <c r="Y65" s="1309"/>
      <c r="Z65" s="963" t="s">
        <v>282</v>
      </c>
      <c r="AA65" s="973"/>
      <c r="AB65" s="973"/>
      <c r="AC65" s="973"/>
      <c r="AD65" s="973"/>
      <c r="AE65" s="973"/>
      <c r="AF65" s="973"/>
      <c r="AG65" s="973"/>
      <c r="AH65" s="973"/>
      <c r="AI65" s="973"/>
      <c r="AJ65" s="973"/>
      <c r="AK65" s="973"/>
      <c r="AL65" s="973"/>
    </row>
    <row r="66" spans="1:55" ht="2.25" hidden="1" customHeight="1">
      <c r="A66" s="1048"/>
      <c r="B66" s="1345"/>
      <c r="C66" s="1345"/>
      <c r="D66" s="885"/>
      <c r="E66" s="1345"/>
      <c r="F66" s="1345"/>
      <c r="G66" s="1345"/>
      <c r="H66" s="1345"/>
      <c r="I66" s="1345"/>
      <c r="J66" s="1345"/>
      <c r="K66" s="1345"/>
      <c r="L66" s="1345"/>
      <c r="M66" s="1345"/>
      <c r="N66" s="1345"/>
      <c r="O66" s="1345"/>
      <c r="P66" s="1345"/>
      <c r="Q66" s="1345"/>
      <c r="R66" s="1345"/>
      <c r="S66" s="1345"/>
      <c r="T66" s="1345"/>
      <c r="U66" s="1345"/>
      <c r="V66" s="1345"/>
      <c r="W66" s="1345"/>
      <c r="X66" s="855"/>
      <c r="Y66" s="1309"/>
      <c r="Z66" s="973"/>
      <c r="AA66" s="973"/>
      <c r="AB66" s="973"/>
      <c r="AC66" s="973"/>
      <c r="AD66" s="973"/>
      <c r="AE66" s="973"/>
      <c r="AF66" s="973"/>
      <c r="AG66" s="973"/>
      <c r="AH66" s="973"/>
      <c r="AI66" s="973"/>
      <c r="AJ66" s="973"/>
      <c r="AK66" s="973"/>
      <c r="AL66" s="973"/>
      <c r="AM66" s="973"/>
    </row>
    <row r="67" spans="1:55" ht="11.25" customHeight="1">
      <c r="A67" s="993"/>
      <c r="B67" s="1345"/>
      <c r="C67" s="3248" t="s">
        <v>182</v>
      </c>
      <c r="D67" s="3249"/>
      <c r="E67" s="3249"/>
      <c r="F67" s="3249"/>
      <c r="G67" s="3249"/>
      <c r="H67" s="3249"/>
      <c r="I67" s="3249"/>
      <c r="J67" s="3249"/>
      <c r="K67" s="3249"/>
      <c r="L67" s="3249"/>
      <c r="M67" s="3249"/>
      <c r="N67" s="3249"/>
      <c r="O67" s="3249"/>
      <c r="P67" s="3249"/>
      <c r="Q67" s="3249"/>
      <c r="R67" s="3249"/>
      <c r="S67" s="3249"/>
      <c r="T67" s="3249"/>
      <c r="U67" s="3249"/>
      <c r="V67" s="3249"/>
      <c r="W67" s="3249"/>
      <c r="X67" s="3249"/>
      <c r="Y67" s="3250"/>
      <c r="Z67" s="855"/>
      <c r="AA67" s="3243" t="s">
        <v>186</v>
      </c>
      <c r="AB67" s="3243"/>
      <c r="AC67" s="3246"/>
      <c r="AD67" s="3244">
        <f>'FE-1770-I-hal 2'!AD67</f>
        <v>1</v>
      </c>
      <c r="AE67" s="3247" t="s">
        <v>303</v>
      </c>
      <c r="AF67" s="3244">
        <f>'FE-1770-I-hal 2'!AF67</f>
        <v>1</v>
      </c>
      <c r="AG67" s="3242" t="s">
        <v>304</v>
      </c>
      <c r="AH67" s="3243"/>
      <c r="AI67" s="3243"/>
      <c r="AJ67" s="3243"/>
      <c r="AK67" s="3243"/>
      <c r="AL67" s="855"/>
      <c r="AM67" s="973"/>
    </row>
    <row r="68" spans="1:55" ht="11.25" customHeight="1" thickBot="1">
      <c r="A68" s="993"/>
      <c r="B68" s="879"/>
      <c r="C68" s="3251"/>
      <c r="D68" s="3252"/>
      <c r="E68" s="3252"/>
      <c r="F68" s="3252"/>
      <c r="G68" s="3252"/>
      <c r="H68" s="3252"/>
      <c r="I68" s="3252"/>
      <c r="J68" s="3252"/>
      <c r="K68" s="3252"/>
      <c r="L68" s="3252"/>
      <c r="M68" s="3252"/>
      <c r="N68" s="3252"/>
      <c r="O68" s="3252"/>
      <c r="P68" s="3252"/>
      <c r="Q68" s="3252"/>
      <c r="R68" s="3252"/>
      <c r="S68" s="3252"/>
      <c r="T68" s="3252"/>
      <c r="U68" s="3252"/>
      <c r="V68" s="3252"/>
      <c r="W68" s="3252"/>
      <c r="X68" s="3252"/>
      <c r="Y68" s="3253"/>
      <c r="Z68" s="1365"/>
      <c r="AA68" s="3243"/>
      <c r="AB68" s="3243"/>
      <c r="AC68" s="3246"/>
      <c r="AD68" s="3245"/>
      <c r="AE68" s="3247"/>
      <c r="AF68" s="3245"/>
      <c r="AG68" s="3242"/>
      <c r="AH68" s="3243"/>
      <c r="AI68" s="3243"/>
      <c r="AJ68" s="3243"/>
      <c r="AK68" s="3243"/>
      <c r="AL68" s="855"/>
    </row>
    <row r="69" spans="1:55" ht="3.75" customHeight="1">
      <c r="A69" s="993"/>
      <c r="B69" s="1118"/>
      <c r="C69" s="1118"/>
      <c r="D69" s="804"/>
      <c r="E69" s="1365"/>
      <c r="F69" s="1365"/>
      <c r="G69" s="1365"/>
      <c r="H69" s="1365"/>
      <c r="I69" s="1365"/>
      <c r="J69" s="1365"/>
      <c r="K69" s="1365"/>
      <c r="L69" s="1365"/>
      <c r="M69" s="1365"/>
      <c r="N69" s="1365"/>
      <c r="O69" s="1365"/>
      <c r="P69" s="1365"/>
      <c r="Q69" s="1365"/>
      <c r="R69" s="1365"/>
      <c r="S69" s="1365"/>
      <c r="T69" s="1365"/>
      <c r="U69" s="1365"/>
      <c r="V69" s="1365"/>
      <c r="W69" s="1365"/>
      <c r="X69" s="1365"/>
      <c r="Y69" s="1365"/>
      <c r="Z69" s="1365"/>
      <c r="AA69" s="1365"/>
      <c r="AB69" s="1365"/>
      <c r="AC69" s="1365"/>
      <c r="AD69" s="1365"/>
      <c r="AE69" s="1365"/>
      <c r="AF69" s="1365"/>
      <c r="AG69" s="1365"/>
      <c r="AH69" s="1365"/>
      <c r="AI69" s="1365"/>
      <c r="AJ69" s="855"/>
      <c r="AK69" s="855"/>
      <c r="AL69" s="855"/>
    </row>
    <row r="70" spans="1:55" ht="10.5" customHeight="1">
      <c r="A70" s="975"/>
      <c r="B70" s="1067"/>
      <c r="C70" s="1067"/>
      <c r="D70" s="1067"/>
      <c r="E70" s="1067"/>
      <c r="F70" s="1067"/>
      <c r="G70" s="1067"/>
      <c r="H70" s="1067"/>
      <c r="I70" s="1067"/>
      <c r="J70" s="1067"/>
      <c r="K70" s="1067"/>
      <c r="L70" s="1067"/>
      <c r="M70" s="1067"/>
      <c r="N70" s="1067"/>
      <c r="O70" s="1067"/>
      <c r="P70" s="1067"/>
      <c r="Q70" s="1067"/>
      <c r="R70" s="1067"/>
      <c r="S70" s="1067"/>
      <c r="T70" s="1067"/>
      <c r="U70" s="1067"/>
      <c r="V70" s="1067"/>
      <c r="W70" s="1067"/>
      <c r="X70" s="975"/>
      <c r="Y70" s="975"/>
      <c r="Z70" s="975"/>
      <c r="AA70" s="975"/>
      <c r="AB70" s="975"/>
      <c r="AC70" s="975"/>
      <c r="AD70" s="975"/>
      <c r="AE70" s="975"/>
      <c r="AF70" s="975"/>
      <c r="AG70" s="975"/>
      <c r="AH70" s="975"/>
      <c r="AI70" s="975"/>
      <c r="AJ70" s="975"/>
      <c r="AK70" s="975"/>
      <c r="AL70" s="975"/>
    </row>
    <row r="71" spans="1:55" ht="12.75" customHeight="1">
      <c r="A71" s="1399"/>
      <c r="C71" s="1067"/>
      <c r="D71" s="1067"/>
      <c r="E71" s="1067"/>
      <c r="F71" s="1067"/>
      <c r="G71" s="1067"/>
      <c r="H71" s="1067"/>
      <c r="I71" s="1067"/>
      <c r="J71" s="1067"/>
      <c r="K71" s="1067"/>
      <c r="L71" s="1067"/>
      <c r="M71" s="1067"/>
      <c r="N71" s="1067"/>
      <c r="O71" s="1067"/>
      <c r="P71" s="1067"/>
      <c r="Q71" s="1067"/>
      <c r="R71" s="1067"/>
      <c r="S71" s="1067"/>
      <c r="T71" s="1067"/>
      <c r="U71" s="1067"/>
      <c r="V71" s="1067"/>
      <c r="W71" s="1067"/>
      <c r="X71" s="1067"/>
      <c r="Y71" s="1067"/>
      <c r="Z71" s="1067"/>
      <c r="AA71" s="1067"/>
      <c r="AB71" s="1067"/>
      <c r="AC71" s="1067"/>
      <c r="AD71" s="1067"/>
      <c r="AE71" s="1067"/>
      <c r="AF71" s="1067"/>
      <c r="AG71" s="1067"/>
      <c r="AH71" s="1067"/>
      <c r="AI71" s="1067"/>
      <c r="AJ71" s="1067"/>
      <c r="AK71" s="1067"/>
      <c r="AL71" s="1101"/>
    </row>
    <row r="72" spans="1:55" ht="12" customHeight="1"/>
    <row r="73" spans="1:55" ht="11.25" customHeight="1"/>
    <row r="74" spans="1:55" s="973" customFormat="1" ht="12" customHeight="1">
      <c r="B74" s="1247"/>
      <c r="C74" s="1247"/>
      <c r="D74" s="1247"/>
      <c r="E74" s="1247"/>
      <c r="F74" s="1247"/>
      <c r="G74" s="1247"/>
      <c r="H74" s="1247"/>
      <c r="I74" s="1247"/>
      <c r="J74" s="1247"/>
      <c r="K74" s="1247"/>
      <c r="L74" s="1247"/>
      <c r="M74" s="1247"/>
      <c r="N74" s="1247"/>
      <c r="O74" s="1247"/>
      <c r="P74" s="1247"/>
      <c r="Q74" s="1247"/>
      <c r="R74" s="1247"/>
      <c r="S74" s="1247"/>
      <c r="T74" s="1247"/>
      <c r="U74" s="1247"/>
      <c r="V74" s="1247"/>
      <c r="W74" s="1247"/>
      <c r="X74" s="1247"/>
      <c r="Y74" s="1247"/>
      <c r="Z74" s="1247"/>
      <c r="AA74" s="1247"/>
      <c r="AB74" s="1247"/>
      <c r="AC74" s="1247"/>
      <c r="AD74" s="1247"/>
      <c r="AE74" s="1247"/>
      <c r="AF74" s="1247"/>
      <c r="AG74" s="1247"/>
      <c r="AH74" s="1247"/>
      <c r="AI74" s="1247"/>
      <c r="AJ74" s="1247"/>
      <c r="AK74" s="1247"/>
      <c r="AL74" s="1247"/>
      <c r="AM74" s="1247"/>
      <c r="AN74" s="1247"/>
      <c r="AO74" s="1247"/>
      <c r="AP74" s="1247"/>
      <c r="AQ74" s="1247"/>
      <c r="AR74" s="1247"/>
      <c r="AS74" s="1247"/>
      <c r="AT74" s="1247"/>
      <c r="AU74" s="1247"/>
      <c r="AV74" s="1247"/>
      <c r="AW74" s="1247"/>
      <c r="AX74" s="1247"/>
      <c r="AY74" s="1247"/>
      <c r="AZ74" s="1247"/>
      <c r="BA74" s="1247"/>
      <c r="BB74" s="1247"/>
      <c r="BC74" s="1247"/>
    </row>
    <row r="75" spans="1:55" s="973" customFormat="1" ht="12.75" customHeight="1">
      <c r="B75" s="1247"/>
      <c r="C75" s="1247"/>
      <c r="D75" s="1247"/>
      <c r="E75" s="1247"/>
      <c r="F75" s="1247"/>
      <c r="G75" s="1247"/>
      <c r="H75" s="1247"/>
      <c r="I75" s="1247"/>
      <c r="J75" s="1247"/>
      <c r="K75" s="1247"/>
      <c r="L75" s="1247"/>
      <c r="M75" s="1247"/>
      <c r="N75" s="1247"/>
      <c r="O75" s="1247"/>
      <c r="P75" s="1247"/>
      <c r="Q75" s="1247"/>
      <c r="R75" s="1247"/>
      <c r="S75" s="1247"/>
      <c r="T75" s="1247"/>
      <c r="U75" s="1247"/>
      <c r="V75" s="1247"/>
      <c r="W75" s="1247"/>
      <c r="X75" s="1247"/>
      <c r="Y75" s="1247"/>
      <c r="Z75" s="1247"/>
      <c r="AA75" s="1247"/>
      <c r="AB75" s="1247"/>
      <c r="AC75" s="1247"/>
      <c r="AD75" s="1247"/>
      <c r="AE75" s="1247"/>
      <c r="AF75" s="1247"/>
      <c r="AG75" s="1247"/>
      <c r="AH75" s="1247"/>
      <c r="AI75" s="1247"/>
      <c r="AJ75" s="1247"/>
      <c r="AK75" s="1247"/>
      <c r="AL75" s="1247"/>
      <c r="AM75" s="1247"/>
      <c r="AN75" s="1247"/>
      <c r="AO75" s="1247"/>
      <c r="AP75" s="1247"/>
      <c r="AQ75" s="1247"/>
      <c r="AR75" s="1247"/>
      <c r="AS75" s="1247"/>
      <c r="AT75" s="1247"/>
      <c r="AU75" s="1247"/>
      <c r="AV75" s="1247"/>
      <c r="AW75" s="1247"/>
      <c r="AX75" s="1247"/>
      <c r="AY75" s="1247"/>
      <c r="AZ75" s="1247"/>
      <c r="BA75" s="1247"/>
      <c r="BB75" s="1247"/>
      <c r="BC75" s="1247"/>
    </row>
    <row r="76" spans="1:55" s="973" customFormat="1" ht="12.75" customHeight="1">
      <c r="B76" s="1247"/>
      <c r="C76" s="1247"/>
      <c r="D76" s="1247"/>
      <c r="E76" s="1247"/>
      <c r="F76" s="1247"/>
      <c r="G76" s="1247"/>
      <c r="H76" s="1247"/>
      <c r="I76" s="1247"/>
      <c r="J76" s="1247"/>
      <c r="K76" s="1247"/>
      <c r="L76" s="1247"/>
      <c r="M76" s="1247"/>
      <c r="N76" s="1247"/>
      <c r="O76" s="1247"/>
      <c r="P76" s="1247"/>
      <c r="Q76" s="1247"/>
      <c r="R76" s="1247"/>
      <c r="S76" s="1247"/>
      <c r="T76" s="1247"/>
      <c r="U76" s="1247"/>
      <c r="V76" s="1247"/>
      <c r="W76" s="1247"/>
      <c r="X76" s="1247"/>
      <c r="Y76" s="1247"/>
      <c r="Z76" s="1247"/>
      <c r="AA76" s="1247"/>
      <c r="AB76" s="1247"/>
      <c r="AC76" s="1247"/>
      <c r="AD76" s="1247"/>
      <c r="AE76" s="1247"/>
      <c r="AF76" s="1247"/>
      <c r="AG76" s="1247"/>
      <c r="AH76" s="1247"/>
      <c r="AI76" s="1247"/>
      <c r="AJ76" s="1247"/>
      <c r="AK76" s="1247"/>
      <c r="AL76" s="1247"/>
      <c r="AM76" s="1247"/>
      <c r="AN76" s="1247"/>
      <c r="AO76" s="1247"/>
      <c r="AP76" s="1247"/>
      <c r="AQ76" s="1247"/>
      <c r="AR76" s="1247"/>
      <c r="AS76" s="1247"/>
      <c r="AT76" s="1247"/>
      <c r="AU76" s="1247"/>
      <c r="AV76" s="1247"/>
      <c r="AW76" s="1247"/>
      <c r="AX76" s="1247"/>
      <c r="AY76" s="1247"/>
      <c r="AZ76" s="1247"/>
      <c r="BA76" s="1247"/>
      <c r="BB76" s="1247"/>
      <c r="BC76" s="1247"/>
    </row>
    <row r="77" spans="1:55" s="973" customFormat="1" ht="8.25" customHeight="1">
      <c r="B77" s="1247"/>
      <c r="C77" s="1247"/>
      <c r="D77" s="1247"/>
      <c r="E77" s="1247"/>
      <c r="F77" s="1247"/>
      <c r="G77" s="1247"/>
      <c r="H77" s="1247"/>
      <c r="I77" s="1247"/>
      <c r="J77" s="1247"/>
      <c r="K77" s="1247"/>
      <c r="L77" s="1247"/>
      <c r="M77" s="1247"/>
      <c r="N77" s="1247"/>
      <c r="O77" s="1247"/>
      <c r="P77" s="1247"/>
      <c r="Q77" s="1247"/>
      <c r="R77" s="1247"/>
      <c r="S77" s="1247"/>
      <c r="T77" s="1247"/>
      <c r="U77" s="1247"/>
      <c r="V77" s="1247"/>
      <c r="W77" s="1247"/>
      <c r="X77" s="1247"/>
      <c r="Y77" s="1247"/>
      <c r="Z77" s="1247"/>
      <c r="AA77" s="1247"/>
      <c r="AB77" s="1247"/>
      <c r="AC77" s="1247"/>
      <c r="AD77" s="1247"/>
      <c r="AE77" s="1247"/>
      <c r="AF77" s="1247"/>
      <c r="AG77" s="1247"/>
      <c r="AH77" s="1247"/>
      <c r="AI77" s="1247"/>
      <c r="AJ77" s="1247"/>
      <c r="AK77" s="1247"/>
      <c r="AL77" s="1247"/>
      <c r="AM77" s="1247"/>
      <c r="AN77" s="1247"/>
      <c r="AO77" s="1247"/>
      <c r="AP77" s="1247"/>
      <c r="AQ77" s="1247"/>
      <c r="AR77" s="1247"/>
      <c r="AS77" s="1247"/>
      <c r="AT77" s="1247"/>
      <c r="AU77" s="1247"/>
      <c r="AV77" s="1247"/>
      <c r="AW77" s="1247"/>
      <c r="AX77" s="1247"/>
      <c r="AY77" s="1247"/>
      <c r="AZ77" s="1247"/>
      <c r="BA77" s="1247"/>
      <c r="BB77" s="1247"/>
      <c r="BC77" s="1247"/>
    </row>
    <row r="78" spans="1:55" s="973" customFormat="1" ht="12.75" customHeight="1">
      <c r="B78" s="1247"/>
      <c r="C78" s="1247"/>
      <c r="D78" s="1247"/>
      <c r="E78" s="1247"/>
      <c r="F78" s="1247"/>
      <c r="G78" s="1247"/>
      <c r="H78" s="1247"/>
      <c r="I78" s="1247"/>
      <c r="J78" s="1247"/>
      <c r="K78" s="1247"/>
      <c r="L78" s="1247"/>
      <c r="M78" s="1247"/>
      <c r="N78" s="1247"/>
      <c r="O78" s="1247"/>
      <c r="P78" s="1247"/>
      <c r="Q78" s="1247"/>
      <c r="R78" s="1247"/>
      <c r="S78" s="1247"/>
      <c r="T78" s="1247"/>
      <c r="U78" s="1247"/>
      <c r="V78" s="1247"/>
      <c r="W78" s="1247"/>
      <c r="X78" s="1247"/>
      <c r="Y78" s="1247"/>
      <c r="Z78" s="1247"/>
      <c r="AA78" s="1247"/>
      <c r="AB78" s="1247"/>
      <c r="AC78" s="1247"/>
      <c r="AD78" s="1247"/>
      <c r="AE78" s="1247"/>
      <c r="AF78" s="1247"/>
      <c r="AG78" s="1247"/>
      <c r="AH78" s="1247"/>
      <c r="AI78" s="1247"/>
      <c r="AJ78" s="1247"/>
      <c r="AK78" s="1247"/>
      <c r="AL78" s="1247"/>
      <c r="AM78" s="1247"/>
      <c r="AN78" s="1247"/>
      <c r="AO78" s="1247"/>
      <c r="AP78" s="1247"/>
      <c r="AQ78" s="1247"/>
      <c r="AR78" s="1247"/>
      <c r="AS78" s="1247"/>
      <c r="AT78" s="1247"/>
      <c r="AU78" s="1247"/>
      <c r="AV78" s="1247"/>
      <c r="AW78" s="1247"/>
      <c r="AX78" s="1247"/>
      <c r="AY78" s="1247"/>
      <c r="AZ78" s="1247"/>
      <c r="BA78" s="1247"/>
      <c r="BB78" s="1247"/>
      <c r="BC78" s="1247"/>
    </row>
    <row r="79" spans="1:55" s="973" customFormat="1" ht="15" customHeight="1">
      <c r="B79" s="1247"/>
      <c r="C79" s="1247"/>
      <c r="D79" s="1247"/>
      <c r="E79" s="1247"/>
      <c r="F79" s="1247"/>
      <c r="G79" s="1247"/>
      <c r="H79" s="1247"/>
      <c r="I79" s="1247"/>
      <c r="J79" s="1247"/>
      <c r="K79" s="1247"/>
      <c r="L79" s="1247"/>
      <c r="M79" s="1247"/>
      <c r="N79" s="1247"/>
      <c r="O79" s="1247"/>
      <c r="P79" s="1247"/>
      <c r="Q79" s="1247"/>
      <c r="R79" s="1247"/>
      <c r="S79" s="1247"/>
      <c r="T79" s="1247"/>
      <c r="U79" s="1247"/>
      <c r="V79" s="1247"/>
      <c r="W79" s="1247"/>
      <c r="X79" s="1247"/>
      <c r="Y79" s="1247"/>
      <c r="Z79" s="1247"/>
      <c r="AA79" s="1247"/>
      <c r="AB79" s="1247"/>
      <c r="AC79" s="1247"/>
      <c r="AD79" s="1247"/>
      <c r="AE79" s="1247"/>
      <c r="AF79" s="1247"/>
      <c r="AG79" s="1247"/>
      <c r="AH79" s="1247"/>
      <c r="AI79" s="1247"/>
      <c r="AJ79" s="1247"/>
      <c r="AK79" s="1247"/>
      <c r="AL79" s="1247"/>
      <c r="AM79" s="1247"/>
      <c r="AN79" s="1247"/>
      <c r="AO79" s="1247"/>
      <c r="AP79" s="1247"/>
      <c r="AQ79" s="1247"/>
      <c r="AR79" s="1247"/>
      <c r="AS79" s="1247"/>
      <c r="AT79" s="1247"/>
      <c r="AU79" s="1247"/>
      <c r="AV79" s="1247"/>
      <c r="AW79" s="1247"/>
      <c r="AX79" s="1247"/>
      <c r="AY79" s="1247"/>
      <c r="AZ79" s="1247"/>
      <c r="BA79" s="1247"/>
      <c r="BB79" s="1247"/>
      <c r="BC79" s="1247"/>
    </row>
    <row r="80" spans="1:55" s="973" customFormat="1" ht="15" customHeight="1">
      <c r="B80" s="1247"/>
      <c r="C80" s="1247"/>
      <c r="D80" s="1247"/>
      <c r="E80" s="1247"/>
      <c r="F80" s="1247"/>
      <c r="G80" s="1247"/>
      <c r="H80" s="1247"/>
      <c r="I80" s="1247"/>
      <c r="J80" s="1247"/>
      <c r="K80" s="1247"/>
      <c r="L80" s="1247"/>
      <c r="M80" s="1247"/>
      <c r="N80" s="1247"/>
      <c r="O80" s="1247"/>
      <c r="P80" s="1247"/>
      <c r="Q80" s="1247"/>
      <c r="R80" s="1247"/>
      <c r="S80" s="1247"/>
      <c r="T80" s="1247"/>
      <c r="U80" s="1247"/>
      <c r="V80" s="1247"/>
      <c r="W80" s="1247"/>
      <c r="X80" s="1247"/>
      <c r="Y80" s="1247"/>
      <c r="Z80" s="1247"/>
      <c r="AA80" s="1247"/>
      <c r="AB80" s="1247"/>
      <c r="AC80" s="1247"/>
      <c r="AD80" s="1247"/>
      <c r="AE80" s="1247"/>
      <c r="AF80" s="1247"/>
      <c r="AG80" s="1247"/>
      <c r="AH80" s="1247"/>
      <c r="AI80" s="1247"/>
      <c r="AJ80" s="1247"/>
      <c r="AK80" s="1247"/>
      <c r="AL80" s="1247"/>
      <c r="AM80" s="1247"/>
      <c r="AN80" s="1247"/>
      <c r="AO80" s="1247"/>
      <c r="AP80" s="1247"/>
      <c r="AQ80" s="1247"/>
      <c r="AR80" s="1247"/>
      <c r="AS80" s="1247"/>
      <c r="AT80" s="1247"/>
      <c r="AU80" s="1247"/>
      <c r="AV80" s="1247"/>
      <c r="AW80" s="1247"/>
      <c r="AX80" s="1247"/>
      <c r="AY80" s="1247"/>
      <c r="AZ80" s="1247"/>
      <c r="BA80" s="1247"/>
      <c r="BB80" s="1247"/>
      <c r="BC80" s="1247"/>
    </row>
    <row r="81" spans="2:55" s="973" customFormat="1" ht="15" customHeight="1">
      <c r="B81" s="1247"/>
      <c r="C81" s="1247"/>
      <c r="D81" s="1247"/>
      <c r="E81" s="1247"/>
      <c r="F81" s="1247"/>
      <c r="G81" s="1247"/>
      <c r="H81" s="1247"/>
      <c r="I81" s="1247"/>
      <c r="J81" s="1247"/>
      <c r="K81" s="1247"/>
      <c r="L81" s="1247"/>
      <c r="M81" s="1247"/>
      <c r="N81" s="1247"/>
      <c r="O81" s="1247"/>
      <c r="P81" s="1247"/>
      <c r="Q81" s="1247"/>
      <c r="R81" s="1247"/>
      <c r="S81" s="1247"/>
      <c r="T81" s="1247"/>
      <c r="U81" s="1247"/>
      <c r="V81" s="1247"/>
      <c r="W81" s="1247"/>
      <c r="X81" s="1247"/>
      <c r="Y81" s="1247"/>
      <c r="Z81" s="1247"/>
      <c r="AA81" s="1247"/>
      <c r="AB81" s="1247"/>
      <c r="AC81" s="1247"/>
      <c r="AD81" s="1247"/>
      <c r="AE81" s="1247"/>
      <c r="AF81" s="1247"/>
      <c r="AG81" s="1247"/>
      <c r="AH81" s="1247"/>
      <c r="AI81" s="1247"/>
      <c r="AJ81" s="1247"/>
      <c r="AK81" s="1247"/>
      <c r="AL81" s="1247"/>
      <c r="AM81" s="1247"/>
      <c r="AN81" s="1247"/>
      <c r="AO81" s="1247"/>
      <c r="AP81" s="1247"/>
      <c r="AQ81" s="1247"/>
      <c r="AR81" s="1247"/>
      <c r="AS81" s="1247"/>
      <c r="AT81" s="1247"/>
      <c r="AU81" s="1247"/>
      <c r="AV81" s="1247"/>
      <c r="AW81" s="1247"/>
      <c r="AX81" s="1247"/>
      <c r="AY81" s="1247"/>
      <c r="AZ81" s="1247"/>
      <c r="BA81" s="1247"/>
      <c r="BB81" s="1247"/>
      <c r="BC81" s="1247"/>
    </row>
    <row r="82" spans="2:55" s="973" customFormat="1" ht="15" customHeight="1">
      <c r="B82" s="1247"/>
      <c r="C82" s="1247"/>
      <c r="D82" s="1247"/>
      <c r="E82" s="1247"/>
      <c r="F82" s="1247"/>
      <c r="G82" s="1247"/>
      <c r="H82" s="1247"/>
      <c r="I82" s="1247"/>
      <c r="J82" s="1247"/>
      <c r="K82" s="1247"/>
      <c r="L82" s="1247"/>
      <c r="M82" s="1247"/>
      <c r="N82" s="1247"/>
      <c r="O82" s="1247"/>
      <c r="P82" s="1247"/>
      <c r="Q82" s="1247"/>
      <c r="R82" s="1247"/>
      <c r="S82" s="1247"/>
      <c r="T82" s="1247"/>
      <c r="U82" s="1247"/>
      <c r="V82" s="1247"/>
      <c r="W82" s="1247"/>
      <c r="X82" s="1247"/>
      <c r="Y82" s="1247"/>
      <c r="Z82" s="1247"/>
      <c r="AA82" s="1247"/>
      <c r="AB82" s="1247"/>
      <c r="AC82" s="1247"/>
      <c r="AD82" s="1247"/>
      <c r="AE82" s="1247"/>
      <c r="AF82" s="1247"/>
      <c r="AG82" s="1247"/>
      <c r="AH82" s="1247"/>
      <c r="AI82" s="1247"/>
      <c r="AJ82" s="1247"/>
      <c r="AK82" s="1247"/>
      <c r="AL82" s="1247"/>
      <c r="AM82" s="1247"/>
      <c r="AN82" s="1247"/>
      <c r="AO82" s="1247"/>
      <c r="AP82" s="1247"/>
      <c r="AQ82" s="1247"/>
      <c r="AR82" s="1247"/>
      <c r="AS82" s="1247"/>
      <c r="AT82" s="1247"/>
      <c r="AU82" s="1247"/>
      <c r="AV82" s="1247"/>
      <c r="AW82" s="1247"/>
      <c r="AX82" s="1247"/>
      <c r="AY82" s="1247"/>
      <c r="AZ82" s="1247"/>
      <c r="BA82" s="1247"/>
      <c r="BB82" s="1247"/>
      <c r="BC82" s="1247"/>
    </row>
    <row r="83" spans="2:55" s="973" customFormat="1" ht="15" customHeight="1">
      <c r="B83" s="1247"/>
      <c r="C83" s="1247"/>
      <c r="D83" s="1247"/>
      <c r="E83" s="1247"/>
      <c r="F83" s="1247"/>
      <c r="G83" s="1247"/>
      <c r="H83" s="1247"/>
      <c r="I83" s="1247"/>
      <c r="J83" s="1247"/>
      <c r="K83" s="1247"/>
      <c r="L83" s="1247"/>
      <c r="M83" s="1247"/>
      <c r="N83" s="1247"/>
      <c r="O83" s="1247"/>
      <c r="P83" s="1247"/>
      <c r="Q83" s="1247"/>
      <c r="R83" s="1247"/>
      <c r="S83" s="1247"/>
      <c r="T83" s="1247"/>
      <c r="U83" s="1247"/>
      <c r="V83" s="1247"/>
      <c r="W83" s="1247"/>
      <c r="X83" s="1247"/>
      <c r="Y83" s="1247"/>
      <c r="Z83" s="1247"/>
      <c r="AA83" s="1247"/>
      <c r="AB83" s="1247"/>
      <c r="AC83" s="1247"/>
      <c r="AD83" s="1247"/>
      <c r="AE83" s="1247"/>
      <c r="AF83" s="1247"/>
      <c r="AG83" s="1247"/>
      <c r="AH83" s="1247"/>
      <c r="AI83" s="1247"/>
      <c r="AJ83" s="1247"/>
      <c r="AK83" s="1247"/>
      <c r="AL83" s="1247"/>
      <c r="AM83" s="1247"/>
      <c r="AN83" s="1247"/>
      <c r="AO83" s="1247"/>
      <c r="AP83" s="1247"/>
      <c r="AQ83" s="1247"/>
      <c r="AR83" s="1247"/>
      <c r="AS83" s="1247"/>
      <c r="AT83" s="1247"/>
      <c r="AU83" s="1247"/>
      <c r="AV83" s="1247"/>
      <c r="AW83" s="1247"/>
      <c r="AX83" s="1247"/>
      <c r="AY83" s="1247"/>
      <c r="AZ83" s="1247"/>
      <c r="BA83" s="1247"/>
      <c r="BB83" s="1247"/>
      <c r="BC83" s="1247"/>
    </row>
    <row r="84" spans="2:55" s="973" customFormat="1" ht="15" customHeight="1">
      <c r="B84" s="1247"/>
      <c r="C84" s="1247"/>
      <c r="D84" s="1247"/>
      <c r="E84" s="1247"/>
      <c r="F84" s="1247"/>
      <c r="G84" s="1247"/>
      <c r="H84" s="1247"/>
      <c r="I84" s="1247"/>
      <c r="J84" s="1247"/>
      <c r="K84" s="1247"/>
      <c r="L84" s="1247"/>
      <c r="M84" s="1247"/>
      <c r="N84" s="1247"/>
      <c r="O84" s="1247"/>
      <c r="P84" s="1247"/>
      <c r="Q84" s="1247"/>
      <c r="R84" s="1247"/>
      <c r="S84" s="1247"/>
      <c r="T84" s="1247"/>
      <c r="U84" s="1247"/>
      <c r="V84" s="1247"/>
      <c r="W84" s="1247"/>
      <c r="X84" s="1247"/>
      <c r="Y84" s="1247"/>
      <c r="Z84" s="1247"/>
      <c r="AA84" s="1247"/>
      <c r="AB84" s="1247"/>
      <c r="AC84" s="1247"/>
      <c r="AD84" s="1247"/>
      <c r="AE84" s="1247"/>
      <c r="AF84" s="1247"/>
      <c r="AG84" s="1247"/>
      <c r="AH84" s="1247"/>
      <c r="AI84" s="1247"/>
      <c r="AJ84" s="1247"/>
      <c r="AK84" s="1247"/>
      <c r="AL84" s="1247"/>
      <c r="AM84" s="1247"/>
      <c r="AN84" s="1247"/>
      <c r="AO84" s="1247"/>
      <c r="AP84" s="1247"/>
      <c r="AQ84" s="1247"/>
      <c r="AR84" s="1247"/>
      <c r="AS84" s="1247"/>
      <c r="AT84" s="1247"/>
      <c r="AU84" s="1247"/>
      <c r="AV84" s="1247"/>
      <c r="AW84" s="1247"/>
      <c r="AX84" s="1247"/>
      <c r="AY84" s="1247"/>
      <c r="AZ84" s="1247"/>
      <c r="BA84" s="1247"/>
      <c r="BB84" s="1247"/>
      <c r="BC84" s="1247"/>
    </row>
    <row r="85" spans="2:55" s="973" customFormat="1" ht="15" customHeight="1">
      <c r="B85" s="1247"/>
      <c r="C85" s="1247"/>
      <c r="D85" s="1247"/>
      <c r="E85" s="1247"/>
      <c r="F85" s="1247"/>
      <c r="G85" s="1247"/>
      <c r="H85" s="1247"/>
      <c r="I85" s="1247"/>
      <c r="J85" s="1247"/>
      <c r="K85" s="1247"/>
      <c r="L85" s="1247"/>
      <c r="M85" s="1247"/>
      <c r="N85" s="1247"/>
      <c r="O85" s="1247"/>
      <c r="P85" s="1247"/>
      <c r="Q85" s="1247"/>
      <c r="R85" s="1247"/>
      <c r="S85" s="1247"/>
      <c r="T85" s="1247"/>
      <c r="U85" s="1247"/>
      <c r="V85" s="1247"/>
      <c r="W85" s="1247"/>
      <c r="X85" s="1247"/>
      <c r="Y85" s="1247"/>
      <c r="Z85" s="1247"/>
      <c r="AA85" s="1247"/>
      <c r="AB85" s="1247"/>
      <c r="AC85" s="1247"/>
      <c r="AD85" s="1247"/>
      <c r="AE85" s="1247"/>
      <c r="AF85" s="1247"/>
      <c r="AG85" s="1247"/>
      <c r="AH85" s="1247"/>
      <c r="AI85" s="1247"/>
      <c r="AJ85" s="1247"/>
      <c r="AK85" s="1247"/>
      <c r="AL85" s="1247"/>
      <c r="AM85" s="1247"/>
      <c r="AN85" s="1247"/>
      <c r="AO85" s="1247"/>
      <c r="AP85" s="1247"/>
      <c r="AQ85" s="1247"/>
      <c r="AR85" s="1247"/>
      <c r="AS85" s="1247"/>
      <c r="AT85" s="1247"/>
      <c r="AU85" s="1247"/>
      <c r="AV85" s="1247"/>
      <c r="AW85" s="1247"/>
      <c r="AX85" s="1247"/>
      <c r="AY85" s="1247"/>
      <c r="AZ85" s="1247"/>
      <c r="BA85" s="1247"/>
      <c r="BB85" s="1247"/>
      <c r="BC85" s="1247"/>
    </row>
    <row r="86" spans="2:55" s="973" customFormat="1" ht="15" customHeight="1">
      <c r="B86" s="1247"/>
      <c r="C86" s="1247"/>
      <c r="D86" s="1247"/>
      <c r="E86" s="1247"/>
      <c r="F86" s="1247"/>
      <c r="G86" s="1247"/>
      <c r="H86" s="1247"/>
      <c r="I86" s="1247"/>
      <c r="J86" s="1247"/>
      <c r="K86" s="1247"/>
      <c r="L86" s="1247"/>
      <c r="M86" s="1247"/>
      <c r="N86" s="1247"/>
      <c r="O86" s="1247"/>
      <c r="P86" s="1247"/>
      <c r="Q86" s="1247"/>
      <c r="R86" s="1247"/>
      <c r="S86" s="1247"/>
      <c r="T86" s="1247"/>
      <c r="U86" s="1247"/>
      <c r="V86" s="1247"/>
      <c r="W86" s="1247"/>
      <c r="X86" s="1247"/>
      <c r="Y86" s="1247"/>
      <c r="Z86" s="1247"/>
      <c r="AA86" s="1247"/>
      <c r="AB86" s="1247"/>
      <c r="AC86" s="1247"/>
      <c r="AD86" s="1247"/>
      <c r="AE86" s="1247"/>
      <c r="AF86" s="1247"/>
      <c r="AG86" s="1247"/>
      <c r="AH86" s="1247"/>
      <c r="AI86" s="1247"/>
      <c r="AJ86" s="1247"/>
      <c r="AK86" s="1247"/>
      <c r="AL86" s="1247"/>
      <c r="AM86" s="1247"/>
      <c r="AN86" s="1247"/>
      <c r="AO86" s="1247"/>
      <c r="AP86" s="1247"/>
      <c r="AQ86" s="1247"/>
      <c r="AR86" s="1247"/>
      <c r="AS86" s="1247"/>
      <c r="AT86" s="1247"/>
      <c r="AU86" s="1247"/>
      <c r="AV86" s="1247"/>
      <c r="AW86" s="1247"/>
      <c r="AX86" s="1247"/>
      <c r="AY86" s="1247"/>
      <c r="AZ86" s="1247"/>
      <c r="BA86" s="1247"/>
      <c r="BB86" s="1247"/>
      <c r="BC86" s="1247"/>
    </row>
    <row r="87" spans="2:55" s="973" customFormat="1" ht="15" customHeight="1">
      <c r="B87" s="1247"/>
      <c r="C87" s="1247"/>
      <c r="D87" s="1247"/>
      <c r="E87" s="1247"/>
      <c r="F87" s="1247"/>
      <c r="G87" s="1247"/>
      <c r="H87" s="1247"/>
      <c r="I87" s="1247"/>
      <c r="J87" s="1247"/>
      <c r="K87" s="1247"/>
      <c r="L87" s="1247"/>
      <c r="M87" s="1247"/>
      <c r="N87" s="1247"/>
      <c r="O87" s="1247"/>
      <c r="P87" s="1247"/>
      <c r="Q87" s="1247"/>
      <c r="R87" s="1247"/>
      <c r="S87" s="1247"/>
      <c r="T87" s="1247"/>
      <c r="U87" s="1247"/>
      <c r="V87" s="1247"/>
      <c r="W87" s="1247"/>
      <c r="X87" s="1247"/>
      <c r="Y87" s="1247"/>
      <c r="Z87" s="1247"/>
      <c r="AA87" s="1247"/>
      <c r="AB87" s="1247"/>
      <c r="AC87" s="1247"/>
      <c r="AD87" s="1247"/>
      <c r="AE87" s="1247"/>
      <c r="AF87" s="1247"/>
      <c r="AG87" s="1247"/>
      <c r="AH87" s="1247"/>
      <c r="AI87" s="1247"/>
      <c r="AJ87" s="1247"/>
      <c r="AK87" s="1247"/>
      <c r="AL87" s="1247"/>
      <c r="AM87" s="1247"/>
      <c r="AN87" s="1247"/>
      <c r="AO87" s="1247"/>
      <c r="AP87" s="1247"/>
      <c r="AQ87" s="1247"/>
      <c r="AR87" s="1247"/>
      <c r="AS87" s="1247"/>
      <c r="AT87" s="1247"/>
      <c r="AU87" s="1247"/>
      <c r="AV87" s="1247"/>
      <c r="AW87" s="1247"/>
      <c r="AX87" s="1247"/>
      <c r="AY87" s="1247"/>
      <c r="AZ87" s="1247"/>
      <c r="BA87" s="1247"/>
      <c r="BB87" s="1247"/>
      <c r="BC87" s="1247"/>
    </row>
    <row r="88" spans="2:55" s="973" customFormat="1" ht="15" customHeight="1">
      <c r="B88" s="1247"/>
      <c r="C88" s="1247"/>
      <c r="D88" s="1247"/>
      <c r="E88" s="1247"/>
      <c r="F88" s="1247"/>
      <c r="G88" s="1247"/>
      <c r="H88" s="1247"/>
      <c r="I88" s="1247"/>
      <c r="J88" s="1247"/>
      <c r="K88" s="1247"/>
      <c r="L88" s="1247"/>
      <c r="M88" s="1247"/>
      <c r="N88" s="1247"/>
      <c r="O88" s="1247"/>
      <c r="P88" s="1247"/>
      <c r="Q88" s="1247"/>
      <c r="R88" s="1247"/>
      <c r="S88" s="1247"/>
      <c r="T88" s="1247"/>
      <c r="U88" s="1247"/>
      <c r="V88" s="1247"/>
      <c r="W88" s="1247"/>
      <c r="X88" s="1247"/>
      <c r="Y88" s="1247"/>
      <c r="Z88" s="1247"/>
      <c r="AA88" s="1247"/>
      <c r="AB88" s="1247"/>
      <c r="AC88" s="1247"/>
      <c r="AD88" s="1247"/>
      <c r="AE88" s="1247"/>
      <c r="AF88" s="1247"/>
      <c r="AG88" s="1247"/>
      <c r="AH88" s="1247"/>
      <c r="AI88" s="1247"/>
      <c r="AJ88" s="1247"/>
      <c r="AK88" s="1247"/>
      <c r="AL88" s="1247"/>
      <c r="AM88" s="1247"/>
      <c r="AN88" s="1247"/>
      <c r="AO88" s="1247"/>
      <c r="AP88" s="1247"/>
      <c r="AQ88" s="1247"/>
      <c r="AR88" s="1247"/>
      <c r="AS88" s="1247"/>
      <c r="AT88" s="1247"/>
      <c r="AU88" s="1247"/>
      <c r="AV88" s="1247"/>
      <c r="AW88" s="1247"/>
      <c r="AX88" s="1247"/>
      <c r="AY88" s="1247"/>
      <c r="AZ88" s="1247"/>
      <c r="BA88" s="1247"/>
      <c r="BB88" s="1247"/>
      <c r="BC88" s="1247"/>
    </row>
    <row r="89" spans="2:55" s="973" customFormat="1" ht="15" customHeight="1">
      <c r="B89" s="1247"/>
      <c r="C89" s="1247"/>
      <c r="D89" s="1247"/>
      <c r="E89" s="1247"/>
      <c r="F89" s="1247"/>
      <c r="G89" s="1247"/>
      <c r="H89" s="1247"/>
      <c r="I89" s="1247"/>
      <c r="J89" s="1247"/>
      <c r="K89" s="1247"/>
      <c r="L89" s="1247"/>
      <c r="M89" s="1247"/>
      <c r="N89" s="1247"/>
      <c r="O89" s="1247"/>
      <c r="P89" s="1247"/>
      <c r="Q89" s="1247"/>
      <c r="R89" s="1247"/>
      <c r="S89" s="1247"/>
      <c r="T89" s="1247"/>
      <c r="U89" s="1247"/>
      <c r="V89" s="1247"/>
      <c r="W89" s="1247"/>
      <c r="X89" s="1247"/>
      <c r="Y89" s="1247"/>
      <c r="Z89" s="1247"/>
      <c r="AA89" s="1247"/>
      <c r="AB89" s="1247"/>
      <c r="AC89" s="1247"/>
      <c r="AD89" s="1247"/>
      <c r="AE89" s="1247"/>
      <c r="AF89" s="1247"/>
      <c r="AG89" s="1247"/>
      <c r="AH89" s="1247"/>
      <c r="AI89" s="1247"/>
      <c r="AJ89" s="1247"/>
      <c r="AK89" s="1247"/>
      <c r="AL89" s="1247"/>
      <c r="AM89" s="1247"/>
      <c r="AN89" s="1247"/>
      <c r="AO89" s="1247"/>
      <c r="AP89" s="1247"/>
      <c r="AQ89" s="1247"/>
      <c r="AR89" s="1247"/>
      <c r="AS89" s="1247"/>
      <c r="AT89" s="1247"/>
      <c r="AU89" s="1247"/>
      <c r="AV89" s="1247"/>
      <c r="AW89" s="1247"/>
      <c r="AX89" s="1247"/>
      <c r="AY89" s="1247"/>
      <c r="AZ89" s="1247"/>
      <c r="BA89" s="1247"/>
      <c r="BB89" s="1247"/>
      <c r="BC89" s="1247"/>
    </row>
    <row r="90" spans="2:55" s="973" customFormat="1" ht="15" customHeight="1">
      <c r="B90" s="1247"/>
      <c r="C90" s="1247"/>
      <c r="D90" s="1247"/>
      <c r="E90" s="1247"/>
      <c r="F90" s="1247"/>
      <c r="G90" s="1247"/>
      <c r="H90" s="1247"/>
      <c r="I90" s="1247"/>
      <c r="J90" s="1247"/>
      <c r="K90" s="1247"/>
      <c r="L90" s="1247"/>
      <c r="M90" s="1247"/>
      <c r="N90" s="1247"/>
      <c r="O90" s="1247"/>
      <c r="P90" s="1247"/>
      <c r="Q90" s="1247"/>
      <c r="R90" s="1247"/>
      <c r="S90" s="1247"/>
      <c r="T90" s="1247"/>
      <c r="U90" s="1247"/>
      <c r="V90" s="1247"/>
      <c r="W90" s="1247"/>
      <c r="X90" s="1247"/>
      <c r="Y90" s="1247"/>
      <c r="Z90" s="1247"/>
      <c r="AA90" s="1247"/>
      <c r="AB90" s="1247"/>
      <c r="AC90" s="1247"/>
      <c r="AD90" s="1247"/>
      <c r="AE90" s="1247"/>
      <c r="AF90" s="1247"/>
      <c r="AG90" s="1247"/>
      <c r="AH90" s="1247"/>
      <c r="AI90" s="1247"/>
      <c r="AJ90" s="1247"/>
      <c r="AK90" s="1247"/>
      <c r="AL90" s="1247"/>
      <c r="AM90" s="1247"/>
      <c r="AN90" s="1247"/>
      <c r="AO90" s="1247"/>
      <c r="AP90" s="1247"/>
      <c r="AQ90" s="1247"/>
      <c r="AR90" s="1247"/>
      <c r="AS90" s="1247"/>
      <c r="AT90" s="1247"/>
      <c r="AU90" s="1247"/>
      <c r="AV90" s="1247"/>
      <c r="AW90" s="1247"/>
      <c r="AX90" s="1247"/>
      <c r="AY90" s="1247"/>
      <c r="AZ90" s="1247"/>
      <c r="BA90" s="1247"/>
      <c r="BB90" s="1247"/>
      <c r="BC90" s="1247"/>
    </row>
    <row r="91" spans="2:55" s="973" customFormat="1" ht="15" customHeight="1">
      <c r="B91" s="1247"/>
      <c r="C91" s="1247"/>
      <c r="D91" s="1247"/>
      <c r="E91" s="1247"/>
      <c r="F91" s="1247"/>
      <c r="G91" s="1247"/>
      <c r="H91" s="1247"/>
      <c r="I91" s="1247"/>
      <c r="J91" s="1247"/>
      <c r="K91" s="1247"/>
      <c r="L91" s="1247"/>
      <c r="M91" s="1247"/>
      <c r="N91" s="1247"/>
      <c r="O91" s="1247"/>
      <c r="P91" s="1247"/>
      <c r="Q91" s="1247"/>
      <c r="R91" s="1247"/>
      <c r="S91" s="1247"/>
      <c r="T91" s="1247"/>
      <c r="U91" s="1247"/>
      <c r="V91" s="1247"/>
      <c r="W91" s="1247"/>
      <c r="X91" s="1247"/>
      <c r="Y91" s="1247"/>
      <c r="Z91" s="1247"/>
      <c r="AA91" s="1247"/>
      <c r="AB91" s="1247"/>
      <c r="AC91" s="1247"/>
      <c r="AD91" s="1247"/>
      <c r="AE91" s="1247"/>
      <c r="AF91" s="1247"/>
      <c r="AG91" s="1247"/>
      <c r="AH91" s="1247"/>
      <c r="AI91" s="1247"/>
      <c r="AJ91" s="1247"/>
      <c r="AK91" s="1247"/>
      <c r="AL91" s="1247"/>
      <c r="AM91" s="1247"/>
      <c r="AN91" s="1247"/>
      <c r="AO91" s="1247"/>
      <c r="AP91" s="1247"/>
      <c r="AQ91" s="1247"/>
      <c r="AR91" s="1247"/>
      <c r="AS91" s="1247"/>
      <c r="AT91" s="1247"/>
      <c r="AU91" s="1247"/>
      <c r="AV91" s="1247"/>
      <c r="AW91" s="1247"/>
      <c r="AX91" s="1247"/>
      <c r="AY91" s="1247"/>
      <c r="AZ91" s="1247"/>
      <c r="BA91" s="1247"/>
      <c r="BB91" s="1247"/>
      <c r="BC91" s="1247"/>
    </row>
    <row r="92" spans="2:55" s="973" customFormat="1" ht="15" customHeight="1">
      <c r="B92" s="1247"/>
      <c r="C92" s="1247"/>
      <c r="D92" s="1247"/>
      <c r="E92" s="1247"/>
      <c r="F92" s="1247"/>
      <c r="G92" s="1247"/>
      <c r="H92" s="1247"/>
      <c r="I92" s="1247"/>
      <c r="J92" s="1247"/>
      <c r="K92" s="1247"/>
      <c r="L92" s="1247"/>
      <c r="M92" s="1247"/>
      <c r="N92" s="1247"/>
      <c r="O92" s="1247"/>
      <c r="P92" s="1247"/>
      <c r="Q92" s="1247"/>
      <c r="R92" s="1247"/>
      <c r="S92" s="1247"/>
      <c r="T92" s="1247"/>
      <c r="U92" s="1247"/>
      <c r="V92" s="1247"/>
      <c r="W92" s="1247"/>
      <c r="X92" s="1247"/>
      <c r="Y92" s="1247"/>
      <c r="Z92" s="1247"/>
      <c r="AA92" s="1247"/>
      <c r="AB92" s="1247"/>
      <c r="AC92" s="1247"/>
      <c r="AD92" s="1247"/>
      <c r="AE92" s="1247"/>
      <c r="AF92" s="1247"/>
      <c r="AG92" s="1247"/>
      <c r="AH92" s="1247"/>
      <c r="AI92" s="1247"/>
      <c r="AJ92" s="1247"/>
      <c r="AK92" s="1247"/>
      <c r="AL92" s="1247"/>
      <c r="AM92" s="1247"/>
      <c r="AN92" s="1247"/>
      <c r="AO92" s="1247"/>
      <c r="AP92" s="1247"/>
      <c r="AQ92" s="1247"/>
      <c r="AR92" s="1247"/>
      <c r="AS92" s="1247"/>
      <c r="AT92" s="1247"/>
      <c r="AU92" s="1247"/>
      <c r="AV92" s="1247"/>
      <c r="AW92" s="1247"/>
      <c r="AX92" s="1247"/>
      <c r="AY92" s="1247"/>
      <c r="AZ92" s="1247"/>
      <c r="BA92" s="1247"/>
      <c r="BB92" s="1247"/>
      <c r="BC92" s="1247"/>
    </row>
    <row r="93" spans="2:55" s="973" customFormat="1" ht="15" customHeight="1">
      <c r="B93" s="1247"/>
      <c r="C93" s="1247"/>
      <c r="D93" s="1247"/>
      <c r="E93" s="1247"/>
      <c r="F93" s="1247"/>
      <c r="G93" s="1247"/>
      <c r="H93" s="1247"/>
      <c r="I93" s="1247"/>
      <c r="J93" s="1247"/>
      <c r="K93" s="1247"/>
      <c r="L93" s="1247"/>
      <c r="M93" s="1247"/>
      <c r="N93" s="1247"/>
      <c r="O93" s="1247"/>
      <c r="P93" s="1247"/>
      <c r="Q93" s="1247"/>
      <c r="R93" s="1247"/>
      <c r="S93" s="1247"/>
      <c r="T93" s="1247"/>
      <c r="U93" s="1247"/>
      <c r="V93" s="1247"/>
      <c r="W93" s="1247"/>
      <c r="X93" s="1247"/>
      <c r="Y93" s="1247"/>
      <c r="Z93" s="1247"/>
      <c r="AA93" s="1247"/>
      <c r="AB93" s="1247"/>
      <c r="AC93" s="1247"/>
      <c r="AD93" s="1247"/>
      <c r="AE93" s="1247"/>
      <c r="AF93" s="1247"/>
      <c r="AG93" s="1247"/>
      <c r="AH93" s="1247"/>
      <c r="AI93" s="1247"/>
      <c r="AJ93" s="1247"/>
      <c r="AK93" s="1247"/>
      <c r="AL93" s="1247"/>
      <c r="AM93" s="1247"/>
      <c r="AN93" s="1247"/>
      <c r="AO93" s="1247"/>
      <c r="AP93" s="1247"/>
      <c r="AQ93" s="1247"/>
      <c r="AR93" s="1247"/>
      <c r="AS93" s="1247"/>
      <c r="AT93" s="1247"/>
      <c r="AU93" s="1247"/>
      <c r="AV93" s="1247"/>
      <c r="AW93" s="1247"/>
      <c r="AX93" s="1247"/>
      <c r="AY93" s="1247"/>
      <c r="AZ93" s="1247"/>
      <c r="BA93" s="1247"/>
      <c r="BB93" s="1247"/>
      <c r="BC93" s="1247"/>
    </row>
    <row r="94" spans="2:55" s="973" customFormat="1" ht="15" customHeight="1">
      <c r="B94" s="1247"/>
      <c r="C94" s="1247"/>
      <c r="D94" s="1247"/>
      <c r="E94" s="1247"/>
      <c r="F94" s="1247"/>
      <c r="G94" s="1247"/>
      <c r="H94" s="1247"/>
      <c r="I94" s="1247"/>
      <c r="J94" s="1247"/>
      <c r="K94" s="1247"/>
      <c r="L94" s="1247"/>
      <c r="M94" s="1247"/>
      <c r="N94" s="1247"/>
      <c r="O94" s="1247"/>
      <c r="P94" s="1247"/>
      <c r="Q94" s="1247"/>
      <c r="R94" s="1247"/>
      <c r="S94" s="1247"/>
      <c r="T94" s="1247"/>
      <c r="U94" s="1247"/>
      <c r="V94" s="1247"/>
      <c r="W94" s="1247"/>
      <c r="X94" s="1247"/>
      <c r="Y94" s="1247"/>
      <c r="Z94" s="1247"/>
      <c r="AA94" s="1247"/>
      <c r="AB94" s="1247"/>
      <c r="AC94" s="1247"/>
      <c r="AD94" s="1247"/>
      <c r="AE94" s="1247"/>
      <c r="AF94" s="1247"/>
      <c r="AG94" s="1247"/>
      <c r="AH94" s="1247"/>
      <c r="AI94" s="1247"/>
      <c r="AJ94" s="1247"/>
      <c r="AK94" s="1247"/>
      <c r="AL94" s="1247"/>
      <c r="AM94" s="1247"/>
      <c r="AN94" s="1247"/>
      <c r="AO94" s="1247"/>
      <c r="AP94" s="1247"/>
      <c r="AQ94" s="1247"/>
      <c r="AR94" s="1247"/>
      <c r="AS94" s="1247"/>
      <c r="AT94" s="1247"/>
      <c r="AU94" s="1247"/>
      <c r="AV94" s="1247"/>
      <c r="AW94" s="1247"/>
      <c r="AX94" s="1247"/>
      <c r="AY94" s="1247"/>
      <c r="AZ94" s="1247"/>
      <c r="BA94" s="1247"/>
      <c r="BB94" s="1247"/>
      <c r="BC94" s="1247"/>
    </row>
    <row r="95" spans="2:55" s="973" customFormat="1" ht="15" customHeight="1">
      <c r="B95" s="1247"/>
      <c r="C95" s="1247"/>
      <c r="D95" s="1247"/>
      <c r="E95" s="1247"/>
      <c r="F95" s="1247"/>
      <c r="G95" s="1247"/>
      <c r="H95" s="1247"/>
      <c r="I95" s="1247"/>
      <c r="J95" s="1247"/>
      <c r="K95" s="1247"/>
      <c r="L95" s="1247"/>
      <c r="M95" s="1247"/>
      <c r="N95" s="1247"/>
      <c r="O95" s="1247"/>
      <c r="P95" s="1247"/>
      <c r="Q95" s="1247"/>
      <c r="R95" s="1247"/>
      <c r="S95" s="1247"/>
      <c r="T95" s="1247"/>
      <c r="U95" s="1247"/>
      <c r="V95" s="1247"/>
      <c r="W95" s="1247"/>
      <c r="X95" s="1247"/>
      <c r="Y95" s="1247"/>
      <c r="Z95" s="1247"/>
      <c r="AA95" s="1247"/>
      <c r="AB95" s="1247"/>
      <c r="AC95" s="1247"/>
      <c r="AD95" s="1247"/>
      <c r="AE95" s="1247"/>
      <c r="AF95" s="1247"/>
      <c r="AG95" s="1247"/>
      <c r="AH95" s="1247"/>
      <c r="AI95" s="1247"/>
      <c r="AJ95" s="1247"/>
      <c r="AK95" s="1247"/>
      <c r="AL95" s="1247"/>
      <c r="AM95" s="1247"/>
      <c r="AN95" s="1247"/>
      <c r="AO95" s="1247"/>
      <c r="AP95" s="1247"/>
      <c r="AQ95" s="1247"/>
      <c r="AR95" s="1247"/>
      <c r="AS95" s="1247"/>
      <c r="AT95" s="1247"/>
      <c r="AU95" s="1247"/>
      <c r="AV95" s="1247"/>
      <c r="AW95" s="1247"/>
      <c r="AX95" s="1247"/>
      <c r="AY95" s="1247"/>
      <c r="AZ95" s="1247"/>
      <c r="BA95" s="1247"/>
      <c r="BB95" s="1247"/>
      <c r="BC95" s="1247"/>
    </row>
    <row r="96" spans="2:55" s="973" customFormat="1" ht="15" customHeight="1">
      <c r="B96" s="1247"/>
      <c r="C96" s="1247"/>
      <c r="D96" s="1247"/>
      <c r="E96" s="1247"/>
      <c r="F96" s="1247"/>
      <c r="G96" s="1247"/>
      <c r="H96" s="1247"/>
      <c r="I96" s="1247"/>
      <c r="J96" s="1247"/>
      <c r="K96" s="1247"/>
      <c r="L96" s="1247"/>
      <c r="M96" s="1247"/>
      <c r="N96" s="1247"/>
      <c r="O96" s="1247"/>
      <c r="P96" s="1247"/>
      <c r="Q96" s="1247"/>
      <c r="R96" s="1247"/>
      <c r="S96" s="1247"/>
      <c r="T96" s="1247"/>
      <c r="U96" s="1247"/>
      <c r="V96" s="1247"/>
      <c r="W96" s="1247"/>
      <c r="X96" s="1247"/>
      <c r="Y96" s="1247"/>
      <c r="Z96" s="1247"/>
      <c r="AA96" s="1247"/>
      <c r="AB96" s="1247"/>
      <c r="AC96" s="1247"/>
      <c r="AD96" s="1247"/>
      <c r="AE96" s="1247"/>
      <c r="AF96" s="1247"/>
      <c r="AG96" s="1247"/>
      <c r="AH96" s="1247"/>
      <c r="AI96" s="1247"/>
      <c r="AJ96" s="1247"/>
      <c r="AK96" s="1247"/>
      <c r="AL96" s="1247"/>
      <c r="AM96" s="1247"/>
      <c r="AN96" s="1247"/>
      <c r="AO96" s="1247"/>
      <c r="AP96" s="1247"/>
      <c r="AQ96" s="1247"/>
      <c r="AR96" s="1247"/>
      <c r="AS96" s="1247"/>
      <c r="AT96" s="1247"/>
      <c r="AU96" s="1247"/>
      <c r="AV96" s="1247"/>
      <c r="AW96" s="1247"/>
      <c r="AX96" s="1247"/>
      <c r="AY96" s="1247"/>
      <c r="AZ96" s="1247"/>
      <c r="BA96" s="1247"/>
      <c r="BB96" s="1247"/>
      <c r="BC96" s="1247"/>
    </row>
    <row r="97" spans="2:55" s="973" customFormat="1" ht="15" customHeight="1">
      <c r="B97" s="1247"/>
      <c r="C97" s="1247"/>
      <c r="D97" s="1247"/>
      <c r="E97" s="1247"/>
      <c r="F97" s="1247"/>
      <c r="G97" s="1247"/>
      <c r="H97" s="1247"/>
      <c r="I97" s="1247"/>
      <c r="J97" s="1247"/>
      <c r="K97" s="1247"/>
      <c r="L97" s="1247"/>
      <c r="M97" s="1247"/>
      <c r="N97" s="1247"/>
      <c r="O97" s="1247"/>
      <c r="P97" s="1247"/>
      <c r="Q97" s="1247"/>
      <c r="R97" s="1247"/>
      <c r="S97" s="1247"/>
      <c r="T97" s="1247"/>
      <c r="U97" s="1247"/>
      <c r="V97" s="1247"/>
      <c r="W97" s="1247"/>
      <c r="X97" s="1247"/>
      <c r="Y97" s="1247"/>
      <c r="Z97" s="1247"/>
      <c r="AA97" s="1247"/>
      <c r="AB97" s="1247"/>
      <c r="AC97" s="1247"/>
      <c r="AD97" s="1247"/>
      <c r="AE97" s="1247"/>
      <c r="AF97" s="1247"/>
      <c r="AG97" s="1247"/>
      <c r="AH97" s="1247"/>
      <c r="AI97" s="1247"/>
      <c r="AJ97" s="1247"/>
      <c r="AK97" s="1247"/>
      <c r="AL97" s="1247"/>
      <c r="AM97" s="1247"/>
      <c r="AN97" s="1247"/>
      <c r="AO97" s="1247"/>
      <c r="AP97" s="1247"/>
      <c r="AQ97" s="1247"/>
      <c r="AR97" s="1247"/>
      <c r="AS97" s="1247"/>
      <c r="AT97" s="1247"/>
      <c r="AU97" s="1247"/>
      <c r="AV97" s="1247"/>
      <c r="AW97" s="1247"/>
      <c r="AX97" s="1247"/>
      <c r="AY97" s="1247"/>
      <c r="AZ97" s="1247"/>
      <c r="BA97" s="1247"/>
      <c r="BB97" s="1247"/>
      <c r="BC97" s="1247"/>
    </row>
    <row r="98" spans="2:55" s="973" customFormat="1" ht="15" customHeight="1">
      <c r="B98" s="1247"/>
      <c r="C98" s="1247"/>
      <c r="D98" s="1247"/>
      <c r="E98" s="1247"/>
      <c r="F98" s="1247"/>
      <c r="G98" s="1247"/>
      <c r="H98" s="1247"/>
      <c r="I98" s="1247"/>
      <c r="J98" s="1247"/>
      <c r="K98" s="1247"/>
      <c r="L98" s="1247"/>
      <c r="M98" s="1247"/>
      <c r="N98" s="1247"/>
      <c r="O98" s="1247"/>
      <c r="P98" s="1247"/>
      <c r="Q98" s="1247"/>
      <c r="R98" s="1247"/>
      <c r="S98" s="1247"/>
      <c r="T98" s="1247"/>
      <c r="U98" s="1247"/>
      <c r="V98" s="1247"/>
      <c r="W98" s="1247"/>
      <c r="X98" s="1247"/>
      <c r="Y98" s="1247"/>
      <c r="Z98" s="1247"/>
      <c r="AA98" s="1247"/>
      <c r="AB98" s="1247"/>
      <c r="AC98" s="1247"/>
      <c r="AD98" s="1247"/>
      <c r="AE98" s="1247"/>
      <c r="AF98" s="1247"/>
      <c r="AG98" s="1247"/>
      <c r="AH98" s="1247"/>
      <c r="AI98" s="1247"/>
      <c r="AJ98" s="1247"/>
      <c r="AK98" s="1247"/>
      <c r="AL98" s="1247"/>
      <c r="AM98" s="1247"/>
      <c r="AN98" s="1247"/>
      <c r="AO98" s="1247"/>
      <c r="AP98" s="1247"/>
      <c r="AQ98" s="1247"/>
      <c r="AR98" s="1247"/>
      <c r="AS98" s="1247"/>
      <c r="AT98" s="1247"/>
      <c r="AU98" s="1247"/>
      <c r="AV98" s="1247"/>
      <c r="AW98" s="1247"/>
      <c r="AX98" s="1247"/>
      <c r="AY98" s="1247"/>
      <c r="AZ98" s="1247"/>
      <c r="BA98" s="1247"/>
      <c r="BB98" s="1247"/>
      <c r="BC98" s="1247"/>
    </row>
    <row r="99" spans="2:55" s="973" customFormat="1" ht="15" customHeight="1">
      <c r="B99" s="1247"/>
      <c r="C99" s="1247"/>
      <c r="D99" s="1247"/>
      <c r="E99" s="1247"/>
      <c r="F99" s="1247"/>
      <c r="G99" s="1247"/>
      <c r="H99" s="1247"/>
      <c r="I99" s="1247"/>
      <c r="J99" s="1247"/>
      <c r="K99" s="1247"/>
      <c r="L99" s="1247"/>
      <c r="M99" s="1247"/>
      <c r="N99" s="1247"/>
      <c r="O99" s="1247"/>
      <c r="P99" s="1247"/>
      <c r="Q99" s="1247"/>
      <c r="R99" s="1247"/>
      <c r="S99" s="1247"/>
      <c r="T99" s="1247"/>
      <c r="U99" s="1247"/>
      <c r="V99" s="1247"/>
      <c r="W99" s="1247"/>
      <c r="X99" s="1247"/>
      <c r="Y99" s="1247"/>
      <c r="Z99" s="1247"/>
      <c r="AA99" s="1247"/>
      <c r="AB99" s="1247"/>
      <c r="AC99" s="1247"/>
      <c r="AD99" s="1247"/>
      <c r="AE99" s="1247"/>
      <c r="AF99" s="1247"/>
      <c r="AG99" s="1247"/>
      <c r="AH99" s="1247"/>
      <c r="AI99" s="1247"/>
      <c r="AJ99" s="1247"/>
      <c r="AK99" s="1247"/>
      <c r="AL99" s="1247"/>
      <c r="AM99" s="1247"/>
      <c r="AN99" s="1247"/>
      <c r="AO99" s="1247"/>
      <c r="AP99" s="1247"/>
      <c r="AQ99" s="1247"/>
      <c r="AR99" s="1247"/>
      <c r="AS99" s="1247"/>
      <c r="AT99" s="1247"/>
      <c r="AU99" s="1247"/>
      <c r="AV99" s="1247"/>
      <c r="AW99" s="1247"/>
      <c r="AX99" s="1247"/>
      <c r="AY99" s="1247"/>
      <c r="AZ99" s="1247"/>
      <c r="BA99" s="1247"/>
      <c r="BB99" s="1247"/>
      <c r="BC99" s="1247"/>
    </row>
    <row r="100" spans="2:55" s="973" customFormat="1" ht="15" customHeight="1">
      <c r="B100" s="1247"/>
      <c r="C100" s="1247"/>
      <c r="D100" s="1247"/>
      <c r="E100" s="1247"/>
      <c r="F100" s="1247"/>
      <c r="G100" s="1247"/>
      <c r="H100" s="1247"/>
      <c r="I100" s="1247"/>
      <c r="J100" s="1247"/>
      <c r="K100" s="1247"/>
      <c r="L100" s="1247"/>
      <c r="M100" s="1247"/>
      <c r="N100" s="1247"/>
      <c r="O100" s="1247"/>
      <c r="P100" s="1247"/>
      <c r="Q100" s="1247"/>
      <c r="R100" s="1247"/>
      <c r="S100" s="1247"/>
      <c r="T100" s="1247"/>
      <c r="U100" s="1247"/>
      <c r="V100" s="1247"/>
      <c r="W100" s="1247"/>
      <c r="X100" s="1247"/>
      <c r="Y100" s="1247"/>
      <c r="Z100" s="1247"/>
      <c r="AA100" s="1247"/>
      <c r="AB100" s="1247"/>
      <c r="AC100" s="1247"/>
      <c r="AD100" s="1247"/>
      <c r="AE100" s="1247"/>
      <c r="AF100" s="1247"/>
      <c r="AG100" s="1247"/>
      <c r="AH100" s="1247"/>
      <c r="AI100" s="1247"/>
      <c r="AJ100" s="1247"/>
      <c r="AK100" s="1247"/>
      <c r="AL100" s="1247"/>
      <c r="AM100" s="1247"/>
      <c r="AN100" s="1247"/>
      <c r="AO100" s="1247"/>
      <c r="AP100" s="1247"/>
      <c r="AQ100" s="1247"/>
      <c r="AR100" s="1247"/>
      <c r="AS100" s="1247"/>
      <c r="AT100" s="1247"/>
      <c r="AU100" s="1247"/>
      <c r="AV100" s="1247"/>
      <c r="AW100" s="1247"/>
      <c r="AX100" s="1247"/>
      <c r="AY100" s="1247"/>
      <c r="AZ100" s="1247"/>
      <c r="BA100" s="1247"/>
      <c r="BB100" s="1247"/>
      <c r="BC100" s="1247"/>
    </row>
    <row r="101" spans="2:55" s="973" customFormat="1" ht="15" customHeight="1">
      <c r="B101" s="1247"/>
      <c r="C101" s="1247"/>
      <c r="D101" s="1247"/>
      <c r="E101" s="1247"/>
      <c r="F101" s="1247"/>
      <c r="G101" s="1247"/>
      <c r="H101" s="1247"/>
      <c r="I101" s="1247"/>
      <c r="J101" s="1247"/>
      <c r="K101" s="1247"/>
      <c r="L101" s="1247"/>
      <c r="M101" s="1247"/>
      <c r="N101" s="1247"/>
      <c r="O101" s="1247"/>
      <c r="P101" s="1247"/>
      <c r="Q101" s="1247"/>
      <c r="R101" s="1247"/>
      <c r="S101" s="1247"/>
      <c r="T101" s="1247"/>
      <c r="U101" s="1247"/>
      <c r="V101" s="1247"/>
      <c r="W101" s="1247"/>
      <c r="X101" s="1247"/>
      <c r="Y101" s="1247"/>
      <c r="Z101" s="1247"/>
      <c r="AA101" s="1247"/>
      <c r="AB101" s="1247"/>
      <c r="AC101" s="1247"/>
      <c r="AD101" s="1247"/>
      <c r="AE101" s="1247"/>
      <c r="AF101" s="1247"/>
      <c r="AG101" s="1247"/>
      <c r="AH101" s="1247"/>
      <c r="AI101" s="1247"/>
      <c r="AJ101" s="1247"/>
      <c r="AK101" s="1247"/>
      <c r="AL101" s="1247"/>
      <c r="AM101" s="1247"/>
      <c r="AN101" s="1247"/>
      <c r="AO101" s="1247"/>
      <c r="AP101" s="1247"/>
      <c r="AQ101" s="1247"/>
      <c r="AR101" s="1247"/>
      <c r="AS101" s="1247"/>
      <c r="AT101" s="1247"/>
      <c r="AU101" s="1247"/>
      <c r="AV101" s="1247"/>
      <c r="AW101" s="1247"/>
      <c r="AX101" s="1247"/>
      <c r="AY101" s="1247"/>
      <c r="AZ101" s="1247"/>
      <c r="BA101" s="1247"/>
      <c r="BB101" s="1247"/>
      <c r="BC101" s="1247"/>
    </row>
    <row r="102" spans="2:55" s="973" customFormat="1" ht="15" customHeight="1">
      <c r="B102" s="1247"/>
      <c r="C102" s="1247"/>
      <c r="D102" s="1247"/>
      <c r="E102" s="1247"/>
      <c r="F102" s="1247"/>
      <c r="G102" s="1247"/>
      <c r="H102" s="1247"/>
      <c r="I102" s="1247"/>
      <c r="J102" s="1247"/>
      <c r="K102" s="1247"/>
      <c r="L102" s="1247"/>
      <c r="M102" s="1247"/>
      <c r="N102" s="1247"/>
      <c r="O102" s="1247"/>
      <c r="P102" s="1247"/>
      <c r="Q102" s="1247"/>
      <c r="R102" s="1247"/>
      <c r="S102" s="1247"/>
      <c r="T102" s="1247"/>
      <c r="U102" s="1247"/>
      <c r="V102" s="1247"/>
      <c r="W102" s="1247"/>
      <c r="X102" s="1247"/>
      <c r="Y102" s="1247"/>
      <c r="Z102" s="1247"/>
      <c r="AA102" s="1247"/>
      <c r="AB102" s="1247"/>
      <c r="AC102" s="1247"/>
      <c r="AD102" s="1247"/>
      <c r="AE102" s="1247"/>
      <c r="AF102" s="1247"/>
      <c r="AG102" s="1247"/>
      <c r="AH102" s="1247"/>
      <c r="AI102" s="1247"/>
      <c r="AJ102" s="1247"/>
      <c r="AK102" s="1247"/>
      <c r="AL102" s="1247"/>
      <c r="AM102" s="1247"/>
      <c r="AN102" s="1247"/>
      <c r="AO102" s="1247"/>
      <c r="AP102" s="1247"/>
      <c r="AQ102" s="1247"/>
      <c r="AR102" s="1247"/>
      <c r="AS102" s="1247"/>
      <c r="AT102" s="1247"/>
      <c r="AU102" s="1247"/>
      <c r="AV102" s="1247"/>
      <c r="AW102" s="1247"/>
      <c r="AX102" s="1247"/>
      <c r="AY102" s="1247"/>
      <c r="AZ102" s="1247"/>
      <c r="BA102" s="1247"/>
      <c r="BB102" s="1247"/>
      <c r="BC102" s="1247"/>
    </row>
    <row r="103" spans="2:55" s="973" customFormat="1" ht="15" customHeight="1">
      <c r="B103" s="1247"/>
      <c r="C103" s="1247"/>
      <c r="D103" s="1247"/>
      <c r="E103" s="1247"/>
      <c r="F103" s="1247"/>
      <c r="G103" s="1247"/>
      <c r="H103" s="1247"/>
      <c r="I103" s="1247"/>
      <c r="J103" s="1247"/>
      <c r="K103" s="1247"/>
      <c r="L103" s="1247"/>
      <c r="M103" s="1247"/>
      <c r="N103" s="1247"/>
      <c r="O103" s="1247"/>
      <c r="P103" s="1247"/>
      <c r="Q103" s="1247"/>
      <c r="R103" s="1247"/>
      <c r="S103" s="1247"/>
      <c r="T103" s="1247"/>
      <c r="U103" s="1247"/>
      <c r="V103" s="1247"/>
      <c r="W103" s="1247"/>
      <c r="X103" s="1247"/>
      <c r="Y103" s="1247"/>
      <c r="Z103" s="1247"/>
      <c r="AA103" s="1247"/>
      <c r="AB103" s="1247"/>
      <c r="AC103" s="1247"/>
      <c r="AD103" s="1247"/>
      <c r="AE103" s="1247"/>
      <c r="AF103" s="1247"/>
      <c r="AG103" s="1247"/>
      <c r="AH103" s="1247"/>
      <c r="AI103" s="1247"/>
      <c r="AJ103" s="1247"/>
      <c r="AK103" s="1247"/>
      <c r="AL103" s="1247"/>
      <c r="AM103" s="1247"/>
      <c r="AN103" s="1247"/>
      <c r="AO103" s="1247"/>
      <c r="AP103" s="1247"/>
      <c r="AQ103" s="1247"/>
      <c r="AR103" s="1247"/>
      <c r="AS103" s="1247"/>
      <c r="AT103" s="1247"/>
      <c r="AU103" s="1247"/>
      <c r="AV103" s="1247"/>
      <c r="AW103" s="1247"/>
      <c r="AX103" s="1247"/>
      <c r="AY103" s="1247"/>
      <c r="AZ103" s="1247"/>
      <c r="BA103" s="1247"/>
      <c r="BB103" s="1247"/>
      <c r="BC103" s="1247"/>
    </row>
    <row r="104" spans="2:55" s="973" customFormat="1" ht="15" customHeight="1">
      <c r="B104" s="1247"/>
      <c r="C104" s="1247"/>
      <c r="D104" s="1247"/>
      <c r="E104" s="1247"/>
      <c r="F104" s="1247"/>
      <c r="G104" s="1247"/>
      <c r="H104" s="1247"/>
      <c r="I104" s="1247"/>
      <c r="J104" s="1247"/>
      <c r="K104" s="1247"/>
      <c r="L104" s="1247"/>
      <c r="M104" s="1247"/>
      <c r="N104" s="1247"/>
      <c r="O104" s="1247"/>
      <c r="P104" s="1247"/>
      <c r="Q104" s="1247"/>
      <c r="R104" s="1247"/>
      <c r="S104" s="1247"/>
      <c r="T104" s="1247"/>
      <c r="U104" s="1247"/>
      <c r="V104" s="1247"/>
      <c r="W104" s="1247"/>
      <c r="X104" s="1247"/>
      <c r="Y104" s="1247"/>
      <c r="Z104" s="1247"/>
      <c r="AA104" s="1247"/>
      <c r="AB104" s="1247"/>
      <c r="AC104" s="1247"/>
      <c r="AD104" s="1247"/>
      <c r="AE104" s="1247"/>
      <c r="AF104" s="1247"/>
      <c r="AG104" s="1247"/>
      <c r="AH104" s="1247"/>
      <c r="AI104" s="1247"/>
      <c r="AJ104" s="1247"/>
      <c r="AK104" s="1247"/>
      <c r="AL104" s="1247"/>
      <c r="AM104" s="1247"/>
      <c r="AN104" s="1247"/>
      <c r="AO104" s="1247"/>
      <c r="AP104" s="1247"/>
      <c r="AQ104" s="1247"/>
      <c r="AR104" s="1247"/>
      <c r="AS104" s="1247"/>
      <c r="AT104" s="1247"/>
      <c r="AU104" s="1247"/>
      <c r="AV104" s="1247"/>
      <c r="AW104" s="1247"/>
      <c r="AX104" s="1247"/>
      <c r="AY104" s="1247"/>
      <c r="AZ104" s="1247"/>
      <c r="BA104" s="1247"/>
      <c r="BB104" s="1247"/>
      <c r="BC104" s="1247"/>
    </row>
    <row r="105" spans="2:55" s="973" customFormat="1" ht="15" customHeight="1">
      <c r="B105" s="1247"/>
      <c r="C105" s="1247"/>
      <c r="D105" s="1247"/>
      <c r="E105" s="1247"/>
      <c r="F105" s="1247"/>
      <c r="G105" s="1247"/>
      <c r="H105" s="1247"/>
      <c r="I105" s="1247"/>
      <c r="J105" s="1247"/>
      <c r="K105" s="1247"/>
      <c r="L105" s="1247"/>
      <c r="M105" s="1247"/>
      <c r="N105" s="1247"/>
      <c r="O105" s="1247"/>
      <c r="P105" s="1247"/>
      <c r="Q105" s="1247"/>
      <c r="R105" s="1247"/>
      <c r="S105" s="1247"/>
      <c r="T105" s="1247"/>
      <c r="U105" s="1247"/>
      <c r="V105" s="1247"/>
      <c r="W105" s="1247"/>
      <c r="X105" s="1247"/>
      <c r="Y105" s="1247"/>
      <c r="Z105" s="1247"/>
      <c r="AA105" s="1247"/>
      <c r="AB105" s="1247"/>
      <c r="AC105" s="1247"/>
      <c r="AD105" s="1247"/>
      <c r="AE105" s="1247"/>
      <c r="AF105" s="1247"/>
      <c r="AG105" s="1247"/>
      <c r="AH105" s="1247"/>
      <c r="AI105" s="1247"/>
      <c r="AJ105" s="1247"/>
      <c r="AK105" s="1247"/>
      <c r="AL105" s="1247"/>
      <c r="AM105" s="1247"/>
      <c r="AN105" s="1247"/>
      <c r="AO105" s="1247"/>
      <c r="AP105" s="1247"/>
      <c r="AQ105" s="1247"/>
      <c r="AR105" s="1247"/>
      <c r="AS105" s="1247"/>
      <c r="AT105" s="1247"/>
      <c r="AU105" s="1247"/>
      <c r="AV105" s="1247"/>
      <c r="AW105" s="1247"/>
      <c r="AX105" s="1247"/>
      <c r="AY105" s="1247"/>
      <c r="AZ105" s="1247"/>
      <c r="BA105" s="1247"/>
      <c r="BB105" s="1247"/>
      <c r="BC105" s="1247"/>
    </row>
    <row r="106" spans="2:55" s="973" customFormat="1" ht="15" customHeight="1">
      <c r="B106" s="1247"/>
      <c r="C106" s="1247"/>
      <c r="D106" s="1247"/>
      <c r="E106" s="1247"/>
      <c r="F106" s="1247"/>
      <c r="G106" s="1247"/>
      <c r="H106" s="1247"/>
      <c r="I106" s="1247"/>
      <c r="J106" s="1247"/>
      <c r="K106" s="1247"/>
      <c r="L106" s="1247"/>
      <c r="M106" s="1247"/>
      <c r="N106" s="1247"/>
      <c r="O106" s="1247"/>
      <c r="P106" s="1247"/>
      <c r="Q106" s="1247"/>
      <c r="R106" s="1247"/>
      <c r="S106" s="1247"/>
      <c r="T106" s="1247"/>
      <c r="U106" s="1247"/>
      <c r="V106" s="1247"/>
      <c r="W106" s="1247"/>
      <c r="X106" s="1247"/>
      <c r="Y106" s="1247"/>
      <c r="Z106" s="1247"/>
      <c r="AA106" s="1247"/>
      <c r="AB106" s="1247"/>
      <c r="AC106" s="1247"/>
      <c r="AD106" s="1247"/>
      <c r="AE106" s="1247"/>
      <c r="AF106" s="1247"/>
      <c r="AG106" s="1247"/>
      <c r="AH106" s="1247"/>
      <c r="AI106" s="1247"/>
      <c r="AJ106" s="1247"/>
      <c r="AK106" s="1247"/>
      <c r="AL106" s="1247"/>
      <c r="AM106" s="1247"/>
      <c r="AN106" s="1247"/>
      <c r="AO106" s="1247"/>
      <c r="AP106" s="1247"/>
      <c r="AQ106" s="1247"/>
      <c r="AR106" s="1247"/>
      <c r="AS106" s="1247"/>
      <c r="AT106" s="1247"/>
      <c r="AU106" s="1247"/>
      <c r="AV106" s="1247"/>
      <c r="AW106" s="1247"/>
      <c r="AX106" s="1247"/>
      <c r="AY106" s="1247"/>
      <c r="AZ106" s="1247"/>
      <c r="BA106" s="1247"/>
      <c r="BB106" s="1247"/>
      <c r="BC106" s="1247"/>
    </row>
    <row r="107" spans="2:55" s="973" customFormat="1" ht="15" customHeight="1">
      <c r="B107" s="1247"/>
      <c r="C107" s="1247"/>
      <c r="D107" s="1247"/>
      <c r="E107" s="1247"/>
      <c r="F107" s="1247"/>
      <c r="G107" s="1247"/>
      <c r="H107" s="1247"/>
      <c r="I107" s="1247"/>
      <c r="J107" s="1247"/>
      <c r="K107" s="1247"/>
      <c r="L107" s="1247"/>
      <c r="M107" s="1247"/>
      <c r="N107" s="1247"/>
      <c r="O107" s="1247"/>
      <c r="P107" s="1247"/>
      <c r="Q107" s="1247"/>
      <c r="R107" s="1247"/>
      <c r="S107" s="1247"/>
      <c r="T107" s="1247"/>
      <c r="U107" s="1247"/>
      <c r="V107" s="1247"/>
      <c r="W107" s="1247"/>
      <c r="X107" s="1247"/>
      <c r="Y107" s="1247"/>
      <c r="Z107" s="1247"/>
      <c r="AA107" s="1247"/>
      <c r="AB107" s="1247"/>
      <c r="AC107" s="1247"/>
      <c r="AD107" s="1247"/>
      <c r="AE107" s="1247"/>
      <c r="AF107" s="1247"/>
      <c r="AG107" s="1247"/>
      <c r="AH107" s="1247"/>
      <c r="AI107" s="1247"/>
      <c r="AJ107" s="1247"/>
      <c r="AK107" s="1247"/>
      <c r="AL107" s="1247"/>
      <c r="AM107" s="1247"/>
      <c r="AN107" s="1247"/>
      <c r="AO107" s="1247"/>
      <c r="AP107" s="1247"/>
      <c r="AQ107" s="1247"/>
      <c r="AR107" s="1247"/>
      <c r="AS107" s="1247"/>
      <c r="AT107" s="1247"/>
      <c r="AU107" s="1247"/>
      <c r="AV107" s="1247"/>
      <c r="AW107" s="1247"/>
      <c r="AX107" s="1247"/>
      <c r="AY107" s="1247"/>
      <c r="AZ107" s="1247"/>
      <c r="BA107" s="1247"/>
      <c r="BB107" s="1247"/>
      <c r="BC107" s="1247"/>
    </row>
    <row r="108" spans="2:55" s="973" customFormat="1" ht="15" customHeight="1">
      <c r="B108" s="1247"/>
      <c r="C108" s="1247"/>
      <c r="D108" s="1247"/>
      <c r="E108" s="1247"/>
      <c r="F108" s="1247"/>
      <c r="G108" s="1247"/>
      <c r="H108" s="1247"/>
      <c r="I108" s="1247"/>
      <c r="J108" s="1247"/>
      <c r="K108" s="1247"/>
      <c r="L108" s="1247"/>
      <c r="M108" s="1247"/>
      <c r="N108" s="1247"/>
      <c r="O108" s="1247"/>
      <c r="P108" s="1247"/>
      <c r="Q108" s="1247"/>
      <c r="R108" s="1247"/>
      <c r="S108" s="1247"/>
      <c r="T108" s="1247"/>
      <c r="U108" s="1247"/>
      <c r="V108" s="1247"/>
      <c r="W108" s="1247"/>
      <c r="X108" s="1247"/>
      <c r="Y108" s="1247"/>
      <c r="Z108" s="1247"/>
      <c r="AA108" s="1247"/>
      <c r="AB108" s="1247"/>
      <c r="AC108" s="1247"/>
      <c r="AD108" s="1247"/>
      <c r="AE108" s="1247"/>
      <c r="AF108" s="1247"/>
      <c r="AG108" s="1247"/>
      <c r="AH108" s="1247"/>
      <c r="AI108" s="1247"/>
      <c r="AJ108" s="1247"/>
      <c r="AK108" s="1247"/>
      <c r="AL108" s="1247"/>
      <c r="AM108" s="1247"/>
      <c r="AN108" s="1247"/>
      <c r="AO108" s="1247"/>
      <c r="AP108" s="1247"/>
      <c r="AQ108" s="1247"/>
      <c r="AR108" s="1247"/>
      <c r="AS108" s="1247"/>
      <c r="AT108" s="1247"/>
      <c r="AU108" s="1247"/>
      <c r="AV108" s="1247"/>
      <c r="AW108" s="1247"/>
      <c r="AX108" s="1247"/>
      <c r="AY108" s="1247"/>
      <c r="AZ108" s="1247"/>
      <c r="BA108" s="1247"/>
      <c r="BB108" s="1247"/>
      <c r="BC108" s="1247"/>
    </row>
    <row r="109" spans="2:55" s="973" customFormat="1" ht="15" customHeight="1">
      <c r="B109" s="1247"/>
      <c r="C109" s="1247"/>
      <c r="D109" s="1247"/>
      <c r="E109" s="1247"/>
      <c r="F109" s="1247"/>
      <c r="G109" s="1247"/>
      <c r="H109" s="1247"/>
      <c r="I109" s="1247"/>
      <c r="J109" s="1247"/>
      <c r="K109" s="1247"/>
      <c r="L109" s="1247"/>
      <c r="M109" s="1247"/>
      <c r="N109" s="1247"/>
      <c r="O109" s="1247"/>
      <c r="P109" s="1247"/>
      <c r="Q109" s="1247"/>
      <c r="R109" s="1247"/>
      <c r="S109" s="1247"/>
      <c r="T109" s="1247"/>
      <c r="U109" s="1247"/>
      <c r="V109" s="1247"/>
      <c r="W109" s="1247"/>
      <c r="X109" s="1247"/>
      <c r="Y109" s="1247"/>
      <c r="Z109" s="1247"/>
      <c r="AA109" s="1247"/>
      <c r="AB109" s="1247"/>
      <c r="AC109" s="1247"/>
      <c r="AD109" s="1247"/>
      <c r="AE109" s="1247"/>
      <c r="AF109" s="1247"/>
      <c r="AG109" s="1247"/>
      <c r="AH109" s="1247"/>
      <c r="AI109" s="1247"/>
      <c r="AJ109" s="1247"/>
      <c r="AK109" s="1247"/>
      <c r="AL109" s="1247"/>
      <c r="AM109" s="1247"/>
      <c r="AN109" s="1247"/>
      <c r="AO109" s="1247"/>
      <c r="AP109" s="1247"/>
      <c r="AQ109" s="1247"/>
      <c r="AR109" s="1247"/>
      <c r="AS109" s="1247"/>
      <c r="AT109" s="1247"/>
      <c r="AU109" s="1247"/>
      <c r="AV109" s="1247"/>
      <c r="AW109" s="1247"/>
      <c r="AX109" s="1247"/>
      <c r="AY109" s="1247"/>
      <c r="AZ109" s="1247"/>
      <c r="BA109" s="1247"/>
      <c r="BB109" s="1247"/>
      <c r="BC109" s="1247"/>
    </row>
    <row r="110" spans="2:55" s="973" customFormat="1" ht="15" customHeight="1">
      <c r="B110" s="1247"/>
      <c r="C110" s="1247"/>
      <c r="D110" s="1247"/>
      <c r="E110" s="1247"/>
      <c r="F110" s="1247"/>
      <c r="G110" s="1247"/>
      <c r="H110" s="1247"/>
      <c r="I110" s="1247"/>
      <c r="J110" s="1247"/>
      <c r="K110" s="1247"/>
      <c r="L110" s="1247"/>
      <c r="M110" s="1247"/>
      <c r="N110" s="1247"/>
      <c r="O110" s="1247"/>
      <c r="P110" s="1247"/>
      <c r="Q110" s="1247"/>
      <c r="R110" s="1247"/>
      <c r="S110" s="1247"/>
      <c r="T110" s="1247"/>
      <c r="U110" s="1247"/>
      <c r="V110" s="1247"/>
      <c r="W110" s="1247"/>
      <c r="X110" s="1247"/>
      <c r="Y110" s="1247"/>
      <c r="Z110" s="1247"/>
      <c r="AA110" s="1247"/>
      <c r="AB110" s="1247"/>
      <c r="AC110" s="1247"/>
      <c r="AD110" s="1247"/>
      <c r="AE110" s="1247"/>
      <c r="AF110" s="1247"/>
      <c r="AG110" s="1247"/>
      <c r="AH110" s="1247"/>
      <c r="AI110" s="1247"/>
      <c r="AJ110" s="1247"/>
      <c r="AK110" s="1247"/>
      <c r="AL110" s="1247"/>
      <c r="AM110" s="1247"/>
      <c r="AN110" s="1247"/>
      <c r="AO110" s="1247"/>
      <c r="AP110" s="1247"/>
      <c r="AQ110" s="1247"/>
      <c r="AR110" s="1247"/>
      <c r="AS110" s="1247"/>
      <c r="AT110" s="1247"/>
      <c r="AU110" s="1247"/>
      <c r="AV110" s="1247"/>
      <c r="AW110" s="1247"/>
      <c r="AX110" s="1247"/>
      <c r="AY110" s="1247"/>
      <c r="AZ110" s="1247"/>
      <c r="BA110" s="1247"/>
      <c r="BB110" s="1247"/>
      <c r="BC110" s="1247"/>
    </row>
    <row r="111" spans="2:55" s="973" customFormat="1" ht="15" customHeight="1">
      <c r="B111" s="1247"/>
      <c r="C111" s="1247"/>
      <c r="D111" s="1247"/>
      <c r="E111" s="1247"/>
      <c r="F111" s="1247"/>
      <c r="G111" s="1247"/>
      <c r="H111" s="1247"/>
      <c r="I111" s="1247"/>
      <c r="J111" s="1247"/>
      <c r="K111" s="1247"/>
      <c r="L111" s="1247"/>
      <c r="M111" s="1247"/>
      <c r="N111" s="1247"/>
      <c r="O111" s="1247"/>
      <c r="P111" s="1247"/>
      <c r="Q111" s="1247"/>
      <c r="R111" s="1247"/>
      <c r="S111" s="1247"/>
      <c r="T111" s="1247"/>
      <c r="U111" s="1247"/>
      <c r="V111" s="1247"/>
      <c r="W111" s="1247"/>
      <c r="X111" s="1247"/>
      <c r="Y111" s="1247"/>
      <c r="Z111" s="1247"/>
      <c r="AA111" s="1247"/>
      <c r="AB111" s="1247"/>
      <c r="AC111" s="1247"/>
      <c r="AD111" s="1247"/>
      <c r="AE111" s="1247"/>
      <c r="AF111" s="1247"/>
      <c r="AG111" s="1247"/>
      <c r="AH111" s="1247"/>
      <c r="AI111" s="1247"/>
      <c r="AJ111" s="1247"/>
      <c r="AK111" s="1247"/>
      <c r="AL111" s="1247"/>
      <c r="AM111" s="1247"/>
      <c r="AN111" s="1247"/>
      <c r="AO111" s="1247"/>
      <c r="AP111" s="1247"/>
      <c r="AQ111" s="1247"/>
      <c r="AR111" s="1247"/>
      <c r="AS111" s="1247"/>
      <c r="AT111" s="1247"/>
      <c r="AU111" s="1247"/>
      <c r="AV111" s="1247"/>
      <c r="AW111" s="1247"/>
      <c r="AX111" s="1247"/>
      <c r="AY111" s="1247"/>
      <c r="AZ111" s="1247"/>
      <c r="BA111" s="1247"/>
      <c r="BB111" s="1247"/>
      <c r="BC111" s="1247"/>
    </row>
    <row r="112" spans="2:55" s="973" customFormat="1" ht="15" customHeight="1">
      <c r="B112" s="1247"/>
      <c r="C112" s="1247"/>
      <c r="D112" s="1247"/>
      <c r="E112" s="1247"/>
      <c r="F112" s="1247"/>
      <c r="G112" s="1247"/>
      <c r="H112" s="1247"/>
      <c r="I112" s="1247"/>
      <c r="J112" s="1247"/>
      <c r="K112" s="1247"/>
      <c r="L112" s="1247"/>
      <c r="M112" s="1247"/>
      <c r="N112" s="1247"/>
      <c r="O112" s="1247"/>
      <c r="P112" s="1247"/>
      <c r="Q112" s="1247"/>
      <c r="R112" s="1247"/>
      <c r="S112" s="1247"/>
      <c r="T112" s="1247"/>
      <c r="U112" s="1247"/>
      <c r="V112" s="1247"/>
      <c r="W112" s="1247"/>
      <c r="X112" s="1247"/>
      <c r="Y112" s="1247"/>
      <c r="Z112" s="1247"/>
      <c r="AA112" s="1247"/>
      <c r="AB112" s="1247"/>
      <c r="AC112" s="1247"/>
      <c r="AD112" s="1247"/>
      <c r="AE112" s="1247"/>
      <c r="AF112" s="1247"/>
      <c r="AG112" s="1247"/>
      <c r="AH112" s="1247"/>
      <c r="AI112" s="1247"/>
      <c r="AJ112" s="1247"/>
      <c r="AK112" s="1247"/>
      <c r="AL112" s="1247"/>
      <c r="AM112" s="1247"/>
      <c r="AN112" s="1247"/>
      <c r="AO112" s="1247"/>
      <c r="AP112" s="1247"/>
      <c r="AQ112" s="1247"/>
      <c r="AR112" s="1247"/>
      <c r="AS112" s="1247"/>
      <c r="AT112" s="1247"/>
      <c r="AU112" s="1247"/>
      <c r="AV112" s="1247"/>
      <c r="AW112" s="1247"/>
      <c r="AX112" s="1247"/>
      <c r="AY112" s="1247"/>
      <c r="AZ112" s="1247"/>
      <c r="BA112" s="1247"/>
      <c r="BB112" s="1247"/>
      <c r="BC112" s="1247"/>
    </row>
    <row r="113" spans="2:55" s="973" customFormat="1" ht="15" customHeight="1">
      <c r="B113" s="1247"/>
      <c r="C113" s="1247"/>
      <c r="D113" s="1247"/>
      <c r="E113" s="1247"/>
      <c r="F113" s="1247"/>
      <c r="G113" s="1247"/>
      <c r="H113" s="1247"/>
      <c r="I113" s="1247"/>
      <c r="J113" s="1247"/>
      <c r="K113" s="1247"/>
      <c r="L113" s="1247"/>
      <c r="M113" s="1247"/>
      <c r="N113" s="1247"/>
      <c r="O113" s="1247"/>
      <c r="P113" s="1247"/>
      <c r="Q113" s="1247"/>
      <c r="R113" s="1247"/>
      <c r="S113" s="1247"/>
      <c r="T113" s="1247"/>
      <c r="U113" s="1247"/>
      <c r="V113" s="1247"/>
      <c r="W113" s="1247"/>
      <c r="X113" s="1247"/>
      <c r="Y113" s="1247"/>
      <c r="Z113" s="1247"/>
      <c r="AA113" s="1247"/>
      <c r="AB113" s="1247"/>
      <c r="AC113" s="1247"/>
      <c r="AD113" s="1247"/>
      <c r="AE113" s="1247"/>
      <c r="AF113" s="1247"/>
      <c r="AG113" s="1247"/>
      <c r="AH113" s="1247"/>
      <c r="AI113" s="1247"/>
      <c r="AJ113" s="1247"/>
      <c r="AK113" s="1247"/>
      <c r="AL113" s="1247"/>
      <c r="AM113" s="1247"/>
      <c r="AN113" s="1247"/>
      <c r="AO113" s="1247"/>
      <c r="AP113" s="1247"/>
      <c r="AQ113" s="1247"/>
      <c r="AR113" s="1247"/>
      <c r="AS113" s="1247"/>
      <c r="AT113" s="1247"/>
      <c r="AU113" s="1247"/>
      <c r="AV113" s="1247"/>
      <c r="AW113" s="1247"/>
      <c r="AX113" s="1247"/>
      <c r="AY113" s="1247"/>
      <c r="AZ113" s="1247"/>
      <c r="BA113" s="1247"/>
      <c r="BB113" s="1247"/>
      <c r="BC113" s="1247"/>
    </row>
    <row r="114" spans="2:55" s="973" customFormat="1" ht="15" customHeight="1">
      <c r="B114" s="1247"/>
      <c r="C114" s="1247"/>
      <c r="D114" s="1247"/>
      <c r="E114" s="1247"/>
      <c r="F114" s="1247"/>
      <c r="G114" s="1247"/>
      <c r="H114" s="1247"/>
      <c r="I114" s="1247"/>
      <c r="J114" s="1247"/>
      <c r="K114" s="1247"/>
      <c r="L114" s="1247"/>
      <c r="M114" s="1247"/>
      <c r="N114" s="1247"/>
      <c r="O114" s="1247"/>
      <c r="P114" s="1247"/>
      <c r="Q114" s="1247"/>
      <c r="R114" s="1247"/>
      <c r="S114" s="1247"/>
      <c r="T114" s="1247"/>
      <c r="U114" s="1247"/>
      <c r="V114" s="1247"/>
      <c r="W114" s="1247"/>
      <c r="X114" s="1247"/>
      <c r="Y114" s="1247"/>
      <c r="Z114" s="1247"/>
      <c r="AA114" s="1247"/>
      <c r="AB114" s="1247"/>
      <c r="AC114" s="1247"/>
      <c r="AD114" s="1247"/>
      <c r="AE114" s="1247"/>
      <c r="AF114" s="1247"/>
      <c r="AG114" s="1247"/>
      <c r="AH114" s="1247"/>
      <c r="AI114" s="1247"/>
      <c r="AJ114" s="1247"/>
      <c r="AK114" s="1247"/>
      <c r="AL114" s="1247"/>
      <c r="AM114" s="1247"/>
      <c r="AN114" s="1247"/>
      <c r="AO114" s="1247"/>
      <c r="AP114" s="1247"/>
      <c r="AQ114" s="1247"/>
      <c r="AR114" s="1247"/>
      <c r="AS114" s="1247"/>
      <c r="AT114" s="1247"/>
      <c r="AU114" s="1247"/>
      <c r="AV114" s="1247"/>
      <c r="AW114" s="1247"/>
      <c r="AX114" s="1247"/>
      <c r="AY114" s="1247"/>
      <c r="AZ114" s="1247"/>
      <c r="BA114" s="1247"/>
      <c r="BB114" s="1247"/>
      <c r="BC114" s="1247"/>
    </row>
    <row r="115" spans="2:55" s="973" customFormat="1" ht="15" customHeight="1">
      <c r="B115" s="1247"/>
      <c r="C115" s="1247"/>
      <c r="D115" s="1247"/>
      <c r="E115" s="1247"/>
      <c r="F115" s="1247"/>
      <c r="G115" s="1247"/>
      <c r="H115" s="1247"/>
      <c r="I115" s="1247"/>
      <c r="J115" s="1247"/>
      <c r="K115" s="1247"/>
      <c r="L115" s="1247"/>
      <c r="M115" s="1247"/>
      <c r="N115" s="1247"/>
      <c r="O115" s="1247"/>
      <c r="P115" s="1247"/>
      <c r="Q115" s="1247"/>
      <c r="R115" s="1247"/>
      <c r="S115" s="1247"/>
      <c r="T115" s="1247"/>
      <c r="U115" s="1247"/>
      <c r="V115" s="1247"/>
      <c r="W115" s="1247"/>
      <c r="X115" s="1247"/>
      <c r="Y115" s="1247"/>
      <c r="Z115" s="1247"/>
      <c r="AA115" s="1247"/>
      <c r="AB115" s="1247"/>
      <c r="AC115" s="1247"/>
      <c r="AD115" s="1247"/>
      <c r="AE115" s="1247"/>
      <c r="AF115" s="1247"/>
      <c r="AG115" s="1247"/>
      <c r="AH115" s="1247"/>
      <c r="AI115" s="1247"/>
      <c r="AJ115" s="1247"/>
      <c r="AK115" s="1247"/>
      <c r="AL115" s="1247"/>
      <c r="AM115" s="1247"/>
      <c r="AN115" s="1247"/>
      <c r="AO115" s="1247"/>
      <c r="AP115" s="1247"/>
      <c r="AQ115" s="1247"/>
      <c r="AR115" s="1247"/>
      <c r="AS115" s="1247"/>
      <c r="AT115" s="1247"/>
      <c r="AU115" s="1247"/>
      <c r="AV115" s="1247"/>
      <c r="AW115" s="1247"/>
      <c r="AX115" s="1247"/>
      <c r="AY115" s="1247"/>
      <c r="AZ115" s="1247"/>
      <c r="BA115" s="1247"/>
      <c r="BB115" s="1247"/>
      <c r="BC115" s="1247"/>
    </row>
    <row r="116" spans="2:55" s="973" customFormat="1" ht="15" customHeight="1">
      <c r="B116" s="1247"/>
      <c r="C116" s="1247"/>
      <c r="D116" s="1247"/>
      <c r="E116" s="1247"/>
      <c r="F116" s="1247"/>
      <c r="G116" s="1247"/>
      <c r="H116" s="1247"/>
      <c r="I116" s="1247"/>
      <c r="J116" s="1247"/>
      <c r="K116" s="1247"/>
      <c r="L116" s="1247"/>
      <c r="M116" s="1247"/>
      <c r="N116" s="1247"/>
      <c r="O116" s="1247"/>
      <c r="P116" s="1247"/>
      <c r="Q116" s="1247"/>
      <c r="R116" s="1247"/>
      <c r="S116" s="1247"/>
      <c r="T116" s="1247"/>
      <c r="U116" s="1247"/>
      <c r="V116" s="1247"/>
      <c r="W116" s="1247"/>
      <c r="X116" s="1247"/>
      <c r="Y116" s="1247"/>
      <c r="Z116" s="1247"/>
      <c r="AA116" s="1247"/>
      <c r="AB116" s="1247"/>
      <c r="AC116" s="1247"/>
      <c r="AD116" s="1247"/>
      <c r="AE116" s="1247"/>
      <c r="AF116" s="1247"/>
      <c r="AG116" s="1247"/>
      <c r="AH116" s="1247"/>
      <c r="AI116" s="1247"/>
      <c r="AJ116" s="1247"/>
      <c r="AK116" s="1247"/>
      <c r="AL116" s="1247"/>
      <c r="AM116" s="1247"/>
      <c r="AN116" s="1247"/>
      <c r="AO116" s="1247"/>
      <c r="AP116" s="1247"/>
      <c r="AQ116" s="1247"/>
      <c r="AR116" s="1247"/>
      <c r="AS116" s="1247"/>
      <c r="AT116" s="1247"/>
      <c r="AU116" s="1247"/>
      <c r="AV116" s="1247"/>
      <c r="AW116" s="1247"/>
      <c r="AX116" s="1247"/>
      <c r="AY116" s="1247"/>
      <c r="AZ116" s="1247"/>
      <c r="BA116" s="1247"/>
      <c r="BB116" s="1247"/>
      <c r="BC116" s="1247"/>
    </row>
    <row r="117" spans="2:55" s="973" customFormat="1" ht="15" customHeight="1">
      <c r="B117" s="1247"/>
      <c r="C117" s="1247"/>
      <c r="D117" s="1247"/>
      <c r="E117" s="1247"/>
      <c r="F117" s="1247"/>
      <c r="G117" s="1247"/>
      <c r="H117" s="1247"/>
      <c r="I117" s="1247"/>
      <c r="J117" s="1247"/>
      <c r="K117" s="1247"/>
      <c r="L117" s="1247"/>
      <c r="M117" s="1247"/>
      <c r="N117" s="1247"/>
      <c r="O117" s="1247"/>
      <c r="P117" s="1247"/>
      <c r="Q117" s="1247"/>
      <c r="R117" s="1247"/>
      <c r="S117" s="1247"/>
      <c r="T117" s="1247"/>
      <c r="U117" s="1247"/>
      <c r="V117" s="1247"/>
      <c r="W117" s="1247"/>
      <c r="X117" s="1247"/>
      <c r="Y117" s="1247"/>
      <c r="Z117" s="1247"/>
      <c r="AA117" s="1247"/>
      <c r="AB117" s="1247"/>
      <c r="AC117" s="1247"/>
      <c r="AD117" s="1247"/>
      <c r="AE117" s="1247"/>
      <c r="AF117" s="1247"/>
      <c r="AG117" s="1247"/>
      <c r="AH117" s="1247"/>
      <c r="AI117" s="1247"/>
      <c r="AJ117" s="1247"/>
      <c r="AK117" s="1247"/>
      <c r="AL117" s="1247"/>
      <c r="AM117" s="1247"/>
      <c r="AN117" s="1247"/>
      <c r="AO117" s="1247"/>
      <c r="AP117" s="1247"/>
      <c r="AQ117" s="1247"/>
      <c r="AR117" s="1247"/>
      <c r="AS117" s="1247"/>
      <c r="AT117" s="1247"/>
      <c r="AU117" s="1247"/>
      <c r="AV117" s="1247"/>
      <c r="AW117" s="1247"/>
      <c r="AX117" s="1247"/>
      <c r="AY117" s="1247"/>
      <c r="AZ117" s="1247"/>
      <c r="BA117" s="1247"/>
      <c r="BB117" s="1247"/>
      <c r="BC117" s="1247"/>
    </row>
    <row r="118" spans="2:55" s="973" customFormat="1" ht="15" customHeight="1">
      <c r="B118" s="1247"/>
      <c r="C118" s="1247"/>
      <c r="D118" s="1247"/>
      <c r="E118" s="1247"/>
      <c r="F118" s="1247"/>
      <c r="G118" s="1247"/>
      <c r="H118" s="1247"/>
      <c r="I118" s="1247"/>
      <c r="J118" s="1247"/>
      <c r="K118" s="1247"/>
      <c r="L118" s="1247"/>
      <c r="M118" s="1247"/>
      <c r="N118" s="1247"/>
      <c r="O118" s="1247"/>
      <c r="P118" s="1247"/>
      <c r="Q118" s="1247"/>
      <c r="R118" s="1247"/>
      <c r="S118" s="1247"/>
      <c r="T118" s="1247"/>
      <c r="U118" s="1247"/>
      <c r="V118" s="1247"/>
      <c r="W118" s="1247"/>
      <c r="X118" s="1247"/>
      <c r="Y118" s="1247"/>
      <c r="Z118" s="1247"/>
      <c r="AA118" s="1247"/>
      <c r="AB118" s="1247"/>
      <c r="AC118" s="1247"/>
      <c r="AD118" s="1247"/>
      <c r="AE118" s="1247"/>
      <c r="AF118" s="1247"/>
      <c r="AG118" s="1247"/>
      <c r="AH118" s="1247"/>
      <c r="AI118" s="1247"/>
      <c r="AJ118" s="1247"/>
      <c r="AK118" s="1247"/>
      <c r="AL118" s="1247"/>
      <c r="AM118" s="1247"/>
      <c r="AN118" s="1247"/>
      <c r="AO118" s="1247"/>
      <c r="AP118" s="1247"/>
      <c r="AQ118" s="1247"/>
      <c r="AR118" s="1247"/>
      <c r="AS118" s="1247"/>
      <c r="AT118" s="1247"/>
      <c r="AU118" s="1247"/>
      <c r="AV118" s="1247"/>
      <c r="AW118" s="1247"/>
      <c r="AX118" s="1247"/>
      <c r="AY118" s="1247"/>
      <c r="AZ118" s="1247"/>
      <c r="BA118" s="1247"/>
      <c r="BB118" s="1247"/>
      <c r="BC118" s="1247"/>
    </row>
    <row r="119" spans="2:55" s="973" customFormat="1" ht="15" customHeight="1">
      <c r="B119" s="1247"/>
      <c r="C119" s="1247"/>
      <c r="D119" s="1247"/>
      <c r="E119" s="1247"/>
      <c r="F119" s="1247"/>
      <c r="G119" s="1247"/>
      <c r="H119" s="1247"/>
      <c r="I119" s="1247"/>
      <c r="J119" s="1247"/>
      <c r="K119" s="1247"/>
      <c r="L119" s="1247"/>
      <c r="M119" s="1247"/>
      <c r="N119" s="1247"/>
      <c r="O119" s="1247"/>
      <c r="P119" s="1247"/>
      <c r="Q119" s="1247"/>
      <c r="R119" s="1247"/>
      <c r="S119" s="1247"/>
      <c r="T119" s="1247"/>
      <c r="U119" s="1247"/>
      <c r="V119" s="1247"/>
      <c r="W119" s="1247"/>
      <c r="X119" s="1247"/>
      <c r="Y119" s="1247"/>
      <c r="Z119" s="1247"/>
      <c r="AA119" s="1247"/>
      <c r="AB119" s="1247"/>
      <c r="AC119" s="1247"/>
      <c r="AD119" s="1247"/>
      <c r="AE119" s="1247"/>
      <c r="AF119" s="1247"/>
      <c r="AG119" s="1247"/>
      <c r="AH119" s="1247"/>
      <c r="AI119" s="1247"/>
      <c r="AJ119" s="1247"/>
      <c r="AK119" s="1247"/>
      <c r="AL119" s="1247"/>
      <c r="AM119" s="1247"/>
      <c r="AN119" s="1247"/>
      <c r="AO119" s="1247"/>
      <c r="AP119" s="1247"/>
      <c r="AQ119" s="1247"/>
      <c r="AR119" s="1247"/>
      <c r="AS119" s="1247"/>
      <c r="AT119" s="1247"/>
      <c r="AU119" s="1247"/>
      <c r="AV119" s="1247"/>
      <c r="AW119" s="1247"/>
      <c r="AX119" s="1247"/>
      <c r="AY119" s="1247"/>
      <c r="AZ119" s="1247"/>
      <c r="BA119" s="1247"/>
      <c r="BB119" s="1247"/>
      <c r="BC119" s="1247"/>
    </row>
    <row r="120" spans="2:55" s="973" customFormat="1" ht="15" customHeight="1">
      <c r="B120" s="1247"/>
      <c r="C120" s="1247"/>
      <c r="D120" s="1247"/>
      <c r="E120" s="1247"/>
      <c r="F120" s="1247"/>
      <c r="G120" s="1247"/>
      <c r="H120" s="1247"/>
      <c r="I120" s="1247"/>
      <c r="J120" s="1247"/>
      <c r="K120" s="1247"/>
      <c r="L120" s="1247"/>
      <c r="M120" s="1247"/>
      <c r="N120" s="1247"/>
      <c r="O120" s="1247"/>
      <c r="P120" s="1247"/>
      <c r="Q120" s="1247"/>
      <c r="R120" s="1247"/>
      <c r="S120" s="1247"/>
      <c r="T120" s="1247"/>
      <c r="U120" s="1247"/>
      <c r="V120" s="1247"/>
      <c r="W120" s="1247"/>
      <c r="X120" s="1247"/>
      <c r="Y120" s="1247"/>
      <c r="Z120" s="1247"/>
      <c r="AA120" s="1247"/>
      <c r="AB120" s="1247"/>
      <c r="AC120" s="1247"/>
      <c r="AD120" s="1247"/>
      <c r="AE120" s="1247"/>
      <c r="AF120" s="1247"/>
      <c r="AG120" s="1247"/>
      <c r="AH120" s="1247"/>
      <c r="AI120" s="1247"/>
      <c r="AJ120" s="1247"/>
      <c r="AK120" s="1247"/>
      <c r="AL120" s="1247"/>
      <c r="AM120" s="1247"/>
      <c r="AN120" s="1247"/>
      <c r="AO120" s="1247"/>
      <c r="AP120" s="1247"/>
      <c r="AQ120" s="1247"/>
      <c r="AR120" s="1247"/>
      <c r="AS120" s="1247"/>
      <c r="AT120" s="1247"/>
      <c r="AU120" s="1247"/>
      <c r="AV120" s="1247"/>
      <c r="AW120" s="1247"/>
      <c r="AX120" s="1247"/>
      <c r="AY120" s="1247"/>
      <c r="AZ120" s="1247"/>
      <c r="BA120" s="1247"/>
      <c r="BB120" s="1247"/>
      <c r="BC120" s="1247"/>
    </row>
    <row r="121" spans="2:55" s="973" customFormat="1" ht="15" customHeight="1">
      <c r="B121" s="1247"/>
      <c r="C121" s="1247"/>
      <c r="D121" s="1247"/>
      <c r="E121" s="1247"/>
      <c r="F121" s="1247"/>
      <c r="G121" s="1247"/>
      <c r="H121" s="1247"/>
      <c r="I121" s="1247"/>
      <c r="J121" s="1247"/>
      <c r="K121" s="1247"/>
      <c r="L121" s="1247"/>
      <c r="M121" s="1247"/>
      <c r="N121" s="1247"/>
      <c r="O121" s="1247"/>
      <c r="P121" s="1247"/>
      <c r="Q121" s="1247"/>
      <c r="R121" s="1247"/>
      <c r="S121" s="1247"/>
      <c r="T121" s="1247"/>
      <c r="U121" s="1247"/>
      <c r="V121" s="1247"/>
      <c r="W121" s="1247"/>
      <c r="X121" s="1247"/>
      <c r="Y121" s="1247"/>
      <c r="Z121" s="1247"/>
      <c r="AA121" s="1247"/>
      <c r="AB121" s="1247"/>
      <c r="AC121" s="1247"/>
      <c r="AD121" s="1247"/>
      <c r="AE121" s="1247"/>
      <c r="AF121" s="1247"/>
      <c r="AG121" s="1247"/>
      <c r="AH121" s="1247"/>
      <c r="AI121" s="1247"/>
      <c r="AJ121" s="1247"/>
      <c r="AK121" s="1247"/>
      <c r="AL121" s="1247"/>
      <c r="AM121" s="1247"/>
      <c r="AN121" s="1247"/>
      <c r="AO121" s="1247"/>
      <c r="AP121" s="1247"/>
      <c r="AQ121" s="1247"/>
      <c r="AR121" s="1247"/>
      <c r="AS121" s="1247"/>
      <c r="AT121" s="1247"/>
      <c r="AU121" s="1247"/>
      <c r="AV121" s="1247"/>
      <c r="AW121" s="1247"/>
      <c r="AX121" s="1247"/>
      <c r="AY121" s="1247"/>
      <c r="AZ121" s="1247"/>
      <c r="BA121" s="1247"/>
      <c r="BB121" s="1247"/>
      <c r="BC121" s="1247"/>
    </row>
    <row r="122" spans="2:55" s="973" customFormat="1" ht="15" customHeight="1">
      <c r="B122" s="1247"/>
      <c r="C122" s="1247"/>
      <c r="D122" s="1247"/>
      <c r="E122" s="1247"/>
      <c r="F122" s="1247"/>
      <c r="G122" s="1247"/>
      <c r="H122" s="1247"/>
      <c r="I122" s="1247"/>
      <c r="J122" s="1247"/>
      <c r="K122" s="1247"/>
      <c r="L122" s="1247"/>
      <c r="M122" s="1247"/>
      <c r="N122" s="1247"/>
      <c r="O122" s="1247"/>
      <c r="P122" s="1247"/>
      <c r="Q122" s="1247"/>
      <c r="R122" s="1247"/>
      <c r="S122" s="1247"/>
      <c r="T122" s="1247"/>
      <c r="U122" s="1247"/>
      <c r="V122" s="1247"/>
      <c r="W122" s="1247"/>
      <c r="X122" s="1247"/>
      <c r="Y122" s="1247"/>
      <c r="Z122" s="1247"/>
      <c r="AA122" s="1247"/>
      <c r="AB122" s="1247"/>
      <c r="AC122" s="1247"/>
      <c r="AD122" s="1247"/>
      <c r="AE122" s="1247"/>
      <c r="AF122" s="1247"/>
      <c r="AG122" s="1247"/>
      <c r="AH122" s="1247"/>
      <c r="AI122" s="1247"/>
      <c r="AJ122" s="1247"/>
      <c r="AK122" s="1247"/>
      <c r="AL122" s="1247"/>
      <c r="AM122" s="1247"/>
      <c r="AN122" s="1247"/>
      <c r="AO122" s="1247"/>
      <c r="AP122" s="1247"/>
      <c r="AQ122" s="1247"/>
      <c r="AR122" s="1247"/>
      <c r="AS122" s="1247"/>
      <c r="AT122" s="1247"/>
      <c r="AU122" s="1247"/>
      <c r="AV122" s="1247"/>
      <c r="AW122" s="1247"/>
      <c r="AX122" s="1247"/>
      <c r="AY122" s="1247"/>
      <c r="AZ122" s="1247"/>
      <c r="BA122" s="1247"/>
      <c r="BB122" s="1247"/>
      <c r="BC122" s="1247"/>
    </row>
    <row r="123" spans="2:55" s="973" customFormat="1" ht="15" customHeight="1">
      <c r="B123" s="1247"/>
      <c r="C123" s="1247"/>
      <c r="D123" s="1247"/>
      <c r="E123" s="1247"/>
      <c r="F123" s="1247"/>
      <c r="G123" s="1247"/>
      <c r="H123" s="1247"/>
      <c r="I123" s="1247"/>
      <c r="J123" s="1247"/>
      <c r="K123" s="1247"/>
      <c r="L123" s="1247"/>
      <c r="M123" s="1247"/>
      <c r="N123" s="1247"/>
      <c r="O123" s="1247"/>
      <c r="P123" s="1247"/>
      <c r="Q123" s="1247"/>
      <c r="R123" s="1247"/>
      <c r="S123" s="1247"/>
      <c r="T123" s="1247"/>
      <c r="U123" s="1247"/>
      <c r="V123" s="1247"/>
      <c r="W123" s="1247"/>
      <c r="X123" s="1247"/>
      <c r="Y123" s="1247"/>
      <c r="Z123" s="1247"/>
      <c r="AA123" s="1247"/>
      <c r="AB123" s="1247"/>
      <c r="AC123" s="1247"/>
      <c r="AD123" s="1247"/>
      <c r="AE123" s="1247"/>
      <c r="AF123" s="1247"/>
      <c r="AG123" s="1247"/>
      <c r="AH123" s="1247"/>
      <c r="AI123" s="1247"/>
      <c r="AJ123" s="1247"/>
      <c r="AK123" s="1247"/>
      <c r="AL123" s="1247"/>
      <c r="AM123" s="1247"/>
      <c r="AN123" s="1247"/>
      <c r="AO123" s="1247"/>
      <c r="AP123" s="1247"/>
      <c r="AQ123" s="1247"/>
      <c r="AR123" s="1247"/>
      <c r="AS123" s="1247"/>
      <c r="AT123" s="1247"/>
      <c r="AU123" s="1247"/>
      <c r="AV123" s="1247"/>
      <c r="AW123" s="1247"/>
      <c r="AX123" s="1247"/>
      <c r="AY123" s="1247"/>
      <c r="AZ123" s="1247"/>
      <c r="BA123" s="1247"/>
      <c r="BB123" s="1247"/>
      <c r="BC123" s="1247"/>
    </row>
    <row r="124" spans="2:55" s="973" customFormat="1" ht="15" customHeight="1">
      <c r="B124" s="1247"/>
      <c r="C124" s="1247"/>
      <c r="D124" s="1247"/>
      <c r="E124" s="1247"/>
      <c r="F124" s="1247"/>
      <c r="G124" s="1247"/>
      <c r="H124" s="1247"/>
      <c r="I124" s="1247"/>
      <c r="J124" s="1247"/>
      <c r="K124" s="1247"/>
      <c r="L124" s="1247"/>
      <c r="M124" s="1247"/>
      <c r="N124" s="1247"/>
      <c r="O124" s="1247"/>
      <c r="P124" s="1247"/>
      <c r="Q124" s="1247"/>
      <c r="R124" s="1247"/>
      <c r="S124" s="1247"/>
      <c r="T124" s="1247"/>
      <c r="U124" s="1247"/>
      <c r="V124" s="1247"/>
      <c r="W124" s="1247"/>
      <c r="X124" s="1247"/>
      <c r="Y124" s="1247"/>
      <c r="Z124" s="1247"/>
      <c r="AA124" s="1247"/>
      <c r="AB124" s="1247"/>
      <c r="AC124" s="1247"/>
      <c r="AD124" s="1247"/>
      <c r="AE124" s="1247"/>
      <c r="AF124" s="1247"/>
      <c r="AG124" s="1247"/>
      <c r="AH124" s="1247"/>
      <c r="AI124" s="1247"/>
      <c r="AJ124" s="1247"/>
      <c r="AK124" s="1247"/>
      <c r="AL124" s="1247"/>
      <c r="AM124" s="1247"/>
      <c r="AN124" s="1247"/>
      <c r="AO124" s="1247"/>
      <c r="AP124" s="1247"/>
      <c r="AQ124" s="1247"/>
      <c r="AR124" s="1247"/>
      <c r="AS124" s="1247"/>
      <c r="AT124" s="1247"/>
      <c r="AU124" s="1247"/>
      <c r="AV124" s="1247"/>
      <c r="AW124" s="1247"/>
      <c r="AX124" s="1247"/>
      <c r="AY124" s="1247"/>
      <c r="AZ124" s="1247"/>
      <c r="BA124" s="1247"/>
      <c r="BB124" s="1247"/>
      <c r="BC124" s="1247"/>
    </row>
    <row r="125" spans="2:55" s="973" customFormat="1" ht="15" customHeight="1">
      <c r="B125" s="1247"/>
      <c r="C125" s="1247"/>
      <c r="D125" s="1247"/>
      <c r="E125" s="1247"/>
      <c r="F125" s="1247"/>
      <c r="G125" s="1247"/>
      <c r="H125" s="1247"/>
      <c r="I125" s="1247"/>
      <c r="J125" s="1247"/>
      <c r="K125" s="1247"/>
      <c r="L125" s="1247"/>
      <c r="M125" s="1247"/>
      <c r="N125" s="1247"/>
      <c r="O125" s="1247"/>
      <c r="P125" s="1247"/>
      <c r="Q125" s="1247"/>
      <c r="R125" s="1247"/>
      <c r="S125" s="1247"/>
      <c r="T125" s="1247"/>
      <c r="U125" s="1247"/>
      <c r="V125" s="1247"/>
      <c r="W125" s="1247"/>
      <c r="X125" s="1247"/>
      <c r="Y125" s="1247"/>
      <c r="Z125" s="1247"/>
      <c r="AA125" s="1247"/>
      <c r="AB125" s="1247"/>
      <c r="AC125" s="1247"/>
      <c r="AD125" s="1247"/>
      <c r="AE125" s="1247"/>
      <c r="AF125" s="1247"/>
      <c r="AG125" s="1247"/>
      <c r="AH125" s="1247"/>
      <c r="AI125" s="1247"/>
      <c r="AJ125" s="1247"/>
      <c r="AK125" s="1247"/>
      <c r="AL125" s="1247"/>
      <c r="AM125" s="1247"/>
      <c r="AN125" s="1247"/>
      <c r="AO125" s="1247"/>
      <c r="AP125" s="1247"/>
      <c r="AQ125" s="1247"/>
      <c r="AR125" s="1247"/>
      <c r="AS125" s="1247"/>
      <c r="AT125" s="1247"/>
      <c r="AU125" s="1247"/>
      <c r="AV125" s="1247"/>
      <c r="AW125" s="1247"/>
      <c r="AX125" s="1247"/>
      <c r="AY125" s="1247"/>
      <c r="AZ125" s="1247"/>
      <c r="BA125" s="1247"/>
      <c r="BB125" s="1247"/>
      <c r="BC125" s="1247"/>
    </row>
    <row r="126" spans="2:55" s="973" customFormat="1" ht="15" customHeight="1">
      <c r="B126" s="1247"/>
      <c r="C126" s="1247"/>
      <c r="D126" s="1247"/>
      <c r="E126" s="1247"/>
      <c r="F126" s="1247"/>
      <c r="G126" s="1247"/>
      <c r="H126" s="1247"/>
      <c r="I126" s="1247"/>
      <c r="J126" s="1247"/>
      <c r="K126" s="1247"/>
      <c r="L126" s="1247"/>
      <c r="M126" s="1247"/>
      <c r="N126" s="1247"/>
      <c r="O126" s="1247"/>
      <c r="P126" s="1247"/>
      <c r="Q126" s="1247"/>
      <c r="R126" s="1247"/>
      <c r="S126" s="1247"/>
      <c r="T126" s="1247"/>
      <c r="U126" s="1247"/>
      <c r="V126" s="1247"/>
      <c r="W126" s="1247"/>
      <c r="X126" s="1247"/>
      <c r="Y126" s="1247"/>
      <c r="Z126" s="1247"/>
      <c r="AA126" s="1247"/>
      <c r="AB126" s="1247"/>
      <c r="AC126" s="1247"/>
      <c r="AD126" s="1247"/>
      <c r="AE126" s="1247"/>
      <c r="AF126" s="1247"/>
      <c r="AG126" s="1247"/>
      <c r="AH126" s="1247"/>
      <c r="AI126" s="1247"/>
      <c r="AJ126" s="1247"/>
      <c r="AK126" s="1247"/>
      <c r="AL126" s="1247"/>
      <c r="AM126" s="1247"/>
      <c r="AN126" s="1247"/>
      <c r="AO126" s="1247"/>
      <c r="AP126" s="1247"/>
      <c r="AQ126" s="1247"/>
      <c r="AR126" s="1247"/>
      <c r="AS126" s="1247"/>
      <c r="AT126" s="1247"/>
      <c r="AU126" s="1247"/>
      <c r="AV126" s="1247"/>
      <c r="AW126" s="1247"/>
      <c r="AX126" s="1247"/>
      <c r="AY126" s="1247"/>
      <c r="AZ126" s="1247"/>
      <c r="BA126" s="1247"/>
      <c r="BB126" s="1247"/>
      <c r="BC126" s="1247"/>
    </row>
    <row r="127" spans="2:55" s="973" customFormat="1" ht="15" customHeight="1">
      <c r="B127" s="1247"/>
      <c r="C127" s="1247"/>
      <c r="D127" s="1247"/>
      <c r="E127" s="1247"/>
      <c r="F127" s="1247"/>
      <c r="G127" s="1247"/>
      <c r="H127" s="1247"/>
      <c r="I127" s="1247"/>
      <c r="J127" s="1247"/>
      <c r="K127" s="1247"/>
      <c r="L127" s="1247"/>
      <c r="M127" s="1247"/>
      <c r="N127" s="1247"/>
      <c r="O127" s="1247"/>
      <c r="P127" s="1247"/>
      <c r="Q127" s="1247"/>
      <c r="R127" s="1247"/>
      <c r="S127" s="1247"/>
      <c r="T127" s="1247"/>
      <c r="U127" s="1247"/>
      <c r="V127" s="1247"/>
      <c r="W127" s="1247"/>
      <c r="X127" s="1247"/>
      <c r="Y127" s="1247"/>
      <c r="Z127" s="1247"/>
      <c r="AA127" s="1247"/>
      <c r="AB127" s="1247"/>
      <c r="AC127" s="1247"/>
      <c r="AD127" s="1247"/>
      <c r="AE127" s="1247"/>
      <c r="AF127" s="1247"/>
      <c r="AG127" s="1247"/>
      <c r="AH127" s="1247"/>
      <c r="AI127" s="1247"/>
      <c r="AJ127" s="1247"/>
      <c r="AK127" s="1247"/>
      <c r="AL127" s="1247"/>
      <c r="AM127" s="1247"/>
      <c r="AN127" s="1247"/>
      <c r="AO127" s="1247"/>
      <c r="AP127" s="1247"/>
      <c r="AQ127" s="1247"/>
      <c r="AR127" s="1247"/>
      <c r="AS127" s="1247"/>
      <c r="AT127" s="1247"/>
      <c r="AU127" s="1247"/>
      <c r="AV127" s="1247"/>
      <c r="AW127" s="1247"/>
      <c r="AX127" s="1247"/>
      <c r="AY127" s="1247"/>
      <c r="AZ127" s="1247"/>
      <c r="BA127" s="1247"/>
      <c r="BB127" s="1247"/>
      <c r="BC127" s="1247"/>
    </row>
    <row r="128" spans="2:55" s="973" customFormat="1" ht="15" customHeight="1">
      <c r="B128" s="1247"/>
      <c r="C128" s="1247"/>
      <c r="D128" s="1247"/>
      <c r="E128" s="1247"/>
      <c r="F128" s="1247"/>
      <c r="G128" s="1247"/>
      <c r="H128" s="1247"/>
      <c r="I128" s="1247"/>
      <c r="J128" s="1247"/>
      <c r="K128" s="1247"/>
      <c r="L128" s="1247"/>
      <c r="M128" s="1247"/>
      <c r="N128" s="1247"/>
      <c r="O128" s="1247"/>
      <c r="P128" s="1247"/>
      <c r="Q128" s="1247"/>
      <c r="R128" s="1247"/>
      <c r="S128" s="1247"/>
      <c r="T128" s="1247"/>
      <c r="U128" s="1247"/>
      <c r="V128" s="1247"/>
      <c r="W128" s="1247"/>
      <c r="X128" s="1247"/>
      <c r="Y128" s="1247"/>
      <c r="Z128" s="1247"/>
      <c r="AA128" s="1247"/>
      <c r="AB128" s="1247"/>
      <c r="AC128" s="1247"/>
      <c r="AD128" s="1247"/>
      <c r="AE128" s="1247"/>
      <c r="AF128" s="1247"/>
      <c r="AG128" s="1247"/>
      <c r="AH128" s="1247"/>
      <c r="AI128" s="1247"/>
      <c r="AJ128" s="1247"/>
      <c r="AK128" s="1247"/>
      <c r="AL128" s="1247"/>
      <c r="AM128" s="1247"/>
      <c r="AN128" s="1247"/>
      <c r="AO128" s="1247"/>
      <c r="AP128" s="1247"/>
      <c r="AQ128" s="1247"/>
      <c r="AR128" s="1247"/>
      <c r="AS128" s="1247"/>
      <c r="AT128" s="1247"/>
      <c r="AU128" s="1247"/>
      <c r="AV128" s="1247"/>
      <c r="AW128" s="1247"/>
      <c r="AX128" s="1247"/>
      <c r="AY128" s="1247"/>
      <c r="AZ128" s="1247"/>
      <c r="BA128" s="1247"/>
      <c r="BB128" s="1247"/>
      <c r="BC128" s="1247"/>
    </row>
    <row r="129" spans="2:55" s="973" customFormat="1" ht="15" customHeight="1">
      <c r="B129" s="1247"/>
      <c r="C129" s="1247"/>
      <c r="D129" s="1247"/>
      <c r="E129" s="1247"/>
      <c r="F129" s="1247"/>
      <c r="G129" s="1247"/>
      <c r="H129" s="1247"/>
      <c r="I129" s="1247"/>
      <c r="J129" s="1247"/>
      <c r="K129" s="1247"/>
      <c r="L129" s="1247"/>
      <c r="M129" s="1247"/>
      <c r="N129" s="1247"/>
      <c r="O129" s="1247"/>
      <c r="P129" s="1247"/>
      <c r="Q129" s="1247"/>
      <c r="R129" s="1247"/>
      <c r="S129" s="1247"/>
      <c r="T129" s="1247"/>
      <c r="U129" s="1247"/>
      <c r="V129" s="1247"/>
      <c r="W129" s="1247"/>
      <c r="X129" s="1247"/>
      <c r="Y129" s="1247"/>
      <c r="Z129" s="1247"/>
      <c r="AA129" s="1247"/>
      <c r="AB129" s="1247"/>
      <c r="AC129" s="1247"/>
      <c r="AD129" s="1247"/>
      <c r="AE129" s="1247"/>
      <c r="AF129" s="1247"/>
      <c r="AG129" s="1247"/>
      <c r="AH129" s="1247"/>
      <c r="AI129" s="1247"/>
      <c r="AJ129" s="1247"/>
      <c r="AK129" s="1247"/>
      <c r="AL129" s="1247"/>
      <c r="AM129" s="1247"/>
      <c r="AN129" s="1247"/>
      <c r="AO129" s="1247"/>
      <c r="AP129" s="1247"/>
      <c r="AQ129" s="1247"/>
      <c r="AR129" s="1247"/>
      <c r="AS129" s="1247"/>
      <c r="AT129" s="1247"/>
      <c r="AU129" s="1247"/>
      <c r="AV129" s="1247"/>
      <c r="AW129" s="1247"/>
      <c r="AX129" s="1247"/>
      <c r="AY129" s="1247"/>
      <c r="AZ129" s="1247"/>
      <c r="BA129" s="1247"/>
      <c r="BB129" s="1247"/>
      <c r="BC129" s="1247"/>
    </row>
    <row r="130" spans="2:55" s="973" customFormat="1" ht="15" customHeight="1">
      <c r="B130" s="1247"/>
      <c r="C130" s="1247"/>
      <c r="D130" s="1247"/>
      <c r="E130" s="1247"/>
      <c r="F130" s="1247"/>
      <c r="G130" s="1247"/>
      <c r="H130" s="1247"/>
      <c r="I130" s="1247"/>
      <c r="J130" s="1247"/>
      <c r="K130" s="1247"/>
      <c r="L130" s="1247"/>
      <c r="M130" s="1247"/>
      <c r="N130" s="1247"/>
      <c r="O130" s="1247"/>
      <c r="P130" s="1247"/>
      <c r="Q130" s="1247"/>
      <c r="R130" s="1247"/>
      <c r="S130" s="1247"/>
      <c r="T130" s="1247"/>
      <c r="U130" s="1247"/>
      <c r="V130" s="1247"/>
      <c r="W130" s="1247"/>
      <c r="X130" s="1247"/>
      <c r="Y130" s="1247"/>
      <c r="Z130" s="1247"/>
      <c r="AA130" s="1247"/>
      <c r="AB130" s="1247"/>
      <c r="AC130" s="1247"/>
      <c r="AD130" s="1247"/>
      <c r="AE130" s="1247"/>
      <c r="AF130" s="1247"/>
      <c r="AG130" s="1247"/>
      <c r="AH130" s="1247"/>
      <c r="AI130" s="1247"/>
      <c r="AJ130" s="1247"/>
      <c r="AK130" s="1247"/>
      <c r="AL130" s="1247"/>
      <c r="AM130" s="1247"/>
      <c r="AN130" s="1247"/>
      <c r="AO130" s="1247"/>
      <c r="AP130" s="1247"/>
      <c r="AQ130" s="1247"/>
      <c r="AR130" s="1247"/>
      <c r="AS130" s="1247"/>
      <c r="AT130" s="1247"/>
      <c r="AU130" s="1247"/>
      <c r="AV130" s="1247"/>
      <c r="AW130" s="1247"/>
      <c r="AX130" s="1247"/>
      <c r="AY130" s="1247"/>
      <c r="AZ130" s="1247"/>
      <c r="BA130" s="1247"/>
      <c r="BB130" s="1247"/>
      <c r="BC130" s="1247"/>
    </row>
    <row r="131" spans="2:55" s="973" customFormat="1" ht="15" customHeight="1">
      <c r="B131" s="1247"/>
      <c r="C131" s="1247"/>
      <c r="D131" s="1247"/>
      <c r="E131" s="1247"/>
      <c r="F131" s="1247"/>
      <c r="G131" s="1247"/>
      <c r="H131" s="1247"/>
      <c r="I131" s="1247"/>
      <c r="J131" s="1247"/>
      <c r="K131" s="1247"/>
      <c r="L131" s="1247"/>
      <c r="M131" s="1247"/>
      <c r="N131" s="1247"/>
      <c r="O131" s="1247"/>
      <c r="P131" s="1247"/>
      <c r="Q131" s="1247"/>
      <c r="R131" s="1247"/>
      <c r="S131" s="1247"/>
      <c r="T131" s="1247"/>
      <c r="U131" s="1247"/>
      <c r="V131" s="1247"/>
      <c r="W131" s="1247"/>
      <c r="X131" s="1247"/>
      <c r="Y131" s="1247"/>
      <c r="Z131" s="1247"/>
      <c r="AA131" s="1247"/>
      <c r="AB131" s="1247"/>
      <c r="AC131" s="1247"/>
      <c r="AD131" s="1247"/>
      <c r="AE131" s="1247"/>
      <c r="AF131" s="1247"/>
      <c r="AG131" s="1247"/>
      <c r="AH131" s="1247"/>
      <c r="AI131" s="1247"/>
      <c r="AJ131" s="1247"/>
      <c r="AK131" s="1247"/>
      <c r="AL131" s="1247"/>
      <c r="AM131" s="1247"/>
      <c r="AN131" s="1247"/>
      <c r="AO131" s="1247"/>
      <c r="AP131" s="1247"/>
      <c r="AQ131" s="1247"/>
      <c r="AR131" s="1247"/>
      <c r="AS131" s="1247"/>
      <c r="AT131" s="1247"/>
      <c r="AU131" s="1247"/>
      <c r="AV131" s="1247"/>
      <c r="AW131" s="1247"/>
      <c r="AX131" s="1247"/>
      <c r="AY131" s="1247"/>
      <c r="AZ131" s="1247"/>
      <c r="BA131" s="1247"/>
      <c r="BB131" s="1247"/>
      <c r="BC131" s="1247"/>
    </row>
    <row r="132" spans="2:55" s="973" customFormat="1" ht="15" customHeight="1">
      <c r="B132" s="1247"/>
      <c r="C132" s="1247"/>
      <c r="D132" s="1247"/>
      <c r="E132" s="1247"/>
      <c r="F132" s="1247"/>
      <c r="G132" s="1247"/>
      <c r="H132" s="1247"/>
      <c r="I132" s="1247"/>
      <c r="J132" s="1247"/>
      <c r="K132" s="1247"/>
      <c r="L132" s="1247"/>
      <c r="M132" s="1247"/>
      <c r="N132" s="1247"/>
      <c r="O132" s="1247"/>
      <c r="P132" s="1247"/>
      <c r="Q132" s="1247"/>
      <c r="R132" s="1247"/>
      <c r="S132" s="1247"/>
      <c r="T132" s="1247"/>
      <c r="U132" s="1247"/>
      <c r="V132" s="1247"/>
      <c r="W132" s="1247"/>
      <c r="X132" s="1247"/>
      <c r="Y132" s="1247"/>
      <c r="Z132" s="1247"/>
      <c r="AA132" s="1247"/>
      <c r="AB132" s="1247"/>
      <c r="AC132" s="1247"/>
      <c r="AD132" s="1247"/>
      <c r="AE132" s="1247"/>
      <c r="AF132" s="1247"/>
      <c r="AG132" s="1247"/>
      <c r="AH132" s="1247"/>
      <c r="AI132" s="1247"/>
      <c r="AJ132" s="1247"/>
      <c r="AK132" s="1247"/>
      <c r="AL132" s="1247"/>
      <c r="AM132" s="1247"/>
      <c r="AN132" s="1247"/>
      <c r="AO132" s="1247"/>
      <c r="AP132" s="1247"/>
      <c r="AQ132" s="1247"/>
      <c r="AR132" s="1247"/>
      <c r="AS132" s="1247"/>
      <c r="AT132" s="1247"/>
      <c r="AU132" s="1247"/>
      <c r="AV132" s="1247"/>
      <c r="AW132" s="1247"/>
      <c r="AX132" s="1247"/>
      <c r="AY132" s="1247"/>
      <c r="AZ132" s="1247"/>
      <c r="BA132" s="1247"/>
      <c r="BB132" s="1247"/>
      <c r="BC132" s="1247"/>
    </row>
    <row r="133" spans="2:55" s="973" customFormat="1" ht="15" customHeight="1">
      <c r="B133" s="1247"/>
      <c r="C133" s="1247"/>
      <c r="D133" s="1247"/>
      <c r="E133" s="1247"/>
      <c r="F133" s="1247"/>
      <c r="G133" s="1247"/>
      <c r="H133" s="1247"/>
      <c r="I133" s="1247"/>
      <c r="J133" s="1247"/>
      <c r="K133" s="1247"/>
      <c r="L133" s="1247"/>
      <c r="M133" s="1247"/>
      <c r="N133" s="1247"/>
      <c r="O133" s="1247"/>
      <c r="P133" s="1247"/>
      <c r="Q133" s="1247"/>
      <c r="R133" s="1247"/>
      <c r="S133" s="1247"/>
      <c r="T133" s="1247"/>
      <c r="U133" s="1247"/>
      <c r="V133" s="1247"/>
      <c r="W133" s="1247"/>
      <c r="X133" s="1247"/>
      <c r="Y133" s="1247"/>
      <c r="Z133" s="1247"/>
      <c r="AA133" s="1247"/>
      <c r="AB133" s="1247"/>
      <c r="AC133" s="1247"/>
      <c r="AD133" s="1247"/>
      <c r="AE133" s="1247"/>
      <c r="AF133" s="1247"/>
      <c r="AG133" s="1247"/>
      <c r="AH133" s="1247"/>
      <c r="AI133" s="1247"/>
      <c r="AJ133" s="1247"/>
      <c r="AK133" s="1247"/>
      <c r="AL133" s="1247"/>
      <c r="AM133" s="1247"/>
      <c r="AN133" s="1247"/>
      <c r="AO133" s="1247"/>
      <c r="AP133" s="1247"/>
      <c r="AQ133" s="1247"/>
      <c r="AR133" s="1247"/>
      <c r="AS133" s="1247"/>
      <c r="AT133" s="1247"/>
      <c r="AU133" s="1247"/>
      <c r="AV133" s="1247"/>
      <c r="AW133" s="1247"/>
      <c r="AX133" s="1247"/>
      <c r="AY133" s="1247"/>
      <c r="AZ133" s="1247"/>
      <c r="BA133" s="1247"/>
      <c r="BB133" s="1247"/>
      <c r="BC133" s="1247"/>
    </row>
    <row r="134" spans="2:55" s="973" customFormat="1" ht="15" customHeight="1">
      <c r="B134" s="1247"/>
      <c r="C134" s="1247"/>
      <c r="D134" s="1247"/>
      <c r="E134" s="1247"/>
      <c r="F134" s="1247"/>
      <c r="G134" s="1247"/>
      <c r="H134" s="1247"/>
      <c r="I134" s="1247"/>
      <c r="J134" s="1247"/>
      <c r="K134" s="1247"/>
      <c r="L134" s="1247"/>
      <c r="M134" s="1247"/>
      <c r="N134" s="1247"/>
      <c r="O134" s="1247"/>
      <c r="P134" s="1247"/>
      <c r="Q134" s="1247"/>
      <c r="R134" s="1247"/>
      <c r="S134" s="1247"/>
      <c r="T134" s="1247"/>
      <c r="U134" s="1247"/>
      <c r="V134" s="1247"/>
      <c r="W134" s="1247"/>
      <c r="X134" s="1247"/>
      <c r="Y134" s="1247"/>
      <c r="Z134" s="1247"/>
      <c r="AA134" s="1247"/>
      <c r="AB134" s="1247"/>
      <c r="AC134" s="1247"/>
      <c r="AD134" s="1247"/>
      <c r="AE134" s="1247"/>
      <c r="AF134" s="1247"/>
      <c r="AG134" s="1247"/>
      <c r="AH134" s="1247"/>
      <c r="AI134" s="1247"/>
      <c r="AJ134" s="1247"/>
      <c r="AK134" s="1247"/>
      <c r="AL134" s="1247"/>
      <c r="AM134" s="1247"/>
      <c r="AN134" s="1247"/>
      <c r="AO134" s="1247"/>
      <c r="AP134" s="1247"/>
      <c r="AQ134" s="1247"/>
      <c r="AR134" s="1247"/>
      <c r="AS134" s="1247"/>
      <c r="AT134" s="1247"/>
      <c r="AU134" s="1247"/>
      <c r="AV134" s="1247"/>
      <c r="AW134" s="1247"/>
      <c r="AX134" s="1247"/>
      <c r="AY134" s="1247"/>
      <c r="AZ134" s="1247"/>
      <c r="BA134" s="1247"/>
      <c r="BB134" s="1247"/>
      <c r="BC134" s="1247"/>
    </row>
    <row r="135" spans="2:55" s="973" customFormat="1" ht="15" customHeight="1">
      <c r="B135" s="1247"/>
      <c r="C135" s="1247"/>
      <c r="D135" s="1247"/>
      <c r="E135" s="1247"/>
      <c r="F135" s="1247"/>
      <c r="G135" s="1247"/>
      <c r="H135" s="1247"/>
      <c r="I135" s="1247"/>
      <c r="J135" s="1247"/>
      <c r="K135" s="1247"/>
      <c r="L135" s="1247"/>
      <c r="M135" s="1247"/>
      <c r="N135" s="1247"/>
      <c r="O135" s="1247"/>
      <c r="P135" s="1247"/>
      <c r="Q135" s="1247"/>
      <c r="R135" s="1247"/>
      <c r="S135" s="1247"/>
      <c r="T135" s="1247"/>
      <c r="U135" s="1247"/>
      <c r="V135" s="1247"/>
      <c r="W135" s="1247"/>
      <c r="X135" s="1247"/>
      <c r="Y135" s="1247"/>
      <c r="Z135" s="1247"/>
      <c r="AA135" s="1247"/>
      <c r="AB135" s="1247"/>
      <c r="AC135" s="1247"/>
      <c r="AD135" s="1247"/>
      <c r="AE135" s="1247"/>
      <c r="AF135" s="1247"/>
      <c r="AG135" s="1247"/>
      <c r="AH135" s="1247"/>
      <c r="AI135" s="1247"/>
      <c r="AJ135" s="1247"/>
      <c r="AK135" s="1247"/>
      <c r="AL135" s="1247"/>
      <c r="AM135" s="1247"/>
      <c r="AN135" s="1247"/>
      <c r="AO135" s="1247"/>
      <c r="AP135" s="1247"/>
      <c r="AQ135" s="1247"/>
      <c r="AR135" s="1247"/>
      <c r="AS135" s="1247"/>
      <c r="AT135" s="1247"/>
      <c r="AU135" s="1247"/>
      <c r="AV135" s="1247"/>
      <c r="AW135" s="1247"/>
      <c r="AX135" s="1247"/>
      <c r="AY135" s="1247"/>
      <c r="AZ135" s="1247"/>
      <c r="BA135" s="1247"/>
      <c r="BB135" s="1247"/>
      <c r="BC135" s="1247"/>
    </row>
    <row r="136" spans="2:55" s="973" customFormat="1" ht="15" customHeight="1">
      <c r="B136" s="1247"/>
      <c r="C136" s="1247"/>
      <c r="D136" s="1247"/>
      <c r="E136" s="1247"/>
      <c r="F136" s="1247"/>
      <c r="G136" s="1247"/>
      <c r="H136" s="1247"/>
      <c r="I136" s="1247"/>
      <c r="J136" s="1247"/>
      <c r="K136" s="1247"/>
      <c r="L136" s="1247"/>
      <c r="M136" s="1247"/>
      <c r="N136" s="1247"/>
      <c r="O136" s="1247"/>
      <c r="P136" s="1247"/>
      <c r="Q136" s="1247"/>
      <c r="R136" s="1247"/>
      <c r="S136" s="1247"/>
      <c r="T136" s="1247"/>
      <c r="U136" s="1247"/>
      <c r="V136" s="1247"/>
      <c r="W136" s="1247"/>
      <c r="X136" s="1247"/>
      <c r="Y136" s="1247"/>
      <c r="Z136" s="1247"/>
      <c r="AA136" s="1247"/>
      <c r="AB136" s="1247"/>
      <c r="AC136" s="1247"/>
      <c r="AD136" s="1247"/>
      <c r="AE136" s="1247"/>
      <c r="AF136" s="1247"/>
      <c r="AG136" s="1247"/>
      <c r="AH136" s="1247"/>
      <c r="AI136" s="1247"/>
      <c r="AJ136" s="1247"/>
      <c r="AK136" s="1247"/>
      <c r="AL136" s="1247"/>
      <c r="AM136" s="1247"/>
      <c r="AN136" s="1247"/>
      <c r="AO136" s="1247"/>
      <c r="AP136" s="1247"/>
      <c r="AQ136" s="1247"/>
      <c r="AR136" s="1247"/>
      <c r="AS136" s="1247"/>
      <c r="AT136" s="1247"/>
      <c r="AU136" s="1247"/>
      <c r="AV136" s="1247"/>
      <c r="AW136" s="1247"/>
      <c r="AX136" s="1247"/>
      <c r="AY136" s="1247"/>
      <c r="AZ136" s="1247"/>
      <c r="BA136" s="1247"/>
      <c r="BB136" s="1247"/>
      <c r="BC136" s="1247"/>
    </row>
    <row r="137" spans="2:55" s="973" customFormat="1" ht="15" customHeight="1">
      <c r="B137" s="1247"/>
      <c r="C137" s="1247"/>
      <c r="D137" s="1247"/>
      <c r="E137" s="1247"/>
      <c r="F137" s="1247"/>
      <c r="G137" s="1247"/>
      <c r="H137" s="1247"/>
      <c r="I137" s="1247"/>
      <c r="J137" s="1247"/>
      <c r="K137" s="1247"/>
      <c r="L137" s="1247"/>
      <c r="M137" s="1247"/>
      <c r="N137" s="1247"/>
      <c r="O137" s="1247"/>
      <c r="P137" s="1247"/>
      <c r="Q137" s="1247"/>
      <c r="R137" s="1247"/>
      <c r="S137" s="1247"/>
      <c r="T137" s="1247"/>
      <c r="U137" s="1247"/>
      <c r="V137" s="1247"/>
      <c r="W137" s="1247"/>
      <c r="X137" s="1247"/>
      <c r="Y137" s="1247"/>
      <c r="Z137" s="1247"/>
      <c r="AA137" s="1247"/>
      <c r="AB137" s="1247"/>
      <c r="AC137" s="1247"/>
      <c r="AD137" s="1247"/>
      <c r="AE137" s="1247"/>
      <c r="AF137" s="1247"/>
      <c r="AG137" s="1247"/>
      <c r="AH137" s="1247"/>
      <c r="AI137" s="1247"/>
      <c r="AJ137" s="1247"/>
      <c r="AK137" s="1247"/>
      <c r="AL137" s="1247"/>
      <c r="AM137" s="1247"/>
      <c r="AN137" s="1247"/>
      <c r="AO137" s="1247"/>
      <c r="AP137" s="1247"/>
      <c r="AQ137" s="1247"/>
      <c r="AR137" s="1247"/>
      <c r="AS137" s="1247"/>
      <c r="AT137" s="1247"/>
      <c r="AU137" s="1247"/>
      <c r="AV137" s="1247"/>
      <c r="AW137" s="1247"/>
      <c r="AX137" s="1247"/>
      <c r="AY137" s="1247"/>
      <c r="AZ137" s="1247"/>
      <c r="BA137" s="1247"/>
      <c r="BB137" s="1247"/>
      <c r="BC137" s="1247"/>
    </row>
    <row r="138" spans="2:55" s="973" customFormat="1" ht="15" customHeight="1">
      <c r="B138" s="1247"/>
      <c r="C138" s="1247"/>
      <c r="D138" s="1247"/>
      <c r="E138" s="1247"/>
      <c r="F138" s="1247"/>
      <c r="G138" s="1247"/>
      <c r="H138" s="1247"/>
      <c r="I138" s="1247"/>
      <c r="J138" s="1247"/>
      <c r="K138" s="1247"/>
      <c r="L138" s="1247"/>
      <c r="M138" s="1247"/>
      <c r="N138" s="1247"/>
      <c r="O138" s="1247"/>
      <c r="P138" s="1247"/>
      <c r="Q138" s="1247"/>
      <c r="R138" s="1247"/>
      <c r="S138" s="1247"/>
      <c r="T138" s="1247"/>
      <c r="U138" s="1247"/>
      <c r="V138" s="1247"/>
      <c r="W138" s="1247"/>
      <c r="X138" s="1247"/>
      <c r="Y138" s="1247"/>
      <c r="Z138" s="1247"/>
      <c r="AA138" s="1247"/>
      <c r="AB138" s="1247"/>
      <c r="AC138" s="1247"/>
      <c r="AD138" s="1247"/>
      <c r="AE138" s="1247"/>
      <c r="AF138" s="1247"/>
      <c r="AG138" s="1247"/>
      <c r="AH138" s="1247"/>
      <c r="AI138" s="1247"/>
      <c r="AJ138" s="1247"/>
      <c r="AK138" s="1247"/>
      <c r="AL138" s="1247"/>
      <c r="AM138" s="1247"/>
      <c r="AN138" s="1247"/>
      <c r="AO138" s="1247"/>
      <c r="AP138" s="1247"/>
      <c r="AQ138" s="1247"/>
      <c r="AR138" s="1247"/>
      <c r="AS138" s="1247"/>
      <c r="AT138" s="1247"/>
      <c r="AU138" s="1247"/>
      <c r="AV138" s="1247"/>
      <c r="AW138" s="1247"/>
      <c r="AX138" s="1247"/>
      <c r="AY138" s="1247"/>
      <c r="AZ138" s="1247"/>
      <c r="BA138" s="1247"/>
      <c r="BB138" s="1247"/>
      <c r="BC138" s="1247"/>
    </row>
    <row r="139" spans="2:55" s="973" customFormat="1" ht="15" customHeight="1">
      <c r="B139" s="1247"/>
      <c r="C139" s="1247"/>
      <c r="D139" s="1247"/>
      <c r="E139" s="1247"/>
      <c r="F139" s="1247"/>
      <c r="G139" s="1247"/>
      <c r="H139" s="1247"/>
      <c r="I139" s="1247"/>
      <c r="J139" s="1247"/>
      <c r="K139" s="1247"/>
      <c r="L139" s="1247"/>
      <c r="M139" s="1247"/>
      <c r="N139" s="1247"/>
      <c r="O139" s="1247"/>
      <c r="P139" s="1247"/>
      <c r="Q139" s="1247"/>
      <c r="R139" s="1247"/>
      <c r="S139" s="1247"/>
      <c r="T139" s="1247"/>
      <c r="U139" s="1247"/>
      <c r="V139" s="1247"/>
      <c r="W139" s="1247"/>
      <c r="X139" s="1247"/>
      <c r="Y139" s="1247"/>
      <c r="Z139" s="1247"/>
      <c r="AA139" s="1247"/>
      <c r="AB139" s="1247"/>
      <c r="AC139" s="1247"/>
      <c r="AD139" s="1247"/>
      <c r="AE139" s="1247"/>
      <c r="AF139" s="1247"/>
      <c r="AG139" s="1247"/>
      <c r="AH139" s="1247"/>
      <c r="AI139" s="1247"/>
      <c r="AJ139" s="1247"/>
      <c r="AK139" s="1247"/>
      <c r="AL139" s="1247"/>
      <c r="AM139" s="1247"/>
      <c r="AN139" s="1247"/>
      <c r="AO139" s="1247"/>
      <c r="AP139" s="1247"/>
      <c r="AQ139" s="1247"/>
      <c r="AR139" s="1247"/>
      <c r="AS139" s="1247"/>
      <c r="AT139" s="1247"/>
      <c r="AU139" s="1247"/>
      <c r="AV139" s="1247"/>
      <c r="AW139" s="1247"/>
      <c r="AX139" s="1247"/>
      <c r="AY139" s="1247"/>
      <c r="AZ139" s="1247"/>
      <c r="BA139" s="1247"/>
      <c r="BB139" s="1247"/>
      <c r="BC139" s="1247"/>
    </row>
    <row r="140" spans="2:55" s="973" customFormat="1" ht="15" customHeight="1">
      <c r="B140" s="1247"/>
      <c r="C140" s="1247"/>
      <c r="D140" s="1247"/>
      <c r="E140" s="1247"/>
      <c r="F140" s="1247"/>
      <c r="G140" s="1247"/>
      <c r="H140" s="1247"/>
      <c r="I140" s="1247"/>
      <c r="J140" s="1247"/>
      <c r="K140" s="1247"/>
      <c r="L140" s="1247"/>
      <c r="M140" s="1247"/>
      <c r="N140" s="1247"/>
      <c r="O140" s="1247"/>
      <c r="P140" s="1247"/>
      <c r="Q140" s="1247"/>
      <c r="R140" s="1247"/>
      <c r="S140" s="1247"/>
      <c r="T140" s="1247"/>
      <c r="U140" s="1247"/>
      <c r="V140" s="1247"/>
      <c r="W140" s="1247"/>
      <c r="X140" s="1247"/>
      <c r="Y140" s="1247"/>
      <c r="Z140" s="1247"/>
      <c r="AA140" s="1247"/>
      <c r="AB140" s="1247"/>
      <c r="AC140" s="1247"/>
      <c r="AD140" s="1247"/>
      <c r="AE140" s="1247"/>
      <c r="AF140" s="1247"/>
      <c r="AG140" s="1247"/>
      <c r="AH140" s="1247"/>
      <c r="AI140" s="1247"/>
      <c r="AJ140" s="1247"/>
      <c r="AK140" s="1247"/>
      <c r="AL140" s="1247"/>
      <c r="AM140" s="1247"/>
      <c r="AN140" s="1247"/>
      <c r="AO140" s="1247"/>
      <c r="AP140" s="1247"/>
      <c r="AQ140" s="1247"/>
      <c r="AR140" s="1247"/>
      <c r="AS140" s="1247"/>
      <c r="AT140" s="1247"/>
      <c r="AU140" s="1247"/>
      <c r="AV140" s="1247"/>
      <c r="AW140" s="1247"/>
      <c r="AX140" s="1247"/>
      <c r="AY140" s="1247"/>
      <c r="AZ140" s="1247"/>
      <c r="BA140" s="1247"/>
      <c r="BB140" s="1247"/>
      <c r="BC140" s="1247"/>
    </row>
    <row r="141" spans="2:55" s="973" customFormat="1" ht="15" customHeight="1">
      <c r="B141" s="1247"/>
      <c r="C141" s="1247"/>
      <c r="D141" s="1247"/>
      <c r="E141" s="1247"/>
      <c r="F141" s="1247"/>
      <c r="G141" s="1247"/>
      <c r="H141" s="1247"/>
      <c r="I141" s="1247"/>
      <c r="J141" s="1247"/>
      <c r="K141" s="1247"/>
      <c r="L141" s="1247"/>
      <c r="M141" s="1247"/>
      <c r="N141" s="1247"/>
      <c r="O141" s="1247"/>
      <c r="P141" s="1247"/>
      <c r="Q141" s="1247"/>
      <c r="R141" s="1247"/>
      <c r="S141" s="1247"/>
      <c r="T141" s="1247"/>
      <c r="U141" s="1247"/>
      <c r="V141" s="1247"/>
      <c r="W141" s="1247"/>
      <c r="X141" s="1247"/>
      <c r="Y141" s="1247"/>
      <c r="Z141" s="1247"/>
      <c r="AA141" s="1247"/>
      <c r="AB141" s="1247"/>
      <c r="AC141" s="1247"/>
      <c r="AD141" s="1247"/>
      <c r="AE141" s="1247"/>
      <c r="AF141" s="1247"/>
      <c r="AG141" s="1247"/>
      <c r="AH141" s="1247"/>
      <c r="AI141" s="1247"/>
      <c r="AJ141" s="1247"/>
      <c r="AK141" s="1247"/>
      <c r="AL141" s="1247"/>
      <c r="AM141" s="1247"/>
      <c r="AN141" s="1247"/>
      <c r="AO141" s="1247"/>
      <c r="AP141" s="1247"/>
      <c r="AQ141" s="1247"/>
      <c r="AR141" s="1247"/>
      <c r="AS141" s="1247"/>
      <c r="AT141" s="1247"/>
      <c r="AU141" s="1247"/>
      <c r="AV141" s="1247"/>
      <c r="AW141" s="1247"/>
      <c r="AX141" s="1247"/>
      <c r="AY141" s="1247"/>
      <c r="AZ141" s="1247"/>
      <c r="BA141" s="1247"/>
      <c r="BB141" s="1247"/>
      <c r="BC141" s="1247"/>
    </row>
    <row r="142" spans="2:55" s="973" customFormat="1" ht="15" customHeight="1">
      <c r="B142" s="1247"/>
      <c r="C142" s="1247"/>
      <c r="D142" s="1247"/>
      <c r="E142" s="1247"/>
      <c r="F142" s="1247"/>
      <c r="G142" s="1247"/>
      <c r="H142" s="1247"/>
      <c r="I142" s="1247"/>
      <c r="J142" s="1247"/>
      <c r="K142" s="1247"/>
      <c r="L142" s="1247"/>
      <c r="M142" s="1247"/>
      <c r="N142" s="1247"/>
      <c r="O142" s="1247"/>
      <c r="P142" s="1247"/>
      <c r="Q142" s="1247"/>
      <c r="R142" s="1247"/>
      <c r="S142" s="1247"/>
      <c r="T142" s="1247"/>
      <c r="U142" s="1247"/>
      <c r="V142" s="1247"/>
      <c r="W142" s="1247"/>
      <c r="X142" s="1247"/>
      <c r="Y142" s="1247"/>
      <c r="Z142" s="1247"/>
      <c r="AA142" s="1247"/>
      <c r="AB142" s="1247"/>
      <c r="AC142" s="1247"/>
      <c r="AD142" s="1247"/>
      <c r="AE142" s="1247"/>
      <c r="AF142" s="1247"/>
      <c r="AG142" s="1247"/>
      <c r="AH142" s="1247"/>
      <c r="AI142" s="1247"/>
      <c r="AJ142" s="1247"/>
      <c r="AK142" s="1247"/>
      <c r="AL142" s="1247"/>
      <c r="AM142" s="1247"/>
      <c r="AN142" s="1247"/>
      <c r="AO142" s="1247"/>
      <c r="AP142" s="1247"/>
      <c r="AQ142" s="1247"/>
      <c r="AR142" s="1247"/>
      <c r="AS142" s="1247"/>
      <c r="AT142" s="1247"/>
      <c r="AU142" s="1247"/>
      <c r="AV142" s="1247"/>
      <c r="AW142" s="1247"/>
      <c r="AX142" s="1247"/>
      <c r="AY142" s="1247"/>
      <c r="AZ142" s="1247"/>
      <c r="BA142" s="1247"/>
      <c r="BB142" s="1247"/>
      <c r="BC142" s="1247"/>
    </row>
    <row r="143" spans="2:55" s="973" customFormat="1" ht="15" customHeight="1">
      <c r="B143" s="1247"/>
      <c r="C143" s="1247"/>
      <c r="D143" s="1247"/>
      <c r="E143" s="1247"/>
      <c r="F143" s="1247"/>
      <c r="G143" s="1247"/>
      <c r="H143" s="1247"/>
      <c r="I143" s="1247"/>
      <c r="J143" s="1247"/>
      <c r="K143" s="1247"/>
      <c r="L143" s="1247"/>
      <c r="M143" s="1247"/>
      <c r="N143" s="1247"/>
      <c r="O143" s="1247"/>
      <c r="P143" s="1247"/>
      <c r="Q143" s="1247"/>
      <c r="R143" s="1247"/>
      <c r="S143" s="1247"/>
      <c r="T143" s="1247"/>
      <c r="U143" s="1247"/>
      <c r="V143" s="1247"/>
      <c r="W143" s="1247"/>
      <c r="X143" s="1247"/>
      <c r="Y143" s="1247"/>
      <c r="Z143" s="1247"/>
      <c r="AA143" s="1247"/>
      <c r="AB143" s="1247"/>
      <c r="AC143" s="1247"/>
      <c r="AD143" s="1247"/>
      <c r="AE143" s="1247"/>
      <c r="AF143" s="1247"/>
      <c r="AG143" s="1247"/>
      <c r="AH143" s="1247"/>
      <c r="AI143" s="1247"/>
      <c r="AJ143" s="1247"/>
      <c r="AK143" s="1247"/>
      <c r="AL143" s="1247"/>
      <c r="AM143" s="1247"/>
      <c r="AN143" s="1247"/>
      <c r="AO143" s="1247"/>
      <c r="AP143" s="1247"/>
      <c r="AQ143" s="1247"/>
      <c r="AR143" s="1247"/>
      <c r="AS143" s="1247"/>
      <c r="AT143" s="1247"/>
      <c r="AU143" s="1247"/>
      <c r="AV143" s="1247"/>
      <c r="AW143" s="1247"/>
      <c r="AX143" s="1247"/>
      <c r="AY143" s="1247"/>
      <c r="AZ143" s="1247"/>
      <c r="BA143" s="1247"/>
      <c r="BB143" s="1247"/>
      <c r="BC143" s="1247"/>
    </row>
    <row r="144" spans="2:55" s="973" customFormat="1" ht="15" customHeight="1">
      <c r="B144" s="1247"/>
      <c r="C144" s="1247"/>
      <c r="D144" s="1247"/>
      <c r="E144" s="1247"/>
      <c r="F144" s="1247"/>
      <c r="G144" s="1247"/>
      <c r="H144" s="1247"/>
      <c r="I144" s="1247"/>
      <c r="J144" s="1247"/>
      <c r="K144" s="1247"/>
      <c r="L144" s="1247"/>
      <c r="M144" s="1247"/>
      <c r="N144" s="1247"/>
      <c r="O144" s="1247"/>
      <c r="P144" s="1247"/>
      <c r="Q144" s="1247"/>
      <c r="R144" s="1247"/>
      <c r="S144" s="1247"/>
      <c r="T144" s="1247"/>
      <c r="U144" s="1247"/>
      <c r="V144" s="1247"/>
      <c r="W144" s="1247"/>
      <c r="X144" s="1247"/>
      <c r="Y144" s="1247"/>
      <c r="Z144" s="1247"/>
      <c r="AA144" s="1247"/>
      <c r="AB144" s="1247"/>
      <c r="AC144" s="1247"/>
      <c r="AD144" s="1247"/>
      <c r="AE144" s="1247"/>
      <c r="AF144" s="1247"/>
      <c r="AG144" s="1247"/>
      <c r="AH144" s="1247"/>
      <c r="AI144" s="1247"/>
      <c r="AJ144" s="1247"/>
      <c r="AK144" s="1247"/>
      <c r="AL144" s="1247"/>
      <c r="AM144" s="1247"/>
      <c r="AN144" s="1247"/>
      <c r="AO144" s="1247"/>
      <c r="AP144" s="1247"/>
      <c r="AQ144" s="1247"/>
      <c r="AR144" s="1247"/>
      <c r="AS144" s="1247"/>
      <c r="AT144" s="1247"/>
      <c r="AU144" s="1247"/>
      <c r="AV144" s="1247"/>
      <c r="AW144" s="1247"/>
      <c r="AX144" s="1247"/>
      <c r="AY144" s="1247"/>
      <c r="AZ144" s="1247"/>
      <c r="BA144" s="1247"/>
      <c r="BB144" s="1247"/>
      <c r="BC144" s="1247"/>
    </row>
    <row r="145" spans="2:55" s="973" customFormat="1" ht="15" customHeight="1">
      <c r="B145" s="1247"/>
      <c r="C145" s="1247"/>
      <c r="D145" s="1247"/>
      <c r="E145" s="1247"/>
      <c r="F145" s="1247"/>
      <c r="G145" s="1247"/>
      <c r="H145" s="1247"/>
      <c r="I145" s="1247"/>
      <c r="J145" s="1247"/>
      <c r="K145" s="1247"/>
      <c r="L145" s="1247"/>
      <c r="M145" s="1247"/>
      <c r="N145" s="1247"/>
      <c r="O145" s="1247"/>
      <c r="P145" s="1247"/>
      <c r="Q145" s="1247"/>
      <c r="R145" s="1247"/>
      <c r="S145" s="1247"/>
      <c r="T145" s="1247"/>
      <c r="U145" s="1247"/>
      <c r="V145" s="1247"/>
      <c r="W145" s="1247"/>
      <c r="X145" s="1247"/>
      <c r="Y145" s="1247"/>
      <c r="Z145" s="1247"/>
      <c r="AA145" s="1247"/>
      <c r="AB145" s="1247"/>
      <c r="AC145" s="1247"/>
      <c r="AD145" s="1247"/>
      <c r="AE145" s="1247"/>
      <c r="AF145" s="1247"/>
      <c r="AG145" s="1247"/>
      <c r="AH145" s="1247"/>
      <c r="AI145" s="1247"/>
      <c r="AJ145" s="1247"/>
      <c r="AK145" s="1247"/>
      <c r="AL145" s="1247"/>
      <c r="AM145" s="1247"/>
      <c r="AN145" s="1247"/>
      <c r="AO145" s="1247"/>
      <c r="AP145" s="1247"/>
      <c r="AQ145" s="1247"/>
      <c r="AR145" s="1247"/>
      <c r="AS145" s="1247"/>
      <c r="AT145" s="1247"/>
      <c r="AU145" s="1247"/>
      <c r="AV145" s="1247"/>
      <c r="AW145" s="1247"/>
      <c r="AX145" s="1247"/>
      <c r="AY145" s="1247"/>
      <c r="AZ145" s="1247"/>
      <c r="BA145" s="1247"/>
      <c r="BB145" s="1247"/>
      <c r="BC145" s="1247"/>
    </row>
    <row r="146" spans="2:55" s="973" customFormat="1" ht="15" customHeight="1">
      <c r="B146" s="1247"/>
      <c r="C146" s="1247"/>
      <c r="D146" s="1247"/>
      <c r="E146" s="1247"/>
      <c r="F146" s="1247"/>
      <c r="G146" s="1247"/>
      <c r="H146" s="1247"/>
      <c r="I146" s="1247"/>
      <c r="J146" s="1247"/>
      <c r="K146" s="1247"/>
      <c r="L146" s="1247"/>
      <c r="M146" s="1247"/>
      <c r="N146" s="1247"/>
      <c r="O146" s="1247"/>
      <c r="P146" s="1247"/>
      <c r="Q146" s="1247"/>
      <c r="R146" s="1247"/>
      <c r="S146" s="1247"/>
      <c r="T146" s="1247"/>
      <c r="U146" s="1247"/>
      <c r="V146" s="1247"/>
      <c r="W146" s="1247"/>
      <c r="X146" s="1247"/>
      <c r="Y146" s="1247"/>
      <c r="Z146" s="1247"/>
      <c r="AA146" s="1247"/>
      <c r="AB146" s="1247"/>
      <c r="AC146" s="1247"/>
      <c r="AD146" s="1247"/>
      <c r="AE146" s="1247"/>
      <c r="AF146" s="1247"/>
      <c r="AG146" s="1247"/>
      <c r="AH146" s="1247"/>
      <c r="AI146" s="1247"/>
      <c r="AJ146" s="1247"/>
      <c r="AK146" s="1247"/>
      <c r="AL146" s="1247"/>
      <c r="AM146" s="1247"/>
      <c r="AN146" s="1247"/>
      <c r="AO146" s="1247"/>
      <c r="AP146" s="1247"/>
      <c r="AQ146" s="1247"/>
      <c r="AR146" s="1247"/>
      <c r="AS146" s="1247"/>
      <c r="AT146" s="1247"/>
      <c r="AU146" s="1247"/>
      <c r="AV146" s="1247"/>
      <c r="AW146" s="1247"/>
      <c r="AX146" s="1247"/>
      <c r="AY146" s="1247"/>
      <c r="AZ146" s="1247"/>
      <c r="BA146" s="1247"/>
      <c r="BB146" s="1247"/>
      <c r="BC146" s="1247"/>
    </row>
    <row r="147" spans="2:55" s="973" customFormat="1" ht="15" customHeight="1">
      <c r="B147" s="1247"/>
      <c r="C147" s="1247"/>
      <c r="D147" s="1247"/>
      <c r="E147" s="1247"/>
      <c r="F147" s="1247"/>
      <c r="G147" s="1247"/>
      <c r="H147" s="1247"/>
      <c r="I147" s="1247"/>
      <c r="J147" s="1247"/>
      <c r="K147" s="1247"/>
      <c r="L147" s="1247"/>
      <c r="M147" s="1247"/>
      <c r="N147" s="1247"/>
      <c r="O147" s="1247"/>
      <c r="P147" s="1247"/>
      <c r="Q147" s="1247"/>
      <c r="R147" s="1247"/>
      <c r="S147" s="1247"/>
      <c r="T147" s="1247"/>
      <c r="U147" s="1247"/>
      <c r="V147" s="1247"/>
      <c r="W147" s="1247"/>
      <c r="X147" s="1247"/>
      <c r="Y147" s="1247"/>
      <c r="Z147" s="1247"/>
      <c r="AA147" s="1247"/>
      <c r="AB147" s="1247"/>
      <c r="AC147" s="1247"/>
      <c r="AD147" s="1247"/>
      <c r="AE147" s="1247"/>
      <c r="AF147" s="1247"/>
      <c r="AG147" s="1247"/>
      <c r="AH147" s="1247"/>
      <c r="AI147" s="1247"/>
      <c r="AJ147" s="1247"/>
      <c r="AK147" s="1247"/>
      <c r="AL147" s="1247"/>
      <c r="AM147" s="1247"/>
      <c r="AN147" s="1247"/>
      <c r="AO147" s="1247"/>
      <c r="AP147" s="1247"/>
      <c r="AQ147" s="1247"/>
      <c r="AR147" s="1247"/>
      <c r="AS147" s="1247"/>
      <c r="AT147" s="1247"/>
      <c r="AU147" s="1247"/>
      <c r="AV147" s="1247"/>
      <c r="AW147" s="1247"/>
      <c r="AX147" s="1247"/>
      <c r="AY147" s="1247"/>
      <c r="AZ147" s="1247"/>
      <c r="BA147" s="1247"/>
      <c r="BB147" s="1247"/>
      <c r="BC147" s="1247"/>
    </row>
    <row r="148" spans="2:55" s="973" customFormat="1" ht="15" customHeight="1">
      <c r="B148" s="1247"/>
      <c r="C148" s="1247"/>
      <c r="D148" s="1247"/>
      <c r="E148" s="1247"/>
      <c r="F148" s="1247"/>
      <c r="G148" s="1247"/>
      <c r="H148" s="1247"/>
      <c r="I148" s="1247"/>
      <c r="J148" s="1247"/>
      <c r="K148" s="1247"/>
      <c r="L148" s="1247"/>
      <c r="M148" s="1247"/>
      <c r="N148" s="1247"/>
      <c r="O148" s="1247"/>
      <c r="P148" s="1247"/>
      <c r="Q148" s="1247"/>
      <c r="R148" s="1247"/>
      <c r="S148" s="1247"/>
      <c r="T148" s="1247"/>
      <c r="U148" s="1247"/>
      <c r="V148" s="1247"/>
      <c r="W148" s="1247"/>
      <c r="X148" s="1247"/>
      <c r="Y148" s="1247"/>
      <c r="Z148" s="1247"/>
      <c r="AA148" s="1247"/>
      <c r="AB148" s="1247"/>
      <c r="AC148" s="1247"/>
      <c r="AD148" s="1247"/>
      <c r="AE148" s="1247"/>
      <c r="AF148" s="1247"/>
      <c r="AG148" s="1247"/>
      <c r="AH148" s="1247"/>
      <c r="AI148" s="1247"/>
      <c r="AJ148" s="1247"/>
      <c r="AK148" s="1247"/>
      <c r="AL148" s="1247"/>
      <c r="AM148" s="1247"/>
      <c r="AN148" s="1247"/>
      <c r="AO148" s="1247"/>
      <c r="AP148" s="1247"/>
      <c r="AQ148" s="1247"/>
      <c r="AR148" s="1247"/>
      <c r="AS148" s="1247"/>
      <c r="AT148" s="1247"/>
      <c r="AU148" s="1247"/>
      <c r="AV148" s="1247"/>
      <c r="AW148" s="1247"/>
      <c r="AX148" s="1247"/>
      <c r="AY148" s="1247"/>
      <c r="AZ148" s="1247"/>
      <c r="BA148" s="1247"/>
      <c r="BB148" s="1247"/>
      <c r="BC148" s="1247"/>
    </row>
    <row r="149" spans="2:55" s="973" customFormat="1" ht="15" customHeight="1">
      <c r="B149" s="1247"/>
      <c r="C149" s="1247"/>
      <c r="D149" s="1247"/>
      <c r="E149" s="1247"/>
      <c r="F149" s="1247"/>
      <c r="G149" s="1247"/>
      <c r="H149" s="1247"/>
      <c r="I149" s="1247"/>
      <c r="J149" s="1247"/>
      <c r="K149" s="1247"/>
      <c r="L149" s="1247"/>
      <c r="M149" s="1247"/>
      <c r="N149" s="1247"/>
      <c r="O149" s="1247"/>
      <c r="P149" s="1247"/>
      <c r="Q149" s="1247"/>
      <c r="R149" s="1247"/>
      <c r="S149" s="1247"/>
      <c r="T149" s="1247"/>
      <c r="U149" s="1247"/>
      <c r="V149" s="1247"/>
      <c r="W149" s="1247"/>
      <c r="X149" s="1247"/>
      <c r="Y149" s="1247"/>
      <c r="Z149" s="1247"/>
      <c r="AA149" s="1247"/>
      <c r="AB149" s="1247"/>
      <c r="AC149" s="1247"/>
      <c r="AD149" s="1247"/>
      <c r="AE149" s="1247"/>
      <c r="AF149" s="1247"/>
      <c r="AG149" s="1247"/>
      <c r="AH149" s="1247"/>
      <c r="AI149" s="1247"/>
      <c r="AJ149" s="1247"/>
      <c r="AK149" s="1247"/>
      <c r="AL149" s="1247"/>
      <c r="AM149" s="1247"/>
      <c r="AN149" s="1247"/>
      <c r="AO149" s="1247"/>
      <c r="AP149" s="1247"/>
      <c r="AQ149" s="1247"/>
      <c r="AR149" s="1247"/>
      <c r="AS149" s="1247"/>
      <c r="AT149" s="1247"/>
      <c r="AU149" s="1247"/>
      <c r="AV149" s="1247"/>
      <c r="AW149" s="1247"/>
      <c r="AX149" s="1247"/>
      <c r="AY149" s="1247"/>
      <c r="AZ149" s="1247"/>
      <c r="BA149" s="1247"/>
      <c r="BB149" s="1247"/>
      <c r="BC149" s="1247"/>
    </row>
    <row r="150" spans="2:55" s="973" customFormat="1" ht="15" customHeight="1">
      <c r="B150" s="1247"/>
      <c r="C150" s="1247"/>
      <c r="D150" s="1247"/>
      <c r="E150" s="1247"/>
      <c r="F150" s="1247"/>
      <c r="G150" s="1247"/>
      <c r="H150" s="1247"/>
      <c r="I150" s="1247"/>
      <c r="J150" s="1247"/>
      <c r="K150" s="1247"/>
      <c r="L150" s="1247"/>
      <c r="M150" s="1247"/>
      <c r="N150" s="1247"/>
      <c r="O150" s="1247"/>
      <c r="P150" s="1247"/>
      <c r="Q150" s="1247"/>
      <c r="R150" s="1247"/>
      <c r="S150" s="1247"/>
      <c r="T150" s="1247"/>
      <c r="U150" s="1247"/>
      <c r="V150" s="1247"/>
      <c r="W150" s="1247"/>
      <c r="X150" s="1247"/>
      <c r="Y150" s="1247"/>
      <c r="Z150" s="1247"/>
      <c r="AA150" s="1247"/>
      <c r="AB150" s="1247"/>
      <c r="AC150" s="1247"/>
      <c r="AD150" s="1247"/>
      <c r="AE150" s="1247"/>
      <c r="AF150" s="1247"/>
      <c r="AG150" s="1247"/>
      <c r="AH150" s="1247"/>
      <c r="AI150" s="1247"/>
      <c r="AJ150" s="1247"/>
      <c r="AK150" s="1247"/>
      <c r="AL150" s="1247"/>
      <c r="AM150" s="1247"/>
      <c r="AN150" s="1247"/>
      <c r="AO150" s="1247"/>
      <c r="AP150" s="1247"/>
      <c r="AQ150" s="1247"/>
      <c r="AR150" s="1247"/>
      <c r="AS150" s="1247"/>
      <c r="AT150" s="1247"/>
      <c r="AU150" s="1247"/>
      <c r="AV150" s="1247"/>
      <c r="AW150" s="1247"/>
      <c r="AX150" s="1247"/>
      <c r="AY150" s="1247"/>
      <c r="AZ150" s="1247"/>
      <c r="BA150" s="1247"/>
      <c r="BB150" s="1247"/>
      <c r="BC150" s="1247"/>
    </row>
    <row r="151" spans="2:55" s="973" customFormat="1" ht="15" customHeight="1">
      <c r="B151" s="1247"/>
      <c r="C151" s="1247"/>
      <c r="D151" s="1247"/>
      <c r="E151" s="1247"/>
      <c r="F151" s="1247"/>
      <c r="G151" s="1247"/>
      <c r="H151" s="1247"/>
      <c r="I151" s="1247"/>
      <c r="J151" s="1247"/>
      <c r="K151" s="1247"/>
      <c r="L151" s="1247"/>
      <c r="M151" s="1247"/>
      <c r="N151" s="1247"/>
      <c r="O151" s="1247"/>
      <c r="P151" s="1247"/>
      <c r="Q151" s="1247"/>
      <c r="R151" s="1247"/>
      <c r="S151" s="1247"/>
      <c r="T151" s="1247"/>
      <c r="U151" s="1247"/>
      <c r="V151" s="1247"/>
      <c r="W151" s="1247"/>
      <c r="X151" s="1247"/>
      <c r="Y151" s="1247"/>
      <c r="Z151" s="1247"/>
      <c r="AA151" s="1247"/>
      <c r="AB151" s="1247"/>
      <c r="AC151" s="1247"/>
      <c r="AD151" s="1247"/>
      <c r="AE151" s="1247"/>
      <c r="AF151" s="1247"/>
      <c r="AG151" s="1247"/>
      <c r="AH151" s="1247"/>
      <c r="AI151" s="1247"/>
      <c r="AJ151" s="1247"/>
      <c r="AK151" s="1247"/>
      <c r="AL151" s="1247"/>
      <c r="AM151" s="1247"/>
      <c r="AN151" s="1247"/>
      <c r="AO151" s="1247"/>
      <c r="AP151" s="1247"/>
      <c r="AQ151" s="1247"/>
      <c r="AR151" s="1247"/>
      <c r="AS151" s="1247"/>
      <c r="AT151" s="1247"/>
      <c r="AU151" s="1247"/>
      <c r="AV151" s="1247"/>
      <c r="AW151" s="1247"/>
      <c r="AX151" s="1247"/>
      <c r="AY151" s="1247"/>
      <c r="AZ151" s="1247"/>
      <c r="BA151" s="1247"/>
      <c r="BB151" s="1247"/>
      <c r="BC151" s="1247"/>
    </row>
    <row r="152" spans="2:55" s="973" customFormat="1" ht="15" customHeight="1">
      <c r="B152" s="1247"/>
      <c r="C152" s="1247"/>
      <c r="D152" s="1247"/>
      <c r="E152" s="1247"/>
      <c r="F152" s="1247"/>
      <c r="G152" s="1247"/>
      <c r="H152" s="1247"/>
      <c r="I152" s="1247"/>
      <c r="J152" s="1247"/>
      <c r="K152" s="1247"/>
      <c r="L152" s="1247"/>
      <c r="M152" s="1247"/>
      <c r="N152" s="1247"/>
      <c r="O152" s="1247"/>
      <c r="P152" s="1247"/>
      <c r="Q152" s="1247"/>
      <c r="R152" s="1247"/>
      <c r="S152" s="1247"/>
      <c r="T152" s="1247"/>
      <c r="U152" s="1247"/>
      <c r="V152" s="1247"/>
      <c r="W152" s="1247"/>
      <c r="X152" s="1247"/>
      <c r="Y152" s="1247"/>
      <c r="Z152" s="1247"/>
      <c r="AA152" s="1247"/>
      <c r="AB152" s="1247"/>
      <c r="AC152" s="1247"/>
      <c r="AD152" s="1247"/>
      <c r="AE152" s="1247"/>
      <c r="AF152" s="1247"/>
      <c r="AG152" s="1247"/>
      <c r="AH152" s="1247"/>
      <c r="AI152" s="1247"/>
      <c r="AJ152" s="1247"/>
      <c r="AK152" s="1247"/>
      <c r="AL152" s="1247"/>
      <c r="AM152" s="1247"/>
      <c r="AN152" s="1247"/>
      <c r="AO152" s="1247"/>
      <c r="AP152" s="1247"/>
      <c r="AQ152" s="1247"/>
      <c r="AR152" s="1247"/>
      <c r="AS152" s="1247"/>
      <c r="AT152" s="1247"/>
      <c r="AU152" s="1247"/>
      <c r="AV152" s="1247"/>
      <c r="AW152" s="1247"/>
      <c r="AX152" s="1247"/>
      <c r="AY152" s="1247"/>
      <c r="AZ152" s="1247"/>
      <c r="BA152" s="1247"/>
      <c r="BB152" s="1247"/>
      <c r="BC152" s="1247"/>
    </row>
    <row r="153" spans="2:55" s="973" customFormat="1" ht="15" customHeight="1">
      <c r="B153" s="1247"/>
      <c r="C153" s="1247"/>
      <c r="D153" s="1247"/>
      <c r="E153" s="1247"/>
      <c r="F153" s="1247"/>
      <c r="G153" s="1247"/>
      <c r="H153" s="1247"/>
      <c r="I153" s="1247"/>
      <c r="J153" s="1247"/>
      <c r="K153" s="1247"/>
      <c r="L153" s="1247"/>
      <c r="M153" s="1247"/>
      <c r="N153" s="1247"/>
      <c r="O153" s="1247"/>
      <c r="P153" s="1247"/>
      <c r="Q153" s="1247"/>
      <c r="R153" s="1247"/>
      <c r="S153" s="1247"/>
      <c r="T153" s="1247"/>
      <c r="U153" s="1247"/>
      <c r="V153" s="1247"/>
      <c r="W153" s="1247"/>
      <c r="X153" s="1247"/>
      <c r="Y153" s="1247"/>
      <c r="Z153" s="1247"/>
      <c r="AA153" s="1247"/>
      <c r="AB153" s="1247"/>
      <c r="AC153" s="1247"/>
      <c r="AD153" s="1247"/>
      <c r="AE153" s="1247"/>
      <c r="AF153" s="1247"/>
      <c r="AG153" s="1247"/>
      <c r="AH153" s="1247"/>
      <c r="AI153" s="1247"/>
      <c r="AJ153" s="1247"/>
      <c r="AK153" s="1247"/>
      <c r="AL153" s="1247"/>
      <c r="AM153" s="1247"/>
      <c r="AN153" s="1247"/>
      <c r="AO153" s="1247"/>
      <c r="AP153" s="1247"/>
      <c r="AQ153" s="1247"/>
      <c r="AR153" s="1247"/>
      <c r="AS153" s="1247"/>
      <c r="AT153" s="1247"/>
      <c r="AU153" s="1247"/>
      <c r="AV153" s="1247"/>
      <c r="AW153" s="1247"/>
      <c r="AX153" s="1247"/>
      <c r="AY153" s="1247"/>
      <c r="AZ153" s="1247"/>
      <c r="BA153" s="1247"/>
      <c r="BB153" s="1247"/>
      <c r="BC153" s="1247"/>
    </row>
    <row r="154" spans="2:55" s="973" customFormat="1" ht="15" customHeight="1">
      <c r="B154" s="1247"/>
      <c r="C154" s="1247"/>
      <c r="D154" s="1247"/>
      <c r="E154" s="1247"/>
      <c r="F154" s="1247"/>
      <c r="G154" s="1247"/>
      <c r="H154" s="1247"/>
      <c r="I154" s="1247"/>
      <c r="J154" s="1247"/>
      <c r="K154" s="1247"/>
      <c r="L154" s="1247"/>
      <c r="M154" s="1247"/>
      <c r="N154" s="1247"/>
      <c r="O154" s="1247"/>
      <c r="P154" s="1247"/>
      <c r="Q154" s="1247"/>
      <c r="R154" s="1247"/>
      <c r="S154" s="1247"/>
      <c r="T154" s="1247"/>
      <c r="U154" s="1247"/>
      <c r="V154" s="1247"/>
      <c r="W154" s="1247"/>
      <c r="X154" s="1247"/>
      <c r="Y154" s="1247"/>
      <c r="Z154" s="1247"/>
      <c r="AA154" s="1247"/>
      <c r="AB154" s="1247"/>
      <c r="AC154" s="1247"/>
      <c r="AD154" s="1247"/>
      <c r="AE154" s="1247"/>
      <c r="AF154" s="1247"/>
      <c r="AG154" s="1247"/>
      <c r="AH154" s="1247"/>
      <c r="AI154" s="1247"/>
      <c r="AJ154" s="1247"/>
      <c r="AK154" s="1247"/>
      <c r="AL154" s="1247"/>
      <c r="AM154" s="1247"/>
      <c r="AN154" s="1247"/>
      <c r="AO154" s="1247"/>
      <c r="AP154" s="1247"/>
      <c r="AQ154" s="1247"/>
      <c r="AR154" s="1247"/>
      <c r="AS154" s="1247"/>
      <c r="AT154" s="1247"/>
      <c r="AU154" s="1247"/>
      <c r="AV154" s="1247"/>
      <c r="AW154" s="1247"/>
      <c r="AX154" s="1247"/>
      <c r="AY154" s="1247"/>
      <c r="AZ154" s="1247"/>
      <c r="BA154" s="1247"/>
      <c r="BB154" s="1247"/>
      <c r="BC154" s="1247"/>
    </row>
    <row r="155" spans="2:55" s="973" customFormat="1" ht="15" customHeight="1">
      <c r="B155" s="1247"/>
      <c r="C155" s="1247"/>
      <c r="D155" s="1247"/>
      <c r="E155" s="1247"/>
      <c r="F155" s="1247"/>
      <c r="G155" s="1247"/>
      <c r="H155" s="1247"/>
      <c r="I155" s="1247"/>
      <c r="J155" s="1247"/>
      <c r="K155" s="1247"/>
      <c r="L155" s="1247"/>
      <c r="M155" s="1247"/>
      <c r="N155" s="1247"/>
      <c r="O155" s="1247"/>
      <c r="P155" s="1247"/>
      <c r="Q155" s="1247"/>
      <c r="R155" s="1247"/>
      <c r="S155" s="1247"/>
      <c r="T155" s="1247"/>
      <c r="U155" s="1247"/>
      <c r="V155" s="1247"/>
      <c r="W155" s="1247"/>
      <c r="X155" s="1247"/>
      <c r="Y155" s="1247"/>
      <c r="Z155" s="1247"/>
      <c r="AA155" s="1247"/>
      <c r="AB155" s="1247"/>
      <c r="AC155" s="1247"/>
      <c r="AD155" s="1247"/>
      <c r="AE155" s="1247"/>
      <c r="AF155" s="1247"/>
      <c r="AG155" s="1247"/>
      <c r="AH155" s="1247"/>
      <c r="AI155" s="1247"/>
      <c r="AJ155" s="1247"/>
      <c r="AK155" s="1247"/>
      <c r="AL155" s="1247"/>
      <c r="AM155" s="1247"/>
      <c r="AN155" s="1247"/>
      <c r="AO155" s="1247"/>
      <c r="AP155" s="1247"/>
      <c r="AQ155" s="1247"/>
      <c r="AR155" s="1247"/>
      <c r="AS155" s="1247"/>
      <c r="AT155" s="1247"/>
      <c r="AU155" s="1247"/>
      <c r="AV155" s="1247"/>
      <c r="AW155" s="1247"/>
      <c r="AX155" s="1247"/>
      <c r="AY155" s="1247"/>
      <c r="AZ155" s="1247"/>
      <c r="BA155" s="1247"/>
      <c r="BB155" s="1247"/>
      <c r="BC155" s="1247"/>
    </row>
    <row r="156" spans="2:55" s="973" customFormat="1" ht="15" customHeight="1">
      <c r="B156" s="1247"/>
      <c r="C156" s="1247"/>
      <c r="D156" s="1247"/>
      <c r="E156" s="1247"/>
      <c r="F156" s="1247"/>
      <c r="G156" s="1247"/>
      <c r="H156" s="1247"/>
      <c r="I156" s="1247"/>
      <c r="J156" s="1247"/>
      <c r="K156" s="1247"/>
      <c r="L156" s="1247"/>
      <c r="M156" s="1247"/>
      <c r="N156" s="1247"/>
      <c r="O156" s="1247"/>
      <c r="P156" s="1247"/>
      <c r="Q156" s="1247"/>
      <c r="R156" s="1247"/>
      <c r="S156" s="1247"/>
      <c r="T156" s="1247"/>
      <c r="U156" s="1247"/>
      <c r="V156" s="1247"/>
      <c r="W156" s="1247"/>
      <c r="X156" s="1247"/>
      <c r="Y156" s="1247"/>
      <c r="Z156" s="1247"/>
      <c r="AA156" s="1247"/>
      <c r="AB156" s="1247"/>
      <c r="AC156" s="1247"/>
      <c r="AD156" s="1247"/>
      <c r="AE156" s="1247"/>
      <c r="AF156" s="1247"/>
      <c r="AG156" s="1247"/>
      <c r="AH156" s="1247"/>
      <c r="AI156" s="1247"/>
      <c r="AJ156" s="1247"/>
      <c r="AK156" s="1247"/>
      <c r="AL156" s="1247"/>
      <c r="AM156" s="1247"/>
      <c r="AN156" s="1247"/>
      <c r="AO156" s="1247"/>
      <c r="AP156" s="1247"/>
      <c r="AQ156" s="1247"/>
      <c r="AR156" s="1247"/>
      <c r="AS156" s="1247"/>
      <c r="AT156" s="1247"/>
      <c r="AU156" s="1247"/>
      <c r="AV156" s="1247"/>
      <c r="AW156" s="1247"/>
      <c r="AX156" s="1247"/>
      <c r="AY156" s="1247"/>
      <c r="AZ156" s="1247"/>
      <c r="BA156" s="1247"/>
      <c r="BB156" s="1247"/>
      <c r="BC156" s="1247"/>
    </row>
    <row r="157" spans="2:55" s="973" customFormat="1" ht="15" customHeight="1">
      <c r="B157" s="1247"/>
      <c r="C157" s="1247"/>
      <c r="D157" s="1247"/>
      <c r="E157" s="1247"/>
      <c r="F157" s="1247"/>
      <c r="G157" s="1247"/>
      <c r="H157" s="1247"/>
      <c r="I157" s="1247"/>
      <c r="J157" s="1247"/>
      <c r="K157" s="1247"/>
      <c r="L157" s="1247"/>
      <c r="M157" s="1247"/>
      <c r="N157" s="1247"/>
      <c r="O157" s="1247"/>
      <c r="P157" s="1247"/>
      <c r="Q157" s="1247"/>
      <c r="R157" s="1247"/>
      <c r="S157" s="1247"/>
      <c r="T157" s="1247"/>
      <c r="U157" s="1247"/>
      <c r="V157" s="1247"/>
      <c r="W157" s="1247"/>
      <c r="X157" s="1247"/>
      <c r="Y157" s="1247"/>
      <c r="Z157" s="1247"/>
      <c r="AA157" s="1247"/>
      <c r="AB157" s="1247"/>
      <c r="AC157" s="1247"/>
      <c r="AD157" s="1247"/>
      <c r="AE157" s="1247"/>
      <c r="AF157" s="1247"/>
      <c r="AG157" s="1247"/>
      <c r="AH157" s="1247"/>
      <c r="AI157" s="1247"/>
      <c r="AJ157" s="1247"/>
      <c r="AK157" s="1247"/>
      <c r="AL157" s="1247"/>
      <c r="AM157" s="1247"/>
      <c r="AN157" s="1247"/>
      <c r="AO157" s="1247"/>
      <c r="AP157" s="1247"/>
      <c r="AQ157" s="1247"/>
      <c r="AR157" s="1247"/>
      <c r="AS157" s="1247"/>
      <c r="AT157" s="1247"/>
      <c r="AU157" s="1247"/>
      <c r="AV157" s="1247"/>
      <c r="AW157" s="1247"/>
      <c r="AX157" s="1247"/>
      <c r="AY157" s="1247"/>
      <c r="AZ157" s="1247"/>
      <c r="BA157" s="1247"/>
      <c r="BB157" s="1247"/>
      <c r="BC157" s="1247"/>
    </row>
    <row r="158" spans="2:55" s="973" customFormat="1" ht="15" customHeight="1">
      <c r="B158" s="1247"/>
      <c r="C158" s="1247"/>
      <c r="D158" s="1247"/>
      <c r="E158" s="1247"/>
      <c r="F158" s="1247"/>
      <c r="G158" s="1247"/>
      <c r="H158" s="1247"/>
      <c r="I158" s="1247"/>
      <c r="J158" s="1247"/>
      <c r="K158" s="1247"/>
      <c r="L158" s="1247"/>
      <c r="M158" s="1247"/>
      <c r="N158" s="1247"/>
      <c r="O158" s="1247"/>
      <c r="P158" s="1247"/>
      <c r="Q158" s="1247"/>
      <c r="R158" s="1247"/>
      <c r="S158" s="1247"/>
      <c r="T158" s="1247"/>
      <c r="U158" s="1247"/>
      <c r="V158" s="1247"/>
      <c r="W158" s="1247"/>
      <c r="X158" s="1247"/>
      <c r="Y158" s="1247"/>
      <c r="Z158" s="1247"/>
      <c r="AA158" s="1247"/>
      <c r="AB158" s="1247"/>
      <c r="AC158" s="1247"/>
      <c r="AD158" s="1247"/>
      <c r="AE158" s="1247"/>
      <c r="AF158" s="1247"/>
      <c r="AG158" s="1247"/>
      <c r="AH158" s="1247"/>
      <c r="AI158" s="1247"/>
      <c r="AJ158" s="1247"/>
      <c r="AK158" s="1247"/>
      <c r="AL158" s="1247"/>
      <c r="AM158" s="1247"/>
      <c r="AN158" s="1247"/>
      <c r="AO158" s="1247"/>
      <c r="AP158" s="1247"/>
      <c r="AQ158" s="1247"/>
      <c r="AR158" s="1247"/>
      <c r="AS158" s="1247"/>
      <c r="AT158" s="1247"/>
      <c r="AU158" s="1247"/>
      <c r="AV158" s="1247"/>
      <c r="AW158" s="1247"/>
      <c r="AX158" s="1247"/>
      <c r="AY158" s="1247"/>
      <c r="AZ158" s="1247"/>
      <c r="BA158" s="1247"/>
      <c r="BB158" s="1247"/>
      <c r="BC158" s="1247"/>
    </row>
    <row r="159" spans="2:55" s="973" customFormat="1" ht="15" customHeight="1">
      <c r="B159" s="1247"/>
      <c r="C159" s="1247"/>
      <c r="D159" s="1247"/>
      <c r="E159" s="1247"/>
      <c r="F159" s="1247"/>
      <c r="G159" s="1247"/>
      <c r="H159" s="1247"/>
      <c r="I159" s="1247"/>
      <c r="J159" s="1247"/>
      <c r="K159" s="1247"/>
      <c r="L159" s="1247"/>
      <c r="M159" s="1247"/>
      <c r="N159" s="1247"/>
      <c r="O159" s="1247"/>
      <c r="P159" s="1247"/>
      <c r="Q159" s="1247"/>
      <c r="R159" s="1247"/>
      <c r="S159" s="1247"/>
      <c r="T159" s="1247"/>
      <c r="U159" s="1247"/>
      <c r="V159" s="1247"/>
      <c r="W159" s="1247"/>
      <c r="X159" s="1247"/>
      <c r="Y159" s="1247"/>
      <c r="Z159" s="1247"/>
      <c r="AA159" s="1247"/>
      <c r="AB159" s="1247"/>
      <c r="AC159" s="1247"/>
      <c r="AD159" s="1247"/>
      <c r="AE159" s="1247"/>
      <c r="AF159" s="1247"/>
      <c r="AG159" s="1247"/>
      <c r="AH159" s="1247"/>
      <c r="AI159" s="1247"/>
      <c r="AJ159" s="1247"/>
      <c r="AK159" s="1247"/>
      <c r="AL159" s="1247"/>
      <c r="AM159" s="1247"/>
      <c r="AN159" s="1247"/>
      <c r="AO159" s="1247"/>
      <c r="AP159" s="1247"/>
      <c r="AQ159" s="1247"/>
      <c r="AR159" s="1247"/>
      <c r="AS159" s="1247"/>
      <c r="AT159" s="1247"/>
      <c r="AU159" s="1247"/>
      <c r="AV159" s="1247"/>
      <c r="AW159" s="1247"/>
      <c r="AX159" s="1247"/>
      <c r="AY159" s="1247"/>
      <c r="AZ159" s="1247"/>
      <c r="BA159" s="1247"/>
      <c r="BB159" s="1247"/>
      <c r="BC159" s="1247"/>
    </row>
    <row r="160" spans="2:55" s="973" customFormat="1" ht="15" customHeight="1">
      <c r="B160" s="1247"/>
      <c r="C160" s="1247"/>
      <c r="D160" s="1247"/>
      <c r="E160" s="1247"/>
      <c r="F160" s="1247"/>
      <c r="G160" s="1247"/>
      <c r="H160" s="1247"/>
      <c r="I160" s="1247"/>
      <c r="J160" s="1247"/>
      <c r="K160" s="1247"/>
      <c r="L160" s="1247"/>
      <c r="M160" s="1247"/>
      <c r="N160" s="1247"/>
      <c r="O160" s="1247"/>
      <c r="P160" s="1247"/>
      <c r="Q160" s="1247"/>
      <c r="R160" s="1247"/>
      <c r="S160" s="1247"/>
      <c r="T160" s="1247"/>
      <c r="U160" s="1247"/>
      <c r="V160" s="1247"/>
      <c r="W160" s="1247"/>
      <c r="X160" s="1247"/>
      <c r="Y160" s="1247"/>
      <c r="Z160" s="1247"/>
      <c r="AA160" s="1247"/>
      <c r="AB160" s="1247"/>
      <c r="AC160" s="1247"/>
      <c r="AD160" s="1247"/>
      <c r="AE160" s="1247"/>
      <c r="AF160" s="1247"/>
      <c r="AG160" s="1247"/>
      <c r="AH160" s="1247"/>
      <c r="AI160" s="1247"/>
      <c r="AJ160" s="1247"/>
      <c r="AK160" s="1247"/>
      <c r="AL160" s="1247"/>
      <c r="AM160" s="1247"/>
      <c r="AN160" s="1247"/>
      <c r="AO160" s="1247"/>
      <c r="AP160" s="1247"/>
      <c r="AQ160" s="1247"/>
      <c r="AR160" s="1247"/>
      <c r="AS160" s="1247"/>
      <c r="AT160" s="1247"/>
      <c r="AU160" s="1247"/>
      <c r="AV160" s="1247"/>
      <c r="AW160" s="1247"/>
      <c r="AX160" s="1247"/>
      <c r="AY160" s="1247"/>
      <c r="AZ160" s="1247"/>
      <c r="BA160" s="1247"/>
      <c r="BB160" s="1247"/>
      <c r="BC160" s="1247"/>
    </row>
    <row r="161" spans="2:55" s="973" customFormat="1" ht="15" customHeight="1">
      <c r="B161" s="1247"/>
      <c r="C161" s="1247"/>
      <c r="D161" s="1247"/>
      <c r="E161" s="1247"/>
      <c r="F161" s="1247"/>
      <c r="G161" s="1247"/>
      <c r="H161" s="1247"/>
      <c r="I161" s="1247"/>
      <c r="J161" s="1247"/>
      <c r="K161" s="1247"/>
      <c r="L161" s="1247"/>
      <c r="M161" s="1247"/>
      <c r="N161" s="1247"/>
      <c r="O161" s="1247"/>
      <c r="P161" s="1247"/>
      <c r="Q161" s="1247"/>
      <c r="R161" s="1247"/>
      <c r="S161" s="1247"/>
      <c r="T161" s="1247"/>
      <c r="U161" s="1247"/>
      <c r="V161" s="1247"/>
      <c r="W161" s="1247"/>
      <c r="X161" s="1247"/>
      <c r="Y161" s="1247"/>
      <c r="Z161" s="1247"/>
      <c r="AA161" s="1247"/>
      <c r="AB161" s="1247"/>
      <c r="AC161" s="1247"/>
      <c r="AD161" s="1247"/>
      <c r="AE161" s="1247"/>
      <c r="AF161" s="1247"/>
      <c r="AG161" s="1247"/>
      <c r="AH161" s="1247"/>
      <c r="AI161" s="1247"/>
      <c r="AJ161" s="1247"/>
      <c r="AK161" s="1247"/>
      <c r="AL161" s="1247"/>
      <c r="AM161" s="1247"/>
      <c r="AN161" s="1247"/>
      <c r="AO161" s="1247"/>
      <c r="AP161" s="1247"/>
      <c r="AQ161" s="1247"/>
      <c r="AR161" s="1247"/>
      <c r="AS161" s="1247"/>
      <c r="AT161" s="1247"/>
      <c r="AU161" s="1247"/>
      <c r="AV161" s="1247"/>
      <c r="AW161" s="1247"/>
      <c r="AX161" s="1247"/>
      <c r="AY161" s="1247"/>
      <c r="AZ161" s="1247"/>
      <c r="BA161" s="1247"/>
      <c r="BB161" s="1247"/>
      <c r="BC161" s="1247"/>
    </row>
    <row r="162" spans="2:55" s="973" customFormat="1" ht="15" customHeight="1">
      <c r="B162" s="1247"/>
      <c r="C162" s="1247"/>
      <c r="D162" s="1247"/>
      <c r="E162" s="1247"/>
      <c r="F162" s="1247"/>
      <c r="G162" s="1247"/>
      <c r="H162" s="1247"/>
      <c r="I162" s="1247"/>
      <c r="J162" s="1247"/>
      <c r="K162" s="1247"/>
      <c r="L162" s="1247"/>
      <c r="M162" s="1247"/>
      <c r="N162" s="1247"/>
      <c r="O162" s="1247"/>
      <c r="P162" s="1247"/>
      <c r="Q162" s="1247"/>
      <c r="R162" s="1247"/>
      <c r="S162" s="1247"/>
      <c r="T162" s="1247"/>
      <c r="U162" s="1247"/>
      <c r="V162" s="1247"/>
      <c r="W162" s="1247"/>
      <c r="X162" s="1247"/>
      <c r="Y162" s="1247"/>
      <c r="Z162" s="1247"/>
      <c r="AA162" s="1247"/>
      <c r="AB162" s="1247"/>
      <c r="AC162" s="1247"/>
      <c r="AD162" s="1247"/>
      <c r="AE162" s="1247"/>
      <c r="AF162" s="1247"/>
      <c r="AG162" s="1247"/>
      <c r="AH162" s="1247"/>
      <c r="AI162" s="1247"/>
      <c r="AJ162" s="1247"/>
      <c r="AK162" s="1247"/>
      <c r="AL162" s="1247"/>
      <c r="AM162" s="1247"/>
      <c r="AN162" s="1247"/>
      <c r="AO162" s="1247"/>
      <c r="AP162" s="1247"/>
      <c r="AQ162" s="1247"/>
      <c r="AR162" s="1247"/>
      <c r="AS162" s="1247"/>
      <c r="AT162" s="1247"/>
      <c r="AU162" s="1247"/>
      <c r="AV162" s="1247"/>
      <c r="AW162" s="1247"/>
      <c r="AX162" s="1247"/>
      <c r="AY162" s="1247"/>
      <c r="AZ162" s="1247"/>
      <c r="BA162" s="1247"/>
      <c r="BB162" s="1247"/>
      <c r="BC162" s="1247"/>
    </row>
    <row r="163" spans="2:55" s="973" customFormat="1" ht="15" customHeight="1">
      <c r="B163" s="1247"/>
      <c r="C163" s="1247"/>
      <c r="D163" s="1247"/>
      <c r="E163" s="1247"/>
      <c r="F163" s="1247"/>
      <c r="G163" s="1247"/>
      <c r="H163" s="1247"/>
      <c r="I163" s="1247"/>
      <c r="J163" s="1247"/>
      <c r="K163" s="1247"/>
      <c r="L163" s="1247"/>
      <c r="M163" s="1247"/>
      <c r="N163" s="1247"/>
      <c r="O163" s="1247"/>
      <c r="P163" s="1247"/>
      <c r="Q163" s="1247"/>
      <c r="R163" s="1247"/>
      <c r="S163" s="1247"/>
      <c r="T163" s="1247"/>
      <c r="U163" s="1247"/>
      <c r="V163" s="1247"/>
      <c r="W163" s="1247"/>
      <c r="X163" s="1247"/>
      <c r="Y163" s="1247"/>
      <c r="Z163" s="1247"/>
      <c r="AA163" s="1247"/>
      <c r="AB163" s="1247"/>
      <c r="AC163" s="1247"/>
      <c r="AD163" s="1247"/>
      <c r="AE163" s="1247"/>
      <c r="AF163" s="1247"/>
      <c r="AG163" s="1247"/>
      <c r="AH163" s="1247"/>
      <c r="AI163" s="1247"/>
      <c r="AJ163" s="1247"/>
      <c r="AK163" s="1247"/>
      <c r="AL163" s="1247"/>
      <c r="AM163" s="1247"/>
      <c r="AN163" s="1247"/>
      <c r="AO163" s="1247"/>
      <c r="AP163" s="1247"/>
      <c r="AQ163" s="1247"/>
      <c r="AR163" s="1247"/>
      <c r="AS163" s="1247"/>
      <c r="AT163" s="1247"/>
      <c r="AU163" s="1247"/>
      <c r="AV163" s="1247"/>
      <c r="AW163" s="1247"/>
      <c r="AX163" s="1247"/>
      <c r="AY163" s="1247"/>
      <c r="AZ163" s="1247"/>
      <c r="BA163" s="1247"/>
      <c r="BB163" s="1247"/>
      <c r="BC163" s="1247"/>
    </row>
    <row r="164" spans="2:55" s="973" customFormat="1" ht="15" customHeight="1">
      <c r="B164" s="1247"/>
      <c r="C164" s="1247"/>
      <c r="D164" s="1247"/>
      <c r="E164" s="1247"/>
      <c r="F164" s="1247"/>
      <c r="G164" s="1247"/>
      <c r="H164" s="1247"/>
      <c r="I164" s="1247"/>
      <c r="J164" s="1247"/>
      <c r="K164" s="1247"/>
      <c r="L164" s="1247"/>
      <c r="M164" s="1247"/>
      <c r="N164" s="1247"/>
      <c r="O164" s="1247"/>
      <c r="P164" s="1247"/>
      <c r="Q164" s="1247"/>
      <c r="R164" s="1247"/>
      <c r="S164" s="1247"/>
      <c r="T164" s="1247"/>
      <c r="U164" s="1247"/>
      <c r="V164" s="1247"/>
      <c r="W164" s="1247"/>
      <c r="X164" s="1247"/>
      <c r="Y164" s="1247"/>
      <c r="Z164" s="1247"/>
      <c r="AA164" s="1247"/>
      <c r="AB164" s="1247"/>
      <c r="AC164" s="1247"/>
      <c r="AD164" s="1247"/>
      <c r="AE164" s="1247"/>
      <c r="AF164" s="1247"/>
      <c r="AG164" s="1247"/>
      <c r="AH164" s="1247"/>
      <c r="AI164" s="1247"/>
      <c r="AJ164" s="1247"/>
      <c r="AK164" s="1247"/>
      <c r="AL164" s="1247"/>
      <c r="AM164" s="1247"/>
      <c r="AN164" s="1247"/>
      <c r="AO164" s="1247"/>
      <c r="AP164" s="1247"/>
      <c r="AQ164" s="1247"/>
      <c r="AR164" s="1247"/>
      <c r="AS164" s="1247"/>
      <c r="AT164" s="1247"/>
      <c r="AU164" s="1247"/>
      <c r="AV164" s="1247"/>
      <c r="AW164" s="1247"/>
      <c r="AX164" s="1247"/>
      <c r="AY164" s="1247"/>
      <c r="AZ164" s="1247"/>
      <c r="BA164" s="1247"/>
      <c r="BB164" s="1247"/>
      <c r="BC164" s="1247"/>
    </row>
    <row r="165" spans="2:55" s="973" customFormat="1" ht="15" customHeight="1">
      <c r="B165" s="1247"/>
      <c r="C165" s="1247"/>
      <c r="D165" s="1247"/>
      <c r="E165" s="1247"/>
      <c r="F165" s="1247"/>
      <c r="G165" s="1247"/>
      <c r="H165" s="1247"/>
      <c r="I165" s="1247"/>
      <c r="J165" s="1247"/>
      <c r="K165" s="1247"/>
      <c r="L165" s="1247"/>
      <c r="M165" s="1247"/>
      <c r="N165" s="1247"/>
      <c r="O165" s="1247"/>
      <c r="P165" s="1247"/>
      <c r="Q165" s="1247"/>
      <c r="R165" s="1247"/>
      <c r="S165" s="1247"/>
      <c r="T165" s="1247"/>
      <c r="U165" s="1247"/>
      <c r="V165" s="1247"/>
      <c r="W165" s="1247"/>
      <c r="X165" s="1247"/>
      <c r="Y165" s="1247"/>
      <c r="Z165" s="1247"/>
      <c r="AA165" s="1247"/>
      <c r="AB165" s="1247"/>
      <c r="AC165" s="1247"/>
      <c r="AD165" s="1247"/>
      <c r="AE165" s="1247"/>
      <c r="AF165" s="1247"/>
      <c r="AG165" s="1247"/>
      <c r="AH165" s="1247"/>
      <c r="AI165" s="1247"/>
      <c r="AJ165" s="1247"/>
      <c r="AK165" s="1247"/>
      <c r="AL165" s="1247"/>
      <c r="AM165" s="1247"/>
      <c r="AN165" s="1247"/>
      <c r="AO165" s="1247"/>
      <c r="AP165" s="1247"/>
      <c r="AQ165" s="1247"/>
      <c r="AR165" s="1247"/>
      <c r="AS165" s="1247"/>
      <c r="AT165" s="1247"/>
      <c r="AU165" s="1247"/>
      <c r="AV165" s="1247"/>
      <c r="AW165" s="1247"/>
      <c r="AX165" s="1247"/>
      <c r="AY165" s="1247"/>
      <c r="AZ165" s="1247"/>
      <c r="BA165" s="1247"/>
      <c r="BB165" s="1247"/>
      <c r="BC165" s="1247"/>
    </row>
    <row r="166" spans="2:55" s="973" customFormat="1" ht="15" customHeight="1">
      <c r="B166" s="1247"/>
      <c r="C166" s="1247"/>
      <c r="D166" s="1247"/>
      <c r="E166" s="1247"/>
      <c r="F166" s="1247"/>
      <c r="G166" s="1247"/>
      <c r="H166" s="1247"/>
      <c r="I166" s="1247"/>
      <c r="J166" s="1247"/>
      <c r="K166" s="1247"/>
      <c r="L166" s="1247"/>
      <c r="M166" s="1247"/>
      <c r="N166" s="1247"/>
      <c r="O166" s="1247"/>
      <c r="P166" s="1247"/>
      <c r="Q166" s="1247"/>
      <c r="R166" s="1247"/>
      <c r="S166" s="1247"/>
      <c r="T166" s="1247"/>
      <c r="U166" s="1247"/>
      <c r="V166" s="1247"/>
      <c r="W166" s="1247"/>
      <c r="X166" s="1247"/>
      <c r="Y166" s="1247"/>
      <c r="Z166" s="1247"/>
      <c r="AA166" s="1247"/>
      <c r="AB166" s="1247"/>
      <c r="AC166" s="1247"/>
      <c r="AD166" s="1247"/>
      <c r="AE166" s="1247"/>
      <c r="AF166" s="1247"/>
      <c r="AG166" s="1247"/>
      <c r="AH166" s="1247"/>
      <c r="AI166" s="1247"/>
      <c r="AJ166" s="1247"/>
      <c r="AK166" s="1247"/>
      <c r="AL166" s="1247"/>
      <c r="AM166" s="1247"/>
      <c r="AN166" s="1247"/>
      <c r="AO166" s="1247"/>
      <c r="AP166" s="1247"/>
      <c r="AQ166" s="1247"/>
      <c r="AR166" s="1247"/>
      <c r="AS166" s="1247"/>
      <c r="AT166" s="1247"/>
      <c r="AU166" s="1247"/>
      <c r="AV166" s="1247"/>
      <c r="AW166" s="1247"/>
      <c r="AX166" s="1247"/>
      <c r="AY166" s="1247"/>
      <c r="AZ166" s="1247"/>
      <c r="BA166" s="1247"/>
      <c r="BB166" s="1247"/>
      <c r="BC166" s="1247"/>
    </row>
    <row r="167" spans="2:55" s="973" customFormat="1" ht="15" customHeight="1">
      <c r="B167" s="1247"/>
      <c r="C167" s="1247"/>
      <c r="D167" s="1247"/>
      <c r="E167" s="1247"/>
      <c r="F167" s="1247"/>
      <c r="G167" s="1247"/>
      <c r="H167" s="1247"/>
      <c r="I167" s="1247"/>
      <c r="J167" s="1247"/>
      <c r="K167" s="1247"/>
      <c r="L167" s="1247"/>
      <c r="M167" s="1247"/>
      <c r="N167" s="1247"/>
      <c r="O167" s="1247"/>
      <c r="P167" s="1247"/>
      <c r="Q167" s="1247"/>
      <c r="R167" s="1247"/>
      <c r="S167" s="1247"/>
      <c r="T167" s="1247"/>
      <c r="U167" s="1247"/>
      <c r="V167" s="1247"/>
      <c r="W167" s="1247"/>
      <c r="X167" s="1247"/>
      <c r="Y167" s="1247"/>
      <c r="Z167" s="1247"/>
      <c r="AA167" s="1247"/>
      <c r="AB167" s="1247"/>
      <c r="AC167" s="1247"/>
      <c r="AD167" s="1247"/>
      <c r="AE167" s="1247"/>
      <c r="AF167" s="1247"/>
      <c r="AG167" s="1247"/>
      <c r="AH167" s="1247"/>
      <c r="AI167" s="1247"/>
      <c r="AJ167" s="1247"/>
      <c r="AK167" s="1247"/>
      <c r="AL167" s="1247"/>
      <c r="AM167" s="1247"/>
      <c r="AN167" s="1247"/>
      <c r="AO167" s="1247"/>
      <c r="AP167" s="1247"/>
      <c r="AQ167" s="1247"/>
      <c r="AR167" s="1247"/>
      <c r="AS167" s="1247"/>
      <c r="AT167" s="1247"/>
      <c r="AU167" s="1247"/>
      <c r="AV167" s="1247"/>
      <c r="AW167" s="1247"/>
      <c r="AX167" s="1247"/>
      <c r="AY167" s="1247"/>
      <c r="AZ167" s="1247"/>
      <c r="BA167" s="1247"/>
      <c r="BB167" s="1247"/>
      <c r="BC167" s="1247"/>
    </row>
    <row r="168" spans="2:55" s="973" customFormat="1" ht="15" customHeight="1">
      <c r="B168" s="1247"/>
      <c r="C168" s="1247"/>
      <c r="D168" s="1247"/>
      <c r="E168" s="1247"/>
      <c r="F168" s="1247"/>
      <c r="G168" s="1247"/>
      <c r="H168" s="1247"/>
      <c r="I168" s="1247"/>
      <c r="J168" s="1247"/>
      <c r="K168" s="1247"/>
      <c r="L168" s="1247"/>
      <c r="M168" s="1247"/>
      <c r="N168" s="1247"/>
      <c r="O168" s="1247"/>
      <c r="P168" s="1247"/>
      <c r="Q168" s="1247"/>
      <c r="R168" s="1247"/>
      <c r="S168" s="1247"/>
      <c r="T168" s="1247"/>
      <c r="U168" s="1247"/>
      <c r="V168" s="1247"/>
      <c r="W168" s="1247"/>
      <c r="X168" s="1247"/>
      <c r="Y168" s="1247"/>
      <c r="Z168" s="1247"/>
      <c r="AA168" s="1247"/>
      <c r="AB168" s="1247"/>
      <c r="AC168" s="1247"/>
      <c r="AD168" s="1247"/>
      <c r="AE168" s="1247"/>
      <c r="AF168" s="1247"/>
      <c r="AG168" s="1247"/>
      <c r="AH168" s="1247"/>
      <c r="AI168" s="1247"/>
      <c r="AJ168" s="1247"/>
      <c r="AK168" s="1247"/>
      <c r="AL168" s="1247"/>
      <c r="AM168" s="1247"/>
      <c r="AN168" s="1247"/>
      <c r="AO168" s="1247"/>
      <c r="AP168" s="1247"/>
      <c r="AQ168" s="1247"/>
      <c r="AR168" s="1247"/>
      <c r="AS168" s="1247"/>
      <c r="AT168" s="1247"/>
      <c r="AU168" s="1247"/>
      <c r="AV168" s="1247"/>
      <c r="AW168" s="1247"/>
      <c r="AX168" s="1247"/>
      <c r="AY168" s="1247"/>
      <c r="AZ168" s="1247"/>
      <c r="BA168" s="1247"/>
      <c r="BB168" s="1247"/>
      <c r="BC168" s="1247"/>
    </row>
    <row r="169" spans="2:55" s="973" customFormat="1" ht="15" customHeight="1">
      <c r="B169" s="1247"/>
      <c r="C169" s="1247"/>
      <c r="D169" s="1247"/>
      <c r="E169" s="1247"/>
      <c r="F169" s="1247"/>
      <c r="G169" s="1247"/>
      <c r="H169" s="1247"/>
      <c r="I169" s="1247"/>
      <c r="J169" s="1247"/>
      <c r="K169" s="1247"/>
      <c r="L169" s="1247"/>
      <c r="M169" s="1247"/>
      <c r="N169" s="1247"/>
      <c r="O169" s="1247"/>
      <c r="P169" s="1247"/>
      <c r="Q169" s="1247"/>
      <c r="R169" s="1247"/>
      <c r="S169" s="1247"/>
      <c r="T169" s="1247"/>
      <c r="U169" s="1247"/>
      <c r="V169" s="1247"/>
      <c r="W169" s="1247"/>
      <c r="X169" s="1247"/>
      <c r="Y169" s="1247"/>
      <c r="Z169" s="1247"/>
      <c r="AA169" s="1247"/>
      <c r="AB169" s="1247"/>
      <c r="AC169" s="1247"/>
      <c r="AD169" s="1247"/>
      <c r="AE169" s="1247"/>
      <c r="AF169" s="1247"/>
      <c r="AG169" s="1247"/>
      <c r="AH169" s="1247"/>
      <c r="AI169" s="1247"/>
      <c r="AJ169" s="1247"/>
      <c r="AK169" s="1247"/>
      <c r="AL169" s="1247"/>
      <c r="AM169" s="1247"/>
      <c r="AN169" s="1247"/>
      <c r="AO169" s="1247"/>
      <c r="AP169" s="1247"/>
      <c r="AQ169" s="1247"/>
      <c r="AR169" s="1247"/>
      <c r="AS169" s="1247"/>
      <c r="AT169" s="1247"/>
      <c r="AU169" s="1247"/>
      <c r="AV169" s="1247"/>
      <c r="AW169" s="1247"/>
      <c r="AX169" s="1247"/>
      <c r="AY169" s="1247"/>
      <c r="AZ169" s="1247"/>
      <c r="BA169" s="1247"/>
      <c r="BB169" s="1247"/>
      <c r="BC169" s="1247"/>
    </row>
    <row r="170" spans="2:55" s="973" customFormat="1" ht="15" customHeight="1">
      <c r="B170" s="1247"/>
      <c r="C170" s="1247"/>
      <c r="D170" s="1247"/>
      <c r="E170" s="1247"/>
      <c r="F170" s="1247"/>
      <c r="G170" s="1247"/>
      <c r="H170" s="1247"/>
      <c r="I170" s="1247"/>
      <c r="J170" s="1247"/>
      <c r="K170" s="1247"/>
      <c r="L170" s="1247"/>
      <c r="M170" s="1247"/>
      <c r="N170" s="1247"/>
      <c r="O170" s="1247"/>
      <c r="P170" s="1247"/>
      <c r="Q170" s="1247"/>
      <c r="R170" s="1247"/>
      <c r="S170" s="1247"/>
      <c r="T170" s="1247"/>
      <c r="U170" s="1247"/>
      <c r="V170" s="1247"/>
      <c r="W170" s="1247"/>
      <c r="X170" s="1247"/>
      <c r="Y170" s="1247"/>
      <c r="Z170" s="1247"/>
      <c r="AA170" s="1247"/>
      <c r="AB170" s="1247"/>
      <c r="AC170" s="1247"/>
      <c r="AD170" s="1247"/>
      <c r="AE170" s="1247"/>
      <c r="AF170" s="1247"/>
      <c r="AG170" s="1247"/>
      <c r="AH170" s="1247"/>
      <c r="AI170" s="1247"/>
      <c r="AJ170" s="1247"/>
      <c r="AK170" s="1247"/>
      <c r="AL170" s="1247"/>
      <c r="AM170" s="1247"/>
      <c r="AN170" s="1247"/>
      <c r="AO170" s="1247"/>
      <c r="AP170" s="1247"/>
      <c r="AQ170" s="1247"/>
      <c r="AR170" s="1247"/>
      <c r="AS170" s="1247"/>
      <c r="AT170" s="1247"/>
      <c r="AU170" s="1247"/>
      <c r="AV170" s="1247"/>
      <c r="AW170" s="1247"/>
      <c r="AX170" s="1247"/>
      <c r="AY170" s="1247"/>
      <c r="AZ170" s="1247"/>
      <c r="BA170" s="1247"/>
      <c r="BB170" s="1247"/>
      <c r="BC170" s="1247"/>
    </row>
    <row r="171" spans="2:55" s="973" customFormat="1" ht="15" customHeight="1">
      <c r="B171" s="1247"/>
      <c r="C171" s="1247"/>
      <c r="D171" s="1247"/>
      <c r="E171" s="1247"/>
      <c r="F171" s="1247"/>
      <c r="G171" s="1247"/>
      <c r="H171" s="1247"/>
      <c r="I171" s="1247"/>
      <c r="J171" s="1247"/>
      <c r="K171" s="1247"/>
      <c r="L171" s="1247"/>
      <c r="M171" s="1247"/>
      <c r="N171" s="1247"/>
      <c r="O171" s="1247"/>
      <c r="P171" s="1247"/>
      <c r="Q171" s="1247"/>
      <c r="R171" s="1247"/>
      <c r="S171" s="1247"/>
      <c r="T171" s="1247"/>
      <c r="U171" s="1247"/>
      <c r="V171" s="1247"/>
      <c r="W171" s="1247"/>
      <c r="X171" s="1247"/>
      <c r="Y171" s="1247"/>
      <c r="Z171" s="1247"/>
      <c r="AA171" s="1247"/>
      <c r="AB171" s="1247"/>
      <c r="AC171" s="1247"/>
      <c r="AD171" s="1247"/>
      <c r="AE171" s="1247"/>
      <c r="AF171" s="1247"/>
      <c r="AG171" s="1247"/>
      <c r="AH171" s="1247"/>
      <c r="AI171" s="1247"/>
      <c r="AJ171" s="1247"/>
      <c r="AK171" s="1247"/>
      <c r="AL171" s="1247"/>
      <c r="AM171" s="1247"/>
      <c r="AN171" s="1247"/>
      <c r="AO171" s="1247"/>
      <c r="AP171" s="1247"/>
      <c r="AQ171" s="1247"/>
      <c r="AR171" s="1247"/>
      <c r="AS171" s="1247"/>
      <c r="AT171" s="1247"/>
      <c r="AU171" s="1247"/>
      <c r="AV171" s="1247"/>
      <c r="AW171" s="1247"/>
      <c r="AX171" s="1247"/>
      <c r="AY171" s="1247"/>
      <c r="AZ171" s="1247"/>
      <c r="BA171" s="1247"/>
      <c r="BB171" s="1247"/>
      <c r="BC171" s="1247"/>
    </row>
    <row r="172" spans="2:55" s="973" customFormat="1" ht="15" customHeight="1">
      <c r="B172" s="1247"/>
      <c r="C172" s="1247"/>
      <c r="D172" s="1247"/>
      <c r="E172" s="1247"/>
      <c r="F172" s="1247"/>
      <c r="G172" s="1247"/>
      <c r="H172" s="1247"/>
      <c r="I172" s="1247"/>
      <c r="J172" s="1247"/>
      <c r="K172" s="1247"/>
      <c r="L172" s="1247"/>
      <c r="M172" s="1247"/>
      <c r="N172" s="1247"/>
      <c r="O172" s="1247"/>
      <c r="P172" s="1247"/>
      <c r="Q172" s="1247"/>
      <c r="R172" s="1247"/>
      <c r="S172" s="1247"/>
      <c r="T172" s="1247"/>
      <c r="U172" s="1247"/>
      <c r="V172" s="1247"/>
      <c r="W172" s="1247"/>
      <c r="X172" s="1247"/>
      <c r="Y172" s="1247"/>
      <c r="Z172" s="1247"/>
      <c r="AA172" s="1247"/>
      <c r="AB172" s="1247"/>
      <c r="AC172" s="1247"/>
      <c r="AD172" s="1247"/>
      <c r="AE172" s="1247"/>
      <c r="AF172" s="1247"/>
      <c r="AG172" s="1247"/>
      <c r="AH172" s="1247"/>
      <c r="AI172" s="1247"/>
      <c r="AJ172" s="1247"/>
      <c r="AK172" s="1247"/>
      <c r="AL172" s="1247"/>
      <c r="AM172" s="1247"/>
      <c r="AN172" s="1247"/>
      <c r="AO172" s="1247"/>
      <c r="AP172" s="1247"/>
      <c r="AQ172" s="1247"/>
      <c r="AR172" s="1247"/>
      <c r="AS172" s="1247"/>
      <c r="AT172" s="1247"/>
      <c r="AU172" s="1247"/>
      <c r="AV172" s="1247"/>
      <c r="AW172" s="1247"/>
      <c r="AX172" s="1247"/>
      <c r="AY172" s="1247"/>
      <c r="AZ172" s="1247"/>
      <c r="BA172" s="1247"/>
      <c r="BB172" s="1247"/>
      <c r="BC172" s="1247"/>
    </row>
    <row r="173" spans="2:55" s="973" customFormat="1" ht="15" customHeight="1">
      <c r="B173" s="1247"/>
      <c r="C173" s="1247"/>
      <c r="D173" s="1247"/>
      <c r="E173" s="1247"/>
      <c r="F173" s="1247"/>
      <c r="G173" s="1247"/>
      <c r="H173" s="1247"/>
      <c r="I173" s="1247"/>
      <c r="J173" s="1247"/>
      <c r="K173" s="1247"/>
      <c r="L173" s="1247"/>
      <c r="M173" s="1247"/>
      <c r="N173" s="1247"/>
      <c r="O173" s="1247"/>
      <c r="P173" s="1247"/>
      <c r="Q173" s="1247"/>
      <c r="R173" s="1247"/>
      <c r="S173" s="1247"/>
      <c r="T173" s="1247"/>
      <c r="U173" s="1247"/>
      <c r="V173" s="1247"/>
      <c r="W173" s="1247"/>
      <c r="X173" s="1247"/>
      <c r="Y173" s="1247"/>
      <c r="Z173" s="1247"/>
      <c r="AA173" s="1247"/>
      <c r="AB173" s="1247"/>
      <c r="AC173" s="1247"/>
      <c r="AD173" s="1247"/>
      <c r="AE173" s="1247"/>
      <c r="AF173" s="1247"/>
      <c r="AG173" s="1247"/>
      <c r="AH173" s="1247"/>
      <c r="AI173" s="1247"/>
      <c r="AJ173" s="1247"/>
      <c r="AK173" s="1247"/>
      <c r="AL173" s="1247"/>
      <c r="AM173" s="1247"/>
      <c r="AN173" s="1247"/>
      <c r="AO173" s="1247"/>
      <c r="AP173" s="1247"/>
      <c r="AQ173" s="1247"/>
      <c r="AR173" s="1247"/>
      <c r="AS173" s="1247"/>
      <c r="AT173" s="1247"/>
      <c r="AU173" s="1247"/>
      <c r="AV173" s="1247"/>
      <c r="AW173" s="1247"/>
      <c r="AX173" s="1247"/>
      <c r="AY173" s="1247"/>
      <c r="AZ173" s="1247"/>
      <c r="BA173" s="1247"/>
      <c r="BB173" s="1247"/>
      <c r="BC173" s="1247"/>
    </row>
    <row r="174" spans="2:55" s="973" customFormat="1" ht="15" customHeight="1">
      <c r="B174" s="1247"/>
      <c r="C174" s="1247"/>
      <c r="D174" s="1247"/>
      <c r="E174" s="1247"/>
      <c r="F174" s="1247"/>
      <c r="G174" s="1247"/>
      <c r="H174" s="1247"/>
      <c r="I174" s="1247"/>
      <c r="J174" s="1247"/>
      <c r="K174" s="1247"/>
      <c r="L174" s="1247"/>
      <c r="M174" s="1247"/>
      <c r="N174" s="1247"/>
      <c r="O174" s="1247"/>
      <c r="P174" s="1247"/>
      <c r="Q174" s="1247"/>
      <c r="R174" s="1247"/>
      <c r="S174" s="1247"/>
      <c r="T174" s="1247"/>
      <c r="U174" s="1247"/>
      <c r="V174" s="1247"/>
      <c r="W174" s="1247"/>
      <c r="X174" s="1247"/>
      <c r="Y174" s="1247"/>
      <c r="Z174" s="1247"/>
      <c r="AA174" s="1247"/>
      <c r="AB174" s="1247"/>
      <c r="AC174" s="1247"/>
      <c r="AD174" s="1247"/>
      <c r="AE174" s="1247"/>
      <c r="AF174" s="1247"/>
      <c r="AG174" s="1247"/>
      <c r="AH174" s="1247"/>
      <c r="AI174" s="1247"/>
      <c r="AJ174" s="1247"/>
      <c r="AK174" s="1247"/>
      <c r="AL174" s="1247"/>
      <c r="AM174" s="1247"/>
      <c r="AN174" s="1247"/>
      <c r="AO174" s="1247"/>
      <c r="AP174" s="1247"/>
      <c r="AQ174" s="1247"/>
      <c r="AR174" s="1247"/>
      <c r="AS174" s="1247"/>
      <c r="AT174" s="1247"/>
      <c r="AU174" s="1247"/>
      <c r="AV174" s="1247"/>
      <c r="AW174" s="1247"/>
      <c r="AX174" s="1247"/>
      <c r="AY174" s="1247"/>
      <c r="AZ174" s="1247"/>
      <c r="BA174" s="1247"/>
      <c r="BB174" s="1247"/>
      <c r="BC174" s="1247"/>
    </row>
    <row r="175" spans="2:55" s="973" customFormat="1" ht="15" customHeight="1">
      <c r="B175" s="1247"/>
      <c r="C175" s="1247"/>
      <c r="D175" s="1247"/>
      <c r="E175" s="1247"/>
      <c r="F175" s="1247"/>
      <c r="G175" s="1247"/>
      <c r="H175" s="1247"/>
      <c r="I175" s="1247"/>
      <c r="J175" s="1247"/>
      <c r="K175" s="1247"/>
      <c r="L175" s="1247"/>
      <c r="M175" s="1247"/>
      <c r="N175" s="1247"/>
      <c r="O175" s="1247"/>
      <c r="P175" s="1247"/>
      <c r="Q175" s="1247"/>
      <c r="R175" s="1247"/>
      <c r="S175" s="1247"/>
      <c r="T175" s="1247"/>
      <c r="U175" s="1247"/>
      <c r="V175" s="1247"/>
      <c r="W175" s="1247"/>
      <c r="X175" s="1247"/>
      <c r="Y175" s="1247"/>
      <c r="Z175" s="1247"/>
      <c r="AA175" s="1247"/>
      <c r="AB175" s="1247"/>
      <c r="AC175" s="1247"/>
      <c r="AD175" s="1247"/>
      <c r="AE175" s="1247"/>
      <c r="AF175" s="1247"/>
      <c r="AG175" s="1247"/>
      <c r="AH175" s="1247"/>
      <c r="AI175" s="1247"/>
      <c r="AJ175" s="1247"/>
      <c r="AK175" s="1247"/>
      <c r="AL175" s="1247"/>
      <c r="AM175" s="1247"/>
      <c r="AN175" s="1247"/>
      <c r="AO175" s="1247"/>
      <c r="AP175" s="1247"/>
      <c r="AQ175" s="1247"/>
      <c r="AR175" s="1247"/>
      <c r="AS175" s="1247"/>
      <c r="AT175" s="1247"/>
      <c r="AU175" s="1247"/>
      <c r="AV175" s="1247"/>
      <c r="AW175" s="1247"/>
      <c r="AX175" s="1247"/>
      <c r="AY175" s="1247"/>
      <c r="AZ175" s="1247"/>
      <c r="BA175" s="1247"/>
      <c r="BB175" s="1247"/>
      <c r="BC175" s="1247"/>
    </row>
    <row r="176" spans="2:55" s="973" customFormat="1" ht="15" customHeight="1">
      <c r="B176" s="1247"/>
      <c r="C176" s="1247"/>
      <c r="D176" s="1247"/>
      <c r="E176" s="1247"/>
      <c r="F176" s="1247"/>
      <c r="G176" s="1247"/>
      <c r="H176" s="1247"/>
      <c r="I176" s="1247"/>
      <c r="J176" s="1247"/>
      <c r="K176" s="1247"/>
      <c r="L176" s="1247"/>
      <c r="M176" s="1247"/>
      <c r="N176" s="1247"/>
      <c r="O176" s="1247"/>
      <c r="P176" s="1247"/>
      <c r="Q176" s="1247"/>
      <c r="R176" s="1247"/>
      <c r="S176" s="1247"/>
      <c r="T176" s="1247"/>
      <c r="U176" s="1247"/>
      <c r="V176" s="1247"/>
      <c r="W176" s="1247"/>
      <c r="X176" s="1247"/>
      <c r="Y176" s="1247"/>
      <c r="Z176" s="1247"/>
      <c r="AA176" s="1247"/>
      <c r="AB176" s="1247"/>
      <c r="AC176" s="1247"/>
      <c r="AD176" s="1247"/>
      <c r="AE176" s="1247"/>
      <c r="AF176" s="1247"/>
      <c r="AG176" s="1247"/>
      <c r="AH176" s="1247"/>
      <c r="AI176" s="1247"/>
      <c r="AJ176" s="1247"/>
      <c r="AK176" s="1247"/>
      <c r="AL176" s="1247"/>
      <c r="AM176" s="1247"/>
      <c r="AN176" s="1247"/>
      <c r="AO176" s="1247"/>
      <c r="AP176" s="1247"/>
      <c r="AQ176" s="1247"/>
      <c r="AR176" s="1247"/>
      <c r="AS176" s="1247"/>
      <c r="AT176" s="1247"/>
      <c r="AU176" s="1247"/>
      <c r="AV176" s="1247"/>
      <c r="AW176" s="1247"/>
      <c r="AX176" s="1247"/>
      <c r="AY176" s="1247"/>
      <c r="AZ176" s="1247"/>
      <c r="BA176" s="1247"/>
      <c r="BB176" s="1247"/>
      <c r="BC176" s="1247"/>
    </row>
    <row r="177" spans="2:55" s="973" customFormat="1" ht="15" customHeight="1">
      <c r="B177" s="1247"/>
      <c r="C177" s="1247"/>
      <c r="D177" s="1247"/>
      <c r="E177" s="1247"/>
      <c r="F177" s="1247"/>
      <c r="G177" s="1247"/>
      <c r="H177" s="1247"/>
      <c r="I177" s="1247"/>
      <c r="J177" s="1247"/>
      <c r="K177" s="1247"/>
      <c r="L177" s="1247"/>
      <c r="M177" s="1247"/>
      <c r="N177" s="1247"/>
      <c r="O177" s="1247"/>
      <c r="P177" s="1247"/>
      <c r="Q177" s="1247"/>
      <c r="R177" s="1247"/>
      <c r="S177" s="1247"/>
      <c r="T177" s="1247"/>
      <c r="U177" s="1247"/>
      <c r="V177" s="1247"/>
      <c r="W177" s="1247"/>
      <c r="X177" s="1247"/>
      <c r="Y177" s="1247"/>
      <c r="Z177" s="1247"/>
      <c r="AA177" s="1247"/>
      <c r="AB177" s="1247"/>
      <c r="AC177" s="1247"/>
      <c r="AD177" s="1247"/>
      <c r="AE177" s="1247"/>
      <c r="AF177" s="1247"/>
      <c r="AG177" s="1247"/>
      <c r="AH177" s="1247"/>
      <c r="AI177" s="1247"/>
      <c r="AJ177" s="1247"/>
      <c r="AK177" s="1247"/>
      <c r="AL177" s="1247"/>
      <c r="AM177" s="1247"/>
      <c r="AN177" s="1247"/>
      <c r="AO177" s="1247"/>
      <c r="AP177" s="1247"/>
      <c r="AQ177" s="1247"/>
      <c r="AR177" s="1247"/>
      <c r="AS177" s="1247"/>
      <c r="AT177" s="1247"/>
      <c r="AU177" s="1247"/>
      <c r="AV177" s="1247"/>
      <c r="AW177" s="1247"/>
      <c r="AX177" s="1247"/>
      <c r="AY177" s="1247"/>
      <c r="AZ177" s="1247"/>
      <c r="BA177" s="1247"/>
      <c r="BB177" s="1247"/>
      <c r="BC177" s="1247"/>
    </row>
    <row r="178" spans="2:55" s="973" customFormat="1" ht="15" customHeight="1">
      <c r="B178" s="1247"/>
      <c r="C178" s="1247"/>
      <c r="D178" s="1247"/>
      <c r="E178" s="1247"/>
      <c r="F178" s="1247"/>
      <c r="G178" s="1247"/>
      <c r="H178" s="1247"/>
      <c r="I178" s="1247"/>
      <c r="J178" s="1247"/>
      <c r="K178" s="1247"/>
      <c r="L178" s="1247"/>
      <c r="M178" s="1247"/>
      <c r="N178" s="1247"/>
      <c r="O178" s="1247"/>
      <c r="P178" s="1247"/>
      <c r="Q178" s="1247"/>
      <c r="R178" s="1247"/>
      <c r="S178" s="1247"/>
      <c r="T178" s="1247"/>
      <c r="U178" s="1247"/>
      <c r="V178" s="1247"/>
      <c r="W178" s="1247"/>
      <c r="X178" s="1247"/>
      <c r="Y178" s="1247"/>
      <c r="Z178" s="1247"/>
      <c r="AA178" s="1247"/>
      <c r="AB178" s="1247"/>
      <c r="AC178" s="1247"/>
      <c r="AD178" s="1247"/>
      <c r="AE178" s="1247"/>
      <c r="AF178" s="1247"/>
      <c r="AG178" s="1247"/>
      <c r="AH178" s="1247"/>
      <c r="AI178" s="1247"/>
      <c r="AJ178" s="1247"/>
      <c r="AK178" s="1247"/>
      <c r="AL178" s="1247"/>
      <c r="AM178" s="1247"/>
      <c r="AN178" s="1247"/>
      <c r="AO178" s="1247"/>
      <c r="AP178" s="1247"/>
      <c r="AQ178" s="1247"/>
      <c r="AR178" s="1247"/>
      <c r="AS178" s="1247"/>
      <c r="AT178" s="1247"/>
      <c r="AU178" s="1247"/>
      <c r="AV178" s="1247"/>
      <c r="AW178" s="1247"/>
      <c r="AX178" s="1247"/>
      <c r="AY178" s="1247"/>
      <c r="AZ178" s="1247"/>
      <c r="BA178" s="1247"/>
      <c r="BB178" s="1247"/>
      <c r="BC178" s="1247"/>
    </row>
    <row r="179" spans="2:55" s="973" customFormat="1" ht="15" customHeight="1">
      <c r="B179" s="1247"/>
      <c r="C179" s="1247"/>
      <c r="D179" s="1247"/>
      <c r="E179" s="1247"/>
      <c r="F179" s="1247"/>
      <c r="G179" s="1247"/>
      <c r="H179" s="1247"/>
      <c r="I179" s="1247"/>
      <c r="J179" s="1247"/>
      <c r="K179" s="1247"/>
      <c r="L179" s="1247"/>
      <c r="M179" s="1247"/>
      <c r="N179" s="1247"/>
      <c r="O179" s="1247"/>
      <c r="P179" s="1247"/>
      <c r="Q179" s="1247"/>
      <c r="R179" s="1247"/>
      <c r="S179" s="1247"/>
      <c r="T179" s="1247"/>
      <c r="U179" s="1247"/>
      <c r="V179" s="1247"/>
      <c r="W179" s="1247"/>
      <c r="X179" s="1247"/>
      <c r="Y179" s="1247"/>
      <c r="Z179" s="1247"/>
      <c r="AA179" s="1247"/>
      <c r="AB179" s="1247"/>
      <c r="AC179" s="1247"/>
      <c r="AD179" s="1247"/>
      <c r="AE179" s="1247"/>
      <c r="AF179" s="1247"/>
      <c r="AG179" s="1247"/>
      <c r="AH179" s="1247"/>
      <c r="AI179" s="1247"/>
      <c r="AJ179" s="1247"/>
      <c r="AK179" s="1247"/>
      <c r="AL179" s="1247"/>
      <c r="AM179" s="1247"/>
      <c r="AN179" s="1247"/>
      <c r="AO179" s="1247"/>
      <c r="AP179" s="1247"/>
      <c r="AQ179" s="1247"/>
      <c r="AR179" s="1247"/>
      <c r="AS179" s="1247"/>
      <c r="AT179" s="1247"/>
      <c r="AU179" s="1247"/>
      <c r="AV179" s="1247"/>
      <c r="AW179" s="1247"/>
      <c r="AX179" s="1247"/>
      <c r="AY179" s="1247"/>
      <c r="AZ179" s="1247"/>
      <c r="BA179" s="1247"/>
      <c r="BB179" s="1247"/>
      <c r="BC179" s="1247"/>
    </row>
    <row r="180" spans="2:55" s="973" customFormat="1" ht="15" customHeight="1">
      <c r="B180" s="1247"/>
      <c r="C180" s="1247"/>
      <c r="D180" s="1247"/>
      <c r="E180" s="1247"/>
      <c r="F180" s="1247"/>
      <c r="G180" s="1247"/>
      <c r="H180" s="1247"/>
      <c r="I180" s="1247"/>
      <c r="J180" s="1247"/>
      <c r="K180" s="1247"/>
      <c r="L180" s="1247"/>
      <c r="M180" s="1247"/>
      <c r="N180" s="1247"/>
      <c r="O180" s="1247"/>
      <c r="P180" s="1247"/>
      <c r="Q180" s="1247"/>
      <c r="R180" s="1247"/>
      <c r="S180" s="1247"/>
      <c r="T180" s="1247"/>
      <c r="U180" s="1247"/>
      <c r="V180" s="1247"/>
      <c r="W180" s="1247"/>
      <c r="X180" s="1247"/>
      <c r="Y180" s="1247"/>
      <c r="Z180" s="1247"/>
      <c r="AA180" s="1247"/>
      <c r="AB180" s="1247"/>
      <c r="AC180" s="1247"/>
      <c r="AD180" s="1247"/>
      <c r="AE180" s="1247"/>
      <c r="AF180" s="1247"/>
      <c r="AG180" s="1247"/>
      <c r="AH180" s="1247"/>
      <c r="AI180" s="1247"/>
      <c r="AJ180" s="1247"/>
      <c r="AK180" s="1247"/>
      <c r="AL180" s="1247"/>
      <c r="AM180" s="1247"/>
      <c r="AN180" s="1247"/>
      <c r="AO180" s="1247"/>
      <c r="AP180" s="1247"/>
      <c r="AQ180" s="1247"/>
      <c r="AR180" s="1247"/>
      <c r="AS180" s="1247"/>
      <c r="AT180" s="1247"/>
      <c r="AU180" s="1247"/>
      <c r="AV180" s="1247"/>
      <c r="AW180" s="1247"/>
      <c r="AX180" s="1247"/>
      <c r="AY180" s="1247"/>
      <c r="AZ180" s="1247"/>
      <c r="BA180" s="1247"/>
      <c r="BB180" s="1247"/>
      <c r="BC180" s="1247"/>
    </row>
    <row r="181" spans="2:55" s="973" customFormat="1" ht="15" customHeight="1">
      <c r="B181" s="1247"/>
      <c r="C181" s="1247"/>
      <c r="D181" s="1247"/>
      <c r="E181" s="1247"/>
      <c r="F181" s="1247"/>
      <c r="G181" s="1247"/>
      <c r="H181" s="1247"/>
      <c r="I181" s="1247"/>
      <c r="J181" s="1247"/>
      <c r="K181" s="1247"/>
      <c r="L181" s="1247"/>
      <c r="M181" s="1247"/>
      <c r="N181" s="1247"/>
      <c r="O181" s="1247"/>
      <c r="P181" s="1247"/>
      <c r="Q181" s="1247"/>
      <c r="R181" s="1247"/>
      <c r="S181" s="1247"/>
      <c r="T181" s="1247"/>
      <c r="U181" s="1247"/>
      <c r="V181" s="1247"/>
      <c r="W181" s="1247"/>
      <c r="X181" s="1247"/>
      <c r="Y181" s="1247"/>
      <c r="Z181" s="1247"/>
      <c r="AA181" s="1247"/>
      <c r="AB181" s="1247"/>
      <c r="AC181" s="1247"/>
      <c r="AD181" s="1247"/>
      <c r="AE181" s="1247"/>
      <c r="AF181" s="1247"/>
      <c r="AG181" s="1247"/>
      <c r="AH181" s="1247"/>
      <c r="AI181" s="1247"/>
      <c r="AJ181" s="1247"/>
      <c r="AK181" s="1247"/>
      <c r="AL181" s="1247"/>
      <c r="AM181" s="1247"/>
      <c r="AN181" s="1247"/>
      <c r="AO181" s="1247"/>
      <c r="AP181" s="1247"/>
      <c r="AQ181" s="1247"/>
      <c r="AR181" s="1247"/>
      <c r="AS181" s="1247"/>
      <c r="AT181" s="1247"/>
      <c r="AU181" s="1247"/>
      <c r="AV181" s="1247"/>
      <c r="AW181" s="1247"/>
      <c r="AX181" s="1247"/>
      <c r="AY181" s="1247"/>
      <c r="AZ181" s="1247"/>
      <c r="BA181" s="1247"/>
      <c r="BB181" s="1247"/>
      <c r="BC181" s="1247"/>
    </row>
    <row r="182" spans="2:55" s="973" customFormat="1" ht="15" customHeight="1">
      <c r="B182" s="1247"/>
      <c r="C182" s="1247"/>
      <c r="D182" s="1247"/>
      <c r="E182" s="1247"/>
      <c r="F182" s="1247"/>
      <c r="G182" s="1247"/>
      <c r="H182" s="1247"/>
      <c r="I182" s="1247"/>
      <c r="J182" s="1247"/>
      <c r="K182" s="1247"/>
      <c r="L182" s="1247"/>
      <c r="M182" s="1247"/>
      <c r="N182" s="1247"/>
      <c r="O182" s="1247"/>
      <c r="P182" s="1247"/>
      <c r="Q182" s="1247"/>
      <c r="R182" s="1247"/>
      <c r="S182" s="1247"/>
      <c r="T182" s="1247"/>
      <c r="U182" s="1247"/>
      <c r="V182" s="1247"/>
      <c r="W182" s="1247"/>
      <c r="X182" s="1247"/>
      <c r="Y182" s="1247"/>
      <c r="Z182" s="1247"/>
      <c r="AA182" s="1247"/>
      <c r="AB182" s="1247"/>
      <c r="AC182" s="1247"/>
      <c r="AD182" s="1247"/>
      <c r="AE182" s="1247"/>
      <c r="AF182" s="1247"/>
      <c r="AG182" s="1247"/>
      <c r="AH182" s="1247"/>
      <c r="AI182" s="1247"/>
      <c r="AJ182" s="1247"/>
      <c r="AK182" s="1247"/>
      <c r="AL182" s="1247"/>
      <c r="AM182" s="1247"/>
      <c r="AN182" s="1247"/>
      <c r="AO182" s="1247"/>
      <c r="AP182" s="1247"/>
      <c r="AQ182" s="1247"/>
      <c r="AR182" s="1247"/>
      <c r="AS182" s="1247"/>
      <c r="AT182" s="1247"/>
      <c r="AU182" s="1247"/>
      <c r="AV182" s="1247"/>
      <c r="AW182" s="1247"/>
      <c r="AX182" s="1247"/>
      <c r="AY182" s="1247"/>
      <c r="AZ182" s="1247"/>
      <c r="BA182" s="1247"/>
      <c r="BB182" s="1247"/>
      <c r="BC182" s="1247"/>
    </row>
    <row r="183" spans="2:55" s="973" customFormat="1" ht="15" customHeight="1">
      <c r="B183" s="1247"/>
      <c r="C183" s="1247"/>
      <c r="D183" s="1247"/>
      <c r="E183" s="1247"/>
      <c r="F183" s="1247"/>
      <c r="G183" s="1247"/>
      <c r="H183" s="1247"/>
      <c r="I183" s="1247"/>
      <c r="J183" s="1247"/>
      <c r="K183" s="1247"/>
      <c r="L183" s="1247"/>
      <c r="M183" s="1247"/>
      <c r="N183" s="1247"/>
      <c r="O183" s="1247"/>
      <c r="P183" s="1247"/>
      <c r="Q183" s="1247"/>
      <c r="R183" s="1247"/>
      <c r="S183" s="1247"/>
      <c r="T183" s="1247"/>
      <c r="U183" s="1247"/>
      <c r="V183" s="1247"/>
      <c r="W183" s="1247"/>
      <c r="X183" s="1247"/>
      <c r="Y183" s="1247"/>
      <c r="Z183" s="1247"/>
      <c r="AA183" s="1247"/>
      <c r="AB183" s="1247"/>
      <c r="AC183" s="1247"/>
      <c r="AD183" s="1247"/>
      <c r="AE183" s="1247"/>
      <c r="AF183" s="1247"/>
      <c r="AG183" s="1247"/>
      <c r="AH183" s="1247"/>
      <c r="AI183" s="1247"/>
      <c r="AJ183" s="1247"/>
      <c r="AK183" s="1247"/>
      <c r="AL183" s="1247"/>
      <c r="AM183" s="1247"/>
      <c r="AN183" s="1247"/>
      <c r="AO183" s="1247"/>
      <c r="AP183" s="1247"/>
      <c r="AQ183" s="1247"/>
      <c r="AR183" s="1247"/>
      <c r="AS183" s="1247"/>
      <c r="AT183" s="1247"/>
      <c r="AU183" s="1247"/>
      <c r="AV183" s="1247"/>
      <c r="AW183" s="1247"/>
      <c r="AX183" s="1247"/>
      <c r="AY183" s="1247"/>
      <c r="AZ183" s="1247"/>
      <c r="BA183" s="1247"/>
      <c r="BB183" s="1247"/>
      <c r="BC183" s="1247"/>
    </row>
    <row r="184" spans="2:55" s="973" customFormat="1" ht="15" customHeight="1">
      <c r="B184" s="1247"/>
      <c r="C184" s="1247"/>
      <c r="D184" s="1247"/>
      <c r="E184" s="1247"/>
      <c r="F184" s="1247"/>
      <c r="G184" s="1247"/>
      <c r="H184" s="1247"/>
      <c r="I184" s="1247"/>
      <c r="J184" s="1247"/>
      <c r="K184" s="1247"/>
      <c r="L184" s="1247"/>
      <c r="M184" s="1247"/>
      <c r="N184" s="1247"/>
      <c r="O184" s="1247"/>
      <c r="P184" s="1247"/>
      <c r="Q184" s="1247"/>
      <c r="R184" s="1247"/>
      <c r="S184" s="1247"/>
      <c r="T184" s="1247"/>
      <c r="U184" s="1247"/>
      <c r="V184" s="1247"/>
      <c r="W184" s="1247"/>
      <c r="X184" s="1247"/>
      <c r="Y184" s="1247"/>
      <c r="Z184" s="1247"/>
      <c r="AA184" s="1247"/>
      <c r="AB184" s="1247"/>
      <c r="AC184" s="1247"/>
      <c r="AD184" s="1247"/>
      <c r="AE184" s="1247"/>
      <c r="AF184" s="1247"/>
      <c r="AG184" s="1247"/>
      <c r="AH184" s="1247"/>
      <c r="AI184" s="1247"/>
      <c r="AJ184" s="1247"/>
      <c r="AK184" s="1247"/>
      <c r="AL184" s="1247"/>
      <c r="AM184" s="1247"/>
      <c r="AN184" s="1247"/>
      <c r="AO184" s="1247"/>
      <c r="AP184" s="1247"/>
      <c r="AQ184" s="1247"/>
      <c r="AR184" s="1247"/>
      <c r="AS184" s="1247"/>
      <c r="AT184" s="1247"/>
      <c r="AU184" s="1247"/>
      <c r="AV184" s="1247"/>
      <c r="AW184" s="1247"/>
      <c r="AX184" s="1247"/>
      <c r="AY184" s="1247"/>
      <c r="AZ184" s="1247"/>
      <c r="BA184" s="1247"/>
      <c r="BB184" s="1247"/>
      <c r="BC184" s="1247"/>
    </row>
    <row r="185" spans="2:55" s="973" customFormat="1" ht="15" customHeight="1">
      <c r="B185" s="1247"/>
      <c r="C185" s="1247"/>
      <c r="D185" s="1247"/>
      <c r="E185" s="1247"/>
      <c r="F185" s="1247"/>
      <c r="G185" s="1247"/>
      <c r="H185" s="1247"/>
      <c r="I185" s="1247"/>
      <c r="J185" s="1247"/>
      <c r="K185" s="1247"/>
      <c r="L185" s="1247"/>
      <c r="M185" s="1247"/>
      <c r="N185" s="1247"/>
      <c r="O185" s="1247"/>
      <c r="P185" s="1247"/>
      <c r="Q185" s="1247"/>
      <c r="R185" s="1247"/>
      <c r="S185" s="1247"/>
      <c r="T185" s="1247"/>
      <c r="U185" s="1247"/>
      <c r="V185" s="1247"/>
      <c r="W185" s="1247"/>
      <c r="X185" s="1247"/>
      <c r="Y185" s="1247"/>
      <c r="Z185" s="1247"/>
      <c r="AA185" s="1247"/>
      <c r="AB185" s="1247"/>
      <c r="AC185" s="1247"/>
      <c r="AD185" s="1247"/>
      <c r="AE185" s="1247"/>
      <c r="AF185" s="1247"/>
      <c r="AG185" s="1247"/>
      <c r="AH185" s="1247"/>
      <c r="AI185" s="1247"/>
      <c r="AJ185" s="1247"/>
      <c r="AK185" s="1247"/>
      <c r="AL185" s="1247"/>
      <c r="AM185" s="1247"/>
      <c r="AN185" s="1247"/>
      <c r="AO185" s="1247"/>
      <c r="AP185" s="1247"/>
      <c r="AQ185" s="1247"/>
      <c r="AR185" s="1247"/>
      <c r="AS185" s="1247"/>
      <c r="AT185" s="1247"/>
      <c r="AU185" s="1247"/>
      <c r="AV185" s="1247"/>
      <c r="AW185" s="1247"/>
      <c r="AX185" s="1247"/>
      <c r="AY185" s="1247"/>
      <c r="AZ185" s="1247"/>
      <c r="BA185" s="1247"/>
      <c r="BB185" s="1247"/>
      <c r="BC185" s="1247"/>
    </row>
    <row r="186" spans="2:55" s="973" customFormat="1" ht="15" customHeight="1">
      <c r="B186" s="1247"/>
      <c r="C186" s="1247"/>
      <c r="D186" s="1247"/>
      <c r="E186" s="1247"/>
      <c r="F186" s="1247"/>
      <c r="G186" s="1247"/>
      <c r="H186" s="1247"/>
      <c r="I186" s="1247"/>
      <c r="J186" s="1247"/>
      <c r="K186" s="1247"/>
      <c r="L186" s="1247"/>
      <c r="M186" s="1247"/>
      <c r="N186" s="1247"/>
      <c r="O186" s="1247"/>
      <c r="P186" s="1247"/>
      <c r="Q186" s="1247"/>
      <c r="R186" s="1247"/>
      <c r="S186" s="1247"/>
      <c r="T186" s="1247"/>
      <c r="U186" s="1247"/>
      <c r="V186" s="1247"/>
      <c r="W186" s="1247"/>
      <c r="X186" s="1247"/>
      <c r="Y186" s="1247"/>
      <c r="Z186" s="1247"/>
      <c r="AA186" s="1247"/>
      <c r="AB186" s="1247"/>
      <c r="AC186" s="1247"/>
      <c r="AD186" s="1247"/>
      <c r="AE186" s="1247"/>
      <c r="AF186" s="1247"/>
      <c r="AG186" s="1247"/>
      <c r="AH186" s="1247"/>
      <c r="AI186" s="1247"/>
      <c r="AJ186" s="1247"/>
      <c r="AK186" s="1247"/>
      <c r="AL186" s="1247"/>
      <c r="AM186" s="1247"/>
      <c r="AN186" s="1247"/>
      <c r="AO186" s="1247"/>
      <c r="AP186" s="1247"/>
      <c r="AQ186" s="1247"/>
      <c r="AR186" s="1247"/>
      <c r="AS186" s="1247"/>
      <c r="AT186" s="1247"/>
      <c r="AU186" s="1247"/>
      <c r="AV186" s="1247"/>
      <c r="AW186" s="1247"/>
      <c r="AX186" s="1247"/>
      <c r="AY186" s="1247"/>
      <c r="AZ186" s="1247"/>
      <c r="BA186" s="1247"/>
      <c r="BB186" s="1247"/>
      <c r="BC186" s="1247"/>
    </row>
    <row r="187" spans="2:55" s="973" customFormat="1" ht="15" customHeight="1">
      <c r="B187" s="1247"/>
      <c r="C187" s="1247"/>
      <c r="D187" s="1247"/>
      <c r="E187" s="1247"/>
      <c r="F187" s="1247"/>
      <c r="G187" s="1247"/>
      <c r="H187" s="1247"/>
      <c r="I187" s="1247"/>
      <c r="J187" s="1247"/>
      <c r="K187" s="1247"/>
      <c r="L187" s="1247"/>
      <c r="M187" s="1247"/>
      <c r="N187" s="1247"/>
      <c r="O187" s="1247"/>
      <c r="P187" s="1247"/>
      <c r="Q187" s="1247"/>
      <c r="R187" s="1247"/>
      <c r="S187" s="1247"/>
      <c r="T187" s="1247"/>
      <c r="U187" s="1247"/>
      <c r="V187" s="1247"/>
      <c r="W187" s="1247"/>
      <c r="X187" s="1247"/>
      <c r="Y187" s="1247"/>
      <c r="Z187" s="1247"/>
      <c r="AA187" s="1247"/>
      <c r="AB187" s="1247"/>
      <c r="AC187" s="1247"/>
      <c r="AD187" s="1247"/>
      <c r="AE187" s="1247"/>
      <c r="AF187" s="1247"/>
      <c r="AG187" s="1247"/>
      <c r="AH187" s="1247"/>
      <c r="AI187" s="1247"/>
      <c r="AJ187" s="1247"/>
      <c r="AK187" s="1247"/>
      <c r="AL187" s="1247"/>
      <c r="AM187" s="1247"/>
      <c r="AN187" s="1247"/>
      <c r="AO187" s="1247"/>
      <c r="AP187" s="1247"/>
      <c r="AQ187" s="1247"/>
      <c r="AR187" s="1247"/>
      <c r="AS187" s="1247"/>
      <c r="AT187" s="1247"/>
      <c r="AU187" s="1247"/>
      <c r="AV187" s="1247"/>
      <c r="AW187" s="1247"/>
      <c r="AX187" s="1247"/>
      <c r="AY187" s="1247"/>
      <c r="AZ187" s="1247"/>
      <c r="BA187" s="1247"/>
      <c r="BB187" s="1247"/>
      <c r="BC187" s="1247"/>
    </row>
    <row r="188" spans="2:55" s="973" customFormat="1" ht="15" customHeight="1">
      <c r="B188" s="1247"/>
      <c r="C188" s="1247"/>
      <c r="D188" s="1247"/>
      <c r="E188" s="1247"/>
      <c r="F188" s="1247"/>
      <c r="G188" s="1247"/>
      <c r="H188" s="1247"/>
      <c r="I188" s="1247"/>
      <c r="J188" s="1247"/>
      <c r="K188" s="1247"/>
      <c r="L188" s="1247"/>
      <c r="M188" s="1247"/>
      <c r="N188" s="1247"/>
      <c r="O188" s="1247"/>
      <c r="P188" s="1247"/>
      <c r="Q188" s="1247"/>
      <c r="R188" s="1247"/>
      <c r="S188" s="1247"/>
      <c r="T188" s="1247"/>
      <c r="U188" s="1247"/>
      <c r="V188" s="1247"/>
      <c r="W188" s="1247"/>
      <c r="X188" s="1247"/>
      <c r="Y188" s="1247"/>
      <c r="Z188" s="1247"/>
      <c r="AA188" s="1247"/>
      <c r="AB188" s="1247"/>
      <c r="AC188" s="1247"/>
      <c r="AD188" s="1247"/>
      <c r="AE188" s="1247"/>
      <c r="AF188" s="1247"/>
      <c r="AG188" s="1247"/>
      <c r="AH188" s="1247"/>
      <c r="AI188" s="1247"/>
      <c r="AJ188" s="1247"/>
      <c r="AK188" s="1247"/>
      <c r="AL188" s="1247"/>
      <c r="AM188" s="1247"/>
      <c r="AN188" s="1247"/>
      <c r="AO188" s="1247"/>
      <c r="AP188" s="1247"/>
      <c r="AQ188" s="1247"/>
      <c r="AR188" s="1247"/>
      <c r="AS188" s="1247"/>
      <c r="AT188" s="1247"/>
      <c r="AU188" s="1247"/>
      <c r="AV188" s="1247"/>
      <c r="AW188" s="1247"/>
      <c r="AX188" s="1247"/>
      <c r="AY188" s="1247"/>
      <c r="AZ188" s="1247"/>
      <c r="BA188" s="1247"/>
      <c r="BB188" s="1247"/>
      <c r="BC188" s="1247"/>
    </row>
    <row r="189" spans="2:55" s="973" customFormat="1" ht="15" customHeight="1">
      <c r="B189" s="1247"/>
      <c r="C189" s="1247"/>
      <c r="D189" s="1247"/>
      <c r="E189" s="1247"/>
      <c r="F189" s="1247"/>
      <c r="G189" s="1247"/>
      <c r="H189" s="1247"/>
      <c r="I189" s="1247"/>
      <c r="J189" s="1247"/>
      <c r="K189" s="1247"/>
      <c r="L189" s="1247"/>
      <c r="M189" s="1247"/>
      <c r="N189" s="1247"/>
      <c r="O189" s="1247"/>
      <c r="P189" s="1247"/>
      <c r="Q189" s="1247"/>
      <c r="R189" s="1247"/>
      <c r="S189" s="1247"/>
      <c r="T189" s="1247"/>
      <c r="U189" s="1247"/>
      <c r="V189" s="1247"/>
      <c r="W189" s="1247"/>
      <c r="X189" s="1247"/>
      <c r="Y189" s="1247"/>
      <c r="Z189" s="1247"/>
      <c r="AA189" s="1247"/>
      <c r="AB189" s="1247"/>
      <c r="AC189" s="1247"/>
      <c r="AD189" s="1247"/>
      <c r="AE189" s="1247"/>
      <c r="AF189" s="1247"/>
      <c r="AG189" s="1247"/>
      <c r="AH189" s="1247"/>
      <c r="AI189" s="1247"/>
      <c r="AJ189" s="1247"/>
      <c r="AK189" s="1247"/>
      <c r="AL189" s="1247"/>
      <c r="AM189" s="1247"/>
      <c r="AN189" s="1247"/>
      <c r="AO189" s="1247"/>
      <c r="AP189" s="1247"/>
      <c r="AQ189" s="1247"/>
      <c r="AR189" s="1247"/>
      <c r="AS189" s="1247"/>
      <c r="AT189" s="1247"/>
      <c r="AU189" s="1247"/>
      <c r="AV189" s="1247"/>
      <c r="AW189" s="1247"/>
      <c r="AX189" s="1247"/>
      <c r="AY189" s="1247"/>
      <c r="AZ189" s="1247"/>
      <c r="BA189" s="1247"/>
      <c r="BB189" s="1247"/>
      <c r="BC189" s="1247"/>
    </row>
    <row r="190" spans="2:55" s="973" customFormat="1" ht="15" customHeight="1">
      <c r="B190" s="1247"/>
      <c r="C190" s="1247"/>
      <c r="D190" s="1247"/>
      <c r="E190" s="1247"/>
      <c r="F190" s="1247"/>
      <c r="G190" s="1247"/>
      <c r="H190" s="1247"/>
      <c r="I190" s="1247"/>
      <c r="J190" s="1247"/>
      <c r="K190" s="1247"/>
      <c r="L190" s="1247"/>
      <c r="M190" s="1247"/>
      <c r="N190" s="1247"/>
      <c r="O190" s="1247"/>
      <c r="P190" s="1247"/>
      <c r="Q190" s="1247"/>
      <c r="R190" s="1247"/>
      <c r="S190" s="1247"/>
      <c r="T190" s="1247"/>
      <c r="U190" s="1247"/>
      <c r="V190" s="1247"/>
      <c r="W190" s="1247"/>
      <c r="X190" s="1247"/>
      <c r="Y190" s="1247"/>
      <c r="Z190" s="1247"/>
      <c r="AA190" s="1247"/>
      <c r="AB190" s="1247"/>
      <c r="AC190" s="1247"/>
      <c r="AD190" s="1247"/>
      <c r="AE190" s="1247"/>
      <c r="AF190" s="1247"/>
      <c r="AG190" s="1247"/>
      <c r="AH190" s="1247"/>
      <c r="AI190" s="1247"/>
      <c r="AJ190" s="1247"/>
      <c r="AK190" s="1247"/>
      <c r="AL190" s="1247"/>
      <c r="AM190" s="1247"/>
      <c r="AN190" s="1247"/>
      <c r="AO190" s="1247"/>
      <c r="AP190" s="1247"/>
      <c r="AQ190" s="1247"/>
      <c r="AR190" s="1247"/>
      <c r="AS190" s="1247"/>
      <c r="AT190" s="1247"/>
      <c r="AU190" s="1247"/>
      <c r="AV190" s="1247"/>
      <c r="AW190" s="1247"/>
      <c r="AX190" s="1247"/>
      <c r="AY190" s="1247"/>
      <c r="AZ190" s="1247"/>
      <c r="BA190" s="1247"/>
      <c r="BB190" s="1247"/>
      <c r="BC190" s="1247"/>
    </row>
    <row r="191" spans="2:55" s="973" customFormat="1" ht="15" customHeight="1">
      <c r="B191" s="1247"/>
      <c r="C191" s="1247"/>
      <c r="D191" s="1247"/>
      <c r="E191" s="1247"/>
      <c r="F191" s="1247"/>
      <c r="G191" s="1247"/>
      <c r="H191" s="1247"/>
      <c r="I191" s="1247"/>
      <c r="J191" s="1247"/>
      <c r="K191" s="1247"/>
      <c r="L191" s="1247"/>
      <c r="M191" s="1247"/>
      <c r="N191" s="1247"/>
      <c r="O191" s="1247"/>
      <c r="P191" s="1247"/>
      <c r="Q191" s="1247"/>
      <c r="R191" s="1247"/>
      <c r="S191" s="1247"/>
      <c r="T191" s="1247"/>
      <c r="U191" s="1247"/>
      <c r="V191" s="1247"/>
      <c r="W191" s="1247"/>
      <c r="X191" s="1247"/>
      <c r="Y191" s="1247"/>
      <c r="Z191" s="1247"/>
      <c r="AA191" s="1247"/>
      <c r="AB191" s="1247"/>
      <c r="AC191" s="1247"/>
      <c r="AD191" s="1247"/>
      <c r="AE191" s="1247"/>
      <c r="AF191" s="1247"/>
      <c r="AG191" s="1247"/>
      <c r="AH191" s="1247"/>
      <c r="AI191" s="1247"/>
      <c r="AJ191" s="1247"/>
      <c r="AK191" s="1247"/>
      <c r="AL191" s="1247"/>
      <c r="AM191" s="1247"/>
      <c r="AN191" s="1247"/>
      <c r="AO191" s="1247"/>
      <c r="AP191" s="1247"/>
      <c r="AQ191" s="1247"/>
      <c r="AR191" s="1247"/>
      <c r="AS191" s="1247"/>
      <c r="AT191" s="1247"/>
      <c r="AU191" s="1247"/>
      <c r="AV191" s="1247"/>
      <c r="AW191" s="1247"/>
      <c r="AX191" s="1247"/>
      <c r="AY191" s="1247"/>
      <c r="AZ191" s="1247"/>
      <c r="BA191" s="1247"/>
      <c r="BB191" s="1247"/>
      <c r="BC191" s="1247"/>
    </row>
    <row r="192" spans="2:55" s="973" customFormat="1" ht="15" customHeight="1">
      <c r="B192" s="1247"/>
      <c r="C192" s="1247"/>
      <c r="D192" s="1247"/>
      <c r="E192" s="1247"/>
      <c r="F192" s="1247"/>
      <c r="G192" s="1247"/>
      <c r="H192" s="1247"/>
      <c r="I192" s="1247"/>
      <c r="J192" s="1247"/>
      <c r="K192" s="1247"/>
      <c r="L192" s="1247"/>
      <c r="M192" s="1247"/>
      <c r="N192" s="1247"/>
      <c r="O192" s="1247"/>
      <c r="P192" s="1247"/>
      <c r="Q192" s="1247"/>
      <c r="R192" s="1247"/>
      <c r="S192" s="1247"/>
      <c r="T192" s="1247"/>
      <c r="U192" s="1247"/>
      <c r="V192" s="1247"/>
      <c r="W192" s="1247"/>
      <c r="X192" s="1247"/>
      <c r="Y192" s="1247"/>
      <c r="Z192" s="1247"/>
      <c r="AA192" s="1247"/>
      <c r="AB192" s="1247"/>
      <c r="AC192" s="1247"/>
      <c r="AD192" s="1247"/>
      <c r="AE192" s="1247"/>
      <c r="AF192" s="1247"/>
      <c r="AG192" s="1247"/>
      <c r="AH192" s="1247"/>
      <c r="AI192" s="1247"/>
      <c r="AJ192" s="1247"/>
      <c r="AK192" s="1247"/>
      <c r="AL192" s="1247"/>
      <c r="AM192" s="1247"/>
      <c r="AN192" s="1247"/>
      <c r="AO192" s="1247"/>
      <c r="AP192" s="1247"/>
      <c r="AQ192" s="1247"/>
      <c r="AR192" s="1247"/>
      <c r="AS192" s="1247"/>
      <c r="AT192" s="1247"/>
      <c r="AU192" s="1247"/>
      <c r="AV192" s="1247"/>
      <c r="AW192" s="1247"/>
      <c r="AX192" s="1247"/>
      <c r="AY192" s="1247"/>
      <c r="AZ192" s="1247"/>
      <c r="BA192" s="1247"/>
      <c r="BB192" s="1247"/>
      <c r="BC192" s="1247"/>
    </row>
    <row r="193" spans="2:55" s="973" customFormat="1" ht="15" customHeight="1">
      <c r="B193" s="1247"/>
      <c r="C193" s="1247"/>
      <c r="D193" s="1247"/>
      <c r="E193" s="1247"/>
      <c r="F193" s="1247"/>
      <c r="G193" s="1247"/>
      <c r="H193" s="1247"/>
      <c r="I193" s="1247"/>
      <c r="J193" s="1247"/>
      <c r="K193" s="1247"/>
      <c r="L193" s="1247"/>
      <c r="M193" s="1247"/>
      <c r="N193" s="1247"/>
      <c r="O193" s="1247"/>
      <c r="P193" s="1247"/>
      <c r="Q193" s="1247"/>
      <c r="R193" s="1247"/>
      <c r="S193" s="1247"/>
      <c r="T193" s="1247"/>
      <c r="U193" s="1247"/>
      <c r="V193" s="1247"/>
      <c r="W193" s="1247"/>
      <c r="X193" s="1247"/>
      <c r="Y193" s="1247"/>
      <c r="Z193" s="1247"/>
      <c r="AA193" s="1247"/>
      <c r="AB193" s="1247"/>
      <c r="AC193" s="1247"/>
      <c r="AD193" s="1247"/>
      <c r="AE193" s="1247"/>
      <c r="AF193" s="1247"/>
      <c r="AG193" s="1247"/>
      <c r="AH193" s="1247"/>
      <c r="AI193" s="1247"/>
      <c r="AJ193" s="1247"/>
      <c r="AK193" s="1247"/>
      <c r="AL193" s="1247"/>
      <c r="AM193" s="1247"/>
      <c r="AN193" s="1247"/>
      <c r="AO193" s="1247"/>
      <c r="AP193" s="1247"/>
      <c r="AQ193" s="1247"/>
      <c r="AR193" s="1247"/>
      <c r="AS193" s="1247"/>
      <c r="AT193" s="1247"/>
      <c r="AU193" s="1247"/>
      <c r="AV193" s="1247"/>
      <c r="AW193" s="1247"/>
      <c r="AX193" s="1247"/>
      <c r="AY193" s="1247"/>
      <c r="AZ193" s="1247"/>
      <c r="BA193" s="1247"/>
      <c r="BB193" s="1247"/>
      <c r="BC193" s="1247"/>
    </row>
    <row r="194" spans="2:55" s="973" customFormat="1" ht="15" customHeight="1">
      <c r="B194" s="1247"/>
      <c r="C194" s="1247"/>
      <c r="D194" s="1247"/>
      <c r="E194" s="1247"/>
      <c r="F194" s="1247"/>
      <c r="G194" s="1247"/>
      <c r="H194" s="1247"/>
      <c r="I194" s="1247"/>
      <c r="J194" s="1247"/>
      <c r="K194" s="1247"/>
      <c r="L194" s="1247"/>
      <c r="M194" s="1247"/>
      <c r="N194" s="1247"/>
      <c r="O194" s="1247"/>
      <c r="P194" s="1247"/>
      <c r="Q194" s="1247"/>
      <c r="R194" s="1247"/>
      <c r="S194" s="1247"/>
      <c r="T194" s="1247"/>
      <c r="U194" s="1247"/>
      <c r="V194" s="1247"/>
      <c r="W194" s="1247"/>
      <c r="X194" s="1247"/>
      <c r="Y194" s="1247"/>
      <c r="Z194" s="1247"/>
      <c r="AA194" s="1247"/>
      <c r="AB194" s="1247"/>
      <c r="AC194" s="1247"/>
      <c r="AD194" s="1247"/>
      <c r="AE194" s="1247"/>
      <c r="AF194" s="1247"/>
      <c r="AG194" s="1247"/>
      <c r="AH194" s="1247"/>
      <c r="AI194" s="1247"/>
      <c r="AJ194" s="1247"/>
      <c r="AK194" s="1247"/>
      <c r="AL194" s="1247"/>
      <c r="AM194" s="1247"/>
      <c r="AN194" s="1247"/>
      <c r="AO194" s="1247"/>
      <c r="AP194" s="1247"/>
      <c r="AQ194" s="1247"/>
      <c r="AR194" s="1247"/>
      <c r="AS194" s="1247"/>
      <c r="AT194" s="1247"/>
      <c r="AU194" s="1247"/>
      <c r="AV194" s="1247"/>
      <c r="AW194" s="1247"/>
      <c r="AX194" s="1247"/>
      <c r="AY194" s="1247"/>
      <c r="AZ194" s="1247"/>
      <c r="BA194" s="1247"/>
      <c r="BB194" s="1247"/>
      <c r="BC194" s="1247"/>
    </row>
    <row r="195" spans="2:55" s="973" customFormat="1" ht="15" customHeight="1">
      <c r="B195" s="1247"/>
      <c r="C195" s="1247"/>
      <c r="D195" s="1247"/>
      <c r="E195" s="1247"/>
      <c r="F195" s="1247"/>
      <c r="G195" s="1247"/>
      <c r="H195" s="1247"/>
      <c r="I195" s="1247"/>
      <c r="J195" s="1247"/>
      <c r="K195" s="1247"/>
      <c r="L195" s="1247"/>
      <c r="M195" s="1247"/>
      <c r="N195" s="1247"/>
      <c r="O195" s="1247"/>
      <c r="P195" s="1247"/>
      <c r="Q195" s="1247"/>
      <c r="R195" s="1247"/>
      <c r="S195" s="1247"/>
      <c r="T195" s="1247"/>
      <c r="U195" s="1247"/>
      <c r="V195" s="1247"/>
      <c r="W195" s="1247"/>
      <c r="X195" s="1247"/>
      <c r="Y195" s="1247"/>
      <c r="Z195" s="1247"/>
      <c r="AA195" s="1247"/>
      <c r="AB195" s="1247"/>
      <c r="AC195" s="1247"/>
      <c r="AD195" s="1247"/>
      <c r="AE195" s="1247"/>
      <c r="AF195" s="1247"/>
      <c r="AG195" s="1247"/>
      <c r="AH195" s="1247"/>
      <c r="AI195" s="1247"/>
      <c r="AJ195" s="1247"/>
      <c r="AK195" s="1247"/>
      <c r="AL195" s="1247"/>
      <c r="AM195" s="1247"/>
      <c r="AN195" s="1247"/>
      <c r="AO195" s="1247"/>
      <c r="AP195" s="1247"/>
      <c r="AQ195" s="1247"/>
      <c r="AR195" s="1247"/>
      <c r="AS195" s="1247"/>
      <c r="AT195" s="1247"/>
      <c r="AU195" s="1247"/>
      <c r="AV195" s="1247"/>
      <c r="AW195" s="1247"/>
      <c r="AX195" s="1247"/>
      <c r="AY195" s="1247"/>
      <c r="AZ195" s="1247"/>
      <c r="BA195" s="1247"/>
      <c r="BB195" s="1247"/>
      <c r="BC195" s="1247"/>
    </row>
    <row r="196" spans="2:55" s="973" customFormat="1" ht="15" customHeight="1">
      <c r="B196" s="1247"/>
      <c r="C196" s="1247"/>
      <c r="D196" s="1247"/>
      <c r="E196" s="1247"/>
      <c r="F196" s="1247"/>
      <c r="G196" s="1247"/>
      <c r="H196" s="1247"/>
      <c r="I196" s="1247"/>
      <c r="J196" s="1247"/>
      <c r="K196" s="1247"/>
      <c r="L196" s="1247"/>
      <c r="M196" s="1247"/>
      <c r="N196" s="1247"/>
      <c r="O196" s="1247"/>
      <c r="P196" s="1247"/>
      <c r="Q196" s="1247"/>
      <c r="R196" s="1247"/>
      <c r="S196" s="1247"/>
      <c r="T196" s="1247"/>
      <c r="U196" s="1247"/>
      <c r="V196" s="1247"/>
      <c r="W196" s="1247"/>
      <c r="X196" s="1247"/>
      <c r="Y196" s="1247"/>
      <c r="Z196" s="1247"/>
      <c r="AA196" s="1247"/>
      <c r="AB196" s="1247"/>
      <c r="AC196" s="1247"/>
      <c r="AD196" s="1247"/>
      <c r="AE196" s="1247"/>
      <c r="AF196" s="1247"/>
      <c r="AG196" s="1247"/>
      <c r="AH196" s="1247"/>
      <c r="AI196" s="1247"/>
      <c r="AJ196" s="1247"/>
      <c r="AK196" s="1247"/>
      <c r="AL196" s="1247"/>
      <c r="AM196" s="1247"/>
      <c r="AN196" s="1247"/>
      <c r="AO196" s="1247"/>
      <c r="AP196" s="1247"/>
      <c r="AQ196" s="1247"/>
      <c r="AR196" s="1247"/>
      <c r="AS196" s="1247"/>
      <c r="AT196" s="1247"/>
      <c r="AU196" s="1247"/>
      <c r="AV196" s="1247"/>
      <c r="AW196" s="1247"/>
      <c r="AX196" s="1247"/>
      <c r="AY196" s="1247"/>
      <c r="AZ196" s="1247"/>
      <c r="BA196" s="1247"/>
      <c r="BB196" s="1247"/>
      <c r="BC196" s="1247"/>
    </row>
    <row r="197" spans="2:55" s="973" customFormat="1" ht="15" customHeight="1">
      <c r="B197" s="1247"/>
      <c r="C197" s="1247"/>
      <c r="D197" s="1247"/>
      <c r="E197" s="1247"/>
      <c r="F197" s="1247"/>
      <c r="G197" s="1247"/>
      <c r="H197" s="1247"/>
      <c r="I197" s="1247"/>
      <c r="J197" s="1247"/>
      <c r="K197" s="1247"/>
      <c r="L197" s="1247"/>
      <c r="M197" s="1247"/>
      <c r="N197" s="1247"/>
      <c r="O197" s="1247"/>
      <c r="P197" s="1247"/>
      <c r="Q197" s="1247"/>
      <c r="R197" s="1247"/>
      <c r="S197" s="1247"/>
      <c r="T197" s="1247"/>
      <c r="U197" s="1247"/>
      <c r="V197" s="1247"/>
      <c r="W197" s="1247"/>
      <c r="X197" s="1247"/>
      <c r="Y197" s="1247"/>
      <c r="Z197" s="1247"/>
      <c r="AA197" s="1247"/>
      <c r="AB197" s="1247"/>
      <c r="AC197" s="1247"/>
      <c r="AD197" s="1247"/>
      <c r="AE197" s="1247"/>
      <c r="AF197" s="1247"/>
      <c r="AG197" s="1247"/>
      <c r="AH197" s="1247"/>
      <c r="AI197" s="1247"/>
      <c r="AJ197" s="1247"/>
      <c r="AK197" s="1247"/>
      <c r="AL197" s="1247"/>
      <c r="AM197" s="1247"/>
      <c r="AN197" s="1247"/>
      <c r="AO197" s="1247"/>
      <c r="AP197" s="1247"/>
      <c r="AQ197" s="1247"/>
      <c r="AR197" s="1247"/>
      <c r="AS197" s="1247"/>
      <c r="AT197" s="1247"/>
      <c r="AU197" s="1247"/>
      <c r="AV197" s="1247"/>
      <c r="AW197" s="1247"/>
      <c r="AX197" s="1247"/>
      <c r="AY197" s="1247"/>
      <c r="AZ197" s="1247"/>
      <c r="BA197" s="1247"/>
      <c r="BB197" s="1247"/>
      <c r="BC197" s="1247"/>
    </row>
    <row r="198" spans="2:55" s="973" customFormat="1" ht="15" customHeight="1">
      <c r="B198" s="1247"/>
      <c r="C198" s="1247"/>
      <c r="D198" s="1247"/>
      <c r="E198" s="1247"/>
      <c r="F198" s="1247"/>
      <c r="G198" s="1247"/>
      <c r="H198" s="1247"/>
      <c r="I198" s="1247"/>
      <c r="J198" s="1247"/>
      <c r="K198" s="1247"/>
      <c r="L198" s="1247"/>
      <c r="M198" s="1247"/>
      <c r="N198" s="1247"/>
      <c r="O198" s="1247"/>
      <c r="P198" s="1247"/>
      <c r="Q198" s="1247"/>
      <c r="R198" s="1247"/>
      <c r="S198" s="1247"/>
      <c r="T198" s="1247"/>
      <c r="U198" s="1247"/>
      <c r="V198" s="1247"/>
      <c r="W198" s="1247"/>
      <c r="X198" s="1247"/>
      <c r="Y198" s="1247"/>
      <c r="Z198" s="1247"/>
      <c r="AA198" s="1247"/>
      <c r="AB198" s="1247"/>
      <c r="AC198" s="1247"/>
      <c r="AD198" s="1247"/>
      <c r="AE198" s="1247"/>
      <c r="AF198" s="1247"/>
      <c r="AG198" s="1247"/>
      <c r="AH198" s="1247"/>
      <c r="AI198" s="1247"/>
      <c r="AJ198" s="1247"/>
      <c r="AK198" s="1247"/>
      <c r="AL198" s="1247"/>
      <c r="AM198" s="1247"/>
      <c r="AN198" s="1247"/>
      <c r="AO198" s="1247"/>
      <c r="AP198" s="1247"/>
      <c r="AQ198" s="1247"/>
      <c r="AR198" s="1247"/>
      <c r="AS198" s="1247"/>
      <c r="AT198" s="1247"/>
      <c r="AU198" s="1247"/>
      <c r="AV198" s="1247"/>
      <c r="AW198" s="1247"/>
      <c r="AX198" s="1247"/>
      <c r="AY198" s="1247"/>
      <c r="AZ198" s="1247"/>
      <c r="BA198" s="1247"/>
      <c r="BB198" s="1247"/>
      <c r="BC198" s="1247"/>
    </row>
    <row r="199" spans="2:55" s="973" customFormat="1" ht="15" customHeight="1">
      <c r="B199" s="1247"/>
      <c r="C199" s="1247"/>
      <c r="D199" s="1247"/>
      <c r="E199" s="1247"/>
      <c r="F199" s="1247"/>
      <c r="G199" s="1247"/>
      <c r="H199" s="1247"/>
      <c r="I199" s="1247"/>
      <c r="J199" s="1247"/>
      <c r="K199" s="1247"/>
      <c r="L199" s="1247"/>
      <c r="M199" s="1247"/>
      <c r="N199" s="1247"/>
      <c r="O199" s="1247"/>
      <c r="P199" s="1247"/>
      <c r="Q199" s="1247"/>
      <c r="R199" s="1247"/>
      <c r="S199" s="1247"/>
      <c r="T199" s="1247"/>
      <c r="U199" s="1247"/>
      <c r="V199" s="1247"/>
      <c r="W199" s="1247"/>
      <c r="X199" s="1247"/>
      <c r="Y199" s="1247"/>
      <c r="Z199" s="1247"/>
      <c r="AA199" s="1247"/>
      <c r="AB199" s="1247"/>
      <c r="AC199" s="1247"/>
      <c r="AD199" s="1247"/>
      <c r="AE199" s="1247"/>
      <c r="AF199" s="1247"/>
      <c r="AG199" s="1247"/>
      <c r="AH199" s="1247"/>
      <c r="AI199" s="1247"/>
      <c r="AJ199" s="1247"/>
      <c r="AK199" s="1247"/>
      <c r="AL199" s="1247"/>
      <c r="AM199" s="1247"/>
      <c r="AN199" s="1247"/>
      <c r="AO199" s="1247"/>
      <c r="AP199" s="1247"/>
      <c r="AQ199" s="1247"/>
      <c r="AR199" s="1247"/>
      <c r="AS199" s="1247"/>
      <c r="AT199" s="1247"/>
      <c r="AU199" s="1247"/>
      <c r="AV199" s="1247"/>
      <c r="AW199" s="1247"/>
      <c r="AX199" s="1247"/>
      <c r="AY199" s="1247"/>
      <c r="AZ199" s="1247"/>
      <c r="BA199" s="1247"/>
      <c r="BB199" s="1247"/>
      <c r="BC199" s="1247"/>
    </row>
    <row r="200" spans="2:55" s="973" customFormat="1" ht="15" customHeight="1">
      <c r="B200" s="1247"/>
      <c r="C200" s="1247"/>
      <c r="D200" s="1247"/>
      <c r="E200" s="1247"/>
      <c r="F200" s="1247"/>
      <c r="G200" s="1247"/>
      <c r="H200" s="1247"/>
      <c r="I200" s="1247"/>
      <c r="J200" s="1247"/>
      <c r="K200" s="1247"/>
      <c r="L200" s="1247"/>
      <c r="M200" s="1247"/>
      <c r="N200" s="1247"/>
      <c r="O200" s="1247"/>
      <c r="P200" s="1247"/>
      <c r="Q200" s="1247"/>
      <c r="R200" s="1247"/>
      <c r="S200" s="1247"/>
      <c r="T200" s="1247"/>
      <c r="U200" s="1247"/>
      <c r="V200" s="1247"/>
      <c r="W200" s="1247"/>
      <c r="X200" s="1247"/>
      <c r="Y200" s="1247"/>
      <c r="Z200" s="1247"/>
      <c r="AA200" s="1247"/>
      <c r="AB200" s="1247"/>
      <c r="AC200" s="1247"/>
      <c r="AD200" s="1247"/>
      <c r="AE200" s="1247"/>
      <c r="AF200" s="1247"/>
      <c r="AG200" s="1247"/>
      <c r="AH200" s="1247"/>
      <c r="AI200" s="1247"/>
      <c r="AJ200" s="1247"/>
      <c r="AK200" s="1247"/>
      <c r="AL200" s="1247"/>
      <c r="AM200" s="1247"/>
      <c r="AN200" s="1247"/>
      <c r="AO200" s="1247"/>
      <c r="AP200" s="1247"/>
      <c r="AQ200" s="1247"/>
      <c r="AR200" s="1247"/>
      <c r="AS200" s="1247"/>
      <c r="AT200" s="1247"/>
      <c r="AU200" s="1247"/>
      <c r="AV200" s="1247"/>
      <c r="AW200" s="1247"/>
      <c r="AX200" s="1247"/>
      <c r="AY200" s="1247"/>
      <c r="AZ200" s="1247"/>
      <c r="BA200" s="1247"/>
      <c r="BB200" s="1247"/>
      <c r="BC200" s="1247"/>
    </row>
    <row r="201" spans="2:55" s="973" customFormat="1" ht="15" customHeight="1">
      <c r="B201" s="1247"/>
      <c r="C201" s="1247"/>
      <c r="D201" s="1247"/>
      <c r="E201" s="1247"/>
      <c r="F201" s="1247"/>
      <c r="G201" s="1247"/>
      <c r="H201" s="1247"/>
      <c r="I201" s="1247"/>
      <c r="J201" s="1247"/>
      <c r="K201" s="1247"/>
      <c r="L201" s="1247"/>
      <c r="M201" s="1247"/>
      <c r="N201" s="1247"/>
      <c r="O201" s="1247"/>
      <c r="P201" s="1247"/>
      <c r="Q201" s="1247"/>
      <c r="R201" s="1247"/>
      <c r="S201" s="1247"/>
      <c r="T201" s="1247"/>
      <c r="U201" s="1247"/>
      <c r="V201" s="1247"/>
      <c r="W201" s="1247"/>
      <c r="X201" s="1247"/>
      <c r="Y201" s="1247"/>
      <c r="Z201" s="1247"/>
      <c r="AA201" s="1247"/>
      <c r="AB201" s="1247"/>
      <c r="AC201" s="1247"/>
      <c r="AD201" s="1247"/>
      <c r="AE201" s="1247"/>
      <c r="AF201" s="1247"/>
      <c r="AG201" s="1247"/>
      <c r="AH201" s="1247"/>
      <c r="AI201" s="1247"/>
      <c r="AJ201" s="1247"/>
      <c r="AK201" s="1247"/>
      <c r="AL201" s="1247"/>
      <c r="AM201" s="1247"/>
      <c r="AN201" s="1247"/>
      <c r="AO201" s="1247"/>
      <c r="AP201" s="1247"/>
      <c r="AQ201" s="1247"/>
      <c r="AR201" s="1247"/>
      <c r="AS201" s="1247"/>
      <c r="AT201" s="1247"/>
      <c r="AU201" s="1247"/>
      <c r="AV201" s="1247"/>
      <c r="AW201" s="1247"/>
      <c r="AX201" s="1247"/>
      <c r="AY201" s="1247"/>
      <c r="AZ201" s="1247"/>
      <c r="BA201" s="1247"/>
      <c r="BB201" s="1247"/>
      <c r="BC201" s="1247"/>
    </row>
    <row r="202" spans="2:55" s="973" customFormat="1" ht="15" customHeight="1">
      <c r="B202" s="1247"/>
      <c r="C202" s="1247"/>
      <c r="D202" s="1247"/>
      <c r="E202" s="1247"/>
      <c r="F202" s="1247"/>
      <c r="G202" s="1247"/>
      <c r="H202" s="1247"/>
      <c r="I202" s="1247"/>
      <c r="J202" s="1247"/>
      <c r="K202" s="1247"/>
      <c r="L202" s="1247"/>
      <c r="M202" s="1247"/>
      <c r="N202" s="1247"/>
      <c r="O202" s="1247"/>
      <c r="P202" s="1247"/>
      <c r="Q202" s="1247"/>
      <c r="R202" s="1247"/>
      <c r="S202" s="1247"/>
      <c r="T202" s="1247"/>
      <c r="U202" s="1247"/>
      <c r="V202" s="1247"/>
      <c r="W202" s="1247"/>
      <c r="X202" s="1247"/>
      <c r="Y202" s="1247"/>
      <c r="Z202" s="1247"/>
      <c r="AA202" s="1247"/>
      <c r="AB202" s="1247"/>
      <c r="AC202" s="1247"/>
      <c r="AD202" s="1247"/>
      <c r="AE202" s="1247"/>
      <c r="AF202" s="1247"/>
      <c r="AG202" s="1247"/>
      <c r="AH202" s="1247"/>
      <c r="AI202" s="1247"/>
      <c r="AJ202" s="1247"/>
      <c r="AK202" s="1247"/>
      <c r="AL202" s="1247"/>
      <c r="AM202" s="1247"/>
      <c r="AN202" s="1247"/>
      <c r="AO202" s="1247"/>
      <c r="AP202" s="1247"/>
      <c r="AQ202" s="1247"/>
      <c r="AR202" s="1247"/>
      <c r="AS202" s="1247"/>
      <c r="AT202" s="1247"/>
      <c r="AU202" s="1247"/>
      <c r="AV202" s="1247"/>
      <c r="AW202" s="1247"/>
      <c r="AX202" s="1247"/>
      <c r="AY202" s="1247"/>
      <c r="AZ202" s="1247"/>
      <c r="BA202" s="1247"/>
      <c r="BB202" s="1247"/>
      <c r="BC202" s="1247"/>
    </row>
    <row r="203" spans="2:55" s="973" customFormat="1" ht="15" customHeight="1">
      <c r="B203" s="1247"/>
      <c r="C203" s="1247"/>
      <c r="D203" s="1247"/>
      <c r="E203" s="1247"/>
      <c r="F203" s="1247"/>
      <c r="G203" s="1247"/>
      <c r="H203" s="1247"/>
      <c r="I203" s="1247"/>
      <c r="J203" s="1247"/>
      <c r="K203" s="1247"/>
      <c r="L203" s="1247"/>
      <c r="M203" s="1247"/>
      <c r="N203" s="1247"/>
      <c r="O203" s="1247"/>
      <c r="P203" s="1247"/>
      <c r="Q203" s="1247"/>
      <c r="R203" s="1247"/>
      <c r="S203" s="1247"/>
      <c r="T203" s="1247"/>
      <c r="U203" s="1247"/>
      <c r="V203" s="1247"/>
      <c r="W203" s="1247"/>
      <c r="X203" s="1247"/>
      <c r="Y203" s="1247"/>
      <c r="Z203" s="1247"/>
      <c r="AA203" s="1247"/>
      <c r="AB203" s="1247"/>
      <c r="AC203" s="1247"/>
      <c r="AD203" s="1247"/>
      <c r="AE203" s="1247"/>
      <c r="AF203" s="1247"/>
      <c r="AG203" s="1247"/>
      <c r="AH203" s="1247"/>
      <c r="AI203" s="1247"/>
      <c r="AJ203" s="1247"/>
      <c r="AK203" s="1247"/>
      <c r="AL203" s="1247"/>
      <c r="AM203" s="1247"/>
      <c r="AN203" s="1247"/>
      <c r="AO203" s="1247"/>
      <c r="AP203" s="1247"/>
      <c r="AQ203" s="1247"/>
      <c r="AR203" s="1247"/>
      <c r="AS203" s="1247"/>
      <c r="AT203" s="1247"/>
      <c r="AU203" s="1247"/>
      <c r="AV203" s="1247"/>
      <c r="AW203" s="1247"/>
      <c r="AX203" s="1247"/>
      <c r="AY203" s="1247"/>
      <c r="AZ203" s="1247"/>
      <c r="BA203" s="1247"/>
      <c r="BB203" s="1247"/>
      <c r="BC203" s="1247"/>
    </row>
    <row r="204" spans="2:55" s="973" customFormat="1" ht="15" customHeight="1">
      <c r="B204" s="1247"/>
      <c r="C204" s="1247"/>
      <c r="D204" s="1247"/>
      <c r="E204" s="1247"/>
      <c r="F204" s="1247"/>
      <c r="G204" s="1247"/>
      <c r="H204" s="1247"/>
      <c r="I204" s="1247"/>
      <c r="J204" s="1247"/>
      <c r="K204" s="1247"/>
      <c r="L204" s="1247"/>
      <c r="M204" s="1247"/>
      <c r="N204" s="1247"/>
      <c r="O204" s="1247"/>
      <c r="P204" s="1247"/>
      <c r="Q204" s="1247"/>
      <c r="R204" s="1247"/>
      <c r="S204" s="1247"/>
      <c r="T204" s="1247"/>
      <c r="U204" s="1247"/>
      <c r="V204" s="1247"/>
      <c r="W204" s="1247"/>
      <c r="X204" s="1247"/>
      <c r="Y204" s="1247"/>
      <c r="Z204" s="1247"/>
      <c r="AA204" s="1247"/>
      <c r="AB204" s="1247"/>
      <c r="AC204" s="1247"/>
      <c r="AD204" s="1247"/>
      <c r="AE204" s="1247"/>
      <c r="AF204" s="1247"/>
      <c r="AG204" s="1247"/>
      <c r="AH204" s="1247"/>
      <c r="AI204" s="1247"/>
      <c r="AJ204" s="1247"/>
      <c r="AK204" s="1247"/>
      <c r="AL204" s="1247"/>
      <c r="AM204" s="1247"/>
      <c r="AN204" s="1247"/>
      <c r="AO204" s="1247"/>
      <c r="AP204" s="1247"/>
      <c r="AQ204" s="1247"/>
      <c r="AR204" s="1247"/>
      <c r="AS204" s="1247"/>
      <c r="AT204" s="1247"/>
      <c r="AU204" s="1247"/>
      <c r="AV204" s="1247"/>
      <c r="AW204" s="1247"/>
      <c r="AX204" s="1247"/>
      <c r="AY204" s="1247"/>
      <c r="AZ204" s="1247"/>
      <c r="BA204" s="1247"/>
      <c r="BB204" s="1247"/>
      <c r="BC204" s="1247"/>
    </row>
    <row r="205" spans="2:55" s="973" customFormat="1" ht="15" customHeight="1">
      <c r="B205" s="1247"/>
      <c r="C205" s="1247"/>
      <c r="D205" s="1247"/>
      <c r="E205" s="1247"/>
      <c r="F205" s="1247"/>
      <c r="G205" s="1247"/>
      <c r="H205" s="1247"/>
      <c r="I205" s="1247"/>
      <c r="J205" s="1247"/>
      <c r="K205" s="1247"/>
      <c r="L205" s="1247"/>
      <c r="M205" s="1247"/>
      <c r="N205" s="1247"/>
      <c r="O205" s="1247"/>
      <c r="P205" s="1247"/>
      <c r="Q205" s="1247"/>
      <c r="R205" s="1247"/>
      <c r="S205" s="1247"/>
      <c r="T205" s="1247"/>
      <c r="U205" s="1247"/>
      <c r="V205" s="1247"/>
      <c r="W205" s="1247"/>
      <c r="X205" s="1247"/>
      <c r="Y205" s="1247"/>
      <c r="Z205" s="1247"/>
      <c r="AA205" s="1247"/>
      <c r="AB205" s="1247"/>
      <c r="AC205" s="1247"/>
      <c r="AD205" s="1247"/>
      <c r="AE205" s="1247"/>
      <c r="AF205" s="1247"/>
      <c r="AG205" s="1247"/>
      <c r="AH205" s="1247"/>
      <c r="AI205" s="1247"/>
      <c r="AJ205" s="1247"/>
      <c r="AK205" s="1247"/>
      <c r="AL205" s="1247"/>
      <c r="AM205" s="1247"/>
      <c r="AN205" s="1247"/>
      <c r="AO205" s="1247"/>
      <c r="AP205" s="1247"/>
      <c r="AQ205" s="1247"/>
      <c r="AR205" s="1247"/>
      <c r="AS205" s="1247"/>
      <c r="AT205" s="1247"/>
      <c r="AU205" s="1247"/>
      <c r="AV205" s="1247"/>
      <c r="AW205" s="1247"/>
      <c r="AX205" s="1247"/>
      <c r="AY205" s="1247"/>
      <c r="AZ205" s="1247"/>
      <c r="BA205" s="1247"/>
      <c r="BB205" s="1247"/>
      <c r="BC205" s="1247"/>
    </row>
    <row r="206" spans="2:55" s="973" customFormat="1" ht="15" customHeight="1">
      <c r="B206" s="1247"/>
      <c r="C206" s="1247"/>
      <c r="D206" s="1247"/>
      <c r="E206" s="1247"/>
      <c r="F206" s="1247"/>
      <c r="G206" s="1247"/>
      <c r="H206" s="1247"/>
      <c r="I206" s="1247"/>
      <c r="J206" s="1247"/>
      <c r="K206" s="1247"/>
      <c r="L206" s="1247"/>
      <c r="M206" s="1247"/>
      <c r="N206" s="1247"/>
      <c r="O206" s="1247"/>
      <c r="P206" s="1247"/>
      <c r="Q206" s="1247"/>
      <c r="R206" s="1247"/>
      <c r="S206" s="1247"/>
      <c r="T206" s="1247"/>
      <c r="U206" s="1247"/>
      <c r="V206" s="1247"/>
      <c r="W206" s="1247"/>
      <c r="X206" s="1247"/>
      <c r="Y206" s="1247"/>
      <c r="Z206" s="1247"/>
      <c r="AA206" s="1247"/>
      <c r="AB206" s="1247"/>
      <c r="AC206" s="1247"/>
      <c r="AD206" s="1247"/>
      <c r="AE206" s="1247"/>
      <c r="AF206" s="1247"/>
      <c r="AG206" s="1247"/>
      <c r="AH206" s="1247"/>
      <c r="AI206" s="1247"/>
      <c r="AJ206" s="1247"/>
      <c r="AK206" s="1247"/>
      <c r="AL206" s="1247"/>
      <c r="AM206" s="1247"/>
      <c r="AN206" s="1247"/>
      <c r="AO206" s="1247"/>
      <c r="AP206" s="1247"/>
      <c r="AQ206" s="1247"/>
      <c r="AR206" s="1247"/>
      <c r="AS206" s="1247"/>
      <c r="AT206" s="1247"/>
      <c r="AU206" s="1247"/>
      <c r="AV206" s="1247"/>
      <c r="AW206" s="1247"/>
      <c r="AX206" s="1247"/>
      <c r="AY206" s="1247"/>
      <c r="AZ206" s="1247"/>
      <c r="BA206" s="1247"/>
      <c r="BB206" s="1247"/>
      <c r="BC206" s="1247"/>
    </row>
    <row r="207" spans="2:55" s="973" customFormat="1" ht="15" customHeight="1">
      <c r="B207" s="1247"/>
      <c r="C207" s="1247"/>
      <c r="D207" s="1247"/>
      <c r="E207" s="1247"/>
      <c r="F207" s="1247"/>
      <c r="G207" s="1247"/>
      <c r="H207" s="1247"/>
      <c r="I207" s="1247"/>
      <c r="J207" s="1247"/>
      <c r="K207" s="1247"/>
      <c r="L207" s="1247"/>
      <c r="M207" s="1247"/>
      <c r="N207" s="1247"/>
      <c r="O207" s="1247"/>
      <c r="P207" s="1247"/>
      <c r="Q207" s="1247"/>
      <c r="R207" s="1247"/>
      <c r="S207" s="1247"/>
      <c r="T207" s="1247"/>
      <c r="U207" s="1247"/>
      <c r="V207" s="1247"/>
      <c r="W207" s="1247"/>
      <c r="X207" s="1247"/>
      <c r="Y207" s="1247"/>
      <c r="Z207" s="1247"/>
      <c r="AA207" s="1247"/>
      <c r="AB207" s="1247"/>
      <c r="AC207" s="1247"/>
      <c r="AD207" s="1247"/>
      <c r="AE207" s="1247"/>
      <c r="AF207" s="1247"/>
      <c r="AG207" s="1247"/>
      <c r="AH207" s="1247"/>
      <c r="AI207" s="1247"/>
      <c r="AJ207" s="1247"/>
      <c r="AK207" s="1247"/>
      <c r="AL207" s="1247"/>
      <c r="AM207" s="1247"/>
      <c r="AN207" s="1247"/>
      <c r="AO207" s="1247"/>
      <c r="AP207" s="1247"/>
      <c r="AQ207" s="1247"/>
      <c r="AR207" s="1247"/>
      <c r="AS207" s="1247"/>
      <c r="AT207" s="1247"/>
      <c r="AU207" s="1247"/>
      <c r="AV207" s="1247"/>
      <c r="AW207" s="1247"/>
      <c r="AX207" s="1247"/>
      <c r="AY207" s="1247"/>
      <c r="AZ207" s="1247"/>
      <c r="BA207" s="1247"/>
      <c r="BB207" s="1247"/>
      <c r="BC207" s="1247"/>
    </row>
    <row r="208" spans="2:55" s="973" customFormat="1" ht="15" customHeight="1">
      <c r="B208" s="1247"/>
      <c r="C208" s="1247"/>
      <c r="D208" s="1247"/>
      <c r="E208" s="1247"/>
      <c r="F208" s="1247"/>
      <c r="G208" s="1247"/>
      <c r="H208" s="1247"/>
      <c r="I208" s="1247"/>
      <c r="J208" s="1247"/>
      <c r="K208" s="1247"/>
      <c r="L208" s="1247"/>
      <c r="M208" s="1247"/>
      <c r="N208" s="1247"/>
      <c r="O208" s="1247"/>
      <c r="P208" s="1247"/>
      <c r="Q208" s="1247"/>
      <c r="R208" s="1247"/>
      <c r="S208" s="1247"/>
      <c r="T208" s="1247"/>
      <c r="U208" s="1247"/>
      <c r="V208" s="1247"/>
      <c r="W208" s="1247"/>
      <c r="X208" s="1247"/>
      <c r="Y208" s="1247"/>
      <c r="Z208" s="1247"/>
      <c r="AA208" s="1247"/>
      <c r="AB208" s="1247"/>
      <c r="AC208" s="1247"/>
      <c r="AD208" s="1247"/>
      <c r="AE208" s="1247"/>
      <c r="AF208" s="1247"/>
      <c r="AG208" s="1247"/>
      <c r="AH208" s="1247"/>
      <c r="AI208" s="1247"/>
      <c r="AJ208" s="1247"/>
      <c r="AK208" s="1247"/>
      <c r="AL208" s="1247"/>
      <c r="AM208" s="1247"/>
      <c r="AN208" s="1247"/>
      <c r="AO208" s="1247"/>
      <c r="AP208" s="1247"/>
      <c r="AQ208" s="1247"/>
      <c r="AR208" s="1247"/>
      <c r="AS208" s="1247"/>
      <c r="AT208" s="1247"/>
      <c r="AU208" s="1247"/>
      <c r="AV208" s="1247"/>
      <c r="AW208" s="1247"/>
      <c r="AX208" s="1247"/>
      <c r="AY208" s="1247"/>
      <c r="AZ208" s="1247"/>
      <c r="BA208" s="1247"/>
      <c r="BB208" s="1247"/>
      <c r="BC208" s="1247"/>
    </row>
    <row r="209" spans="2:55" s="973" customFormat="1" ht="15" customHeight="1">
      <c r="B209" s="1247"/>
      <c r="C209" s="1247"/>
      <c r="D209" s="1247"/>
      <c r="E209" s="1247"/>
      <c r="F209" s="1247"/>
      <c r="G209" s="1247"/>
      <c r="H209" s="1247"/>
      <c r="I209" s="1247"/>
      <c r="J209" s="1247"/>
      <c r="K209" s="1247"/>
      <c r="L209" s="1247"/>
      <c r="M209" s="1247"/>
      <c r="N209" s="1247"/>
      <c r="O209" s="1247"/>
      <c r="P209" s="1247"/>
      <c r="Q209" s="1247"/>
      <c r="R209" s="1247"/>
      <c r="S209" s="1247"/>
      <c r="T209" s="1247"/>
      <c r="U209" s="1247"/>
      <c r="V209" s="1247"/>
      <c r="W209" s="1247"/>
      <c r="X209" s="1247"/>
      <c r="Y209" s="1247"/>
      <c r="Z209" s="1247"/>
      <c r="AA209" s="1247"/>
      <c r="AB209" s="1247"/>
      <c r="AC209" s="1247"/>
      <c r="AD209" s="1247"/>
      <c r="AE209" s="1247"/>
      <c r="AF209" s="1247"/>
      <c r="AG209" s="1247"/>
      <c r="AH209" s="1247"/>
      <c r="AI209" s="1247"/>
      <c r="AJ209" s="1247"/>
      <c r="AK209" s="1247"/>
      <c r="AL209" s="1247"/>
      <c r="AM209" s="1247"/>
      <c r="AN209" s="1247"/>
      <c r="AO209" s="1247"/>
      <c r="AP209" s="1247"/>
      <c r="AQ209" s="1247"/>
      <c r="AR209" s="1247"/>
      <c r="AS209" s="1247"/>
      <c r="AT209" s="1247"/>
      <c r="AU209" s="1247"/>
      <c r="AV209" s="1247"/>
      <c r="AW209" s="1247"/>
      <c r="AX209" s="1247"/>
      <c r="AY209" s="1247"/>
      <c r="AZ209" s="1247"/>
      <c r="BA209" s="1247"/>
      <c r="BB209" s="1247"/>
      <c r="BC209" s="1247"/>
    </row>
    <row r="210" spans="2:55" s="973" customFormat="1" ht="15" customHeight="1">
      <c r="B210" s="1247"/>
      <c r="C210" s="1247"/>
      <c r="D210" s="1247"/>
      <c r="E210" s="1247"/>
      <c r="F210" s="1247"/>
      <c r="G210" s="1247"/>
      <c r="H210" s="1247"/>
      <c r="I210" s="1247"/>
      <c r="J210" s="1247"/>
      <c r="K210" s="1247"/>
      <c r="L210" s="1247"/>
      <c r="M210" s="1247"/>
      <c r="N210" s="1247"/>
      <c r="O210" s="1247"/>
      <c r="P210" s="1247"/>
      <c r="Q210" s="1247"/>
      <c r="R210" s="1247"/>
      <c r="S210" s="1247"/>
      <c r="T210" s="1247"/>
      <c r="U210" s="1247"/>
      <c r="V210" s="1247"/>
      <c r="W210" s="1247"/>
      <c r="X210" s="1247"/>
      <c r="Y210" s="1247"/>
      <c r="Z210" s="1247"/>
      <c r="AA210" s="1247"/>
      <c r="AB210" s="1247"/>
      <c r="AC210" s="1247"/>
      <c r="AD210" s="1247"/>
      <c r="AE210" s="1247"/>
      <c r="AF210" s="1247"/>
      <c r="AG210" s="1247"/>
      <c r="AH210" s="1247"/>
      <c r="AI210" s="1247"/>
      <c r="AJ210" s="1247"/>
      <c r="AK210" s="1247"/>
      <c r="AL210" s="1247"/>
      <c r="AM210" s="1247"/>
      <c r="AN210" s="1247"/>
      <c r="AO210" s="1247"/>
      <c r="AP210" s="1247"/>
      <c r="AQ210" s="1247"/>
      <c r="AR210" s="1247"/>
      <c r="AS210" s="1247"/>
      <c r="AT210" s="1247"/>
      <c r="AU210" s="1247"/>
      <c r="AV210" s="1247"/>
      <c r="AW210" s="1247"/>
      <c r="AX210" s="1247"/>
      <c r="AY210" s="1247"/>
      <c r="AZ210" s="1247"/>
      <c r="BA210" s="1247"/>
      <c r="BB210" s="1247"/>
      <c r="BC210" s="1247"/>
    </row>
    <row r="211" spans="2:55" s="973" customFormat="1" ht="15" customHeight="1">
      <c r="B211" s="1247"/>
      <c r="C211" s="1247"/>
      <c r="D211" s="1247"/>
      <c r="E211" s="1247"/>
      <c r="F211" s="1247"/>
      <c r="G211" s="1247"/>
      <c r="H211" s="1247"/>
      <c r="I211" s="1247"/>
      <c r="J211" s="1247"/>
      <c r="K211" s="1247"/>
      <c r="L211" s="1247"/>
      <c r="M211" s="1247"/>
      <c r="N211" s="1247"/>
      <c r="O211" s="1247"/>
      <c r="P211" s="1247"/>
      <c r="Q211" s="1247"/>
      <c r="R211" s="1247"/>
      <c r="S211" s="1247"/>
      <c r="T211" s="1247"/>
      <c r="U211" s="1247"/>
      <c r="V211" s="1247"/>
      <c r="W211" s="1247"/>
      <c r="X211" s="1247"/>
      <c r="Y211" s="1247"/>
      <c r="Z211" s="1247"/>
      <c r="AA211" s="1247"/>
      <c r="AB211" s="1247"/>
      <c r="AC211" s="1247"/>
      <c r="AD211" s="1247"/>
      <c r="AE211" s="1247"/>
      <c r="AF211" s="1247"/>
      <c r="AG211" s="1247"/>
      <c r="AH211" s="1247"/>
      <c r="AI211" s="1247"/>
      <c r="AJ211" s="1247"/>
      <c r="AK211" s="1247"/>
      <c r="AL211" s="1247"/>
      <c r="AM211" s="1247"/>
      <c r="AN211" s="1247"/>
      <c r="AO211" s="1247"/>
      <c r="AP211" s="1247"/>
      <c r="AQ211" s="1247"/>
      <c r="AR211" s="1247"/>
      <c r="AS211" s="1247"/>
      <c r="AT211" s="1247"/>
      <c r="AU211" s="1247"/>
      <c r="AV211" s="1247"/>
      <c r="AW211" s="1247"/>
      <c r="AX211" s="1247"/>
      <c r="AY211" s="1247"/>
      <c r="AZ211" s="1247"/>
      <c r="BA211" s="1247"/>
      <c r="BB211" s="1247"/>
      <c r="BC211" s="1247"/>
    </row>
    <row r="212" spans="2:55" s="973" customFormat="1" ht="15" customHeight="1">
      <c r="B212" s="1247"/>
      <c r="C212" s="1247"/>
      <c r="D212" s="1247"/>
      <c r="E212" s="1247"/>
      <c r="F212" s="1247"/>
      <c r="G212" s="1247"/>
      <c r="H212" s="1247"/>
      <c r="I212" s="1247"/>
      <c r="J212" s="1247"/>
      <c r="K212" s="1247"/>
      <c r="L212" s="1247"/>
      <c r="M212" s="1247"/>
      <c r="N212" s="1247"/>
      <c r="O212" s="1247"/>
      <c r="P212" s="1247"/>
      <c r="Q212" s="1247"/>
      <c r="R212" s="1247"/>
      <c r="S212" s="1247"/>
      <c r="T212" s="1247"/>
      <c r="U212" s="1247"/>
      <c r="V212" s="1247"/>
      <c r="W212" s="1247"/>
      <c r="X212" s="1247"/>
      <c r="Y212" s="1247"/>
      <c r="Z212" s="1247"/>
      <c r="AA212" s="1247"/>
      <c r="AB212" s="1247"/>
      <c r="AC212" s="1247"/>
      <c r="AD212" s="1247"/>
      <c r="AE212" s="1247"/>
      <c r="AF212" s="1247"/>
      <c r="AG212" s="1247"/>
      <c r="AH212" s="1247"/>
      <c r="AI212" s="1247"/>
      <c r="AJ212" s="1247"/>
      <c r="AK212" s="1247"/>
      <c r="AL212" s="1247"/>
      <c r="AM212" s="1247"/>
      <c r="AN212" s="1247"/>
      <c r="AO212" s="1247"/>
      <c r="AP212" s="1247"/>
      <c r="AQ212" s="1247"/>
      <c r="AR212" s="1247"/>
      <c r="AS212" s="1247"/>
      <c r="AT212" s="1247"/>
      <c r="AU212" s="1247"/>
      <c r="AV212" s="1247"/>
      <c r="AW212" s="1247"/>
      <c r="AX212" s="1247"/>
      <c r="AY212" s="1247"/>
      <c r="AZ212" s="1247"/>
      <c r="BA212" s="1247"/>
      <c r="BB212" s="1247"/>
      <c r="BC212" s="1247"/>
    </row>
    <row r="213" spans="2:55" s="973" customFormat="1" ht="15" customHeight="1">
      <c r="B213" s="1247"/>
      <c r="C213" s="1247"/>
      <c r="D213" s="1247"/>
      <c r="E213" s="1247"/>
      <c r="F213" s="1247"/>
      <c r="G213" s="1247"/>
      <c r="H213" s="1247"/>
      <c r="I213" s="1247"/>
      <c r="J213" s="1247"/>
      <c r="K213" s="1247"/>
      <c r="L213" s="1247"/>
      <c r="M213" s="1247"/>
      <c r="N213" s="1247"/>
      <c r="O213" s="1247"/>
      <c r="P213" s="1247"/>
      <c r="Q213" s="1247"/>
      <c r="R213" s="1247"/>
      <c r="S213" s="1247"/>
      <c r="T213" s="1247"/>
      <c r="U213" s="1247"/>
      <c r="V213" s="1247"/>
      <c r="W213" s="1247"/>
      <c r="X213" s="1247"/>
      <c r="Y213" s="1247"/>
      <c r="Z213" s="1247"/>
      <c r="AA213" s="1247"/>
      <c r="AB213" s="1247"/>
      <c r="AC213" s="1247"/>
      <c r="AD213" s="1247"/>
      <c r="AE213" s="1247"/>
      <c r="AF213" s="1247"/>
      <c r="AG213" s="1247"/>
      <c r="AH213" s="1247"/>
      <c r="AI213" s="1247"/>
      <c r="AJ213" s="1247"/>
      <c r="AK213" s="1247"/>
      <c r="AL213" s="1247"/>
      <c r="AM213" s="1247"/>
      <c r="AN213" s="1247"/>
      <c r="AO213" s="1247"/>
      <c r="AP213" s="1247"/>
      <c r="AQ213" s="1247"/>
      <c r="AR213" s="1247"/>
      <c r="AS213" s="1247"/>
      <c r="AT213" s="1247"/>
      <c r="AU213" s="1247"/>
      <c r="AV213" s="1247"/>
      <c r="AW213" s="1247"/>
      <c r="AX213" s="1247"/>
      <c r="AY213" s="1247"/>
      <c r="AZ213" s="1247"/>
      <c r="BA213" s="1247"/>
      <c r="BB213" s="1247"/>
      <c r="BC213" s="1247"/>
    </row>
    <row r="214" spans="2:55" s="973" customFormat="1" ht="15" customHeight="1">
      <c r="B214" s="1247"/>
      <c r="C214" s="1247"/>
      <c r="D214" s="1247"/>
      <c r="E214" s="1247"/>
      <c r="F214" s="1247"/>
      <c r="G214" s="1247"/>
      <c r="H214" s="1247"/>
      <c r="I214" s="1247"/>
      <c r="J214" s="1247"/>
      <c r="K214" s="1247"/>
      <c r="L214" s="1247"/>
      <c r="M214" s="1247"/>
      <c r="N214" s="1247"/>
      <c r="O214" s="1247"/>
      <c r="P214" s="1247"/>
      <c r="Q214" s="1247"/>
      <c r="R214" s="1247"/>
      <c r="S214" s="1247"/>
      <c r="T214" s="1247"/>
      <c r="U214" s="1247"/>
      <c r="V214" s="1247"/>
      <c r="W214" s="1247"/>
      <c r="X214" s="1247"/>
      <c r="Y214" s="1247"/>
      <c r="Z214" s="1247"/>
      <c r="AA214" s="1247"/>
      <c r="AB214" s="1247"/>
      <c r="AC214" s="1247"/>
      <c r="AD214" s="1247"/>
      <c r="AE214" s="1247"/>
      <c r="AF214" s="1247"/>
      <c r="AG214" s="1247"/>
      <c r="AH214" s="1247"/>
      <c r="AI214" s="1247"/>
      <c r="AJ214" s="1247"/>
      <c r="AK214" s="1247"/>
      <c r="AL214" s="1247"/>
      <c r="AM214" s="1247"/>
      <c r="AN214" s="1247"/>
      <c r="AO214" s="1247"/>
      <c r="AP214" s="1247"/>
      <c r="AQ214" s="1247"/>
      <c r="AR214" s="1247"/>
      <c r="AS214" s="1247"/>
      <c r="AT214" s="1247"/>
      <c r="AU214" s="1247"/>
      <c r="AV214" s="1247"/>
      <c r="AW214" s="1247"/>
      <c r="AX214" s="1247"/>
      <c r="AY214" s="1247"/>
      <c r="AZ214" s="1247"/>
      <c r="BA214" s="1247"/>
      <c r="BB214" s="1247"/>
      <c r="BC214" s="1247"/>
    </row>
    <row r="215" spans="2:55" s="973" customFormat="1" ht="15" customHeight="1">
      <c r="B215" s="1247"/>
      <c r="C215" s="1247"/>
      <c r="D215" s="1247"/>
      <c r="E215" s="1247"/>
      <c r="F215" s="1247"/>
      <c r="G215" s="1247"/>
      <c r="H215" s="1247"/>
      <c r="I215" s="1247"/>
      <c r="J215" s="1247"/>
      <c r="K215" s="1247"/>
      <c r="L215" s="1247"/>
      <c r="M215" s="1247"/>
      <c r="N215" s="1247"/>
      <c r="O215" s="1247"/>
      <c r="P215" s="1247"/>
      <c r="Q215" s="1247"/>
      <c r="R215" s="1247"/>
      <c r="S215" s="1247"/>
      <c r="T215" s="1247"/>
      <c r="U215" s="1247"/>
      <c r="V215" s="1247"/>
      <c r="W215" s="1247"/>
      <c r="X215" s="1247"/>
      <c r="Y215" s="1247"/>
      <c r="Z215" s="1247"/>
      <c r="AA215" s="1247"/>
      <c r="AB215" s="1247"/>
      <c r="AC215" s="1247"/>
      <c r="AD215" s="1247"/>
      <c r="AE215" s="1247"/>
      <c r="AF215" s="1247"/>
      <c r="AG215" s="1247"/>
      <c r="AH215" s="1247"/>
      <c r="AI215" s="1247"/>
      <c r="AJ215" s="1247"/>
      <c r="AK215" s="1247"/>
      <c r="AL215" s="1247"/>
      <c r="AM215" s="1247"/>
      <c r="AN215" s="1247"/>
      <c r="AO215" s="1247"/>
      <c r="AP215" s="1247"/>
      <c r="AQ215" s="1247"/>
      <c r="AR215" s="1247"/>
      <c r="AS215" s="1247"/>
      <c r="AT215" s="1247"/>
      <c r="AU215" s="1247"/>
      <c r="AV215" s="1247"/>
      <c r="AW215" s="1247"/>
      <c r="AX215" s="1247"/>
      <c r="AY215" s="1247"/>
      <c r="AZ215" s="1247"/>
      <c r="BA215" s="1247"/>
      <c r="BB215" s="1247"/>
      <c r="BC215" s="1247"/>
    </row>
    <row r="216" spans="2:55" s="973" customFormat="1" ht="15" customHeight="1">
      <c r="B216" s="1247"/>
      <c r="C216" s="1247"/>
      <c r="D216" s="1247"/>
      <c r="E216" s="1247"/>
      <c r="F216" s="1247"/>
      <c r="G216" s="1247"/>
      <c r="H216" s="1247"/>
      <c r="I216" s="1247"/>
      <c r="J216" s="1247"/>
      <c r="K216" s="1247"/>
      <c r="L216" s="1247"/>
      <c r="M216" s="1247"/>
      <c r="N216" s="1247"/>
      <c r="O216" s="1247"/>
      <c r="P216" s="1247"/>
      <c r="Q216" s="1247"/>
      <c r="R216" s="1247"/>
      <c r="S216" s="1247"/>
      <c r="T216" s="1247"/>
      <c r="U216" s="1247"/>
      <c r="V216" s="1247"/>
      <c r="W216" s="1247"/>
      <c r="X216" s="1247"/>
      <c r="Y216" s="1247"/>
      <c r="Z216" s="1247"/>
      <c r="AA216" s="1247"/>
      <c r="AB216" s="1247"/>
      <c r="AC216" s="1247"/>
      <c r="AD216" s="1247"/>
      <c r="AE216" s="1247"/>
      <c r="AF216" s="1247"/>
      <c r="AG216" s="1247"/>
      <c r="AH216" s="1247"/>
      <c r="AI216" s="1247"/>
      <c r="AJ216" s="1247"/>
      <c r="AK216" s="1247"/>
      <c r="AL216" s="1247"/>
      <c r="AM216" s="1247"/>
      <c r="AN216" s="1247"/>
      <c r="AO216" s="1247"/>
      <c r="AP216" s="1247"/>
      <c r="AQ216" s="1247"/>
      <c r="AR216" s="1247"/>
      <c r="AS216" s="1247"/>
      <c r="AT216" s="1247"/>
      <c r="AU216" s="1247"/>
      <c r="AV216" s="1247"/>
      <c r="AW216" s="1247"/>
      <c r="AX216" s="1247"/>
      <c r="AY216" s="1247"/>
      <c r="AZ216" s="1247"/>
      <c r="BA216" s="1247"/>
      <c r="BB216" s="1247"/>
      <c r="BC216" s="1247"/>
    </row>
    <row r="217" spans="2:55" s="973" customFormat="1" ht="15" customHeight="1">
      <c r="B217" s="1247"/>
      <c r="C217" s="1247"/>
      <c r="D217" s="1247"/>
      <c r="E217" s="1247"/>
      <c r="F217" s="1247"/>
      <c r="G217" s="1247"/>
      <c r="H217" s="1247"/>
      <c r="I217" s="1247"/>
      <c r="J217" s="1247"/>
      <c r="K217" s="1247"/>
      <c r="L217" s="1247"/>
      <c r="M217" s="1247"/>
      <c r="N217" s="1247"/>
      <c r="O217" s="1247"/>
      <c r="P217" s="1247"/>
      <c r="Q217" s="1247"/>
      <c r="R217" s="1247"/>
      <c r="S217" s="1247"/>
      <c r="T217" s="1247"/>
      <c r="U217" s="1247"/>
      <c r="V217" s="1247"/>
      <c r="W217" s="1247"/>
      <c r="X217" s="1247"/>
      <c r="Y217" s="1247"/>
      <c r="Z217" s="1247"/>
      <c r="AA217" s="1247"/>
      <c r="AB217" s="1247"/>
      <c r="AC217" s="1247"/>
      <c r="AD217" s="1247"/>
      <c r="AE217" s="1247"/>
      <c r="AF217" s="1247"/>
      <c r="AG217" s="1247"/>
      <c r="AH217" s="1247"/>
      <c r="AI217" s="1247"/>
      <c r="AJ217" s="1247"/>
      <c r="AK217" s="1247"/>
      <c r="AL217" s="1247"/>
      <c r="AM217" s="1247"/>
      <c r="AN217" s="1247"/>
      <c r="AO217" s="1247"/>
      <c r="AP217" s="1247"/>
      <c r="AQ217" s="1247"/>
      <c r="AR217" s="1247"/>
      <c r="AS217" s="1247"/>
      <c r="AT217" s="1247"/>
      <c r="AU217" s="1247"/>
      <c r="AV217" s="1247"/>
      <c r="AW217" s="1247"/>
      <c r="AX217" s="1247"/>
      <c r="AY217" s="1247"/>
      <c r="AZ217" s="1247"/>
      <c r="BA217" s="1247"/>
      <c r="BB217" s="1247"/>
      <c r="BC217" s="1247"/>
    </row>
    <row r="218" spans="2:55" s="973" customFormat="1" ht="15" customHeight="1">
      <c r="B218" s="1247"/>
      <c r="C218" s="1247"/>
      <c r="D218" s="1247"/>
      <c r="E218" s="1247"/>
      <c r="F218" s="1247"/>
      <c r="G218" s="1247"/>
      <c r="H218" s="1247"/>
      <c r="I218" s="1247"/>
      <c r="J218" s="1247"/>
      <c r="K218" s="1247"/>
      <c r="L218" s="1247"/>
      <c r="M218" s="1247"/>
      <c r="N218" s="1247"/>
      <c r="O218" s="1247"/>
      <c r="P218" s="1247"/>
      <c r="Q218" s="1247"/>
      <c r="R218" s="1247"/>
      <c r="S218" s="1247"/>
      <c r="T218" s="1247"/>
      <c r="U218" s="1247"/>
      <c r="V218" s="1247"/>
      <c r="W218" s="1247"/>
      <c r="X218" s="1247"/>
      <c r="Y218" s="1247"/>
      <c r="Z218" s="1247"/>
      <c r="AA218" s="1247"/>
      <c r="AB218" s="1247"/>
      <c r="AC218" s="1247"/>
      <c r="AD218" s="1247"/>
      <c r="AE218" s="1247"/>
      <c r="AF218" s="1247"/>
      <c r="AG218" s="1247"/>
      <c r="AH218" s="1247"/>
      <c r="AI218" s="1247"/>
      <c r="AJ218" s="1247"/>
      <c r="AK218" s="1247"/>
      <c r="AL218" s="1247"/>
      <c r="AM218" s="1247"/>
      <c r="AN218" s="1247"/>
      <c r="AO218" s="1247"/>
      <c r="AP218" s="1247"/>
      <c r="AQ218" s="1247"/>
      <c r="AR218" s="1247"/>
      <c r="AS218" s="1247"/>
      <c r="AT218" s="1247"/>
      <c r="AU218" s="1247"/>
      <c r="AV218" s="1247"/>
      <c r="AW218" s="1247"/>
      <c r="AX218" s="1247"/>
      <c r="AY218" s="1247"/>
      <c r="AZ218" s="1247"/>
      <c r="BA218" s="1247"/>
      <c r="BB218" s="1247"/>
      <c r="BC218" s="1247"/>
    </row>
    <row r="219" spans="2:55" s="973" customFormat="1" ht="15" customHeight="1">
      <c r="B219" s="1247"/>
      <c r="C219" s="1247"/>
      <c r="D219" s="1247"/>
      <c r="E219" s="1247"/>
      <c r="F219" s="1247"/>
      <c r="G219" s="1247"/>
      <c r="H219" s="1247"/>
      <c r="I219" s="1247"/>
      <c r="J219" s="1247"/>
      <c r="K219" s="1247"/>
      <c r="L219" s="1247"/>
      <c r="M219" s="1247"/>
      <c r="N219" s="1247"/>
      <c r="O219" s="1247"/>
      <c r="P219" s="1247"/>
      <c r="Q219" s="1247"/>
      <c r="R219" s="1247"/>
      <c r="S219" s="1247"/>
      <c r="T219" s="1247"/>
      <c r="U219" s="1247"/>
      <c r="V219" s="1247"/>
      <c r="W219" s="1247"/>
      <c r="X219" s="1247"/>
      <c r="Y219" s="1247"/>
      <c r="Z219" s="1247"/>
      <c r="AA219" s="1247"/>
      <c r="AB219" s="1247"/>
      <c r="AC219" s="1247"/>
      <c r="AD219" s="1247"/>
      <c r="AE219" s="1247"/>
      <c r="AF219" s="1247"/>
      <c r="AG219" s="1247"/>
      <c r="AH219" s="1247"/>
      <c r="AI219" s="1247"/>
      <c r="AJ219" s="1247"/>
      <c r="AK219" s="1247"/>
      <c r="AL219" s="1247"/>
      <c r="AM219" s="1247"/>
      <c r="AN219" s="1247"/>
      <c r="AO219" s="1247"/>
      <c r="AP219" s="1247"/>
      <c r="AQ219" s="1247"/>
      <c r="AR219" s="1247"/>
      <c r="AS219" s="1247"/>
      <c r="AT219" s="1247"/>
      <c r="AU219" s="1247"/>
      <c r="AV219" s="1247"/>
      <c r="AW219" s="1247"/>
      <c r="AX219" s="1247"/>
      <c r="AY219" s="1247"/>
      <c r="AZ219" s="1247"/>
      <c r="BA219" s="1247"/>
      <c r="BB219" s="1247"/>
      <c r="BC219" s="1247"/>
    </row>
    <row r="220" spans="2:55" s="973" customFormat="1" ht="15" customHeight="1">
      <c r="B220" s="1247"/>
      <c r="C220" s="1247"/>
      <c r="D220" s="1247"/>
      <c r="E220" s="1247"/>
      <c r="F220" s="1247"/>
      <c r="G220" s="1247"/>
      <c r="H220" s="1247"/>
      <c r="I220" s="1247"/>
      <c r="J220" s="1247"/>
      <c r="K220" s="1247"/>
      <c r="L220" s="1247"/>
      <c r="M220" s="1247"/>
      <c r="N220" s="1247"/>
      <c r="O220" s="1247"/>
      <c r="P220" s="1247"/>
      <c r="Q220" s="1247"/>
      <c r="R220" s="1247"/>
      <c r="S220" s="1247"/>
      <c r="T220" s="1247"/>
      <c r="U220" s="1247"/>
      <c r="V220" s="1247"/>
      <c r="W220" s="1247"/>
      <c r="X220" s="1247"/>
      <c r="Y220" s="1247"/>
      <c r="Z220" s="1247"/>
      <c r="AA220" s="1247"/>
      <c r="AB220" s="1247"/>
      <c r="AC220" s="1247"/>
      <c r="AD220" s="1247"/>
      <c r="AE220" s="1247"/>
      <c r="AF220" s="1247"/>
      <c r="AG220" s="1247"/>
      <c r="AH220" s="1247"/>
      <c r="AI220" s="1247"/>
      <c r="AJ220" s="1247"/>
      <c r="AK220" s="1247"/>
      <c r="AL220" s="1247"/>
      <c r="AM220" s="1247"/>
      <c r="AN220" s="1247"/>
      <c r="AO220" s="1247"/>
      <c r="AP220" s="1247"/>
      <c r="AQ220" s="1247"/>
      <c r="AR220" s="1247"/>
      <c r="AS220" s="1247"/>
      <c r="AT220" s="1247"/>
      <c r="AU220" s="1247"/>
      <c r="AV220" s="1247"/>
      <c r="AW220" s="1247"/>
      <c r="AX220" s="1247"/>
      <c r="AY220" s="1247"/>
      <c r="AZ220" s="1247"/>
      <c r="BA220" s="1247"/>
      <c r="BB220" s="1247"/>
      <c r="BC220" s="1247"/>
    </row>
    <row r="221" spans="2:55" s="973" customFormat="1" ht="15" customHeight="1">
      <c r="B221" s="1247"/>
      <c r="C221" s="1247"/>
      <c r="D221" s="1247"/>
      <c r="E221" s="1247"/>
      <c r="F221" s="1247"/>
      <c r="G221" s="1247"/>
      <c r="H221" s="1247"/>
      <c r="I221" s="1247"/>
      <c r="J221" s="1247"/>
      <c r="K221" s="1247"/>
      <c r="L221" s="1247"/>
      <c r="M221" s="1247"/>
      <c r="N221" s="1247"/>
      <c r="O221" s="1247"/>
      <c r="P221" s="1247"/>
      <c r="Q221" s="1247"/>
      <c r="R221" s="1247"/>
      <c r="S221" s="1247"/>
      <c r="T221" s="1247"/>
      <c r="U221" s="1247"/>
      <c r="V221" s="1247"/>
      <c r="W221" s="1247"/>
      <c r="X221" s="1247"/>
      <c r="Y221" s="1247"/>
      <c r="Z221" s="1247"/>
      <c r="AA221" s="1247"/>
      <c r="AB221" s="1247"/>
      <c r="AC221" s="1247"/>
      <c r="AD221" s="1247"/>
      <c r="AE221" s="1247"/>
      <c r="AF221" s="1247"/>
      <c r="AG221" s="1247"/>
      <c r="AH221" s="1247"/>
      <c r="AI221" s="1247"/>
      <c r="AJ221" s="1247"/>
      <c r="AK221" s="1247"/>
      <c r="AL221" s="1247"/>
      <c r="AM221" s="1247"/>
      <c r="AN221" s="1247"/>
      <c r="AO221" s="1247"/>
      <c r="AP221" s="1247"/>
      <c r="AQ221" s="1247"/>
      <c r="AR221" s="1247"/>
      <c r="AS221" s="1247"/>
      <c r="AT221" s="1247"/>
      <c r="AU221" s="1247"/>
      <c r="AV221" s="1247"/>
      <c r="AW221" s="1247"/>
      <c r="AX221" s="1247"/>
      <c r="AY221" s="1247"/>
      <c r="AZ221" s="1247"/>
      <c r="BA221" s="1247"/>
      <c r="BB221" s="1247"/>
      <c r="BC221" s="1247"/>
    </row>
    <row r="222" spans="2:55" s="973" customFormat="1" ht="15" customHeight="1">
      <c r="B222" s="1247"/>
      <c r="C222" s="1247"/>
      <c r="D222" s="1247"/>
      <c r="E222" s="1247"/>
      <c r="F222" s="1247"/>
      <c r="G222" s="1247"/>
      <c r="H222" s="1247"/>
      <c r="I222" s="1247"/>
      <c r="J222" s="1247"/>
      <c r="K222" s="1247"/>
      <c r="L222" s="1247"/>
      <c r="M222" s="1247"/>
      <c r="N222" s="1247"/>
      <c r="O222" s="1247"/>
      <c r="P222" s="1247"/>
      <c r="Q222" s="1247"/>
      <c r="R222" s="1247"/>
      <c r="S222" s="1247"/>
      <c r="T222" s="1247"/>
      <c r="U222" s="1247"/>
      <c r="V222" s="1247"/>
      <c r="W222" s="1247"/>
      <c r="X222" s="1247"/>
      <c r="Y222" s="1247"/>
      <c r="Z222" s="1247"/>
      <c r="AA222" s="1247"/>
      <c r="AB222" s="1247"/>
      <c r="AC222" s="1247"/>
      <c r="AD222" s="1247"/>
      <c r="AE222" s="1247"/>
      <c r="AF222" s="1247"/>
      <c r="AG222" s="1247"/>
      <c r="AH222" s="1247"/>
      <c r="AI222" s="1247"/>
      <c r="AJ222" s="1247"/>
      <c r="AK222" s="1247"/>
      <c r="AL222" s="1247"/>
      <c r="AM222" s="1247"/>
      <c r="AN222" s="1247"/>
      <c r="AO222" s="1247"/>
      <c r="AP222" s="1247"/>
      <c r="AQ222" s="1247"/>
      <c r="AR222" s="1247"/>
      <c r="AS222" s="1247"/>
      <c r="AT222" s="1247"/>
      <c r="AU222" s="1247"/>
      <c r="AV222" s="1247"/>
      <c r="AW222" s="1247"/>
      <c r="AX222" s="1247"/>
      <c r="AY222" s="1247"/>
      <c r="AZ222" s="1247"/>
      <c r="BA222" s="1247"/>
      <c r="BB222" s="1247"/>
      <c r="BC222" s="1247"/>
    </row>
    <row r="223" spans="2:55" s="973" customFormat="1" ht="15" customHeight="1">
      <c r="B223" s="1247"/>
      <c r="C223" s="1247"/>
      <c r="D223" s="1247"/>
      <c r="E223" s="1247"/>
      <c r="F223" s="1247"/>
      <c r="G223" s="1247"/>
      <c r="H223" s="1247"/>
      <c r="I223" s="1247"/>
      <c r="J223" s="1247"/>
      <c r="K223" s="1247"/>
      <c r="L223" s="1247"/>
      <c r="M223" s="1247"/>
      <c r="N223" s="1247"/>
      <c r="O223" s="1247"/>
      <c r="P223" s="1247"/>
      <c r="Q223" s="1247"/>
      <c r="R223" s="1247"/>
      <c r="S223" s="1247"/>
      <c r="T223" s="1247"/>
      <c r="U223" s="1247"/>
      <c r="V223" s="1247"/>
      <c r="W223" s="1247"/>
      <c r="X223" s="1247"/>
      <c r="Y223" s="1247"/>
      <c r="Z223" s="1247"/>
      <c r="AA223" s="1247"/>
      <c r="AB223" s="1247"/>
      <c r="AC223" s="1247"/>
      <c r="AD223" s="1247"/>
      <c r="AE223" s="1247"/>
      <c r="AF223" s="1247"/>
      <c r="AG223" s="1247"/>
      <c r="AH223" s="1247"/>
      <c r="AI223" s="1247"/>
      <c r="AJ223" s="1247"/>
      <c r="AK223" s="1247"/>
      <c r="AL223" s="1247"/>
      <c r="AM223" s="1247"/>
      <c r="AN223" s="1247"/>
      <c r="AO223" s="1247"/>
      <c r="AP223" s="1247"/>
      <c r="AQ223" s="1247"/>
      <c r="AR223" s="1247"/>
      <c r="AS223" s="1247"/>
      <c r="AT223" s="1247"/>
      <c r="AU223" s="1247"/>
      <c r="AV223" s="1247"/>
      <c r="AW223" s="1247"/>
      <c r="AX223" s="1247"/>
      <c r="AY223" s="1247"/>
      <c r="AZ223" s="1247"/>
      <c r="BA223" s="1247"/>
      <c r="BB223" s="1247"/>
      <c r="BC223" s="1247"/>
    </row>
    <row r="224" spans="2:55" s="973" customFormat="1" ht="15" customHeight="1">
      <c r="B224" s="1247"/>
      <c r="C224" s="1247"/>
      <c r="D224" s="1247"/>
      <c r="E224" s="1247"/>
      <c r="F224" s="1247"/>
      <c r="G224" s="1247"/>
      <c r="H224" s="1247"/>
      <c r="I224" s="1247"/>
      <c r="J224" s="1247"/>
      <c r="K224" s="1247"/>
      <c r="L224" s="1247"/>
      <c r="M224" s="1247"/>
      <c r="N224" s="1247"/>
      <c r="O224" s="1247"/>
      <c r="P224" s="1247"/>
      <c r="Q224" s="1247"/>
      <c r="R224" s="1247"/>
      <c r="S224" s="1247"/>
      <c r="T224" s="1247"/>
      <c r="U224" s="1247"/>
      <c r="V224" s="1247"/>
      <c r="W224" s="1247"/>
      <c r="X224" s="1247"/>
      <c r="Y224" s="1247"/>
      <c r="Z224" s="1247"/>
      <c r="AA224" s="1247"/>
      <c r="AB224" s="1247"/>
      <c r="AC224" s="1247"/>
      <c r="AD224" s="1247"/>
      <c r="AE224" s="1247"/>
      <c r="AF224" s="1247"/>
      <c r="AG224" s="1247"/>
      <c r="AH224" s="1247"/>
      <c r="AI224" s="1247"/>
      <c r="AJ224" s="1247"/>
      <c r="AK224" s="1247"/>
      <c r="AL224" s="1247"/>
      <c r="AM224" s="1247"/>
      <c r="AN224" s="1247"/>
      <c r="AO224" s="1247"/>
      <c r="AP224" s="1247"/>
      <c r="AQ224" s="1247"/>
      <c r="AR224" s="1247"/>
      <c r="AS224" s="1247"/>
      <c r="AT224" s="1247"/>
      <c r="AU224" s="1247"/>
      <c r="AV224" s="1247"/>
      <c r="AW224" s="1247"/>
      <c r="AX224" s="1247"/>
      <c r="AY224" s="1247"/>
      <c r="AZ224" s="1247"/>
      <c r="BA224" s="1247"/>
      <c r="BB224" s="1247"/>
      <c r="BC224" s="1247"/>
    </row>
    <row r="225" spans="2:55" s="973" customFormat="1" ht="15" customHeight="1">
      <c r="B225" s="1247"/>
      <c r="C225" s="1247"/>
      <c r="D225" s="1247"/>
      <c r="E225" s="1247"/>
      <c r="F225" s="1247"/>
      <c r="G225" s="1247"/>
      <c r="H225" s="1247"/>
      <c r="I225" s="1247"/>
      <c r="J225" s="1247"/>
      <c r="K225" s="1247"/>
      <c r="L225" s="1247"/>
      <c r="M225" s="1247"/>
      <c r="N225" s="1247"/>
      <c r="O225" s="1247"/>
      <c r="P225" s="1247"/>
      <c r="Q225" s="1247"/>
      <c r="R225" s="1247"/>
      <c r="S225" s="1247"/>
      <c r="T225" s="1247"/>
      <c r="U225" s="1247"/>
      <c r="V225" s="1247"/>
      <c r="W225" s="1247"/>
      <c r="X225" s="1247"/>
      <c r="Y225" s="1247"/>
      <c r="Z225" s="1247"/>
      <c r="AA225" s="1247"/>
      <c r="AB225" s="1247"/>
      <c r="AC225" s="1247"/>
      <c r="AD225" s="1247"/>
      <c r="AE225" s="1247"/>
      <c r="AF225" s="1247"/>
      <c r="AG225" s="1247"/>
      <c r="AH225" s="1247"/>
      <c r="AI225" s="1247"/>
      <c r="AJ225" s="1247"/>
      <c r="AK225" s="1247"/>
      <c r="AL225" s="1247"/>
      <c r="AM225" s="1247"/>
      <c r="AN225" s="1247"/>
      <c r="AO225" s="1247"/>
      <c r="AP225" s="1247"/>
      <c r="AQ225" s="1247"/>
      <c r="AR225" s="1247"/>
      <c r="AS225" s="1247"/>
      <c r="AT225" s="1247"/>
      <c r="AU225" s="1247"/>
      <c r="AV225" s="1247"/>
      <c r="AW225" s="1247"/>
      <c r="AX225" s="1247"/>
      <c r="AY225" s="1247"/>
      <c r="AZ225" s="1247"/>
      <c r="BA225" s="1247"/>
      <c r="BB225" s="1247"/>
      <c r="BC225" s="1247"/>
    </row>
    <row r="226" spans="2:55" s="973" customFormat="1" ht="15" customHeight="1">
      <c r="B226" s="1247"/>
      <c r="C226" s="1247"/>
      <c r="D226" s="1247"/>
      <c r="E226" s="1247"/>
      <c r="F226" s="1247"/>
      <c r="G226" s="1247"/>
      <c r="H226" s="1247"/>
      <c r="I226" s="1247"/>
      <c r="J226" s="1247"/>
      <c r="K226" s="1247"/>
      <c r="L226" s="1247"/>
      <c r="M226" s="1247"/>
      <c r="N226" s="1247"/>
      <c r="O226" s="1247"/>
      <c r="P226" s="1247"/>
      <c r="Q226" s="1247"/>
      <c r="R226" s="1247"/>
      <c r="S226" s="1247"/>
      <c r="T226" s="1247"/>
      <c r="U226" s="1247"/>
      <c r="V226" s="1247"/>
      <c r="W226" s="1247"/>
      <c r="X226" s="1247"/>
      <c r="Y226" s="1247"/>
      <c r="Z226" s="1247"/>
      <c r="AA226" s="1247"/>
      <c r="AB226" s="1247"/>
      <c r="AC226" s="1247"/>
      <c r="AD226" s="1247"/>
      <c r="AE226" s="1247"/>
      <c r="AF226" s="1247"/>
      <c r="AG226" s="1247"/>
      <c r="AH226" s="1247"/>
      <c r="AI226" s="1247"/>
      <c r="AJ226" s="1247"/>
      <c r="AK226" s="1247"/>
      <c r="AL226" s="1247"/>
      <c r="AM226" s="1247"/>
      <c r="AN226" s="1247"/>
      <c r="AO226" s="1247"/>
      <c r="AP226" s="1247"/>
      <c r="AQ226" s="1247"/>
      <c r="AR226" s="1247"/>
      <c r="AS226" s="1247"/>
      <c r="AT226" s="1247"/>
      <c r="AU226" s="1247"/>
      <c r="AV226" s="1247"/>
      <c r="AW226" s="1247"/>
      <c r="AX226" s="1247"/>
      <c r="AY226" s="1247"/>
      <c r="AZ226" s="1247"/>
      <c r="BA226" s="1247"/>
      <c r="BB226" s="1247"/>
      <c r="BC226" s="1247"/>
    </row>
    <row r="227" spans="2:55" s="973" customFormat="1" ht="15" customHeight="1">
      <c r="B227" s="1247"/>
      <c r="C227" s="1247"/>
      <c r="D227" s="1247"/>
      <c r="E227" s="1247"/>
      <c r="F227" s="1247"/>
      <c r="G227" s="1247"/>
      <c r="H227" s="1247"/>
      <c r="I227" s="1247"/>
      <c r="J227" s="1247"/>
      <c r="K227" s="1247"/>
      <c r="L227" s="1247"/>
      <c r="M227" s="1247"/>
      <c r="N227" s="1247"/>
      <c r="O227" s="1247"/>
      <c r="P227" s="1247"/>
      <c r="Q227" s="1247"/>
      <c r="R227" s="1247"/>
      <c r="S227" s="1247"/>
      <c r="T227" s="1247"/>
      <c r="U227" s="1247"/>
      <c r="V227" s="1247"/>
      <c r="W227" s="1247"/>
      <c r="X227" s="1247"/>
      <c r="Y227" s="1247"/>
      <c r="Z227" s="1247"/>
      <c r="AA227" s="1247"/>
      <c r="AB227" s="1247"/>
      <c r="AC227" s="1247"/>
      <c r="AD227" s="1247"/>
      <c r="AE227" s="1247"/>
      <c r="AF227" s="1247"/>
      <c r="AG227" s="1247"/>
      <c r="AH227" s="1247"/>
      <c r="AI227" s="1247"/>
      <c r="AJ227" s="1247"/>
      <c r="AK227" s="1247"/>
      <c r="AL227" s="1247"/>
      <c r="AM227" s="1247"/>
      <c r="AN227" s="1247"/>
      <c r="AO227" s="1247"/>
      <c r="AP227" s="1247"/>
      <c r="AQ227" s="1247"/>
      <c r="AR227" s="1247"/>
      <c r="AS227" s="1247"/>
      <c r="AT227" s="1247"/>
      <c r="AU227" s="1247"/>
      <c r="AV227" s="1247"/>
      <c r="AW227" s="1247"/>
      <c r="AX227" s="1247"/>
      <c r="AY227" s="1247"/>
      <c r="AZ227" s="1247"/>
      <c r="BA227" s="1247"/>
      <c r="BB227" s="1247"/>
      <c r="BC227" s="1247"/>
    </row>
    <row r="228" spans="2:55" s="973" customFormat="1" ht="15" customHeight="1">
      <c r="B228" s="1247"/>
      <c r="C228" s="1247"/>
      <c r="D228" s="1247"/>
      <c r="E228" s="1247"/>
      <c r="F228" s="1247"/>
      <c r="G228" s="1247"/>
      <c r="H228" s="1247"/>
      <c r="I228" s="1247"/>
      <c r="J228" s="1247"/>
      <c r="K228" s="1247"/>
      <c r="L228" s="1247"/>
      <c r="M228" s="1247"/>
      <c r="N228" s="1247"/>
      <c r="O228" s="1247"/>
      <c r="P228" s="1247"/>
      <c r="Q228" s="1247"/>
      <c r="R228" s="1247"/>
      <c r="S228" s="1247"/>
      <c r="T228" s="1247"/>
      <c r="U228" s="1247"/>
      <c r="V228" s="1247"/>
      <c r="W228" s="1247"/>
      <c r="X228" s="1247"/>
      <c r="Y228" s="1247"/>
      <c r="Z228" s="1247"/>
      <c r="AA228" s="1247"/>
      <c r="AB228" s="1247"/>
      <c r="AC228" s="1247"/>
      <c r="AD228" s="1247"/>
      <c r="AE228" s="1247"/>
      <c r="AF228" s="1247"/>
      <c r="AG228" s="1247"/>
      <c r="AH228" s="1247"/>
      <c r="AI228" s="1247"/>
      <c r="AJ228" s="1247"/>
      <c r="AK228" s="1247"/>
      <c r="AL228" s="1247"/>
      <c r="AM228" s="1247"/>
      <c r="AN228" s="1247"/>
      <c r="AO228" s="1247"/>
      <c r="AP228" s="1247"/>
      <c r="AQ228" s="1247"/>
      <c r="AR228" s="1247"/>
      <c r="AS228" s="1247"/>
      <c r="AT228" s="1247"/>
      <c r="AU228" s="1247"/>
      <c r="AV228" s="1247"/>
      <c r="AW228" s="1247"/>
      <c r="AX228" s="1247"/>
      <c r="AY228" s="1247"/>
      <c r="AZ228" s="1247"/>
      <c r="BA228" s="1247"/>
      <c r="BB228" s="1247"/>
      <c r="BC228" s="1247"/>
    </row>
    <row r="229" spans="2:55" s="973" customFormat="1" ht="15" customHeight="1">
      <c r="B229" s="1247"/>
      <c r="C229" s="1247"/>
      <c r="D229" s="1247"/>
      <c r="E229" s="1247"/>
      <c r="F229" s="1247"/>
      <c r="G229" s="1247"/>
      <c r="H229" s="1247"/>
      <c r="I229" s="1247"/>
      <c r="J229" s="1247"/>
      <c r="K229" s="1247"/>
      <c r="L229" s="1247"/>
      <c r="M229" s="1247"/>
      <c r="N229" s="1247"/>
      <c r="O229" s="1247"/>
      <c r="P229" s="1247"/>
      <c r="Q229" s="1247"/>
      <c r="R229" s="1247"/>
      <c r="S229" s="1247"/>
      <c r="T229" s="1247"/>
      <c r="U229" s="1247"/>
      <c r="V229" s="1247"/>
      <c r="W229" s="1247"/>
      <c r="X229" s="1247"/>
      <c r="Y229" s="1247"/>
      <c r="Z229" s="1247"/>
      <c r="AA229" s="1247"/>
      <c r="AB229" s="1247"/>
      <c r="AC229" s="1247"/>
      <c r="AD229" s="1247"/>
      <c r="AE229" s="1247"/>
      <c r="AF229" s="1247"/>
      <c r="AG229" s="1247"/>
      <c r="AH229" s="1247"/>
      <c r="AI229" s="1247"/>
      <c r="AJ229" s="1247"/>
      <c r="AK229" s="1247"/>
      <c r="AL229" s="1247"/>
      <c r="AM229" s="1247"/>
      <c r="AN229" s="1247"/>
      <c r="AO229" s="1247"/>
      <c r="AP229" s="1247"/>
      <c r="AQ229" s="1247"/>
      <c r="AR229" s="1247"/>
      <c r="AS229" s="1247"/>
      <c r="AT229" s="1247"/>
      <c r="AU229" s="1247"/>
      <c r="AV229" s="1247"/>
      <c r="AW229" s="1247"/>
      <c r="AX229" s="1247"/>
      <c r="AY229" s="1247"/>
      <c r="AZ229" s="1247"/>
      <c r="BA229" s="1247"/>
      <c r="BB229" s="1247"/>
      <c r="BC229" s="1247"/>
    </row>
    <row r="230" spans="2:55" s="973" customFormat="1" ht="15" customHeight="1">
      <c r="B230" s="1247"/>
      <c r="C230" s="1247"/>
      <c r="D230" s="1247"/>
      <c r="E230" s="1247"/>
      <c r="F230" s="1247"/>
      <c r="G230" s="1247"/>
      <c r="H230" s="1247"/>
      <c r="I230" s="1247"/>
      <c r="J230" s="1247"/>
      <c r="K230" s="1247"/>
      <c r="L230" s="1247"/>
      <c r="M230" s="1247"/>
      <c r="N230" s="1247"/>
      <c r="O230" s="1247"/>
      <c r="P230" s="1247"/>
      <c r="Q230" s="1247"/>
      <c r="R230" s="1247"/>
      <c r="S230" s="1247"/>
      <c r="T230" s="1247"/>
      <c r="U230" s="1247"/>
      <c r="V230" s="1247"/>
      <c r="W230" s="1247"/>
      <c r="X230" s="1247"/>
      <c r="Y230" s="1247"/>
      <c r="Z230" s="1247"/>
      <c r="AA230" s="1247"/>
      <c r="AB230" s="1247"/>
      <c r="AC230" s="1247"/>
      <c r="AD230" s="1247"/>
      <c r="AE230" s="1247"/>
      <c r="AF230" s="1247"/>
      <c r="AG230" s="1247"/>
      <c r="AH230" s="1247"/>
      <c r="AI230" s="1247"/>
      <c r="AJ230" s="1247"/>
      <c r="AK230" s="1247"/>
      <c r="AL230" s="1247"/>
      <c r="AM230" s="1247"/>
      <c r="AN230" s="1247"/>
      <c r="AO230" s="1247"/>
      <c r="AP230" s="1247"/>
      <c r="AQ230" s="1247"/>
      <c r="AR230" s="1247"/>
      <c r="AS230" s="1247"/>
      <c r="AT230" s="1247"/>
      <c r="AU230" s="1247"/>
      <c r="AV230" s="1247"/>
      <c r="AW230" s="1247"/>
      <c r="AX230" s="1247"/>
      <c r="AY230" s="1247"/>
      <c r="AZ230" s="1247"/>
      <c r="BA230" s="1247"/>
      <c r="BB230" s="1247"/>
      <c r="BC230" s="1247"/>
    </row>
    <row r="231" spans="2:55" s="973" customFormat="1" ht="15" customHeight="1">
      <c r="B231" s="1247"/>
      <c r="C231" s="1247"/>
      <c r="D231" s="1247"/>
      <c r="E231" s="1247"/>
      <c r="F231" s="1247"/>
      <c r="G231" s="1247"/>
      <c r="H231" s="1247"/>
      <c r="I231" s="1247"/>
      <c r="J231" s="1247"/>
      <c r="K231" s="1247"/>
      <c r="L231" s="1247"/>
      <c r="M231" s="1247"/>
      <c r="N231" s="1247"/>
      <c r="O231" s="1247"/>
      <c r="P231" s="1247"/>
      <c r="Q231" s="1247"/>
      <c r="R231" s="1247"/>
      <c r="S231" s="1247"/>
      <c r="T231" s="1247"/>
      <c r="U231" s="1247"/>
      <c r="V231" s="1247"/>
      <c r="W231" s="1247"/>
      <c r="X231" s="1247"/>
      <c r="Y231" s="1247"/>
      <c r="Z231" s="1247"/>
      <c r="AA231" s="1247"/>
      <c r="AB231" s="1247"/>
      <c r="AC231" s="1247"/>
      <c r="AD231" s="1247"/>
      <c r="AE231" s="1247"/>
      <c r="AF231" s="1247"/>
      <c r="AG231" s="1247"/>
      <c r="AH231" s="1247"/>
      <c r="AI231" s="1247"/>
      <c r="AJ231" s="1247"/>
      <c r="AK231" s="1247"/>
      <c r="AL231" s="1247"/>
      <c r="AM231" s="1247"/>
      <c r="AN231" s="1247"/>
      <c r="AO231" s="1247"/>
      <c r="AP231" s="1247"/>
      <c r="AQ231" s="1247"/>
      <c r="AR231" s="1247"/>
      <c r="AS231" s="1247"/>
      <c r="AT231" s="1247"/>
      <c r="AU231" s="1247"/>
      <c r="AV231" s="1247"/>
      <c r="AW231" s="1247"/>
      <c r="AX231" s="1247"/>
      <c r="AY231" s="1247"/>
      <c r="AZ231" s="1247"/>
      <c r="BA231" s="1247"/>
      <c r="BB231" s="1247"/>
      <c r="BC231" s="1247"/>
    </row>
    <row r="232" spans="2:55" s="973" customFormat="1" ht="15" customHeight="1">
      <c r="B232" s="1247"/>
      <c r="C232" s="1247"/>
      <c r="D232" s="1247"/>
      <c r="E232" s="1247"/>
      <c r="F232" s="1247"/>
      <c r="G232" s="1247"/>
      <c r="H232" s="1247"/>
      <c r="I232" s="1247"/>
      <c r="J232" s="1247"/>
      <c r="K232" s="1247"/>
      <c r="L232" s="1247"/>
      <c r="M232" s="1247"/>
      <c r="N232" s="1247"/>
      <c r="O232" s="1247"/>
      <c r="P232" s="1247"/>
      <c r="Q232" s="1247"/>
      <c r="R232" s="1247"/>
      <c r="S232" s="1247"/>
      <c r="T232" s="1247"/>
      <c r="U232" s="1247"/>
      <c r="V232" s="1247"/>
      <c r="W232" s="1247"/>
      <c r="X232" s="1247"/>
      <c r="Y232" s="1247"/>
      <c r="Z232" s="1247"/>
      <c r="AA232" s="1247"/>
      <c r="AB232" s="1247"/>
      <c r="AC232" s="1247"/>
      <c r="AD232" s="1247"/>
      <c r="AE232" s="1247"/>
      <c r="AF232" s="1247"/>
      <c r="AG232" s="1247"/>
      <c r="AH232" s="1247"/>
      <c r="AI232" s="1247"/>
      <c r="AJ232" s="1247"/>
      <c r="AK232" s="1247"/>
      <c r="AL232" s="1247"/>
      <c r="AM232" s="1247"/>
      <c r="AN232" s="1247"/>
      <c r="AO232" s="1247"/>
      <c r="AP232" s="1247"/>
      <c r="AQ232" s="1247"/>
      <c r="AR232" s="1247"/>
      <c r="AS232" s="1247"/>
      <c r="AT232" s="1247"/>
      <c r="AU232" s="1247"/>
      <c r="AV232" s="1247"/>
      <c r="AW232" s="1247"/>
      <c r="AX232" s="1247"/>
      <c r="AY232" s="1247"/>
      <c r="AZ232" s="1247"/>
      <c r="BA232" s="1247"/>
      <c r="BB232" s="1247"/>
      <c r="BC232" s="1247"/>
    </row>
    <row r="233" spans="2:55" s="973" customFormat="1" ht="15" customHeight="1">
      <c r="B233" s="1247"/>
      <c r="C233" s="1247"/>
      <c r="D233" s="1247"/>
      <c r="E233" s="1247"/>
      <c r="F233" s="1247"/>
      <c r="G233" s="1247"/>
      <c r="H233" s="1247"/>
      <c r="I233" s="1247"/>
      <c r="J233" s="1247"/>
      <c r="K233" s="1247"/>
      <c r="L233" s="1247"/>
      <c r="M233" s="1247"/>
      <c r="N233" s="1247"/>
      <c r="O233" s="1247"/>
      <c r="P233" s="1247"/>
      <c r="Q233" s="1247"/>
      <c r="R233" s="1247"/>
      <c r="S233" s="1247"/>
      <c r="T233" s="1247"/>
      <c r="U233" s="1247"/>
      <c r="V233" s="1247"/>
      <c r="W233" s="1247"/>
      <c r="X233" s="1247"/>
      <c r="Y233" s="1247"/>
      <c r="Z233" s="1247"/>
      <c r="AA233" s="1247"/>
      <c r="AB233" s="1247"/>
      <c r="AC233" s="1247"/>
      <c r="AD233" s="1247"/>
      <c r="AE233" s="1247"/>
      <c r="AF233" s="1247"/>
      <c r="AG233" s="1247"/>
      <c r="AH233" s="1247"/>
      <c r="AI233" s="1247"/>
      <c r="AJ233" s="1247"/>
      <c r="AK233" s="1247"/>
      <c r="AL233" s="1247"/>
      <c r="AM233" s="1247"/>
      <c r="AN233" s="1247"/>
      <c r="AO233" s="1247"/>
      <c r="AP233" s="1247"/>
      <c r="AQ233" s="1247"/>
      <c r="AR233" s="1247"/>
      <c r="AS233" s="1247"/>
      <c r="AT233" s="1247"/>
      <c r="AU233" s="1247"/>
      <c r="AV233" s="1247"/>
      <c r="AW233" s="1247"/>
      <c r="AX233" s="1247"/>
      <c r="AY233" s="1247"/>
      <c r="AZ233" s="1247"/>
      <c r="BA233" s="1247"/>
      <c r="BB233" s="1247"/>
      <c r="BC233" s="1247"/>
    </row>
    <row r="234" spans="2:55" s="973" customFormat="1" ht="15" customHeight="1">
      <c r="B234" s="1247"/>
      <c r="C234" s="1247"/>
      <c r="D234" s="1247"/>
      <c r="E234" s="1247"/>
      <c r="F234" s="1247"/>
      <c r="G234" s="1247"/>
      <c r="H234" s="1247"/>
      <c r="I234" s="1247"/>
      <c r="J234" s="1247"/>
      <c r="K234" s="1247"/>
      <c r="L234" s="1247"/>
      <c r="M234" s="1247"/>
      <c r="N234" s="1247"/>
      <c r="O234" s="1247"/>
      <c r="P234" s="1247"/>
      <c r="Q234" s="1247"/>
      <c r="R234" s="1247"/>
      <c r="S234" s="1247"/>
      <c r="T234" s="1247"/>
      <c r="U234" s="1247"/>
      <c r="V234" s="1247"/>
      <c r="W234" s="1247"/>
      <c r="X234" s="1247"/>
      <c r="Y234" s="1247"/>
      <c r="Z234" s="1247"/>
      <c r="AA234" s="1247"/>
      <c r="AB234" s="1247"/>
      <c r="AC234" s="1247"/>
      <c r="AD234" s="1247"/>
      <c r="AE234" s="1247"/>
      <c r="AF234" s="1247"/>
      <c r="AG234" s="1247"/>
      <c r="AH234" s="1247"/>
      <c r="AI234" s="1247"/>
      <c r="AJ234" s="1247"/>
      <c r="AK234" s="1247"/>
      <c r="AL234" s="1247"/>
      <c r="AM234" s="1247"/>
      <c r="AN234" s="1247"/>
      <c r="AO234" s="1247"/>
      <c r="AP234" s="1247"/>
      <c r="AQ234" s="1247"/>
      <c r="AR234" s="1247"/>
      <c r="AS234" s="1247"/>
      <c r="AT234" s="1247"/>
      <c r="AU234" s="1247"/>
      <c r="AV234" s="1247"/>
      <c r="AW234" s="1247"/>
      <c r="AX234" s="1247"/>
      <c r="AY234" s="1247"/>
      <c r="AZ234" s="1247"/>
      <c r="BA234" s="1247"/>
      <c r="BB234" s="1247"/>
      <c r="BC234" s="1247"/>
    </row>
    <row r="235" spans="2:55" s="973" customFormat="1" ht="15" customHeight="1">
      <c r="B235" s="1247"/>
      <c r="C235" s="1247"/>
      <c r="D235" s="1247"/>
      <c r="E235" s="1247"/>
      <c r="F235" s="1247"/>
      <c r="G235" s="1247"/>
      <c r="H235" s="1247"/>
      <c r="I235" s="1247"/>
      <c r="J235" s="1247"/>
      <c r="K235" s="1247"/>
      <c r="L235" s="1247"/>
      <c r="M235" s="1247"/>
      <c r="N235" s="1247"/>
      <c r="O235" s="1247"/>
      <c r="P235" s="1247"/>
      <c r="Q235" s="1247"/>
      <c r="R235" s="1247"/>
      <c r="S235" s="1247"/>
      <c r="T235" s="1247"/>
      <c r="U235" s="1247"/>
      <c r="V235" s="1247"/>
      <c r="W235" s="1247"/>
      <c r="X235" s="1247"/>
      <c r="Y235" s="1247"/>
      <c r="Z235" s="1247"/>
      <c r="AA235" s="1247"/>
      <c r="AB235" s="1247"/>
      <c r="AC235" s="1247"/>
      <c r="AD235" s="1247"/>
      <c r="AE235" s="1247"/>
      <c r="AF235" s="1247"/>
      <c r="AG235" s="1247"/>
      <c r="AH235" s="1247"/>
      <c r="AI235" s="1247"/>
      <c r="AJ235" s="1247"/>
      <c r="AK235" s="1247"/>
      <c r="AL235" s="1247"/>
      <c r="AM235" s="1247"/>
      <c r="AN235" s="1247"/>
      <c r="AO235" s="1247"/>
      <c r="AP235" s="1247"/>
      <c r="AQ235" s="1247"/>
      <c r="AR235" s="1247"/>
      <c r="AS235" s="1247"/>
      <c r="AT235" s="1247"/>
      <c r="AU235" s="1247"/>
      <c r="AV235" s="1247"/>
      <c r="AW235" s="1247"/>
      <c r="AX235" s="1247"/>
      <c r="AY235" s="1247"/>
      <c r="AZ235" s="1247"/>
      <c r="BA235" s="1247"/>
      <c r="BB235" s="1247"/>
      <c r="BC235" s="1247"/>
    </row>
    <row r="236" spans="2:55" s="973" customFormat="1" ht="15" customHeight="1">
      <c r="B236" s="1247"/>
      <c r="C236" s="1247"/>
      <c r="D236" s="1247"/>
      <c r="E236" s="1247"/>
      <c r="F236" s="1247"/>
      <c r="G236" s="1247"/>
      <c r="H236" s="1247"/>
      <c r="I236" s="1247"/>
      <c r="J236" s="1247"/>
      <c r="K236" s="1247"/>
      <c r="L236" s="1247"/>
      <c r="M236" s="1247"/>
      <c r="N236" s="1247"/>
      <c r="O236" s="1247"/>
      <c r="P236" s="1247"/>
      <c r="Q236" s="1247"/>
      <c r="R236" s="1247"/>
      <c r="S236" s="1247"/>
      <c r="T236" s="1247"/>
      <c r="U236" s="1247"/>
      <c r="V236" s="1247"/>
      <c r="W236" s="1247"/>
      <c r="X236" s="1247"/>
      <c r="Y236" s="1247"/>
      <c r="Z236" s="1247"/>
      <c r="AA236" s="1247"/>
      <c r="AB236" s="1247"/>
      <c r="AC236" s="1247"/>
      <c r="AD236" s="1247"/>
      <c r="AE236" s="1247"/>
      <c r="AF236" s="1247"/>
      <c r="AG236" s="1247"/>
      <c r="AH236" s="1247"/>
      <c r="AI236" s="1247"/>
      <c r="AJ236" s="1247"/>
      <c r="AK236" s="1247"/>
      <c r="AL236" s="1247"/>
      <c r="AM236" s="1247"/>
      <c r="AN236" s="1247"/>
      <c r="AO236" s="1247"/>
      <c r="AP236" s="1247"/>
      <c r="AQ236" s="1247"/>
      <c r="AR236" s="1247"/>
      <c r="AS236" s="1247"/>
      <c r="AT236" s="1247"/>
      <c r="AU236" s="1247"/>
      <c r="AV236" s="1247"/>
      <c r="AW236" s="1247"/>
      <c r="AX236" s="1247"/>
      <c r="AY236" s="1247"/>
      <c r="AZ236" s="1247"/>
      <c r="BA236" s="1247"/>
      <c r="BB236" s="1247"/>
      <c r="BC236" s="1247"/>
    </row>
    <row r="237" spans="2:55" s="973" customFormat="1" ht="15" customHeight="1">
      <c r="B237" s="1247"/>
      <c r="C237" s="1247"/>
      <c r="D237" s="1247"/>
      <c r="E237" s="1247"/>
      <c r="F237" s="1247"/>
      <c r="G237" s="1247"/>
      <c r="H237" s="1247"/>
      <c r="I237" s="1247"/>
      <c r="J237" s="1247"/>
      <c r="K237" s="1247"/>
      <c r="L237" s="1247"/>
      <c r="M237" s="1247"/>
      <c r="N237" s="1247"/>
      <c r="O237" s="1247"/>
      <c r="P237" s="1247"/>
      <c r="Q237" s="1247"/>
      <c r="R237" s="1247"/>
      <c r="S237" s="1247"/>
      <c r="T237" s="1247"/>
      <c r="U237" s="1247"/>
      <c r="V237" s="1247"/>
      <c r="W237" s="1247"/>
      <c r="X237" s="1247"/>
      <c r="Y237" s="1247"/>
      <c r="Z237" s="1247"/>
      <c r="AA237" s="1247"/>
      <c r="AB237" s="1247"/>
      <c r="AC237" s="1247"/>
      <c r="AD237" s="1247"/>
      <c r="AE237" s="1247"/>
      <c r="AF237" s="1247"/>
      <c r="AG237" s="1247"/>
      <c r="AH237" s="1247"/>
      <c r="AI237" s="1247"/>
      <c r="AJ237" s="1247"/>
      <c r="AK237" s="1247"/>
      <c r="AL237" s="1247"/>
      <c r="AM237" s="1247"/>
      <c r="AN237" s="1247"/>
      <c r="AO237" s="1247"/>
      <c r="AP237" s="1247"/>
      <c r="AQ237" s="1247"/>
      <c r="AR237" s="1247"/>
      <c r="AS237" s="1247"/>
      <c r="AT237" s="1247"/>
      <c r="AU237" s="1247"/>
      <c r="AV237" s="1247"/>
      <c r="AW237" s="1247"/>
      <c r="AX237" s="1247"/>
      <c r="AY237" s="1247"/>
      <c r="AZ237" s="1247"/>
      <c r="BA237" s="1247"/>
      <c r="BB237" s="1247"/>
      <c r="BC237" s="1247"/>
    </row>
    <row r="238" spans="2:55" s="973" customFormat="1" ht="15" customHeight="1">
      <c r="B238" s="1247"/>
      <c r="C238" s="1247"/>
      <c r="D238" s="1247"/>
      <c r="E238" s="1247"/>
      <c r="F238" s="1247"/>
      <c r="G238" s="1247"/>
      <c r="H238" s="1247"/>
      <c r="I238" s="1247"/>
      <c r="J238" s="1247"/>
      <c r="K238" s="1247"/>
      <c r="L238" s="1247"/>
      <c r="M238" s="1247"/>
      <c r="N238" s="1247"/>
      <c r="O238" s="1247"/>
      <c r="P238" s="1247"/>
      <c r="Q238" s="1247"/>
      <c r="R238" s="1247"/>
      <c r="S238" s="1247"/>
      <c r="T238" s="1247"/>
      <c r="U238" s="1247"/>
      <c r="V238" s="1247"/>
      <c r="W238" s="1247"/>
      <c r="X238" s="1247"/>
      <c r="Y238" s="1247"/>
      <c r="Z238" s="1247"/>
      <c r="AA238" s="1247"/>
      <c r="AB238" s="1247"/>
      <c r="AC238" s="1247"/>
      <c r="AD238" s="1247"/>
      <c r="AE238" s="1247"/>
      <c r="AF238" s="1247"/>
      <c r="AG238" s="1247"/>
      <c r="AH238" s="1247"/>
      <c r="AI238" s="1247"/>
      <c r="AJ238" s="1247"/>
      <c r="AK238" s="1247"/>
      <c r="AL238" s="1247"/>
      <c r="AM238" s="1247"/>
      <c r="AN238" s="1247"/>
      <c r="AO238" s="1247"/>
      <c r="AP238" s="1247"/>
      <c r="AQ238" s="1247"/>
      <c r="AR238" s="1247"/>
      <c r="AS238" s="1247"/>
      <c r="AT238" s="1247"/>
      <c r="AU238" s="1247"/>
      <c r="AV238" s="1247"/>
      <c r="AW238" s="1247"/>
      <c r="AX238" s="1247"/>
      <c r="AY238" s="1247"/>
      <c r="AZ238" s="1247"/>
      <c r="BA238" s="1247"/>
      <c r="BB238" s="1247"/>
      <c r="BC238" s="1247"/>
    </row>
    <row r="239" spans="2:55" s="973" customFormat="1" ht="15" customHeight="1">
      <c r="B239" s="1247"/>
      <c r="C239" s="1247"/>
      <c r="D239" s="1247"/>
      <c r="E239" s="1247"/>
      <c r="F239" s="1247"/>
      <c r="G239" s="1247"/>
      <c r="H239" s="1247"/>
      <c r="I239" s="1247"/>
      <c r="J239" s="1247"/>
      <c r="K239" s="1247"/>
      <c r="L239" s="1247"/>
      <c r="M239" s="1247"/>
      <c r="N239" s="1247"/>
      <c r="O239" s="1247"/>
      <c r="P239" s="1247"/>
      <c r="Q239" s="1247"/>
      <c r="R239" s="1247"/>
      <c r="S239" s="1247"/>
      <c r="T239" s="1247"/>
      <c r="U239" s="1247"/>
      <c r="V239" s="1247"/>
      <c r="W239" s="1247"/>
      <c r="X239" s="1247"/>
      <c r="Y239" s="1247"/>
      <c r="Z239" s="1247"/>
      <c r="AA239" s="1247"/>
      <c r="AB239" s="1247"/>
      <c r="AC239" s="1247"/>
      <c r="AD239" s="1247"/>
      <c r="AE239" s="1247"/>
      <c r="AF239" s="1247"/>
      <c r="AG239" s="1247"/>
      <c r="AH239" s="1247"/>
      <c r="AI239" s="1247"/>
      <c r="AJ239" s="1247"/>
      <c r="AK239" s="1247"/>
      <c r="AL239" s="1247"/>
      <c r="AM239" s="1247"/>
      <c r="AN239" s="1247"/>
      <c r="AO239" s="1247"/>
      <c r="AP239" s="1247"/>
      <c r="AQ239" s="1247"/>
      <c r="AR239" s="1247"/>
      <c r="AS239" s="1247"/>
      <c r="AT239" s="1247"/>
      <c r="AU239" s="1247"/>
      <c r="AV239" s="1247"/>
      <c r="AW239" s="1247"/>
      <c r="AX239" s="1247"/>
      <c r="AY239" s="1247"/>
      <c r="AZ239" s="1247"/>
      <c r="BA239" s="1247"/>
      <c r="BB239" s="1247"/>
      <c r="BC239" s="1247"/>
    </row>
    <row r="240" spans="2:55" s="973" customFormat="1" ht="15" customHeight="1">
      <c r="B240" s="1247"/>
      <c r="C240" s="1247"/>
      <c r="D240" s="1247"/>
      <c r="E240" s="1247"/>
      <c r="F240" s="1247"/>
      <c r="G240" s="1247"/>
      <c r="H240" s="1247"/>
      <c r="I240" s="1247"/>
      <c r="J240" s="1247"/>
      <c r="K240" s="1247"/>
      <c r="L240" s="1247"/>
      <c r="M240" s="1247"/>
      <c r="N240" s="1247"/>
      <c r="O240" s="1247"/>
      <c r="P240" s="1247"/>
      <c r="Q240" s="1247"/>
      <c r="R240" s="1247"/>
      <c r="S240" s="1247"/>
      <c r="T240" s="1247"/>
      <c r="U240" s="1247"/>
      <c r="V240" s="1247"/>
      <c r="W240" s="1247"/>
      <c r="X240" s="1247"/>
      <c r="Y240" s="1247"/>
      <c r="Z240" s="1247"/>
      <c r="AA240" s="1247"/>
      <c r="AB240" s="1247"/>
      <c r="AC240" s="1247"/>
      <c r="AD240" s="1247"/>
      <c r="AE240" s="1247"/>
      <c r="AF240" s="1247"/>
      <c r="AG240" s="1247"/>
      <c r="AH240" s="1247"/>
      <c r="AI240" s="1247"/>
      <c r="AJ240" s="1247"/>
      <c r="AK240" s="1247"/>
      <c r="AL240" s="1247"/>
      <c r="AM240" s="1247"/>
      <c r="AN240" s="1247"/>
      <c r="AO240" s="1247"/>
      <c r="AP240" s="1247"/>
      <c r="AQ240" s="1247"/>
      <c r="AR240" s="1247"/>
      <c r="AS240" s="1247"/>
      <c r="AT240" s="1247"/>
      <c r="AU240" s="1247"/>
      <c r="AV240" s="1247"/>
      <c r="AW240" s="1247"/>
      <c r="AX240" s="1247"/>
      <c r="AY240" s="1247"/>
      <c r="AZ240" s="1247"/>
      <c r="BA240" s="1247"/>
      <c r="BB240" s="1247"/>
      <c r="BC240" s="1247"/>
    </row>
    <row r="241" spans="2:55" s="973" customFormat="1" ht="15" customHeight="1">
      <c r="B241" s="1247"/>
      <c r="C241" s="1247"/>
      <c r="D241" s="1247"/>
      <c r="E241" s="1247"/>
      <c r="F241" s="1247"/>
      <c r="G241" s="1247"/>
      <c r="H241" s="1247"/>
      <c r="I241" s="1247"/>
      <c r="J241" s="1247"/>
      <c r="K241" s="1247"/>
      <c r="L241" s="1247"/>
      <c r="M241" s="1247"/>
      <c r="N241" s="1247"/>
      <c r="O241" s="1247"/>
      <c r="P241" s="1247"/>
      <c r="Q241" s="1247"/>
      <c r="R241" s="1247"/>
      <c r="S241" s="1247"/>
      <c r="T241" s="1247"/>
      <c r="U241" s="1247"/>
      <c r="V241" s="1247"/>
      <c r="W241" s="1247"/>
      <c r="X241" s="1247"/>
      <c r="Y241" s="1247"/>
      <c r="Z241" s="1247"/>
      <c r="AA241" s="1247"/>
      <c r="AB241" s="1247"/>
      <c r="AC241" s="1247"/>
      <c r="AD241" s="1247"/>
      <c r="AE241" s="1247"/>
      <c r="AF241" s="1247"/>
      <c r="AG241" s="1247"/>
      <c r="AH241" s="1247"/>
      <c r="AI241" s="1247"/>
      <c r="AJ241" s="1247"/>
      <c r="AK241" s="1247"/>
      <c r="AL241" s="1247"/>
      <c r="AM241" s="1247"/>
      <c r="AN241" s="1247"/>
      <c r="AO241" s="1247"/>
      <c r="AP241" s="1247"/>
      <c r="AQ241" s="1247"/>
      <c r="AR241" s="1247"/>
      <c r="AS241" s="1247"/>
      <c r="AT241" s="1247"/>
      <c r="AU241" s="1247"/>
      <c r="AV241" s="1247"/>
      <c r="AW241" s="1247"/>
      <c r="AX241" s="1247"/>
      <c r="AY241" s="1247"/>
      <c r="AZ241" s="1247"/>
      <c r="BA241" s="1247"/>
      <c r="BB241" s="1247"/>
      <c r="BC241" s="1247"/>
    </row>
    <row r="242" spans="2:55" s="973" customFormat="1" ht="15" customHeight="1">
      <c r="B242" s="1247"/>
      <c r="C242" s="1247"/>
      <c r="D242" s="1247"/>
      <c r="E242" s="1247"/>
      <c r="F242" s="1247"/>
      <c r="G242" s="1247"/>
      <c r="H242" s="1247"/>
      <c r="I242" s="1247"/>
      <c r="J242" s="1247"/>
      <c r="K242" s="1247"/>
      <c r="L242" s="1247"/>
      <c r="M242" s="1247"/>
      <c r="N242" s="1247"/>
      <c r="O242" s="1247"/>
      <c r="P242" s="1247"/>
      <c r="Q242" s="1247"/>
      <c r="R242" s="1247"/>
      <c r="S242" s="1247"/>
      <c r="T242" s="1247"/>
      <c r="U242" s="1247"/>
      <c r="V242" s="1247"/>
      <c r="W242" s="1247"/>
      <c r="X242" s="1247"/>
      <c r="Y242" s="1247"/>
      <c r="Z242" s="1247"/>
      <c r="AA242" s="1247"/>
      <c r="AB242" s="1247"/>
      <c r="AC242" s="1247"/>
      <c r="AD242" s="1247"/>
      <c r="AE242" s="1247"/>
      <c r="AF242" s="1247"/>
      <c r="AG242" s="1247"/>
      <c r="AH242" s="1247"/>
      <c r="AI242" s="1247"/>
      <c r="AJ242" s="1247"/>
      <c r="AK242" s="1247"/>
      <c r="AL242" s="1247"/>
      <c r="AM242" s="1247"/>
      <c r="AN242" s="1247"/>
      <c r="AO242" s="1247"/>
      <c r="AP242" s="1247"/>
      <c r="AQ242" s="1247"/>
      <c r="AR242" s="1247"/>
      <c r="AS242" s="1247"/>
      <c r="AT242" s="1247"/>
      <c r="AU242" s="1247"/>
      <c r="AV242" s="1247"/>
      <c r="AW242" s="1247"/>
      <c r="AX242" s="1247"/>
      <c r="AY242" s="1247"/>
      <c r="AZ242" s="1247"/>
      <c r="BA242" s="1247"/>
      <c r="BB242" s="1247"/>
      <c r="BC242" s="1247"/>
    </row>
    <row r="243" spans="2:55" s="973" customFormat="1" ht="15" customHeight="1">
      <c r="B243" s="1247"/>
      <c r="C243" s="1247"/>
      <c r="D243" s="1247"/>
      <c r="E243" s="1247"/>
      <c r="F243" s="1247"/>
      <c r="G243" s="1247"/>
      <c r="H243" s="1247"/>
      <c r="I243" s="1247"/>
      <c r="J243" s="1247"/>
      <c r="K243" s="1247"/>
      <c r="L243" s="1247"/>
      <c r="M243" s="1247"/>
      <c r="N243" s="1247"/>
      <c r="O243" s="1247"/>
      <c r="P243" s="1247"/>
      <c r="Q243" s="1247"/>
      <c r="R243" s="1247"/>
      <c r="S243" s="1247"/>
      <c r="T243" s="1247"/>
      <c r="U243" s="1247"/>
      <c r="V243" s="1247"/>
      <c r="W243" s="1247"/>
      <c r="X243" s="1247"/>
      <c r="Y243" s="1247"/>
      <c r="Z243" s="1247"/>
      <c r="AA243" s="1247"/>
      <c r="AB243" s="1247"/>
      <c r="AC243" s="1247"/>
      <c r="AD243" s="1247"/>
      <c r="AE243" s="1247"/>
      <c r="AF243" s="1247"/>
      <c r="AG243" s="1247"/>
      <c r="AH243" s="1247"/>
      <c r="AI243" s="1247"/>
      <c r="AJ243" s="1247"/>
      <c r="AK243" s="1247"/>
      <c r="AL243" s="1247"/>
      <c r="AM243" s="1247"/>
      <c r="AN243" s="1247"/>
      <c r="AO243" s="1247"/>
      <c r="AP243" s="1247"/>
      <c r="AQ243" s="1247"/>
      <c r="AR243" s="1247"/>
      <c r="AS243" s="1247"/>
      <c r="AT243" s="1247"/>
      <c r="AU243" s="1247"/>
      <c r="AV243" s="1247"/>
      <c r="AW243" s="1247"/>
      <c r="AX243" s="1247"/>
      <c r="AY243" s="1247"/>
      <c r="AZ243" s="1247"/>
      <c r="BA243" s="1247"/>
      <c r="BB243" s="1247"/>
      <c r="BC243" s="1247"/>
    </row>
    <row r="244" spans="2:55" s="973" customFormat="1" ht="15" customHeight="1">
      <c r="B244" s="1247"/>
      <c r="C244" s="1247"/>
      <c r="D244" s="1247"/>
      <c r="E244" s="1247"/>
      <c r="F244" s="1247"/>
      <c r="G244" s="1247"/>
      <c r="H244" s="1247"/>
      <c r="I244" s="1247"/>
      <c r="J244" s="1247"/>
      <c r="K244" s="1247"/>
      <c r="L244" s="1247"/>
      <c r="M244" s="1247"/>
      <c r="N244" s="1247"/>
      <c r="O244" s="1247"/>
      <c r="P244" s="1247"/>
      <c r="Q244" s="1247"/>
      <c r="R244" s="1247"/>
      <c r="S244" s="1247"/>
      <c r="T244" s="1247"/>
      <c r="U244" s="1247"/>
      <c r="V244" s="1247"/>
      <c r="W244" s="1247"/>
      <c r="X244" s="1247"/>
      <c r="Y244" s="1247"/>
      <c r="Z244" s="1247"/>
      <c r="AA244" s="1247"/>
      <c r="AB244" s="1247"/>
      <c r="AC244" s="1247"/>
      <c r="AD244" s="1247"/>
      <c r="AE244" s="1247"/>
      <c r="AF244" s="1247"/>
      <c r="AG244" s="1247"/>
      <c r="AH244" s="1247"/>
      <c r="AI244" s="1247"/>
      <c r="AJ244" s="1247"/>
      <c r="AK244" s="1247"/>
      <c r="AL244" s="1247"/>
      <c r="AM244" s="1247"/>
      <c r="AN244" s="1247"/>
      <c r="AO244" s="1247"/>
      <c r="AP244" s="1247"/>
      <c r="AQ244" s="1247"/>
      <c r="AR244" s="1247"/>
      <c r="AS244" s="1247"/>
      <c r="AT244" s="1247"/>
      <c r="AU244" s="1247"/>
      <c r="AV244" s="1247"/>
      <c r="AW244" s="1247"/>
      <c r="AX244" s="1247"/>
      <c r="AY244" s="1247"/>
      <c r="AZ244" s="1247"/>
      <c r="BA244" s="1247"/>
      <c r="BB244" s="1247"/>
      <c r="BC244" s="1247"/>
    </row>
    <row r="245" spans="2:55" s="973" customFormat="1" ht="15" customHeight="1">
      <c r="B245" s="1247"/>
      <c r="C245" s="1247"/>
      <c r="D245" s="1247"/>
      <c r="E245" s="1247"/>
      <c r="F245" s="1247"/>
      <c r="G245" s="1247"/>
      <c r="H245" s="1247"/>
      <c r="I245" s="1247"/>
      <c r="J245" s="1247"/>
      <c r="K245" s="1247"/>
      <c r="L245" s="1247"/>
      <c r="M245" s="1247"/>
      <c r="N245" s="1247"/>
      <c r="O245" s="1247"/>
      <c r="P245" s="1247"/>
      <c r="Q245" s="1247"/>
      <c r="R245" s="1247"/>
      <c r="S245" s="1247"/>
      <c r="T245" s="1247"/>
      <c r="U245" s="1247"/>
      <c r="V245" s="1247"/>
      <c r="W245" s="1247"/>
      <c r="X245" s="1247"/>
      <c r="Y245" s="1247"/>
      <c r="Z245" s="1247"/>
      <c r="AA245" s="1247"/>
      <c r="AB245" s="1247"/>
      <c r="AC245" s="1247"/>
      <c r="AD245" s="1247"/>
      <c r="AE245" s="1247"/>
      <c r="AF245" s="1247"/>
      <c r="AG245" s="1247"/>
      <c r="AH245" s="1247"/>
      <c r="AI245" s="1247"/>
      <c r="AJ245" s="1247"/>
      <c r="AK245" s="1247"/>
      <c r="AL245" s="1247"/>
      <c r="AM245" s="1247"/>
      <c r="AN245" s="1247"/>
      <c r="AO245" s="1247"/>
      <c r="AP245" s="1247"/>
      <c r="AQ245" s="1247"/>
      <c r="AR245" s="1247"/>
      <c r="AS245" s="1247"/>
      <c r="AT245" s="1247"/>
      <c r="AU245" s="1247"/>
      <c r="AV245" s="1247"/>
      <c r="AW245" s="1247"/>
      <c r="AX245" s="1247"/>
      <c r="AY245" s="1247"/>
      <c r="AZ245" s="1247"/>
      <c r="BA245" s="1247"/>
      <c r="BB245" s="1247"/>
      <c r="BC245" s="1247"/>
    </row>
    <row r="246" spans="2:55" s="973" customFormat="1" ht="15" customHeight="1">
      <c r="B246" s="1247"/>
      <c r="C246" s="1247"/>
      <c r="D246" s="1247"/>
      <c r="E246" s="1247"/>
      <c r="F246" s="1247"/>
      <c r="G246" s="1247"/>
      <c r="H246" s="1247"/>
      <c r="I246" s="1247"/>
      <c r="J246" s="1247"/>
      <c r="K246" s="1247"/>
      <c r="L246" s="1247"/>
      <c r="M246" s="1247"/>
      <c r="N246" s="1247"/>
      <c r="O246" s="1247"/>
      <c r="P246" s="1247"/>
      <c r="Q246" s="1247"/>
      <c r="R246" s="1247"/>
      <c r="S246" s="1247"/>
      <c r="T246" s="1247"/>
      <c r="U246" s="1247"/>
      <c r="V246" s="1247"/>
      <c r="W246" s="1247"/>
      <c r="X246" s="1247"/>
      <c r="Y246" s="1247"/>
      <c r="Z246" s="1247"/>
      <c r="AA246" s="1247"/>
      <c r="AB246" s="1247"/>
      <c r="AC246" s="1247"/>
      <c r="AD246" s="1247"/>
      <c r="AE246" s="1247"/>
      <c r="AF246" s="1247"/>
      <c r="AG246" s="1247"/>
      <c r="AH246" s="1247"/>
      <c r="AI246" s="1247"/>
      <c r="AJ246" s="1247"/>
      <c r="AK246" s="1247"/>
      <c r="AL246" s="1247"/>
      <c r="AM246" s="1247"/>
      <c r="AN246" s="1247"/>
      <c r="AO246" s="1247"/>
      <c r="AP246" s="1247"/>
      <c r="AQ246" s="1247"/>
      <c r="AR246" s="1247"/>
      <c r="AS246" s="1247"/>
      <c r="AT246" s="1247"/>
      <c r="AU246" s="1247"/>
      <c r="AV246" s="1247"/>
      <c r="AW246" s="1247"/>
      <c r="AX246" s="1247"/>
      <c r="AY246" s="1247"/>
      <c r="AZ246" s="1247"/>
      <c r="BA246" s="1247"/>
      <c r="BB246" s="1247"/>
      <c r="BC246" s="1247"/>
    </row>
    <row r="247" spans="2:55" s="973" customFormat="1" ht="15" customHeight="1">
      <c r="B247" s="1247"/>
      <c r="C247" s="1247"/>
      <c r="D247" s="1247"/>
      <c r="E247" s="1247"/>
      <c r="F247" s="1247"/>
      <c r="G247" s="1247"/>
      <c r="H247" s="1247"/>
      <c r="I247" s="1247"/>
      <c r="J247" s="1247"/>
      <c r="K247" s="1247"/>
      <c r="L247" s="1247"/>
      <c r="M247" s="1247"/>
      <c r="N247" s="1247"/>
      <c r="O247" s="1247"/>
      <c r="P247" s="1247"/>
      <c r="Q247" s="1247"/>
      <c r="R247" s="1247"/>
      <c r="S247" s="1247"/>
      <c r="T247" s="1247"/>
      <c r="U247" s="1247"/>
      <c r="V247" s="1247"/>
      <c r="W247" s="1247"/>
      <c r="X247" s="1247"/>
      <c r="Y247" s="1247"/>
      <c r="Z247" s="1247"/>
      <c r="AA247" s="1247"/>
      <c r="AB247" s="1247"/>
      <c r="AC247" s="1247"/>
      <c r="AD247" s="1247"/>
      <c r="AE247" s="1247"/>
      <c r="AF247" s="1247"/>
      <c r="AG247" s="1247"/>
      <c r="AH247" s="1247"/>
      <c r="AI247" s="1247"/>
      <c r="AJ247" s="1247"/>
      <c r="AK247" s="1247"/>
      <c r="AL247" s="1247"/>
      <c r="AM247" s="1247"/>
      <c r="AN247" s="1247"/>
      <c r="AO247" s="1247"/>
      <c r="AP247" s="1247"/>
      <c r="AQ247" s="1247"/>
      <c r="AR247" s="1247"/>
      <c r="AS247" s="1247"/>
      <c r="AT247" s="1247"/>
      <c r="AU247" s="1247"/>
      <c r="AV247" s="1247"/>
      <c r="AW247" s="1247"/>
      <c r="AX247" s="1247"/>
      <c r="AY247" s="1247"/>
      <c r="AZ247" s="1247"/>
      <c r="BA247" s="1247"/>
      <c r="BB247" s="1247"/>
      <c r="BC247" s="1247"/>
    </row>
    <row r="248" spans="2:55" s="973" customFormat="1" ht="15" customHeight="1">
      <c r="B248" s="1247"/>
      <c r="C248" s="1247"/>
      <c r="D248" s="1247"/>
      <c r="E248" s="1247"/>
      <c r="F248" s="1247"/>
      <c r="G248" s="1247"/>
      <c r="H248" s="1247"/>
      <c r="I248" s="1247"/>
      <c r="J248" s="1247"/>
      <c r="K248" s="1247"/>
      <c r="L248" s="1247"/>
      <c r="M248" s="1247"/>
      <c r="N248" s="1247"/>
      <c r="O248" s="1247"/>
      <c r="P248" s="1247"/>
      <c r="Q248" s="1247"/>
      <c r="R248" s="1247"/>
      <c r="S248" s="1247"/>
      <c r="T248" s="1247"/>
      <c r="U248" s="1247"/>
      <c r="V248" s="1247"/>
      <c r="W248" s="1247"/>
      <c r="X248" s="1247"/>
      <c r="Y248" s="1247"/>
      <c r="Z248" s="1247"/>
      <c r="AA248" s="1247"/>
      <c r="AB248" s="1247"/>
      <c r="AC248" s="1247"/>
      <c r="AD248" s="1247"/>
      <c r="AE248" s="1247"/>
      <c r="AF248" s="1247"/>
      <c r="AG248" s="1247"/>
      <c r="AH248" s="1247"/>
      <c r="AI248" s="1247"/>
      <c r="AJ248" s="1247"/>
      <c r="AK248" s="1247"/>
      <c r="AL248" s="1247"/>
      <c r="AM248" s="1247"/>
      <c r="AN248" s="1247"/>
      <c r="AO248" s="1247"/>
      <c r="AP248" s="1247"/>
      <c r="AQ248" s="1247"/>
      <c r="AR248" s="1247"/>
      <c r="AS248" s="1247"/>
      <c r="AT248" s="1247"/>
      <c r="AU248" s="1247"/>
      <c r="AV248" s="1247"/>
      <c r="AW248" s="1247"/>
      <c r="AX248" s="1247"/>
      <c r="AY248" s="1247"/>
      <c r="AZ248" s="1247"/>
      <c r="BA248" s="1247"/>
      <c r="BB248" s="1247"/>
      <c r="BC248" s="1247"/>
    </row>
    <row r="249" spans="2:55" s="973" customFormat="1" ht="15" customHeight="1">
      <c r="B249" s="1247"/>
      <c r="C249" s="1247"/>
      <c r="D249" s="1247"/>
      <c r="E249" s="1247"/>
      <c r="F249" s="1247"/>
      <c r="G249" s="1247"/>
      <c r="H249" s="1247"/>
      <c r="I249" s="1247"/>
      <c r="J249" s="1247"/>
      <c r="K249" s="1247"/>
      <c r="L249" s="1247"/>
      <c r="M249" s="1247"/>
      <c r="N249" s="1247"/>
      <c r="O249" s="1247"/>
      <c r="P249" s="1247"/>
      <c r="Q249" s="1247"/>
      <c r="R249" s="1247"/>
      <c r="S249" s="1247"/>
      <c r="T249" s="1247"/>
      <c r="U249" s="1247"/>
      <c r="V249" s="1247"/>
      <c r="W249" s="1247"/>
      <c r="X249" s="1247"/>
      <c r="Y249" s="1247"/>
      <c r="Z249" s="1247"/>
      <c r="AA249" s="1247"/>
      <c r="AB249" s="1247"/>
      <c r="AC249" s="1247"/>
      <c r="AD249" s="1247"/>
      <c r="AE249" s="1247"/>
      <c r="AF249" s="1247"/>
      <c r="AG249" s="1247"/>
      <c r="AH249" s="1247"/>
      <c r="AI249" s="1247"/>
      <c r="AJ249" s="1247"/>
      <c r="AK249" s="1247"/>
      <c r="AL249" s="1247"/>
      <c r="AM249" s="1247"/>
      <c r="AN249" s="1247"/>
      <c r="AO249" s="1247"/>
      <c r="AP249" s="1247"/>
      <c r="AQ249" s="1247"/>
      <c r="AR249" s="1247"/>
      <c r="AS249" s="1247"/>
      <c r="AT249" s="1247"/>
      <c r="AU249" s="1247"/>
      <c r="AV249" s="1247"/>
      <c r="AW249" s="1247"/>
      <c r="AX249" s="1247"/>
      <c r="AY249" s="1247"/>
      <c r="AZ249" s="1247"/>
      <c r="BA249" s="1247"/>
      <c r="BB249" s="1247"/>
      <c r="BC249" s="1247"/>
    </row>
    <row r="250" spans="2:55" s="973" customFormat="1" ht="15" customHeight="1">
      <c r="B250" s="1247"/>
      <c r="C250" s="1247"/>
      <c r="D250" s="1247"/>
      <c r="E250" s="1247"/>
      <c r="F250" s="1247"/>
      <c r="G250" s="1247"/>
      <c r="H250" s="1247"/>
      <c r="I250" s="1247"/>
      <c r="J250" s="1247"/>
      <c r="K250" s="1247"/>
      <c r="L250" s="1247"/>
      <c r="M250" s="1247"/>
      <c r="N250" s="1247"/>
      <c r="O250" s="1247"/>
      <c r="P250" s="1247"/>
      <c r="Q250" s="1247"/>
      <c r="R250" s="1247"/>
      <c r="S250" s="1247"/>
      <c r="T250" s="1247"/>
      <c r="U250" s="1247"/>
      <c r="V250" s="1247"/>
      <c r="W250" s="1247"/>
      <c r="X250" s="1247"/>
      <c r="Y250" s="1247"/>
      <c r="Z250" s="1247"/>
      <c r="AA250" s="1247"/>
      <c r="AB250" s="1247"/>
      <c r="AC250" s="1247"/>
      <c r="AD250" s="1247"/>
      <c r="AE250" s="1247"/>
      <c r="AF250" s="1247"/>
      <c r="AG250" s="1247"/>
      <c r="AH250" s="1247"/>
      <c r="AI250" s="1247"/>
      <c r="AJ250" s="1247"/>
      <c r="AK250" s="1247"/>
      <c r="AL250" s="1247"/>
      <c r="AM250" s="1247"/>
      <c r="AN250" s="1247"/>
      <c r="AO250" s="1247"/>
      <c r="AP250" s="1247"/>
      <c r="AQ250" s="1247"/>
      <c r="AR250" s="1247"/>
      <c r="AS250" s="1247"/>
      <c r="AT250" s="1247"/>
      <c r="AU250" s="1247"/>
      <c r="AV250" s="1247"/>
      <c r="AW250" s="1247"/>
      <c r="AX250" s="1247"/>
      <c r="AY250" s="1247"/>
      <c r="AZ250" s="1247"/>
      <c r="BA250" s="1247"/>
      <c r="BB250" s="1247"/>
      <c r="BC250" s="1247"/>
    </row>
    <row r="251" spans="2:55" s="973" customFormat="1" ht="15" customHeight="1">
      <c r="B251" s="1247"/>
      <c r="C251" s="1247"/>
      <c r="D251" s="1247"/>
      <c r="E251" s="1247"/>
      <c r="F251" s="1247"/>
      <c r="G251" s="1247"/>
      <c r="H251" s="1247"/>
      <c r="I251" s="1247"/>
      <c r="J251" s="1247"/>
      <c r="K251" s="1247"/>
      <c r="L251" s="1247"/>
      <c r="M251" s="1247"/>
      <c r="N251" s="1247"/>
      <c r="O251" s="1247"/>
      <c r="P251" s="1247"/>
      <c r="Q251" s="1247"/>
      <c r="R251" s="1247"/>
      <c r="S251" s="1247"/>
      <c r="T251" s="1247"/>
      <c r="U251" s="1247"/>
      <c r="V251" s="1247"/>
      <c r="W251" s="1247"/>
      <c r="X251" s="1247"/>
      <c r="Y251" s="1247"/>
      <c r="Z251" s="1247"/>
      <c r="AA251" s="1247"/>
      <c r="AB251" s="1247"/>
      <c r="AC251" s="1247"/>
      <c r="AD251" s="1247"/>
      <c r="AE251" s="1247"/>
      <c r="AF251" s="1247"/>
      <c r="AG251" s="1247"/>
      <c r="AH251" s="1247"/>
      <c r="AI251" s="1247"/>
      <c r="AJ251" s="1247"/>
      <c r="AK251" s="1247"/>
      <c r="AL251" s="1247"/>
      <c r="AM251" s="1247"/>
      <c r="AN251" s="1247"/>
      <c r="AO251" s="1247"/>
      <c r="AP251" s="1247"/>
      <c r="AQ251" s="1247"/>
      <c r="AR251" s="1247"/>
      <c r="AS251" s="1247"/>
      <c r="AT251" s="1247"/>
      <c r="AU251" s="1247"/>
      <c r="AV251" s="1247"/>
      <c r="AW251" s="1247"/>
      <c r="AX251" s="1247"/>
      <c r="AY251" s="1247"/>
      <c r="AZ251" s="1247"/>
      <c r="BA251" s="1247"/>
      <c r="BB251" s="1247"/>
      <c r="BC251" s="1247"/>
    </row>
    <row r="252" spans="2:55" s="973" customFormat="1" ht="15" customHeight="1">
      <c r="B252" s="1247"/>
      <c r="C252" s="1247"/>
      <c r="D252" s="1247"/>
      <c r="E252" s="1247"/>
      <c r="F252" s="1247"/>
      <c r="G252" s="1247"/>
      <c r="H252" s="1247"/>
      <c r="I252" s="1247"/>
      <c r="J252" s="1247"/>
      <c r="K252" s="1247"/>
      <c r="L252" s="1247"/>
      <c r="M252" s="1247"/>
      <c r="N252" s="1247"/>
      <c r="O252" s="1247"/>
      <c r="P252" s="1247"/>
      <c r="Q252" s="1247"/>
      <c r="R252" s="1247"/>
      <c r="S252" s="1247"/>
      <c r="T252" s="1247"/>
      <c r="U252" s="1247"/>
      <c r="V252" s="1247"/>
      <c r="W252" s="1247"/>
      <c r="X252" s="1247"/>
      <c r="Y252" s="1247"/>
      <c r="Z252" s="1247"/>
      <c r="AA252" s="1247"/>
      <c r="AB252" s="1247"/>
      <c r="AC252" s="1247"/>
      <c r="AD252" s="1247"/>
      <c r="AE252" s="1247"/>
      <c r="AF252" s="1247"/>
      <c r="AG252" s="1247"/>
      <c r="AH252" s="1247"/>
      <c r="AI252" s="1247"/>
      <c r="AJ252" s="1247"/>
      <c r="AK252" s="1247"/>
      <c r="AL252" s="1247"/>
      <c r="AM252" s="1247"/>
      <c r="AN252" s="1247"/>
      <c r="AO252" s="1247"/>
      <c r="AP252" s="1247"/>
      <c r="AQ252" s="1247"/>
      <c r="AR252" s="1247"/>
      <c r="AS252" s="1247"/>
      <c r="AT252" s="1247"/>
      <c r="AU252" s="1247"/>
      <c r="AV252" s="1247"/>
      <c r="AW252" s="1247"/>
      <c r="AX252" s="1247"/>
      <c r="AY252" s="1247"/>
      <c r="AZ252" s="1247"/>
      <c r="BA252" s="1247"/>
      <c r="BB252" s="1247"/>
      <c r="BC252" s="1247"/>
    </row>
    <row r="253" spans="2:55" s="973" customFormat="1" ht="15" customHeight="1">
      <c r="B253" s="1247"/>
      <c r="C253" s="1247"/>
      <c r="D253" s="1247"/>
      <c r="E253" s="1247"/>
      <c r="F253" s="1247"/>
      <c r="G253" s="1247"/>
      <c r="H253" s="1247"/>
      <c r="I253" s="1247"/>
      <c r="J253" s="1247"/>
      <c r="K253" s="1247"/>
      <c r="L253" s="1247"/>
      <c r="M253" s="1247"/>
      <c r="N253" s="1247"/>
      <c r="O253" s="1247"/>
      <c r="P253" s="1247"/>
      <c r="Q253" s="1247"/>
      <c r="R253" s="1247"/>
      <c r="S253" s="1247"/>
      <c r="T253" s="1247"/>
      <c r="U253" s="1247"/>
      <c r="V253" s="1247"/>
      <c r="W253" s="1247"/>
      <c r="X253" s="1247"/>
      <c r="Y253" s="1247"/>
      <c r="Z253" s="1247"/>
      <c r="AA253" s="1247"/>
      <c r="AB253" s="1247"/>
      <c r="AC253" s="1247"/>
      <c r="AD253" s="1247"/>
      <c r="AE253" s="1247"/>
      <c r="AF253" s="1247"/>
      <c r="AG253" s="1247"/>
      <c r="AH253" s="1247"/>
      <c r="AI253" s="1247"/>
      <c r="AJ253" s="1247"/>
      <c r="AK253" s="1247"/>
      <c r="AL253" s="1247"/>
      <c r="AM253" s="1247"/>
      <c r="AN253" s="1247"/>
      <c r="AO253" s="1247"/>
      <c r="AP253" s="1247"/>
      <c r="AQ253" s="1247"/>
      <c r="AR253" s="1247"/>
      <c r="AS253" s="1247"/>
      <c r="AT253" s="1247"/>
      <c r="AU253" s="1247"/>
      <c r="AV253" s="1247"/>
      <c r="AW253" s="1247"/>
      <c r="AX253" s="1247"/>
      <c r="AY253" s="1247"/>
      <c r="AZ253" s="1247"/>
      <c r="BA253" s="1247"/>
      <c r="BB253" s="1247"/>
      <c r="BC253" s="1247"/>
    </row>
    <row r="254" spans="2:55" s="973" customFormat="1" ht="15" customHeight="1">
      <c r="B254" s="1247"/>
      <c r="C254" s="1247"/>
      <c r="D254" s="1247"/>
      <c r="E254" s="1247"/>
      <c r="F254" s="1247"/>
      <c r="G254" s="1247"/>
      <c r="H254" s="1247"/>
      <c r="I254" s="1247"/>
      <c r="J254" s="1247"/>
      <c r="K254" s="1247"/>
      <c r="L254" s="1247"/>
      <c r="M254" s="1247"/>
      <c r="N254" s="1247"/>
      <c r="O254" s="1247"/>
      <c r="P254" s="1247"/>
      <c r="Q254" s="1247"/>
      <c r="R254" s="1247"/>
      <c r="S254" s="1247"/>
      <c r="T254" s="1247"/>
      <c r="U254" s="1247"/>
      <c r="V254" s="1247"/>
      <c r="W254" s="1247"/>
      <c r="X254" s="1247"/>
      <c r="Y254" s="1247"/>
      <c r="Z254" s="1247"/>
      <c r="AA254" s="1247"/>
      <c r="AB254" s="1247"/>
      <c r="AC254" s="1247"/>
      <c r="AD254" s="1247"/>
      <c r="AE254" s="1247"/>
      <c r="AF254" s="1247"/>
      <c r="AG254" s="1247"/>
      <c r="AH254" s="1247"/>
      <c r="AI254" s="1247"/>
      <c r="AJ254" s="1247"/>
      <c r="AK254" s="1247"/>
      <c r="AL254" s="1247"/>
      <c r="AM254" s="1247"/>
      <c r="AN254" s="1247"/>
      <c r="AO254" s="1247"/>
      <c r="AP254" s="1247"/>
      <c r="AQ254" s="1247"/>
      <c r="AR254" s="1247"/>
      <c r="AS254" s="1247"/>
      <c r="AT254" s="1247"/>
      <c r="AU254" s="1247"/>
      <c r="AV254" s="1247"/>
      <c r="AW254" s="1247"/>
      <c r="AX254" s="1247"/>
      <c r="AY254" s="1247"/>
      <c r="AZ254" s="1247"/>
      <c r="BA254" s="1247"/>
      <c r="BB254" s="1247"/>
      <c r="BC254" s="1247"/>
    </row>
    <row r="255" spans="2:55" s="973" customFormat="1" ht="15" customHeight="1">
      <c r="B255" s="1247"/>
      <c r="C255" s="1247"/>
      <c r="D255" s="1247"/>
      <c r="E255" s="1247"/>
      <c r="F255" s="1247"/>
      <c r="G255" s="1247"/>
      <c r="H255" s="1247"/>
      <c r="I255" s="1247"/>
      <c r="J255" s="1247"/>
      <c r="K255" s="1247"/>
      <c r="L255" s="1247"/>
      <c r="M255" s="1247"/>
      <c r="N255" s="1247"/>
      <c r="O255" s="1247"/>
      <c r="P255" s="1247"/>
      <c r="Q255" s="1247"/>
      <c r="R255" s="1247"/>
      <c r="S255" s="1247"/>
      <c r="T255" s="1247"/>
      <c r="U255" s="1247"/>
      <c r="V255" s="1247"/>
      <c r="W255" s="1247"/>
      <c r="X255" s="1247"/>
      <c r="Y255" s="1247"/>
      <c r="Z255" s="1247"/>
      <c r="AA255" s="1247"/>
      <c r="AB255" s="1247"/>
      <c r="AC255" s="1247"/>
      <c r="AD255" s="1247"/>
      <c r="AE255" s="1247"/>
      <c r="AF255" s="1247"/>
      <c r="AG255" s="1247"/>
      <c r="AH255" s="1247"/>
      <c r="AI255" s="1247"/>
      <c r="AJ255" s="1247"/>
      <c r="AK255" s="1247"/>
      <c r="AL255" s="1247"/>
      <c r="AM255" s="1247"/>
      <c r="AN255" s="1247"/>
      <c r="AO255" s="1247"/>
      <c r="AP255" s="1247"/>
      <c r="AQ255" s="1247"/>
      <c r="AR255" s="1247"/>
      <c r="AS255" s="1247"/>
      <c r="AT255" s="1247"/>
      <c r="AU255" s="1247"/>
      <c r="AV255" s="1247"/>
      <c r="AW255" s="1247"/>
      <c r="AX255" s="1247"/>
      <c r="AY255" s="1247"/>
      <c r="AZ255" s="1247"/>
      <c r="BA255" s="1247"/>
      <c r="BB255" s="1247"/>
      <c r="BC255" s="1247"/>
    </row>
    <row r="256" spans="2:55" s="973" customFormat="1" ht="15" customHeight="1">
      <c r="B256" s="1247"/>
      <c r="C256" s="1247"/>
      <c r="D256" s="1247"/>
      <c r="E256" s="1247"/>
      <c r="F256" s="1247"/>
      <c r="G256" s="1247"/>
      <c r="H256" s="1247"/>
      <c r="I256" s="1247"/>
      <c r="J256" s="1247"/>
      <c r="K256" s="1247"/>
      <c r="L256" s="1247"/>
      <c r="M256" s="1247"/>
      <c r="N256" s="1247"/>
      <c r="O256" s="1247"/>
      <c r="P256" s="1247"/>
      <c r="Q256" s="1247"/>
      <c r="R256" s="1247"/>
      <c r="S256" s="1247"/>
      <c r="T256" s="1247"/>
      <c r="U256" s="1247"/>
      <c r="V256" s="1247"/>
      <c r="W256" s="1247"/>
      <c r="X256" s="1247"/>
      <c r="Y256" s="1247"/>
      <c r="Z256" s="1247"/>
      <c r="AA256" s="1247"/>
      <c r="AB256" s="1247"/>
      <c r="AC256" s="1247"/>
      <c r="AD256" s="1247"/>
      <c r="AE256" s="1247"/>
      <c r="AF256" s="1247"/>
      <c r="AG256" s="1247"/>
      <c r="AH256" s="1247"/>
      <c r="AI256" s="1247"/>
      <c r="AJ256" s="1247"/>
      <c r="AK256" s="1247"/>
      <c r="AL256" s="1247"/>
      <c r="AM256" s="1247"/>
      <c r="AN256" s="1247"/>
      <c r="AO256" s="1247"/>
      <c r="AP256" s="1247"/>
      <c r="AQ256" s="1247"/>
      <c r="AR256" s="1247"/>
      <c r="AS256" s="1247"/>
      <c r="AT256" s="1247"/>
      <c r="AU256" s="1247"/>
      <c r="AV256" s="1247"/>
      <c r="AW256" s="1247"/>
      <c r="AX256" s="1247"/>
      <c r="AY256" s="1247"/>
      <c r="AZ256" s="1247"/>
      <c r="BA256" s="1247"/>
      <c r="BB256" s="1247"/>
      <c r="BC256" s="1247"/>
    </row>
    <row r="257" spans="2:55" s="973" customFormat="1" ht="15" customHeight="1">
      <c r="B257" s="1247"/>
      <c r="C257" s="1247"/>
      <c r="D257" s="1247"/>
      <c r="E257" s="1247"/>
      <c r="F257" s="1247"/>
      <c r="G257" s="1247"/>
      <c r="H257" s="1247"/>
      <c r="I257" s="1247"/>
      <c r="J257" s="1247"/>
      <c r="K257" s="1247"/>
      <c r="L257" s="1247"/>
      <c r="M257" s="1247"/>
      <c r="N257" s="1247"/>
      <c r="O257" s="1247"/>
      <c r="P257" s="1247"/>
      <c r="Q257" s="1247"/>
      <c r="R257" s="1247"/>
      <c r="S257" s="1247"/>
      <c r="T257" s="1247"/>
      <c r="U257" s="1247"/>
      <c r="V257" s="1247"/>
      <c r="W257" s="1247"/>
      <c r="X257" s="1247"/>
      <c r="Y257" s="1247"/>
      <c r="Z257" s="1247"/>
      <c r="AA257" s="1247"/>
      <c r="AB257" s="1247"/>
      <c r="AC257" s="1247"/>
      <c r="AD257" s="1247"/>
      <c r="AE257" s="1247"/>
      <c r="AF257" s="1247"/>
      <c r="AG257" s="1247"/>
      <c r="AH257" s="1247"/>
      <c r="AI257" s="1247"/>
      <c r="AJ257" s="1247"/>
      <c r="AK257" s="1247"/>
      <c r="AL257" s="1247"/>
      <c r="AM257" s="1247"/>
      <c r="AN257" s="1247"/>
      <c r="AO257" s="1247"/>
      <c r="AP257" s="1247"/>
      <c r="AQ257" s="1247"/>
      <c r="AR257" s="1247"/>
      <c r="AS257" s="1247"/>
      <c r="AT257" s="1247"/>
      <c r="AU257" s="1247"/>
      <c r="AV257" s="1247"/>
      <c r="AW257" s="1247"/>
      <c r="AX257" s="1247"/>
      <c r="AY257" s="1247"/>
      <c r="AZ257" s="1247"/>
      <c r="BA257" s="1247"/>
      <c r="BB257" s="1247"/>
      <c r="BC257" s="1247"/>
    </row>
    <row r="258" spans="2:55" s="973" customFormat="1" ht="15" customHeight="1">
      <c r="B258" s="1247"/>
      <c r="C258" s="1247"/>
      <c r="D258" s="1247"/>
      <c r="E258" s="1247"/>
      <c r="F258" s="1247"/>
      <c r="G258" s="1247"/>
      <c r="H258" s="1247"/>
      <c r="I258" s="1247"/>
      <c r="J258" s="1247"/>
      <c r="K258" s="1247"/>
      <c r="L258" s="1247"/>
      <c r="M258" s="1247"/>
      <c r="N258" s="1247"/>
      <c r="O258" s="1247"/>
      <c r="P258" s="1247"/>
      <c r="Q258" s="1247"/>
      <c r="R258" s="1247"/>
      <c r="S258" s="1247"/>
      <c r="T258" s="1247"/>
      <c r="U258" s="1247"/>
      <c r="V258" s="1247"/>
      <c r="W258" s="1247"/>
      <c r="X258" s="1247"/>
      <c r="Y258" s="1247"/>
      <c r="Z258" s="1247"/>
      <c r="AA258" s="1247"/>
      <c r="AB258" s="1247"/>
      <c r="AC258" s="1247"/>
      <c r="AD258" s="1247"/>
      <c r="AE258" s="1247"/>
      <c r="AF258" s="1247"/>
      <c r="AG258" s="1247"/>
      <c r="AH258" s="1247"/>
      <c r="AI258" s="1247"/>
      <c r="AJ258" s="1247"/>
      <c r="AK258" s="1247"/>
      <c r="AL258" s="1247"/>
      <c r="AM258" s="1247"/>
      <c r="AN258" s="1247"/>
      <c r="AO258" s="1247"/>
      <c r="AP258" s="1247"/>
      <c r="AQ258" s="1247"/>
      <c r="AR258" s="1247"/>
      <c r="AS258" s="1247"/>
      <c r="AT258" s="1247"/>
      <c r="AU258" s="1247"/>
      <c r="AV258" s="1247"/>
      <c r="AW258" s="1247"/>
      <c r="AX258" s="1247"/>
      <c r="AY258" s="1247"/>
      <c r="AZ258" s="1247"/>
      <c r="BA258" s="1247"/>
      <c r="BB258" s="1247"/>
      <c r="BC258" s="1247"/>
    </row>
    <row r="259" spans="2:55" s="973" customFormat="1" ht="15" customHeight="1">
      <c r="B259" s="1247"/>
      <c r="C259" s="1247"/>
      <c r="D259" s="1247"/>
      <c r="E259" s="1247"/>
      <c r="F259" s="1247"/>
      <c r="G259" s="1247"/>
      <c r="H259" s="1247"/>
      <c r="I259" s="1247"/>
      <c r="J259" s="1247"/>
      <c r="K259" s="1247"/>
      <c r="L259" s="1247"/>
      <c r="M259" s="1247"/>
      <c r="N259" s="1247"/>
      <c r="O259" s="1247"/>
      <c r="P259" s="1247"/>
      <c r="Q259" s="1247"/>
      <c r="R259" s="1247"/>
      <c r="S259" s="1247"/>
      <c r="T259" s="1247"/>
      <c r="U259" s="1247"/>
      <c r="V259" s="1247"/>
      <c r="W259" s="1247"/>
      <c r="X259" s="1247"/>
      <c r="Y259" s="1247"/>
      <c r="Z259" s="1247"/>
      <c r="AA259" s="1247"/>
      <c r="AB259" s="1247"/>
      <c r="AC259" s="1247"/>
      <c r="AD259" s="1247"/>
      <c r="AE259" s="1247"/>
      <c r="AF259" s="1247"/>
      <c r="AG259" s="1247"/>
      <c r="AH259" s="1247"/>
      <c r="AI259" s="1247"/>
      <c r="AJ259" s="1247"/>
      <c r="AK259" s="1247"/>
      <c r="AL259" s="1247"/>
      <c r="AM259" s="1247"/>
      <c r="AN259" s="1247"/>
      <c r="AO259" s="1247"/>
      <c r="AP259" s="1247"/>
      <c r="AQ259" s="1247"/>
      <c r="AR259" s="1247"/>
      <c r="AS259" s="1247"/>
      <c r="AT259" s="1247"/>
      <c r="AU259" s="1247"/>
      <c r="AV259" s="1247"/>
      <c r="AW259" s="1247"/>
      <c r="AX259" s="1247"/>
      <c r="AY259" s="1247"/>
      <c r="AZ259" s="1247"/>
      <c r="BA259" s="1247"/>
      <c r="BB259" s="1247"/>
      <c r="BC259" s="1247"/>
    </row>
    <row r="260" spans="2:55" s="973" customFormat="1" ht="15" customHeight="1">
      <c r="B260" s="1247"/>
      <c r="C260" s="1247"/>
      <c r="D260" s="1247"/>
      <c r="E260" s="1247"/>
      <c r="F260" s="1247"/>
      <c r="G260" s="1247"/>
      <c r="H260" s="1247"/>
      <c r="I260" s="1247"/>
      <c r="J260" s="1247"/>
      <c r="K260" s="1247"/>
      <c r="L260" s="1247"/>
      <c r="M260" s="1247"/>
      <c r="N260" s="1247"/>
      <c r="O260" s="1247"/>
      <c r="P260" s="1247"/>
      <c r="Q260" s="1247"/>
      <c r="R260" s="1247"/>
      <c r="S260" s="1247"/>
      <c r="T260" s="1247"/>
      <c r="U260" s="1247"/>
      <c r="V260" s="1247"/>
      <c r="W260" s="1247"/>
      <c r="X260" s="1247"/>
      <c r="Y260" s="1247"/>
      <c r="Z260" s="1247"/>
      <c r="AA260" s="1247"/>
      <c r="AB260" s="1247"/>
      <c r="AC260" s="1247"/>
      <c r="AD260" s="1247"/>
      <c r="AE260" s="1247"/>
      <c r="AF260" s="1247"/>
      <c r="AG260" s="1247"/>
      <c r="AH260" s="1247"/>
      <c r="AI260" s="1247"/>
      <c r="AJ260" s="1247"/>
      <c r="AK260" s="1247"/>
      <c r="AL260" s="1247"/>
      <c r="AM260" s="1247"/>
      <c r="AN260" s="1247"/>
      <c r="AO260" s="1247"/>
      <c r="AP260" s="1247"/>
      <c r="AQ260" s="1247"/>
      <c r="AR260" s="1247"/>
      <c r="AS260" s="1247"/>
      <c r="AT260" s="1247"/>
      <c r="AU260" s="1247"/>
      <c r="AV260" s="1247"/>
      <c r="AW260" s="1247"/>
      <c r="AX260" s="1247"/>
      <c r="AY260" s="1247"/>
      <c r="AZ260" s="1247"/>
      <c r="BA260" s="1247"/>
      <c r="BB260" s="1247"/>
      <c r="BC260" s="1247"/>
    </row>
    <row r="261" spans="2:55" s="973" customFormat="1" ht="15" customHeight="1">
      <c r="B261" s="1247"/>
      <c r="C261" s="1247"/>
      <c r="D261" s="1247"/>
      <c r="E261" s="1247"/>
      <c r="F261" s="1247"/>
      <c r="G261" s="1247"/>
      <c r="H261" s="1247"/>
      <c r="I261" s="1247"/>
      <c r="J261" s="1247"/>
      <c r="K261" s="1247"/>
      <c r="L261" s="1247"/>
      <c r="M261" s="1247"/>
      <c r="N261" s="1247"/>
      <c r="O261" s="1247"/>
      <c r="P261" s="1247"/>
      <c r="Q261" s="1247"/>
      <c r="R261" s="1247"/>
      <c r="S261" s="1247"/>
      <c r="T261" s="1247"/>
      <c r="U261" s="1247"/>
      <c r="V261" s="1247"/>
      <c r="W261" s="1247"/>
      <c r="X261" s="1247"/>
      <c r="Y261" s="1247"/>
      <c r="Z261" s="1247"/>
      <c r="AA261" s="1247"/>
      <c r="AB261" s="1247"/>
      <c r="AC261" s="1247"/>
      <c r="AD261" s="1247"/>
      <c r="AE261" s="1247"/>
      <c r="AF261" s="1247"/>
      <c r="AG261" s="1247"/>
      <c r="AH261" s="1247"/>
      <c r="AI261" s="1247"/>
      <c r="AJ261" s="1247"/>
      <c r="AK261" s="1247"/>
      <c r="AL261" s="1247"/>
      <c r="AM261" s="1247"/>
      <c r="AN261" s="1247"/>
      <c r="AO261" s="1247"/>
      <c r="AP261" s="1247"/>
      <c r="AQ261" s="1247"/>
      <c r="AR261" s="1247"/>
      <c r="AS261" s="1247"/>
      <c r="AT261" s="1247"/>
      <c r="AU261" s="1247"/>
      <c r="AV261" s="1247"/>
      <c r="AW261" s="1247"/>
      <c r="AX261" s="1247"/>
      <c r="AY261" s="1247"/>
      <c r="AZ261" s="1247"/>
      <c r="BA261" s="1247"/>
      <c r="BB261" s="1247"/>
      <c r="BC261" s="1247"/>
    </row>
    <row r="262" spans="2:55" s="973" customFormat="1" ht="15" customHeight="1">
      <c r="B262" s="1247"/>
      <c r="C262" s="1247"/>
      <c r="D262" s="1247"/>
      <c r="E262" s="1247"/>
      <c r="F262" s="1247"/>
      <c r="G262" s="1247"/>
      <c r="H262" s="1247"/>
      <c r="I262" s="1247"/>
      <c r="J262" s="1247"/>
      <c r="K262" s="1247"/>
      <c r="L262" s="1247"/>
      <c r="M262" s="1247"/>
      <c r="N262" s="1247"/>
      <c r="O262" s="1247"/>
      <c r="P262" s="1247"/>
      <c r="Q262" s="1247"/>
      <c r="R262" s="1247"/>
      <c r="S262" s="1247"/>
      <c r="T262" s="1247"/>
      <c r="U262" s="1247"/>
      <c r="V262" s="1247"/>
      <c r="W262" s="1247"/>
      <c r="X262" s="1247"/>
      <c r="Y262" s="1247"/>
      <c r="Z262" s="1247"/>
      <c r="AA262" s="1247"/>
      <c r="AB262" s="1247"/>
      <c r="AC262" s="1247"/>
      <c r="AD262" s="1247"/>
      <c r="AE262" s="1247"/>
      <c r="AF262" s="1247"/>
      <c r="AG262" s="1247"/>
      <c r="AH262" s="1247"/>
      <c r="AI262" s="1247"/>
      <c r="AJ262" s="1247"/>
      <c r="AK262" s="1247"/>
      <c r="AL262" s="1247"/>
      <c r="AM262" s="1247"/>
      <c r="AN262" s="1247"/>
      <c r="AO262" s="1247"/>
      <c r="AP262" s="1247"/>
      <c r="AQ262" s="1247"/>
      <c r="AR262" s="1247"/>
      <c r="AS262" s="1247"/>
      <c r="AT262" s="1247"/>
      <c r="AU262" s="1247"/>
      <c r="AV262" s="1247"/>
      <c r="AW262" s="1247"/>
      <c r="AX262" s="1247"/>
      <c r="AY262" s="1247"/>
      <c r="AZ262" s="1247"/>
      <c r="BA262" s="1247"/>
      <c r="BB262" s="1247"/>
      <c r="BC262" s="1247"/>
    </row>
    <row r="263" spans="2:55" s="973" customFormat="1" ht="15" customHeight="1">
      <c r="B263" s="1247"/>
      <c r="C263" s="1247"/>
      <c r="D263" s="1247"/>
      <c r="E263" s="1247"/>
      <c r="F263" s="1247"/>
      <c r="G263" s="1247"/>
      <c r="H263" s="1247"/>
      <c r="I263" s="1247"/>
      <c r="J263" s="1247"/>
      <c r="K263" s="1247"/>
      <c r="L263" s="1247"/>
      <c r="M263" s="1247"/>
      <c r="N263" s="1247"/>
      <c r="O263" s="1247"/>
      <c r="P263" s="1247"/>
      <c r="Q263" s="1247"/>
      <c r="R263" s="1247"/>
      <c r="S263" s="1247"/>
      <c r="T263" s="1247"/>
      <c r="U263" s="1247"/>
      <c r="V263" s="1247"/>
      <c r="W263" s="1247"/>
      <c r="X263" s="1247"/>
      <c r="Y263" s="1247"/>
      <c r="Z263" s="1247"/>
      <c r="AA263" s="1247"/>
      <c r="AB263" s="1247"/>
      <c r="AC263" s="1247"/>
      <c r="AD263" s="1247"/>
      <c r="AE263" s="1247"/>
      <c r="AF263" s="1247"/>
      <c r="AG263" s="1247"/>
      <c r="AH263" s="1247"/>
      <c r="AI263" s="1247"/>
      <c r="AJ263" s="1247"/>
      <c r="AK263" s="1247"/>
      <c r="AL263" s="1247"/>
      <c r="AM263" s="1247"/>
      <c r="AN263" s="1247"/>
      <c r="AO263" s="1247"/>
      <c r="AP263" s="1247"/>
      <c r="AQ263" s="1247"/>
      <c r="AR263" s="1247"/>
      <c r="AS263" s="1247"/>
      <c r="AT263" s="1247"/>
      <c r="AU263" s="1247"/>
      <c r="AV263" s="1247"/>
      <c r="AW263" s="1247"/>
      <c r="AX263" s="1247"/>
      <c r="AY263" s="1247"/>
      <c r="AZ263" s="1247"/>
      <c r="BA263" s="1247"/>
      <c r="BB263" s="1247"/>
      <c r="BC263" s="1247"/>
    </row>
    <row r="264" spans="2:55" s="973" customFormat="1" ht="15" customHeight="1">
      <c r="B264" s="1247"/>
      <c r="C264" s="1247"/>
      <c r="D264" s="1247"/>
      <c r="E264" s="1247"/>
      <c r="F264" s="1247"/>
      <c r="G264" s="1247"/>
      <c r="H264" s="1247"/>
      <c r="I264" s="1247"/>
      <c r="J264" s="1247"/>
      <c r="K264" s="1247"/>
      <c r="L264" s="1247"/>
      <c r="M264" s="1247"/>
      <c r="N264" s="1247"/>
      <c r="O264" s="1247"/>
      <c r="P264" s="1247"/>
      <c r="Q264" s="1247"/>
      <c r="R264" s="1247"/>
      <c r="S264" s="1247"/>
      <c r="T264" s="1247"/>
      <c r="U264" s="1247"/>
      <c r="V264" s="1247"/>
      <c r="W264" s="1247"/>
      <c r="X264" s="1247"/>
      <c r="Y264" s="1247"/>
      <c r="Z264" s="1247"/>
      <c r="AA264" s="1247"/>
      <c r="AB264" s="1247"/>
      <c r="AC264" s="1247"/>
      <c r="AD264" s="1247"/>
      <c r="AE264" s="1247"/>
      <c r="AF264" s="1247"/>
      <c r="AG264" s="1247"/>
      <c r="AH264" s="1247"/>
      <c r="AI264" s="1247"/>
      <c r="AJ264" s="1247"/>
      <c r="AK264" s="1247"/>
      <c r="AL264" s="1247"/>
      <c r="AM264" s="1247"/>
      <c r="AN264" s="1247"/>
      <c r="AO264" s="1247"/>
      <c r="AP264" s="1247"/>
      <c r="AQ264" s="1247"/>
      <c r="AR264" s="1247"/>
      <c r="AS264" s="1247"/>
      <c r="AT264" s="1247"/>
      <c r="AU264" s="1247"/>
      <c r="AV264" s="1247"/>
      <c r="AW264" s="1247"/>
      <c r="AX264" s="1247"/>
      <c r="AY264" s="1247"/>
      <c r="AZ264" s="1247"/>
      <c r="BA264" s="1247"/>
      <c r="BB264" s="1247"/>
      <c r="BC264" s="1247"/>
    </row>
    <row r="265" spans="2:55" s="973" customFormat="1" ht="15" customHeight="1">
      <c r="B265" s="1247"/>
      <c r="C265" s="1247"/>
      <c r="D265" s="1247"/>
      <c r="E265" s="1247"/>
      <c r="F265" s="1247"/>
      <c r="G265" s="1247"/>
      <c r="H265" s="1247"/>
      <c r="I265" s="1247"/>
      <c r="J265" s="1247"/>
      <c r="K265" s="1247"/>
      <c r="L265" s="1247"/>
      <c r="M265" s="1247"/>
      <c r="N265" s="1247"/>
      <c r="O265" s="1247"/>
      <c r="P265" s="1247"/>
      <c r="Q265" s="1247"/>
      <c r="R265" s="1247"/>
      <c r="S265" s="1247"/>
      <c r="T265" s="1247"/>
      <c r="U265" s="1247"/>
      <c r="V265" s="1247"/>
      <c r="W265" s="1247"/>
      <c r="X265" s="1247"/>
      <c r="Y265" s="1247"/>
      <c r="Z265" s="1247"/>
      <c r="AA265" s="1247"/>
      <c r="AB265" s="1247"/>
      <c r="AC265" s="1247"/>
      <c r="AD265" s="1247"/>
      <c r="AE265" s="1247"/>
      <c r="AF265" s="1247"/>
      <c r="AG265" s="1247"/>
      <c r="AH265" s="1247"/>
      <c r="AI265" s="1247"/>
      <c r="AJ265" s="1247"/>
      <c r="AK265" s="1247"/>
      <c r="AL265" s="1247"/>
      <c r="AM265" s="1247"/>
      <c r="AN265" s="1247"/>
      <c r="AO265" s="1247"/>
      <c r="AP265" s="1247"/>
      <c r="AQ265" s="1247"/>
      <c r="AR265" s="1247"/>
      <c r="AS265" s="1247"/>
      <c r="AT265" s="1247"/>
      <c r="AU265" s="1247"/>
      <c r="AV265" s="1247"/>
      <c r="AW265" s="1247"/>
      <c r="AX265" s="1247"/>
      <c r="AY265" s="1247"/>
      <c r="AZ265" s="1247"/>
      <c r="BA265" s="1247"/>
      <c r="BB265" s="1247"/>
      <c r="BC265" s="1247"/>
    </row>
    <row r="266" spans="2:55" s="973" customFormat="1" ht="15" customHeight="1">
      <c r="B266" s="1247"/>
      <c r="C266" s="1247"/>
      <c r="D266" s="1247"/>
      <c r="E266" s="1247"/>
      <c r="F266" s="1247"/>
      <c r="G266" s="1247"/>
      <c r="H266" s="1247"/>
      <c r="I266" s="1247"/>
      <c r="J266" s="1247"/>
      <c r="K266" s="1247"/>
      <c r="L266" s="1247"/>
      <c r="M266" s="1247"/>
      <c r="N266" s="1247"/>
      <c r="O266" s="1247"/>
      <c r="P266" s="1247"/>
      <c r="Q266" s="1247"/>
      <c r="R266" s="1247"/>
      <c r="S266" s="1247"/>
      <c r="T266" s="1247"/>
      <c r="U266" s="1247"/>
      <c r="V266" s="1247"/>
      <c r="W266" s="1247"/>
      <c r="X266" s="1247"/>
      <c r="Y266" s="1247"/>
      <c r="Z266" s="1247"/>
      <c r="AA266" s="1247"/>
      <c r="AB266" s="1247"/>
      <c r="AC266" s="1247"/>
      <c r="AD266" s="1247"/>
      <c r="AE266" s="1247"/>
      <c r="AF266" s="1247"/>
      <c r="AG266" s="1247"/>
      <c r="AH266" s="1247"/>
      <c r="AI266" s="1247"/>
      <c r="AJ266" s="1247"/>
      <c r="AK266" s="1247"/>
      <c r="AL266" s="1247"/>
      <c r="AM266" s="1247"/>
      <c r="AN266" s="1247"/>
      <c r="AO266" s="1247"/>
      <c r="AP266" s="1247"/>
      <c r="AQ266" s="1247"/>
      <c r="AR266" s="1247"/>
      <c r="AS266" s="1247"/>
      <c r="AT266" s="1247"/>
      <c r="AU266" s="1247"/>
      <c r="AV266" s="1247"/>
      <c r="AW266" s="1247"/>
      <c r="AX266" s="1247"/>
      <c r="AY266" s="1247"/>
      <c r="AZ266" s="1247"/>
      <c r="BA266" s="1247"/>
      <c r="BB266" s="1247"/>
      <c r="BC266" s="1247"/>
    </row>
    <row r="267" spans="2:55" s="973" customFormat="1" ht="15" customHeight="1">
      <c r="B267" s="1247"/>
      <c r="C267" s="1247"/>
      <c r="D267" s="1247"/>
      <c r="E267" s="1247"/>
      <c r="F267" s="1247"/>
      <c r="G267" s="1247"/>
      <c r="H267" s="1247"/>
      <c r="I267" s="1247"/>
      <c r="J267" s="1247"/>
      <c r="K267" s="1247"/>
      <c r="L267" s="1247"/>
      <c r="M267" s="1247"/>
      <c r="N267" s="1247"/>
      <c r="O267" s="1247"/>
      <c r="P267" s="1247"/>
      <c r="Q267" s="1247"/>
      <c r="R267" s="1247"/>
      <c r="S267" s="1247"/>
      <c r="T267" s="1247"/>
      <c r="U267" s="1247"/>
      <c r="V267" s="1247"/>
      <c r="W267" s="1247"/>
      <c r="X267" s="1247"/>
      <c r="Y267" s="1247"/>
      <c r="Z267" s="1247"/>
      <c r="AA267" s="1247"/>
      <c r="AB267" s="1247"/>
      <c r="AC267" s="1247"/>
      <c r="AD267" s="1247"/>
      <c r="AE267" s="1247"/>
      <c r="AF267" s="1247"/>
      <c r="AG267" s="1247"/>
      <c r="AH267" s="1247"/>
      <c r="AI267" s="1247"/>
      <c r="AJ267" s="1247"/>
      <c r="AK267" s="1247"/>
      <c r="AL267" s="1247"/>
      <c r="AM267" s="1247"/>
      <c r="AN267" s="1247"/>
      <c r="AO267" s="1247"/>
      <c r="AP267" s="1247"/>
      <c r="AQ267" s="1247"/>
      <c r="AR267" s="1247"/>
      <c r="AS267" s="1247"/>
      <c r="AT267" s="1247"/>
      <c r="AU267" s="1247"/>
      <c r="AV267" s="1247"/>
      <c r="AW267" s="1247"/>
      <c r="AX267" s="1247"/>
      <c r="AY267" s="1247"/>
      <c r="AZ267" s="1247"/>
      <c r="BA267" s="1247"/>
      <c r="BB267" s="1247"/>
      <c r="BC267" s="1247"/>
    </row>
    <row r="268" spans="2:55" s="973" customFormat="1" ht="15" customHeight="1">
      <c r="B268" s="1247"/>
      <c r="C268" s="1247"/>
      <c r="D268" s="1247"/>
      <c r="E268" s="1247"/>
      <c r="F268" s="1247"/>
      <c r="G268" s="1247"/>
      <c r="H268" s="1247"/>
      <c r="I268" s="1247"/>
      <c r="J268" s="1247"/>
      <c r="K268" s="1247"/>
      <c r="L268" s="1247"/>
      <c r="M268" s="1247"/>
      <c r="N268" s="1247"/>
      <c r="O268" s="1247"/>
      <c r="P268" s="1247"/>
      <c r="Q268" s="1247"/>
      <c r="R268" s="1247"/>
      <c r="S268" s="1247"/>
      <c r="T268" s="1247"/>
      <c r="U268" s="1247"/>
      <c r="V268" s="1247"/>
      <c r="W268" s="1247"/>
      <c r="X268" s="1247"/>
      <c r="Y268" s="1247"/>
      <c r="Z268" s="1247"/>
      <c r="AA268" s="1247"/>
      <c r="AB268" s="1247"/>
      <c r="AC268" s="1247"/>
      <c r="AD268" s="1247"/>
      <c r="AE268" s="1247"/>
      <c r="AF268" s="1247"/>
      <c r="AG268" s="1247"/>
      <c r="AH268" s="1247"/>
      <c r="AI268" s="1247"/>
      <c r="AJ268" s="1247"/>
      <c r="AK268" s="1247"/>
      <c r="AL268" s="1247"/>
      <c r="AM268" s="1247"/>
      <c r="AN268" s="1247"/>
      <c r="AO268" s="1247"/>
      <c r="AP268" s="1247"/>
      <c r="AQ268" s="1247"/>
      <c r="AR268" s="1247"/>
      <c r="AS268" s="1247"/>
      <c r="AT268" s="1247"/>
      <c r="AU268" s="1247"/>
      <c r="AV268" s="1247"/>
      <c r="AW268" s="1247"/>
      <c r="AX268" s="1247"/>
      <c r="AY268" s="1247"/>
      <c r="AZ268" s="1247"/>
      <c r="BA268" s="1247"/>
      <c r="BB268" s="1247"/>
      <c r="BC268" s="1247"/>
    </row>
    <row r="269" spans="2:55" s="973" customFormat="1" ht="15" customHeight="1">
      <c r="B269" s="1247"/>
      <c r="C269" s="1247"/>
      <c r="D269" s="1247"/>
      <c r="E269" s="1247"/>
      <c r="F269" s="1247"/>
      <c r="G269" s="1247"/>
      <c r="H269" s="1247"/>
      <c r="I269" s="1247"/>
      <c r="J269" s="1247"/>
      <c r="K269" s="1247"/>
      <c r="L269" s="1247"/>
      <c r="M269" s="1247"/>
      <c r="N269" s="1247"/>
      <c r="O269" s="1247"/>
      <c r="P269" s="1247"/>
      <c r="Q269" s="1247"/>
      <c r="R269" s="1247"/>
      <c r="S269" s="1247"/>
      <c r="T269" s="1247"/>
      <c r="U269" s="1247"/>
      <c r="V269" s="1247"/>
      <c r="W269" s="1247"/>
      <c r="X269" s="1247"/>
      <c r="Y269" s="1247"/>
      <c r="Z269" s="1247"/>
      <c r="AA269" s="1247"/>
      <c r="AB269" s="1247"/>
      <c r="AC269" s="1247"/>
      <c r="AD269" s="1247"/>
      <c r="AE269" s="1247"/>
      <c r="AF269" s="1247"/>
      <c r="AG269" s="1247"/>
      <c r="AH269" s="1247"/>
      <c r="AI269" s="1247"/>
      <c r="AJ269" s="1247"/>
      <c r="AK269" s="1247"/>
      <c r="AL269" s="1247"/>
      <c r="AM269" s="1247"/>
      <c r="AN269" s="1247"/>
      <c r="AO269" s="1247"/>
      <c r="AP269" s="1247"/>
      <c r="AQ269" s="1247"/>
      <c r="AR269" s="1247"/>
      <c r="AS269" s="1247"/>
      <c r="AT269" s="1247"/>
      <c r="AU269" s="1247"/>
      <c r="AV269" s="1247"/>
      <c r="AW269" s="1247"/>
      <c r="AX269" s="1247"/>
      <c r="AY269" s="1247"/>
      <c r="AZ269" s="1247"/>
      <c r="BA269" s="1247"/>
      <c r="BB269" s="1247"/>
      <c r="BC269" s="1247"/>
    </row>
    <row r="270" spans="2:55" s="973" customFormat="1" ht="15" customHeight="1">
      <c r="B270" s="1247"/>
      <c r="C270" s="1247"/>
      <c r="D270" s="1247"/>
      <c r="E270" s="1247"/>
      <c r="F270" s="1247"/>
      <c r="G270" s="1247"/>
      <c r="H270" s="1247"/>
      <c r="I270" s="1247"/>
      <c r="J270" s="1247"/>
      <c r="K270" s="1247"/>
      <c r="L270" s="1247"/>
      <c r="M270" s="1247"/>
      <c r="N270" s="1247"/>
      <c r="O270" s="1247"/>
      <c r="P270" s="1247"/>
      <c r="Q270" s="1247"/>
      <c r="R270" s="1247"/>
      <c r="S270" s="1247"/>
      <c r="T270" s="1247"/>
      <c r="U270" s="1247"/>
      <c r="V270" s="1247"/>
      <c r="W270" s="1247"/>
      <c r="X270" s="1247"/>
      <c r="Y270" s="1247"/>
      <c r="Z270" s="1247"/>
      <c r="AA270" s="1247"/>
      <c r="AB270" s="1247"/>
      <c r="AC270" s="1247"/>
      <c r="AD270" s="1247"/>
      <c r="AE270" s="1247"/>
      <c r="AF270" s="1247"/>
      <c r="AG270" s="1247"/>
      <c r="AH270" s="1247"/>
      <c r="AI270" s="1247"/>
      <c r="AJ270" s="1247"/>
      <c r="AK270" s="1247"/>
      <c r="AL270" s="1247"/>
      <c r="AM270" s="1247"/>
      <c r="AN270" s="1247"/>
      <c r="AO270" s="1247"/>
      <c r="AP270" s="1247"/>
      <c r="AQ270" s="1247"/>
      <c r="AR270" s="1247"/>
      <c r="AS270" s="1247"/>
      <c r="AT270" s="1247"/>
      <c r="AU270" s="1247"/>
      <c r="AV270" s="1247"/>
      <c r="AW270" s="1247"/>
      <c r="AX270" s="1247"/>
      <c r="AY270" s="1247"/>
      <c r="AZ270" s="1247"/>
      <c r="BA270" s="1247"/>
      <c r="BB270" s="1247"/>
      <c r="BC270" s="1247"/>
    </row>
    <row r="271" spans="2:55" s="973" customFormat="1" ht="15" customHeight="1">
      <c r="B271" s="1247"/>
      <c r="C271" s="1247"/>
      <c r="D271" s="1247"/>
      <c r="E271" s="1247"/>
      <c r="F271" s="1247"/>
      <c r="G271" s="1247"/>
      <c r="H271" s="1247"/>
      <c r="I271" s="1247"/>
      <c r="J271" s="1247"/>
      <c r="K271" s="1247"/>
      <c r="L271" s="1247"/>
      <c r="M271" s="1247"/>
      <c r="N271" s="1247"/>
      <c r="O271" s="1247"/>
      <c r="P271" s="1247"/>
      <c r="Q271" s="1247"/>
      <c r="R271" s="1247"/>
      <c r="S271" s="1247"/>
      <c r="T271" s="1247"/>
      <c r="U271" s="1247"/>
      <c r="V271" s="1247"/>
      <c r="W271" s="1247"/>
      <c r="X271" s="1247"/>
      <c r="Y271" s="1247"/>
      <c r="Z271" s="1247"/>
      <c r="AA271" s="1247"/>
      <c r="AB271" s="1247"/>
      <c r="AC271" s="1247"/>
      <c r="AD271" s="1247"/>
      <c r="AE271" s="1247"/>
      <c r="AF271" s="1247"/>
      <c r="AG271" s="1247"/>
      <c r="AH271" s="1247"/>
      <c r="AI271" s="1247"/>
      <c r="AJ271" s="1247"/>
      <c r="AK271" s="1247"/>
      <c r="AL271" s="1247"/>
      <c r="AM271" s="1247"/>
      <c r="AN271" s="1247"/>
      <c r="AO271" s="1247"/>
      <c r="AP271" s="1247"/>
      <c r="AQ271" s="1247"/>
      <c r="AR271" s="1247"/>
      <c r="AS271" s="1247"/>
      <c r="AT271" s="1247"/>
      <c r="AU271" s="1247"/>
      <c r="AV271" s="1247"/>
      <c r="AW271" s="1247"/>
      <c r="AX271" s="1247"/>
      <c r="AY271" s="1247"/>
      <c r="AZ271" s="1247"/>
      <c r="BA271" s="1247"/>
      <c r="BB271" s="1247"/>
      <c r="BC271" s="1247"/>
    </row>
    <row r="272" spans="2:55" s="973" customFormat="1" ht="15" customHeight="1">
      <c r="B272" s="1247"/>
      <c r="C272" s="1247"/>
      <c r="D272" s="1247"/>
      <c r="E272" s="1247"/>
      <c r="F272" s="1247"/>
      <c r="G272" s="1247"/>
      <c r="H272" s="1247"/>
      <c r="I272" s="1247"/>
      <c r="J272" s="1247"/>
      <c r="K272" s="1247"/>
      <c r="L272" s="1247"/>
      <c r="M272" s="1247"/>
      <c r="N272" s="1247"/>
      <c r="O272" s="1247"/>
      <c r="P272" s="1247"/>
      <c r="Q272" s="1247"/>
      <c r="R272" s="1247"/>
      <c r="S272" s="1247"/>
      <c r="T272" s="1247"/>
      <c r="U272" s="1247"/>
      <c r="V272" s="1247"/>
      <c r="W272" s="1247"/>
      <c r="X272" s="1247"/>
      <c r="Y272" s="1247"/>
      <c r="Z272" s="1247"/>
      <c r="AA272" s="1247"/>
      <c r="AB272" s="1247"/>
      <c r="AC272" s="1247"/>
      <c r="AD272" s="1247"/>
      <c r="AE272" s="1247"/>
      <c r="AF272" s="1247"/>
      <c r="AG272" s="1247"/>
      <c r="AH272" s="1247"/>
      <c r="AI272" s="1247"/>
      <c r="AJ272" s="1247"/>
      <c r="AK272" s="1247"/>
      <c r="AL272" s="1247"/>
      <c r="AM272" s="1247"/>
      <c r="AN272" s="1247"/>
      <c r="AO272" s="1247"/>
      <c r="AP272" s="1247"/>
      <c r="AQ272" s="1247"/>
      <c r="AR272" s="1247"/>
      <c r="AS272" s="1247"/>
      <c r="AT272" s="1247"/>
      <c r="AU272" s="1247"/>
      <c r="AV272" s="1247"/>
      <c r="AW272" s="1247"/>
      <c r="AX272" s="1247"/>
      <c r="AY272" s="1247"/>
      <c r="AZ272" s="1247"/>
      <c r="BA272" s="1247"/>
      <c r="BB272" s="1247"/>
      <c r="BC272" s="1247"/>
    </row>
    <row r="273" spans="2:55" s="973" customFormat="1" ht="15" customHeight="1">
      <c r="B273" s="1247"/>
      <c r="C273" s="1247"/>
      <c r="D273" s="1247"/>
      <c r="E273" s="1247"/>
      <c r="F273" s="1247"/>
      <c r="G273" s="1247"/>
      <c r="H273" s="1247"/>
      <c r="I273" s="1247"/>
      <c r="J273" s="1247"/>
      <c r="K273" s="1247"/>
      <c r="L273" s="1247"/>
      <c r="M273" s="1247"/>
      <c r="N273" s="1247"/>
      <c r="O273" s="1247"/>
      <c r="P273" s="1247"/>
      <c r="Q273" s="1247"/>
      <c r="R273" s="1247"/>
      <c r="S273" s="1247"/>
      <c r="T273" s="1247"/>
      <c r="U273" s="1247"/>
      <c r="V273" s="1247"/>
      <c r="W273" s="1247"/>
      <c r="X273" s="1247"/>
      <c r="Y273" s="1247"/>
      <c r="Z273" s="1247"/>
      <c r="AA273" s="1247"/>
      <c r="AB273" s="1247"/>
      <c r="AC273" s="1247"/>
      <c r="AD273" s="1247"/>
      <c r="AE273" s="1247"/>
      <c r="AF273" s="1247"/>
      <c r="AG273" s="1247"/>
      <c r="AH273" s="1247"/>
      <c r="AI273" s="1247"/>
      <c r="AJ273" s="1247"/>
      <c r="AK273" s="1247"/>
      <c r="AL273" s="1247"/>
      <c r="AM273" s="1247"/>
      <c r="AN273" s="1247"/>
      <c r="AO273" s="1247"/>
      <c r="AP273" s="1247"/>
      <c r="AQ273" s="1247"/>
      <c r="AR273" s="1247"/>
      <c r="AS273" s="1247"/>
      <c r="AT273" s="1247"/>
      <c r="AU273" s="1247"/>
      <c r="AV273" s="1247"/>
      <c r="AW273" s="1247"/>
      <c r="AX273" s="1247"/>
      <c r="AY273" s="1247"/>
      <c r="AZ273" s="1247"/>
      <c r="BA273" s="1247"/>
      <c r="BB273" s="1247"/>
      <c r="BC273" s="1247"/>
    </row>
    <row r="274" spans="2:55" s="973" customFormat="1" ht="15" customHeight="1">
      <c r="B274" s="1247"/>
      <c r="C274" s="1247"/>
      <c r="D274" s="1247"/>
      <c r="E274" s="1247"/>
      <c r="F274" s="1247"/>
      <c r="G274" s="1247"/>
      <c r="H274" s="1247"/>
      <c r="I274" s="1247"/>
      <c r="J274" s="1247"/>
      <c r="K274" s="1247"/>
      <c r="L274" s="1247"/>
      <c r="M274" s="1247"/>
      <c r="N274" s="1247"/>
      <c r="O274" s="1247"/>
      <c r="P274" s="1247"/>
      <c r="Q274" s="1247"/>
      <c r="R274" s="1247"/>
      <c r="S274" s="1247"/>
      <c r="T274" s="1247"/>
      <c r="U274" s="1247"/>
      <c r="V274" s="1247"/>
      <c r="W274" s="1247"/>
      <c r="X274" s="1247"/>
      <c r="Y274" s="1247"/>
      <c r="Z274" s="1247"/>
      <c r="AA274" s="1247"/>
      <c r="AB274" s="1247"/>
      <c r="AC274" s="1247"/>
      <c r="AD274" s="1247"/>
      <c r="AE274" s="1247"/>
      <c r="AF274" s="1247"/>
      <c r="AG274" s="1247"/>
      <c r="AH274" s="1247"/>
      <c r="AI274" s="1247"/>
      <c r="AJ274" s="1247"/>
      <c r="AK274" s="1247"/>
      <c r="AL274" s="1247"/>
      <c r="AM274" s="1247"/>
      <c r="AN274" s="1247"/>
      <c r="AO274" s="1247"/>
      <c r="AP274" s="1247"/>
      <c r="AQ274" s="1247"/>
      <c r="AR274" s="1247"/>
      <c r="AS274" s="1247"/>
      <c r="AT274" s="1247"/>
      <c r="AU274" s="1247"/>
      <c r="AV274" s="1247"/>
      <c r="AW274" s="1247"/>
      <c r="AX274" s="1247"/>
      <c r="AY274" s="1247"/>
      <c r="AZ274" s="1247"/>
      <c r="BA274" s="1247"/>
      <c r="BB274" s="1247"/>
      <c r="BC274" s="1247"/>
    </row>
    <row r="275" spans="2:55" s="973" customFormat="1" ht="15" customHeight="1">
      <c r="B275" s="1247"/>
      <c r="C275" s="1247"/>
      <c r="D275" s="1247"/>
      <c r="E275" s="1247"/>
      <c r="F275" s="1247"/>
      <c r="G275" s="1247"/>
      <c r="H275" s="1247"/>
      <c r="I275" s="1247"/>
      <c r="J275" s="1247"/>
      <c r="K275" s="1247"/>
      <c r="L275" s="1247"/>
      <c r="M275" s="1247"/>
      <c r="N275" s="1247"/>
      <c r="O275" s="1247"/>
      <c r="P275" s="1247"/>
      <c r="Q275" s="1247"/>
      <c r="R275" s="1247"/>
      <c r="S275" s="1247"/>
      <c r="T275" s="1247"/>
      <c r="U275" s="1247"/>
      <c r="V275" s="1247"/>
      <c r="W275" s="1247"/>
      <c r="X275" s="1247"/>
      <c r="Y275" s="1247"/>
      <c r="Z275" s="1247"/>
      <c r="AA275" s="1247"/>
      <c r="AB275" s="1247"/>
      <c r="AC275" s="1247"/>
      <c r="AD275" s="1247"/>
      <c r="AE275" s="1247"/>
      <c r="AF275" s="1247"/>
      <c r="AG275" s="1247"/>
      <c r="AH275" s="1247"/>
      <c r="AI275" s="1247"/>
      <c r="AJ275" s="1247"/>
      <c r="AK275" s="1247"/>
      <c r="AL275" s="1247"/>
      <c r="AM275" s="1247"/>
      <c r="AN275" s="1247"/>
      <c r="AO275" s="1247"/>
      <c r="AP275" s="1247"/>
      <c r="AQ275" s="1247"/>
      <c r="AR275" s="1247"/>
      <c r="AS275" s="1247"/>
      <c r="AT275" s="1247"/>
      <c r="AU275" s="1247"/>
      <c r="AV275" s="1247"/>
      <c r="AW275" s="1247"/>
      <c r="AX275" s="1247"/>
      <c r="AY275" s="1247"/>
      <c r="AZ275" s="1247"/>
      <c r="BA275" s="1247"/>
      <c r="BB275" s="1247"/>
      <c r="BC275" s="1247"/>
    </row>
    <row r="276" spans="2:55" s="973" customFormat="1" ht="15" customHeight="1">
      <c r="B276" s="1247"/>
      <c r="C276" s="1247"/>
      <c r="D276" s="1247"/>
      <c r="E276" s="1247"/>
      <c r="F276" s="1247"/>
      <c r="G276" s="1247"/>
      <c r="H276" s="1247"/>
      <c r="I276" s="1247"/>
      <c r="J276" s="1247"/>
      <c r="K276" s="1247"/>
      <c r="L276" s="1247"/>
      <c r="M276" s="1247"/>
      <c r="N276" s="1247"/>
      <c r="O276" s="1247"/>
      <c r="P276" s="1247"/>
      <c r="Q276" s="1247"/>
      <c r="R276" s="1247"/>
      <c r="S276" s="1247"/>
      <c r="T276" s="1247"/>
      <c r="U276" s="1247"/>
      <c r="V276" s="1247"/>
      <c r="W276" s="1247"/>
      <c r="X276" s="1247"/>
      <c r="Y276" s="1247"/>
      <c r="Z276" s="1247"/>
      <c r="AA276" s="1247"/>
      <c r="AB276" s="1247"/>
      <c r="AC276" s="1247"/>
      <c r="AD276" s="1247"/>
      <c r="AE276" s="1247"/>
      <c r="AF276" s="1247"/>
      <c r="AG276" s="1247"/>
      <c r="AH276" s="1247"/>
      <c r="AI276" s="1247"/>
      <c r="AJ276" s="1247"/>
      <c r="AK276" s="1247"/>
      <c r="AL276" s="1247"/>
      <c r="AM276" s="1247"/>
      <c r="AN276" s="1247"/>
      <c r="AO276" s="1247"/>
      <c r="AP276" s="1247"/>
      <c r="AQ276" s="1247"/>
      <c r="AR276" s="1247"/>
      <c r="AS276" s="1247"/>
      <c r="AT276" s="1247"/>
      <c r="AU276" s="1247"/>
      <c r="AV276" s="1247"/>
      <c r="AW276" s="1247"/>
      <c r="AX276" s="1247"/>
      <c r="AY276" s="1247"/>
      <c r="AZ276" s="1247"/>
      <c r="BA276" s="1247"/>
      <c r="BB276" s="1247"/>
      <c r="BC276" s="1247"/>
    </row>
    <row r="277" spans="2:55" s="973" customFormat="1" ht="15" customHeight="1">
      <c r="B277" s="1247"/>
      <c r="C277" s="1247"/>
      <c r="D277" s="1247"/>
      <c r="E277" s="1247"/>
      <c r="F277" s="1247"/>
      <c r="G277" s="1247"/>
      <c r="H277" s="1247"/>
      <c r="I277" s="1247"/>
      <c r="J277" s="1247"/>
      <c r="K277" s="1247"/>
      <c r="L277" s="1247"/>
      <c r="M277" s="1247"/>
      <c r="N277" s="1247"/>
      <c r="O277" s="1247"/>
      <c r="P277" s="1247"/>
      <c r="Q277" s="1247"/>
      <c r="R277" s="1247"/>
      <c r="S277" s="1247"/>
      <c r="T277" s="1247"/>
      <c r="U277" s="1247"/>
      <c r="V277" s="1247"/>
      <c r="W277" s="1247"/>
      <c r="X277" s="1247"/>
      <c r="Y277" s="1247"/>
      <c r="Z277" s="1247"/>
      <c r="AA277" s="1247"/>
      <c r="AB277" s="1247"/>
      <c r="AC277" s="1247"/>
      <c r="AD277" s="1247"/>
      <c r="AE277" s="1247"/>
      <c r="AF277" s="1247"/>
      <c r="AG277" s="1247"/>
      <c r="AH277" s="1247"/>
      <c r="AI277" s="1247"/>
      <c r="AJ277" s="1247"/>
      <c r="AK277" s="1247"/>
      <c r="AL277" s="1247"/>
      <c r="AM277" s="1247"/>
      <c r="AN277" s="1247"/>
      <c r="AO277" s="1247"/>
      <c r="AP277" s="1247"/>
      <c r="AQ277" s="1247"/>
      <c r="AR277" s="1247"/>
      <c r="AS277" s="1247"/>
      <c r="AT277" s="1247"/>
      <c r="AU277" s="1247"/>
      <c r="AV277" s="1247"/>
      <c r="AW277" s="1247"/>
      <c r="AX277" s="1247"/>
      <c r="AY277" s="1247"/>
      <c r="AZ277" s="1247"/>
      <c r="BA277" s="1247"/>
      <c r="BB277" s="1247"/>
      <c r="BC277" s="1247"/>
    </row>
    <row r="278" spans="2:55" s="973" customFormat="1" ht="15" customHeight="1">
      <c r="B278" s="1247"/>
      <c r="C278" s="1247"/>
      <c r="D278" s="1247"/>
      <c r="E278" s="1247"/>
      <c r="F278" s="1247"/>
      <c r="G278" s="1247"/>
      <c r="H278" s="1247"/>
      <c r="I278" s="1247"/>
      <c r="J278" s="1247"/>
      <c r="K278" s="1247"/>
      <c r="L278" s="1247"/>
      <c r="M278" s="1247"/>
      <c r="N278" s="1247"/>
      <c r="O278" s="1247"/>
      <c r="P278" s="1247"/>
      <c r="Q278" s="1247"/>
      <c r="R278" s="1247"/>
      <c r="S278" s="1247"/>
      <c r="T278" s="1247"/>
      <c r="U278" s="1247"/>
      <c r="V278" s="1247"/>
      <c r="W278" s="1247"/>
      <c r="X278" s="1247"/>
      <c r="Y278" s="1247"/>
      <c r="Z278" s="1247"/>
      <c r="AA278" s="1247"/>
      <c r="AB278" s="1247"/>
      <c r="AC278" s="1247"/>
      <c r="AD278" s="1247"/>
      <c r="AE278" s="1247"/>
      <c r="AF278" s="1247"/>
      <c r="AG278" s="1247"/>
      <c r="AH278" s="1247"/>
      <c r="AI278" s="1247"/>
      <c r="AJ278" s="1247"/>
      <c r="AK278" s="1247"/>
      <c r="AL278" s="1247"/>
      <c r="AM278" s="1247"/>
      <c r="AN278" s="1247"/>
      <c r="AO278" s="1247"/>
      <c r="AP278" s="1247"/>
      <c r="AQ278" s="1247"/>
      <c r="AR278" s="1247"/>
      <c r="AS278" s="1247"/>
      <c r="AT278" s="1247"/>
      <c r="AU278" s="1247"/>
      <c r="AV278" s="1247"/>
      <c r="AW278" s="1247"/>
      <c r="AX278" s="1247"/>
      <c r="AY278" s="1247"/>
      <c r="AZ278" s="1247"/>
      <c r="BA278" s="1247"/>
      <c r="BB278" s="1247"/>
      <c r="BC278" s="1247"/>
    </row>
    <row r="279" spans="2:55" s="973" customFormat="1" ht="15" customHeight="1">
      <c r="B279" s="1247"/>
      <c r="C279" s="1247"/>
      <c r="D279" s="1247"/>
      <c r="E279" s="1247"/>
      <c r="F279" s="1247"/>
      <c r="G279" s="1247"/>
      <c r="H279" s="1247"/>
      <c r="I279" s="1247"/>
      <c r="J279" s="1247"/>
      <c r="K279" s="1247"/>
      <c r="L279" s="1247"/>
      <c r="M279" s="1247"/>
      <c r="N279" s="1247"/>
      <c r="O279" s="1247"/>
      <c r="P279" s="1247"/>
      <c r="Q279" s="1247"/>
      <c r="R279" s="1247"/>
      <c r="S279" s="1247"/>
      <c r="T279" s="1247"/>
      <c r="U279" s="1247"/>
      <c r="V279" s="1247"/>
      <c r="W279" s="1247"/>
      <c r="X279" s="1247"/>
      <c r="Y279" s="1247"/>
      <c r="Z279" s="1247"/>
      <c r="AA279" s="1247"/>
      <c r="AB279" s="1247"/>
      <c r="AC279" s="1247"/>
      <c r="AD279" s="1247"/>
      <c r="AE279" s="1247"/>
      <c r="AF279" s="1247"/>
      <c r="AG279" s="1247"/>
      <c r="AH279" s="1247"/>
      <c r="AI279" s="1247"/>
      <c r="AJ279" s="1247"/>
      <c r="AK279" s="1247"/>
      <c r="AL279" s="1247"/>
      <c r="AM279" s="1247"/>
      <c r="AN279" s="1247"/>
      <c r="AO279" s="1247"/>
      <c r="AP279" s="1247"/>
      <c r="AQ279" s="1247"/>
      <c r="AR279" s="1247"/>
      <c r="AS279" s="1247"/>
      <c r="AT279" s="1247"/>
      <c r="AU279" s="1247"/>
      <c r="AV279" s="1247"/>
      <c r="AW279" s="1247"/>
      <c r="AX279" s="1247"/>
      <c r="AY279" s="1247"/>
      <c r="AZ279" s="1247"/>
      <c r="BA279" s="1247"/>
      <c r="BB279" s="1247"/>
      <c r="BC279" s="1247"/>
    </row>
    <row r="280" spans="2:55" s="973" customFormat="1" ht="15" customHeight="1">
      <c r="B280" s="1247"/>
      <c r="C280" s="1247"/>
      <c r="D280" s="1247"/>
      <c r="E280" s="1247"/>
      <c r="F280" s="1247"/>
      <c r="G280" s="1247"/>
      <c r="H280" s="1247"/>
      <c r="I280" s="1247"/>
      <c r="J280" s="1247"/>
      <c r="K280" s="1247"/>
      <c r="L280" s="1247"/>
      <c r="M280" s="1247"/>
      <c r="N280" s="1247"/>
      <c r="O280" s="1247"/>
      <c r="P280" s="1247"/>
      <c r="Q280" s="1247"/>
      <c r="R280" s="1247"/>
      <c r="S280" s="1247"/>
      <c r="T280" s="1247"/>
      <c r="U280" s="1247"/>
      <c r="V280" s="1247"/>
      <c r="W280" s="1247"/>
      <c r="X280" s="1247"/>
      <c r="Y280" s="1247"/>
      <c r="Z280" s="1247"/>
      <c r="AA280" s="1247"/>
      <c r="AB280" s="1247"/>
      <c r="AC280" s="1247"/>
      <c r="AD280" s="1247"/>
      <c r="AE280" s="1247"/>
      <c r="AF280" s="1247"/>
      <c r="AG280" s="1247"/>
      <c r="AH280" s="1247"/>
      <c r="AI280" s="1247"/>
      <c r="AJ280" s="1247"/>
      <c r="AK280" s="1247"/>
      <c r="AL280" s="1247"/>
      <c r="AM280" s="1247"/>
      <c r="AN280" s="1247"/>
      <c r="AO280" s="1247"/>
      <c r="AP280" s="1247"/>
      <c r="AQ280" s="1247"/>
      <c r="AR280" s="1247"/>
      <c r="AS280" s="1247"/>
      <c r="AT280" s="1247"/>
      <c r="AU280" s="1247"/>
      <c r="AV280" s="1247"/>
      <c r="AW280" s="1247"/>
      <c r="AX280" s="1247"/>
      <c r="AY280" s="1247"/>
      <c r="AZ280" s="1247"/>
      <c r="BA280" s="1247"/>
      <c r="BB280" s="1247"/>
      <c r="BC280" s="1247"/>
    </row>
    <row r="281" spans="2:55" s="973" customFormat="1" ht="15" customHeight="1">
      <c r="B281" s="1247"/>
      <c r="C281" s="1247"/>
      <c r="D281" s="1247"/>
      <c r="E281" s="1247"/>
      <c r="F281" s="1247"/>
      <c r="G281" s="1247"/>
      <c r="H281" s="1247"/>
      <c r="I281" s="1247"/>
      <c r="J281" s="1247"/>
      <c r="K281" s="1247"/>
      <c r="L281" s="1247"/>
      <c r="M281" s="1247"/>
      <c r="N281" s="1247"/>
      <c r="O281" s="1247"/>
      <c r="P281" s="1247"/>
      <c r="Q281" s="1247"/>
      <c r="R281" s="1247"/>
      <c r="S281" s="1247"/>
      <c r="T281" s="1247"/>
      <c r="U281" s="1247"/>
      <c r="V281" s="1247"/>
      <c r="W281" s="1247"/>
      <c r="X281" s="1247"/>
      <c r="Y281" s="1247"/>
      <c r="Z281" s="1247"/>
      <c r="AA281" s="1247"/>
      <c r="AB281" s="1247"/>
      <c r="AC281" s="1247"/>
      <c r="AD281" s="1247"/>
      <c r="AE281" s="1247"/>
      <c r="AF281" s="1247"/>
      <c r="AG281" s="1247"/>
      <c r="AH281" s="1247"/>
      <c r="AI281" s="1247"/>
      <c r="AJ281" s="1247"/>
      <c r="AK281" s="1247"/>
      <c r="AL281" s="1247"/>
      <c r="AM281" s="1247"/>
      <c r="AN281" s="1247"/>
      <c r="AO281" s="1247"/>
      <c r="AP281" s="1247"/>
      <c r="AQ281" s="1247"/>
      <c r="AR281" s="1247"/>
      <c r="AS281" s="1247"/>
      <c r="AT281" s="1247"/>
      <c r="AU281" s="1247"/>
      <c r="AV281" s="1247"/>
      <c r="AW281" s="1247"/>
      <c r="AX281" s="1247"/>
      <c r="AY281" s="1247"/>
      <c r="AZ281" s="1247"/>
      <c r="BA281" s="1247"/>
      <c r="BB281" s="1247"/>
      <c r="BC281" s="1247"/>
    </row>
    <row r="282" spans="2:55" s="973" customFormat="1" ht="15" customHeight="1">
      <c r="B282" s="1247"/>
      <c r="C282" s="1247"/>
      <c r="D282" s="1247"/>
      <c r="E282" s="1247"/>
      <c r="F282" s="1247"/>
      <c r="G282" s="1247"/>
      <c r="H282" s="1247"/>
      <c r="I282" s="1247"/>
      <c r="J282" s="1247"/>
      <c r="K282" s="1247"/>
      <c r="L282" s="1247"/>
      <c r="M282" s="1247"/>
      <c r="N282" s="1247"/>
      <c r="O282" s="1247"/>
      <c r="P282" s="1247"/>
      <c r="Q282" s="1247"/>
      <c r="R282" s="1247"/>
      <c r="S282" s="1247"/>
      <c r="T282" s="1247"/>
      <c r="U282" s="1247"/>
      <c r="V282" s="1247"/>
      <c r="W282" s="1247"/>
      <c r="X282" s="1247"/>
      <c r="Y282" s="1247"/>
      <c r="Z282" s="1247"/>
      <c r="AA282" s="1247"/>
      <c r="AB282" s="1247"/>
      <c r="AC282" s="1247"/>
      <c r="AD282" s="1247"/>
      <c r="AE282" s="1247"/>
      <c r="AF282" s="1247"/>
      <c r="AG282" s="1247"/>
      <c r="AH282" s="1247"/>
      <c r="AI282" s="1247"/>
      <c r="AJ282" s="1247"/>
      <c r="AK282" s="1247"/>
      <c r="AL282" s="1247"/>
      <c r="AM282" s="1247"/>
      <c r="AN282" s="1247"/>
      <c r="AO282" s="1247"/>
      <c r="AP282" s="1247"/>
      <c r="AQ282" s="1247"/>
      <c r="AR282" s="1247"/>
      <c r="AS282" s="1247"/>
      <c r="AT282" s="1247"/>
      <c r="AU282" s="1247"/>
      <c r="AV282" s="1247"/>
      <c r="AW282" s="1247"/>
      <c r="AX282" s="1247"/>
      <c r="AY282" s="1247"/>
      <c r="AZ282" s="1247"/>
      <c r="BA282" s="1247"/>
      <c r="BB282" s="1247"/>
      <c r="BC282" s="1247"/>
    </row>
    <row r="283" spans="2:55" s="973" customFormat="1" ht="15" customHeight="1">
      <c r="B283" s="1247"/>
      <c r="C283" s="1247"/>
      <c r="D283" s="1247"/>
      <c r="E283" s="1247"/>
      <c r="F283" s="1247"/>
      <c r="G283" s="1247"/>
      <c r="H283" s="1247"/>
      <c r="I283" s="1247"/>
      <c r="J283" s="1247"/>
      <c r="K283" s="1247"/>
      <c r="L283" s="1247"/>
      <c r="M283" s="1247"/>
      <c r="N283" s="1247"/>
      <c r="O283" s="1247"/>
      <c r="P283" s="1247"/>
      <c r="Q283" s="1247"/>
      <c r="R283" s="1247"/>
      <c r="S283" s="1247"/>
      <c r="T283" s="1247"/>
      <c r="U283" s="1247"/>
      <c r="V283" s="1247"/>
      <c r="W283" s="1247"/>
      <c r="X283" s="1247"/>
      <c r="Y283" s="1247"/>
      <c r="Z283" s="1247"/>
      <c r="AA283" s="1247"/>
      <c r="AB283" s="1247"/>
      <c r="AC283" s="1247"/>
      <c r="AD283" s="1247"/>
      <c r="AE283" s="1247"/>
      <c r="AF283" s="1247"/>
      <c r="AG283" s="1247"/>
      <c r="AH283" s="1247"/>
      <c r="AI283" s="1247"/>
      <c r="AJ283" s="1247"/>
      <c r="AK283" s="1247"/>
      <c r="AL283" s="1247"/>
      <c r="AM283" s="1247"/>
      <c r="AN283" s="1247"/>
      <c r="AO283" s="1247"/>
      <c r="AP283" s="1247"/>
      <c r="AQ283" s="1247"/>
      <c r="AR283" s="1247"/>
      <c r="AS283" s="1247"/>
      <c r="AT283" s="1247"/>
      <c r="AU283" s="1247"/>
      <c r="AV283" s="1247"/>
      <c r="AW283" s="1247"/>
      <c r="AX283" s="1247"/>
      <c r="AY283" s="1247"/>
      <c r="AZ283" s="1247"/>
      <c r="BA283" s="1247"/>
      <c r="BB283" s="1247"/>
      <c r="BC283" s="1247"/>
    </row>
    <row r="284" spans="2:55" s="973" customFormat="1" ht="15" customHeight="1">
      <c r="B284" s="1247"/>
      <c r="C284" s="1247"/>
      <c r="D284" s="1247"/>
      <c r="E284" s="1247"/>
      <c r="F284" s="1247"/>
      <c r="G284" s="1247"/>
      <c r="H284" s="1247"/>
      <c r="I284" s="1247"/>
      <c r="J284" s="1247"/>
      <c r="K284" s="1247"/>
      <c r="L284" s="1247"/>
      <c r="M284" s="1247"/>
      <c r="N284" s="1247"/>
      <c r="O284" s="1247"/>
      <c r="P284" s="1247"/>
      <c r="Q284" s="1247"/>
      <c r="R284" s="1247"/>
      <c r="S284" s="1247"/>
      <c r="T284" s="1247"/>
      <c r="U284" s="1247"/>
      <c r="V284" s="1247"/>
      <c r="W284" s="1247"/>
      <c r="X284" s="1247"/>
      <c r="Y284" s="1247"/>
      <c r="Z284" s="1247"/>
      <c r="AA284" s="1247"/>
      <c r="AB284" s="1247"/>
      <c r="AC284" s="1247"/>
      <c r="AD284" s="1247"/>
      <c r="AE284" s="1247"/>
      <c r="AF284" s="1247"/>
      <c r="AG284" s="1247"/>
      <c r="AH284" s="1247"/>
      <c r="AI284" s="1247"/>
      <c r="AJ284" s="1247"/>
      <c r="AK284" s="1247"/>
      <c r="AL284" s="1247"/>
      <c r="AM284" s="1247"/>
      <c r="AN284" s="1247"/>
      <c r="AO284" s="1247"/>
      <c r="AP284" s="1247"/>
      <c r="AQ284" s="1247"/>
      <c r="AR284" s="1247"/>
      <c r="AS284" s="1247"/>
      <c r="AT284" s="1247"/>
      <c r="AU284" s="1247"/>
      <c r="AV284" s="1247"/>
      <c r="AW284" s="1247"/>
      <c r="AX284" s="1247"/>
      <c r="AY284" s="1247"/>
      <c r="AZ284" s="1247"/>
      <c r="BA284" s="1247"/>
      <c r="BB284" s="1247"/>
      <c r="BC284" s="1247"/>
    </row>
    <row r="285" spans="2:55" s="973" customFormat="1" ht="15" customHeight="1">
      <c r="B285" s="1247"/>
      <c r="C285" s="1247"/>
      <c r="D285" s="1247"/>
      <c r="E285" s="1247"/>
      <c r="F285" s="1247"/>
      <c r="G285" s="1247"/>
      <c r="H285" s="1247"/>
      <c r="I285" s="1247"/>
      <c r="J285" s="1247"/>
      <c r="K285" s="1247"/>
      <c r="L285" s="1247"/>
      <c r="M285" s="1247"/>
      <c r="N285" s="1247"/>
      <c r="O285" s="1247"/>
      <c r="P285" s="1247"/>
      <c r="Q285" s="1247"/>
      <c r="R285" s="1247"/>
      <c r="S285" s="1247"/>
      <c r="T285" s="1247"/>
      <c r="U285" s="1247"/>
      <c r="V285" s="1247"/>
      <c r="W285" s="1247"/>
      <c r="X285" s="1247"/>
      <c r="Y285" s="1247"/>
      <c r="Z285" s="1247"/>
      <c r="AA285" s="1247"/>
      <c r="AB285" s="1247"/>
      <c r="AC285" s="1247"/>
      <c r="AD285" s="1247"/>
      <c r="AE285" s="1247"/>
      <c r="AF285" s="1247"/>
      <c r="AG285" s="1247"/>
      <c r="AH285" s="1247"/>
      <c r="AI285" s="1247"/>
      <c r="AJ285" s="1247"/>
      <c r="AK285" s="1247"/>
      <c r="AL285" s="1247"/>
      <c r="AM285" s="1247"/>
      <c r="AN285" s="1247"/>
      <c r="AO285" s="1247"/>
      <c r="AP285" s="1247"/>
      <c r="AQ285" s="1247"/>
      <c r="AR285" s="1247"/>
      <c r="AS285" s="1247"/>
      <c r="AT285" s="1247"/>
      <c r="AU285" s="1247"/>
      <c r="AV285" s="1247"/>
      <c r="AW285" s="1247"/>
      <c r="AX285" s="1247"/>
      <c r="AY285" s="1247"/>
      <c r="AZ285" s="1247"/>
      <c r="BA285" s="1247"/>
      <c r="BB285" s="1247"/>
      <c r="BC285" s="1247"/>
    </row>
    <row r="286" spans="2:55" s="973" customFormat="1" ht="15" customHeight="1">
      <c r="B286" s="1247"/>
      <c r="C286" s="1247"/>
      <c r="D286" s="1247"/>
      <c r="E286" s="1247"/>
      <c r="F286" s="1247"/>
      <c r="G286" s="1247"/>
      <c r="H286" s="1247"/>
      <c r="I286" s="1247"/>
      <c r="J286" s="1247"/>
      <c r="K286" s="1247"/>
      <c r="L286" s="1247"/>
      <c r="M286" s="1247"/>
      <c r="N286" s="1247"/>
      <c r="O286" s="1247"/>
      <c r="P286" s="1247"/>
      <c r="Q286" s="1247"/>
      <c r="R286" s="1247"/>
      <c r="S286" s="1247"/>
      <c r="T286" s="1247"/>
      <c r="U286" s="1247"/>
      <c r="V286" s="1247"/>
      <c r="W286" s="1247"/>
      <c r="X286" s="1247"/>
      <c r="Y286" s="1247"/>
      <c r="Z286" s="1247"/>
      <c r="AA286" s="1247"/>
      <c r="AB286" s="1247"/>
      <c r="AC286" s="1247"/>
      <c r="AD286" s="1247"/>
      <c r="AE286" s="1247"/>
      <c r="AF286" s="1247"/>
      <c r="AG286" s="1247"/>
      <c r="AH286" s="1247"/>
      <c r="AI286" s="1247"/>
      <c r="AJ286" s="1247"/>
      <c r="AK286" s="1247"/>
      <c r="AL286" s="1247"/>
      <c r="AM286" s="1247"/>
      <c r="AN286" s="1247"/>
      <c r="AO286" s="1247"/>
      <c r="AP286" s="1247"/>
      <c r="AQ286" s="1247"/>
      <c r="AR286" s="1247"/>
      <c r="AS286" s="1247"/>
      <c r="AT286" s="1247"/>
      <c r="AU286" s="1247"/>
      <c r="AV286" s="1247"/>
      <c r="AW286" s="1247"/>
      <c r="AX286" s="1247"/>
      <c r="AY286" s="1247"/>
      <c r="AZ286" s="1247"/>
      <c r="BA286" s="1247"/>
      <c r="BB286" s="1247"/>
      <c r="BC286" s="1247"/>
    </row>
    <row r="287" spans="2:55" s="973" customFormat="1" ht="20.25" customHeight="1">
      <c r="B287" s="1247"/>
      <c r="C287" s="1247"/>
      <c r="D287" s="1247"/>
      <c r="E287" s="1247"/>
      <c r="F287" s="1247"/>
      <c r="G287" s="1247"/>
      <c r="H287" s="1247"/>
      <c r="I287" s="1247"/>
      <c r="J287" s="1247"/>
      <c r="K287" s="1247"/>
      <c r="L287" s="1247"/>
      <c r="M287" s="1247"/>
      <c r="N287" s="1247"/>
      <c r="O287" s="1247"/>
      <c r="P287" s="1247"/>
      <c r="Q287" s="1247"/>
      <c r="R287" s="1247"/>
      <c r="S287" s="1247"/>
      <c r="T287" s="1247"/>
      <c r="U287" s="1247"/>
      <c r="V287" s="1247"/>
      <c r="W287" s="1247"/>
      <c r="X287" s="1247"/>
      <c r="Y287" s="1247"/>
      <c r="Z287" s="1247"/>
      <c r="AA287" s="1247"/>
      <c r="AB287" s="1247"/>
      <c r="AC287" s="1247"/>
      <c r="AD287" s="1247"/>
      <c r="AE287" s="1247"/>
      <c r="AF287" s="1247"/>
      <c r="AG287" s="1247"/>
      <c r="AH287" s="1247"/>
      <c r="AI287" s="1247"/>
      <c r="AJ287" s="1247"/>
      <c r="AK287" s="1247"/>
      <c r="AL287" s="1247"/>
      <c r="AM287" s="1247"/>
      <c r="AN287" s="1247"/>
      <c r="AO287" s="1247"/>
      <c r="AP287" s="1247"/>
      <c r="AQ287" s="1247"/>
      <c r="AR287" s="1247"/>
      <c r="AS287" s="1247"/>
      <c r="AT287" s="1247"/>
      <c r="AU287" s="1247"/>
      <c r="AV287" s="1247"/>
      <c r="AW287" s="1247"/>
      <c r="AX287" s="1247"/>
      <c r="AY287" s="1247"/>
      <c r="AZ287" s="1247"/>
      <c r="BA287" s="1247"/>
      <c r="BB287" s="1247"/>
      <c r="BC287" s="1247"/>
    </row>
    <row r="288" spans="2:55" s="973" customFormat="1" ht="20.25" customHeight="1">
      <c r="B288" s="1247"/>
      <c r="C288" s="1247"/>
      <c r="D288" s="1247"/>
      <c r="E288" s="1247"/>
      <c r="F288" s="1247"/>
      <c r="G288" s="1247"/>
      <c r="H288" s="1247"/>
      <c r="I288" s="1247"/>
      <c r="J288" s="1247"/>
      <c r="K288" s="1247"/>
      <c r="L288" s="1247"/>
      <c r="M288" s="1247"/>
      <c r="N288" s="1247"/>
      <c r="O288" s="1247"/>
      <c r="P288" s="1247"/>
      <c r="Q288" s="1247"/>
      <c r="R288" s="1247"/>
      <c r="S288" s="1247"/>
      <c r="T288" s="1247"/>
      <c r="U288" s="1247"/>
      <c r="V288" s="1247"/>
      <c r="W288" s="1247"/>
      <c r="X288" s="1247"/>
      <c r="Y288" s="1247"/>
      <c r="Z288" s="1247"/>
      <c r="AA288" s="1247"/>
      <c r="AB288" s="1247"/>
      <c r="AC288" s="1247"/>
      <c r="AD288" s="1247"/>
      <c r="AE288" s="1247"/>
      <c r="AF288" s="1247"/>
      <c r="AG288" s="1247"/>
      <c r="AH288" s="1247"/>
      <c r="AI288" s="1247"/>
      <c r="AJ288" s="1247"/>
      <c r="AK288" s="1247"/>
      <c r="AL288" s="1247"/>
      <c r="AM288" s="1247"/>
      <c r="AN288" s="1247"/>
      <c r="AO288" s="1247"/>
      <c r="AP288" s="1247"/>
      <c r="AQ288" s="1247"/>
      <c r="AR288" s="1247"/>
      <c r="AS288" s="1247"/>
      <c r="AT288" s="1247"/>
      <c r="AU288" s="1247"/>
      <c r="AV288" s="1247"/>
      <c r="AW288" s="1247"/>
      <c r="AX288" s="1247"/>
      <c r="AY288" s="1247"/>
      <c r="AZ288" s="1247"/>
      <c r="BA288" s="1247"/>
      <c r="BB288" s="1247"/>
      <c r="BC288" s="1247"/>
    </row>
    <row r="289" spans="2:55" s="973" customFormat="1" ht="20.25" customHeight="1">
      <c r="B289" s="1247"/>
      <c r="C289" s="1247"/>
      <c r="D289" s="1247"/>
      <c r="E289" s="1247"/>
      <c r="F289" s="1247"/>
      <c r="G289" s="1247"/>
      <c r="H289" s="1247"/>
      <c r="I289" s="1247"/>
      <c r="J289" s="1247"/>
      <c r="K289" s="1247"/>
      <c r="L289" s="1247"/>
      <c r="M289" s="1247"/>
      <c r="N289" s="1247"/>
      <c r="O289" s="1247"/>
      <c r="P289" s="1247"/>
      <c r="Q289" s="1247"/>
      <c r="R289" s="1247"/>
      <c r="S289" s="1247"/>
      <c r="T289" s="1247"/>
      <c r="U289" s="1247"/>
      <c r="V289" s="1247"/>
      <c r="W289" s="1247"/>
      <c r="X289" s="1247"/>
      <c r="Y289" s="1247"/>
      <c r="Z289" s="1247"/>
      <c r="AA289" s="1247"/>
      <c r="AB289" s="1247"/>
      <c r="AC289" s="1247"/>
      <c r="AD289" s="1247"/>
      <c r="AE289" s="1247"/>
      <c r="AF289" s="1247"/>
      <c r="AG289" s="1247"/>
      <c r="AH289" s="1247"/>
      <c r="AI289" s="1247"/>
      <c r="AJ289" s="1247"/>
      <c r="AK289" s="1247"/>
      <c r="AL289" s="1247"/>
      <c r="AM289" s="1247"/>
      <c r="AN289" s="1247"/>
      <c r="AO289" s="1247"/>
      <c r="AP289" s="1247"/>
      <c r="AQ289" s="1247"/>
      <c r="AR289" s="1247"/>
      <c r="AS289" s="1247"/>
      <c r="AT289" s="1247"/>
      <c r="AU289" s="1247"/>
      <c r="AV289" s="1247"/>
      <c r="AW289" s="1247"/>
      <c r="AX289" s="1247"/>
      <c r="AY289" s="1247"/>
      <c r="AZ289" s="1247"/>
      <c r="BA289" s="1247"/>
      <c r="BB289" s="1247"/>
      <c r="BC289" s="1247"/>
    </row>
    <row r="290" spans="2:55" s="973" customFormat="1" ht="20.25" customHeight="1">
      <c r="B290" s="1247"/>
      <c r="C290" s="1247"/>
      <c r="D290" s="1247"/>
      <c r="E290" s="1247"/>
      <c r="F290" s="1247"/>
      <c r="G290" s="1247"/>
      <c r="H290" s="1247"/>
      <c r="I290" s="1247"/>
      <c r="J290" s="1247"/>
      <c r="K290" s="1247"/>
      <c r="L290" s="1247"/>
      <c r="M290" s="1247"/>
      <c r="N290" s="1247"/>
      <c r="O290" s="1247"/>
      <c r="P290" s="1247"/>
      <c r="Q290" s="1247"/>
      <c r="R290" s="1247"/>
      <c r="S290" s="1247"/>
      <c r="T290" s="1247"/>
      <c r="U290" s="1247"/>
      <c r="V290" s="1247"/>
      <c r="W290" s="1247"/>
      <c r="X290" s="1247"/>
      <c r="Y290" s="1247"/>
      <c r="Z290" s="1247"/>
      <c r="AA290" s="1247"/>
      <c r="AB290" s="1247"/>
      <c r="AC290" s="1247"/>
      <c r="AD290" s="1247"/>
      <c r="AE290" s="1247"/>
      <c r="AF290" s="1247"/>
      <c r="AG290" s="1247"/>
      <c r="AH290" s="1247"/>
      <c r="AI290" s="1247"/>
      <c r="AJ290" s="1247"/>
      <c r="AK290" s="1247"/>
      <c r="AL290" s="1247"/>
      <c r="AM290" s="1247"/>
      <c r="AN290" s="1247"/>
      <c r="AO290" s="1247"/>
      <c r="AP290" s="1247"/>
      <c r="AQ290" s="1247"/>
      <c r="AR290" s="1247"/>
      <c r="AS290" s="1247"/>
      <c r="AT290" s="1247"/>
      <c r="AU290" s="1247"/>
      <c r="AV290" s="1247"/>
      <c r="AW290" s="1247"/>
      <c r="AX290" s="1247"/>
      <c r="AY290" s="1247"/>
      <c r="AZ290" s="1247"/>
      <c r="BA290" s="1247"/>
      <c r="BB290" s="1247"/>
      <c r="BC290" s="1247"/>
    </row>
    <row r="291" spans="2:55" s="973" customFormat="1" ht="20.25" customHeight="1">
      <c r="B291" s="1247"/>
      <c r="C291" s="1247"/>
      <c r="D291" s="1247"/>
      <c r="E291" s="1247"/>
      <c r="F291" s="1247"/>
      <c r="G291" s="1247"/>
      <c r="H291" s="1247"/>
      <c r="I291" s="1247"/>
      <c r="J291" s="1247"/>
      <c r="K291" s="1247"/>
      <c r="L291" s="1247"/>
      <c r="M291" s="1247"/>
      <c r="N291" s="1247"/>
      <c r="O291" s="1247"/>
      <c r="P291" s="1247"/>
      <c r="Q291" s="1247"/>
      <c r="R291" s="1247"/>
      <c r="S291" s="1247"/>
      <c r="T291" s="1247"/>
      <c r="U291" s="1247"/>
      <c r="V291" s="1247"/>
      <c r="W291" s="1247"/>
      <c r="X291" s="1247"/>
      <c r="Y291" s="1247"/>
      <c r="Z291" s="1247"/>
      <c r="AA291" s="1247"/>
      <c r="AB291" s="1247"/>
      <c r="AC291" s="1247"/>
      <c r="AD291" s="1247"/>
      <c r="AE291" s="1247"/>
      <c r="AF291" s="1247"/>
      <c r="AG291" s="1247"/>
      <c r="AH291" s="1247"/>
      <c r="AI291" s="1247"/>
      <c r="AJ291" s="1247"/>
      <c r="AK291" s="1247"/>
      <c r="AL291" s="1247"/>
      <c r="AM291" s="1247"/>
      <c r="AN291" s="1247"/>
      <c r="AO291" s="1247"/>
      <c r="AP291" s="1247"/>
      <c r="AQ291" s="1247"/>
      <c r="AR291" s="1247"/>
      <c r="AS291" s="1247"/>
      <c r="AT291" s="1247"/>
      <c r="AU291" s="1247"/>
      <c r="AV291" s="1247"/>
      <c r="AW291" s="1247"/>
      <c r="AX291" s="1247"/>
      <c r="AY291" s="1247"/>
      <c r="AZ291" s="1247"/>
      <c r="BA291" s="1247"/>
      <c r="BB291" s="1247"/>
      <c r="BC291" s="1247"/>
    </row>
    <row r="292" spans="2:55" s="973" customFormat="1" ht="20.25" customHeight="1">
      <c r="B292" s="1247"/>
      <c r="C292" s="1247"/>
      <c r="D292" s="1247"/>
      <c r="E292" s="1247"/>
      <c r="F292" s="1247"/>
      <c r="G292" s="1247"/>
      <c r="H292" s="1247"/>
      <c r="I292" s="1247"/>
      <c r="J292" s="1247"/>
      <c r="K292" s="1247"/>
      <c r="L292" s="1247"/>
      <c r="M292" s="1247"/>
      <c r="N292" s="1247"/>
      <c r="O292" s="1247"/>
      <c r="P292" s="1247"/>
      <c r="Q292" s="1247"/>
      <c r="R292" s="1247"/>
      <c r="S292" s="1247"/>
      <c r="T292" s="1247"/>
      <c r="U292" s="1247"/>
      <c r="V292" s="1247"/>
      <c r="W292" s="1247"/>
      <c r="X292" s="1247"/>
      <c r="Y292" s="1247"/>
      <c r="Z292" s="1247"/>
      <c r="AA292" s="1247"/>
      <c r="AB292" s="1247"/>
      <c r="AC292" s="1247"/>
      <c r="AD292" s="1247"/>
      <c r="AE292" s="1247"/>
      <c r="AF292" s="1247"/>
      <c r="AG292" s="1247"/>
      <c r="AH292" s="1247"/>
      <c r="AI292" s="1247"/>
      <c r="AJ292" s="1247"/>
      <c r="AK292" s="1247"/>
      <c r="AL292" s="1247"/>
      <c r="AM292" s="1247"/>
      <c r="AN292" s="1247"/>
      <c r="AO292" s="1247"/>
      <c r="AP292" s="1247"/>
      <c r="AQ292" s="1247"/>
      <c r="AR292" s="1247"/>
      <c r="AS292" s="1247"/>
      <c r="AT292" s="1247"/>
      <c r="AU292" s="1247"/>
      <c r="AV292" s="1247"/>
      <c r="AW292" s="1247"/>
      <c r="AX292" s="1247"/>
      <c r="AY292" s="1247"/>
      <c r="AZ292" s="1247"/>
      <c r="BA292" s="1247"/>
      <c r="BB292" s="1247"/>
      <c r="BC292" s="1247"/>
    </row>
    <row r="293" spans="2:55" s="973" customFormat="1" ht="20.25" customHeight="1">
      <c r="B293" s="1247"/>
      <c r="C293" s="1247"/>
      <c r="D293" s="1247"/>
      <c r="E293" s="1247"/>
      <c r="F293" s="1247"/>
      <c r="G293" s="1247"/>
      <c r="H293" s="1247"/>
      <c r="I293" s="1247"/>
      <c r="J293" s="1247"/>
      <c r="K293" s="1247"/>
      <c r="L293" s="1247"/>
      <c r="M293" s="1247"/>
      <c r="N293" s="1247"/>
      <c r="O293" s="1247"/>
      <c r="P293" s="1247"/>
      <c r="Q293" s="1247"/>
      <c r="R293" s="1247"/>
      <c r="S293" s="1247"/>
      <c r="T293" s="1247"/>
      <c r="U293" s="1247"/>
      <c r="V293" s="1247"/>
      <c r="W293" s="1247"/>
      <c r="X293" s="1247"/>
      <c r="Y293" s="1247"/>
      <c r="Z293" s="1247"/>
      <c r="AA293" s="1247"/>
      <c r="AB293" s="1247"/>
      <c r="AC293" s="1247"/>
      <c r="AD293" s="1247"/>
      <c r="AE293" s="1247"/>
      <c r="AF293" s="1247"/>
      <c r="AG293" s="1247"/>
      <c r="AH293" s="1247"/>
      <c r="AI293" s="1247"/>
      <c r="AJ293" s="1247"/>
      <c r="AK293" s="1247"/>
      <c r="AL293" s="1247"/>
      <c r="AM293" s="1247"/>
      <c r="AN293" s="1247"/>
      <c r="AO293" s="1247"/>
      <c r="AP293" s="1247"/>
      <c r="AQ293" s="1247"/>
      <c r="AR293" s="1247"/>
      <c r="AS293" s="1247"/>
      <c r="AT293" s="1247"/>
      <c r="AU293" s="1247"/>
      <c r="AV293" s="1247"/>
      <c r="AW293" s="1247"/>
      <c r="AX293" s="1247"/>
      <c r="AY293" s="1247"/>
      <c r="AZ293" s="1247"/>
      <c r="BA293" s="1247"/>
      <c r="BB293" s="1247"/>
      <c r="BC293" s="1247"/>
    </row>
    <row r="294" spans="2:55" s="973" customFormat="1" ht="20.25" customHeight="1">
      <c r="B294" s="1247"/>
      <c r="C294" s="1247"/>
      <c r="D294" s="1247"/>
      <c r="E294" s="1247"/>
      <c r="F294" s="1247"/>
      <c r="G294" s="1247"/>
      <c r="H294" s="1247"/>
      <c r="I294" s="1247"/>
      <c r="J294" s="1247"/>
      <c r="K294" s="1247"/>
      <c r="L294" s="1247"/>
      <c r="M294" s="1247"/>
      <c r="N294" s="1247"/>
      <c r="O294" s="1247"/>
      <c r="P294" s="1247"/>
      <c r="Q294" s="1247"/>
      <c r="R294" s="1247"/>
      <c r="S294" s="1247"/>
      <c r="T294" s="1247"/>
      <c r="U294" s="1247"/>
      <c r="V294" s="1247"/>
      <c r="W294" s="1247"/>
      <c r="X294" s="1247"/>
      <c r="Y294" s="1247"/>
      <c r="Z294" s="1247"/>
      <c r="AA294" s="1247"/>
      <c r="AB294" s="1247"/>
      <c r="AC294" s="1247"/>
      <c r="AD294" s="1247"/>
      <c r="AE294" s="1247"/>
      <c r="AF294" s="1247"/>
      <c r="AG294" s="1247"/>
      <c r="AH294" s="1247"/>
      <c r="AI294" s="1247"/>
      <c r="AJ294" s="1247"/>
      <c r="AK294" s="1247"/>
      <c r="AL294" s="1247"/>
      <c r="AM294" s="1247"/>
      <c r="AN294" s="1247"/>
      <c r="AO294" s="1247"/>
      <c r="AP294" s="1247"/>
      <c r="AQ294" s="1247"/>
      <c r="AR294" s="1247"/>
      <c r="AS294" s="1247"/>
      <c r="AT294" s="1247"/>
      <c r="AU294" s="1247"/>
      <c r="AV294" s="1247"/>
      <c r="AW294" s="1247"/>
      <c r="AX294" s="1247"/>
      <c r="AY294" s="1247"/>
      <c r="AZ294" s="1247"/>
      <c r="BA294" s="1247"/>
      <c r="BB294" s="1247"/>
      <c r="BC294" s="1247"/>
    </row>
    <row r="295" spans="2:55" s="973" customFormat="1" ht="20.25" customHeight="1">
      <c r="B295" s="1247"/>
      <c r="C295" s="1247"/>
      <c r="D295" s="1247"/>
      <c r="E295" s="1247"/>
      <c r="F295" s="1247"/>
      <c r="G295" s="1247"/>
      <c r="H295" s="1247"/>
      <c r="I295" s="1247"/>
      <c r="J295" s="1247"/>
      <c r="K295" s="1247"/>
      <c r="L295" s="1247"/>
      <c r="M295" s="1247"/>
      <c r="N295" s="1247"/>
      <c r="O295" s="1247"/>
      <c r="P295" s="1247"/>
      <c r="Q295" s="1247"/>
      <c r="R295" s="1247"/>
      <c r="S295" s="1247"/>
      <c r="T295" s="1247"/>
      <c r="U295" s="1247"/>
      <c r="V295" s="1247"/>
      <c r="W295" s="1247"/>
      <c r="X295" s="1247"/>
      <c r="Y295" s="1247"/>
      <c r="Z295" s="1247"/>
      <c r="AA295" s="1247"/>
      <c r="AB295" s="1247"/>
      <c r="AC295" s="1247"/>
      <c r="AD295" s="1247"/>
      <c r="AE295" s="1247"/>
      <c r="AF295" s="1247"/>
      <c r="AG295" s="1247"/>
      <c r="AH295" s="1247"/>
      <c r="AI295" s="1247"/>
      <c r="AJ295" s="1247"/>
      <c r="AK295" s="1247"/>
      <c r="AL295" s="1247"/>
      <c r="AM295" s="1247"/>
      <c r="AN295" s="1247"/>
      <c r="AO295" s="1247"/>
      <c r="AP295" s="1247"/>
      <c r="AQ295" s="1247"/>
      <c r="AR295" s="1247"/>
      <c r="AS295" s="1247"/>
      <c r="AT295" s="1247"/>
      <c r="AU295" s="1247"/>
      <c r="AV295" s="1247"/>
      <c r="AW295" s="1247"/>
      <c r="AX295" s="1247"/>
      <c r="AY295" s="1247"/>
      <c r="AZ295" s="1247"/>
      <c r="BA295" s="1247"/>
      <c r="BB295" s="1247"/>
      <c r="BC295" s="1247"/>
    </row>
    <row r="296" spans="2:55" s="973" customFormat="1" ht="20.25" customHeight="1">
      <c r="B296" s="1247"/>
      <c r="C296" s="1247"/>
      <c r="D296" s="1247"/>
      <c r="E296" s="1247"/>
      <c r="F296" s="1247"/>
      <c r="G296" s="1247"/>
      <c r="H296" s="1247"/>
      <c r="I296" s="1247"/>
      <c r="J296" s="1247"/>
      <c r="K296" s="1247"/>
      <c r="L296" s="1247"/>
      <c r="M296" s="1247"/>
      <c r="N296" s="1247"/>
      <c r="O296" s="1247"/>
      <c r="P296" s="1247"/>
      <c r="Q296" s="1247"/>
      <c r="R296" s="1247"/>
      <c r="S296" s="1247"/>
      <c r="T296" s="1247"/>
      <c r="U296" s="1247"/>
      <c r="V296" s="1247"/>
      <c r="W296" s="1247"/>
      <c r="X296" s="1247"/>
      <c r="Y296" s="1247"/>
      <c r="Z296" s="1247"/>
      <c r="AA296" s="1247"/>
      <c r="AB296" s="1247"/>
      <c r="AC296" s="1247"/>
      <c r="AD296" s="1247"/>
      <c r="AE296" s="1247"/>
      <c r="AF296" s="1247"/>
      <c r="AG296" s="1247"/>
      <c r="AH296" s="1247"/>
      <c r="AI296" s="1247"/>
      <c r="AJ296" s="1247"/>
      <c r="AK296" s="1247"/>
      <c r="AL296" s="1247"/>
      <c r="AM296" s="1247"/>
      <c r="AN296" s="1247"/>
      <c r="AO296" s="1247"/>
      <c r="AP296" s="1247"/>
      <c r="AQ296" s="1247"/>
      <c r="AR296" s="1247"/>
      <c r="AS296" s="1247"/>
      <c r="AT296" s="1247"/>
      <c r="AU296" s="1247"/>
      <c r="AV296" s="1247"/>
      <c r="AW296" s="1247"/>
      <c r="AX296" s="1247"/>
      <c r="AY296" s="1247"/>
      <c r="AZ296" s="1247"/>
      <c r="BA296" s="1247"/>
      <c r="BB296" s="1247"/>
      <c r="BC296" s="1247"/>
    </row>
    <row r="297" spans="2:55" s="973" customFormat="1" ht="20.25" customHeight="1">
      <c r="B297" s="1247"/>
      <c r="C297" s="1247"/>
      <c r="D297" s="1247"/>
      <c r="E297" s="1247"/>
      <c r="F297" s="1247"/>
      <c r="G297" s="1247"/>
      <c r="H297" s="1247"/>
      <c r="I297" s="1247"/>
      <c r="J297" s="1247"/>
      <c r="K297" s="1247"/>
      <c r="L297" s="1247"/>
      <c r="M297" s="1247"/>
      <c r="N297" s="1247"/>
      <c r="O297" s="1247"/>
      <c r="P297" s="1247"/>
      <c r="Q297" s="1247"/>
      <c r="R297" s="1247"/>
      <c r="S297" s="1247"/>
      <c r="T297" s="1247"/>
      <c r="U297" s="1247"/>
      <c r="V297" s="1247"/>
      <c r="W297" s="1247"/>
      <c r="X297" s="1247"/>
      <c r="Y297" s="1247"/>
      <c r="Z297" s="1247"/>
      <c r="AA297" s="1247"/>
      <c r="AB297" s="1247"/>
      <c r="AC297" s="1247"/>
      <c r="AD297" s="1247"/>
      <c r="AE297" s="1247"/>
      <c r="AF297" s="1247"/>
      <c r="AG297" s="1247"/>
      <c r="AH297" s="1247"/>
      <c r="AI297" s="1247"/>
      <c r="AJ297" s="1247"/>
      <c r="AK297" s="1247"/>
      <c r="AL297" s="1247"/>
      <c r="AM297" s="1247"/>
      <c r="AN297" s="1247"/>
      <c r="AO297" s="1247"/>
      <c r="AP297" s="1247"/>
      <c r="AQ297" s="1247"/>
      <c r="AR297" s="1247"/>
      <c r="AS297" s="1247"/>
      <c r="AT297" s="1247"/>
      <c r="AU297" s="1247"/>
      <c r="AV297" s="1247"/>
      <c r="AW297" s="1247"/>
      <c r="AX297" s="1247"/>
      <c r="AY297" s="1247"/>
      <c r="AZ297" s="1247"/>
      <c r="BA297" s="1247"/>
      <c r="BB297" s="1247"/>
      <c r="BC297" s="1247"/>
    </row>
    <row r="298" spans="2:55" s="973" customFormat="1" ht="20.25" customHeight="1">
      <c r="B298" s="1247"/>
      <c r="C298" s="1247"/>
      <c r="D298" s="1247"/>
      <c r="E298" s="1247"/>
      <c r="F298" s="1247"/>
      <c r="G298" s="1247"/>
      <c r="H298" s="1247"/>
      <c r="I298" s="1247"/>
      <c r="J298" s="1247"/>
      <c r="K298" s="1247"/>
      <c r="L298" s="1247"/>
      <c r="M298" s="1247"/>
      <c r="N298" s="1247"/>
      <c r="O298" s="1247"/>
      <c r="P298" s="1247"/>
      <c r="Q298" s="1247"/>
      <c r="R298" s="1247"/>
      <c r="S298" s="1247"/>
      <c r="T298" s="1247"/>
      <c r="U298" s="1247"/>
      <c r="V298" s="1247"/>
      <c r="W298" s="1247"/>
      <c r="X298" s="1247"/>
      <c r="Y298" s="1247"/>
      <c r="Z298" s="1247"/>
      <c r="AA298" s="1247"/>
      <c r="AB298" s="1247"/>
      <c r="AC298" s="1247"/>
      <c r="AD298" s="1247"/>
      <c r="AE298" s="1247"/>
      <c r="AF298" s="1247"/>
      <c r="AG298" s="1247"/>
      <c r="AH298" s="1247"/>
      <c r="AI298" s="1247"/>
      <c r="AJ298" s="1247"/>
      <c r="AK298" s="1247"/>
      <c r="AL298" s="1247"/>
      <c r="AM298" s="1247"/>
      <c r="AN298" s="1247"/>
      <c r="AO298" s="1247"/>
      <c r="AP298" s="1247"/>
      <c r="AQ298" s="1247"/>
      <c r="AR298" s="1247"/>
      <c r="AS298" s="1247"/>
      <c r="AT298" s="1247"/>
      <c r="AU298" s="1247"/>
      <c r="AV298" s="1247"/>
      <c r="AW298" s="1247"/>
      <c r="AX298" s="1247"/>
      <c r="AY298" s="1247"/>
      <c r="AZ298" s="1247"/>
      <c r="BA298" s="1247"/>
      <c r="BB298" s="1247"/>
      <c r="BC298" s="1247"/>
    </row>
    <row r="299" spans="2:55" s="973" customFormat="1" ht="20.25" customHeight="1">
      <c r="B299" s="1247"/>
      <c r="C299" s="1247"/>
      <c r="D299" s="1247"/>
      <c r="E299" s="1247"/>
      <c r="F299" s="1247"/>
      <c r="G299" s="1247"/>
      <c r="H299" s="1247"/>
      <c r="I299" s="1247"/>
      <c r="J299" s="1247"/>
      <c r="K299" s="1247"/>
      <c r="L299" s="1247"/>
      <c r="M299" s="1247"/>
      <c r="N299" s="1247"/>
      <c r="O299" s="1247"/>
      <c r="P299" s="1247"/>
      <c r="Q299" s="1247"/>
      <c r="R299" s="1247"/>
      <c r="S299" s="1247"/>
      <c r="T299" s="1247"/>
      <c r="U299" s="1247"/>
      <c r="V299" s="1247"/>
      <c r="W299" s="1247"/>
      <c r="X299" s="1247"/>
      <c r="Y299" s="1247"/>
      <c r="Z299" s="1247"/>
      <c r="AA299" s="1247"/>
      <c r="AB299" s="1247"/>
      <c r="AC299" s="1247"/>
      <c r="AD299" s="1247"/>
      <c r="AE299" s="1247"/>
      <c r="AF299" s="1247"/>
      <c r="AG299" s="1247"/>
      <c r="AH299" s="1247"/>
      <c r="AI299" s="1247"/>
      <c r="AJ299" s="1247"/>
      <c r="AK299" s="1247"/>
      <c r="AL299" s="1247"/>
      <c r="AM299" s="1247"/>
      <c r="AN299" s="1247"/>
      <c r="AO299" s="1247"/>
      <c r="AP299" s="1247"/>
      <c r="AQ299" s="1247"/>
      <c r="AR299" s="1247"/>
      <c r="AS299" s="1247"/>
      <c r="AT299" s="1247"/>
      <c r="AU299" s="1247"/>
      <c r="AV299" s="1247"/>
      <c r="AW299" s="1247"/>
      <c r="AX299" s="1247"/>
      <c r="AY299" s="1247"/>
      <c r="AZ299" s="1247"/>
      <c r="BA299" s="1247"/>
      <c r="BB299" s="1247"/>
      <c r="BC299" s="1247"/>
    </row>
    <row r="300" spans="2:55" s="973" customFormat="1" ht="20.25" customHeight="1">
      <c r="B300" s="1247"/>
      <c r="C300" s="1247"/>
      <c r="D300" s="1247"/>
      <c r="E300" s="1247"/>
      <c r="F300" s="1247"/>
      <c r="G300" s="1247"/>
      <c r="H300" s="1247"/>
      <c r="I300" s="1247"/>
      <c r="J300" s="1247"/>
      <c r="K300" s="1247"/>
      <c r="L300" s="1247"/>
      <c r="M300" s="1247"/>
      <c r="N300" s="1247"/>
      <c r="O300" s="1247"/>
      <c r="P300" s="1247"/>
      <c r="Q300" s="1247"/>
      <c r="R300" s="1247"/>
      <c r="S300" s="1247"/>
      <c r="T300" s="1247"/>
      <c r="U300" s="1247"/>
      <c r="V300" s="1247"/>
      <c r="W300" s="1247"/>
      <c r="X300" s="1247"/>
      <c r="Y300" s="1247"/>
      <c r="Z300" s="1247"/>
      <c r="AA300" s="1247"/>
      <c r="AB300" s="1247"/>
      <c r="AC300" s="1247"/>
      <c r="AD300" s="1247"/>
      <c r="AE300" s="1247"/>
      <c r="AF300" s="1247"/>
      <c r="AG300" s="1247"/>
      <c r="AH300" s="1247"/>
      <c r="AI300" s="1247"/>
      <c r="AJ300" s="1247"/>
      <c r="AK300" s="1247"/>
      <c r="AL300" s="1247"/>
      <c r="AM300" s="1247"/>
      <c r="AN300" s="1247"/>
      <c r="AO300" s="1247"/>
      <c r="AP300" s="1247"/>
      <c r="AQ300" s="1247"/>
      <c r="AR300" s="1247"/>
      <c r="AS300" s="1247"/>
      <c r="AT300" s="1247"/>
      <c r="AU300" s="1247"/>
      <c r="AV300" s="1247"/>
      <c r="AW300" s="1247"/>
      <c r="AX300" s="1247"/>
      <c r="AY300" s="1247"/>
      <c r="AZ300" s="1247"/>
      <c r="BA300" s="1247"/>
      <c r="BB300" s="1247"/>
      <c r="BC300" s="1247"/>
    </row>
    <row r="301" spans="2:55" s="973" customFormat="1" ht="20.25" customHeight="1">
      <c r="B301" s="1247"/>
      <c r="C301" s="1247"/>
      <c r="D301" s="1247"/>
      <c r="E301" s="1247"/>
      <c r="F301" s="1247"/>
      <c r="G301" s="1247"/>
      <c r="H301" s="1247"/>
      <c r="I301" s="1247"/>
      <c r="J301" s="1247"/>
      <c r="K301" s="1247"/>
      <c r="L301" s="1247"/>
      <c r="M301" s="1247"/>
      <c r="N301" s="1247"/>
      <c r="O301" s="1247"/>
      <c r="P301" s="1247"/>
      <c r="Q301" s="1247"/>
      <c r="R301" s="1247"/>
      <c r="S301" s="1247"/>
      <c r="T301" s="1247"/>
      <c r="U301" s="1247"/>
      <c r="V301" s="1247"/>
      <c r="W301" s="1247"/>
      <c r="X301" s="1247"/>
      <c r="Y301" s="1247"/>
      <c r="Z301" s="1247"/>
      <c r="AA301" s="1247"/>
      <c r="AB301" s="1247"/>
      <c r="AC301" s="1247"/>
      <c r="AD301" s="1247"/>
      <c r="AE301" s="1247"/>
      <c r="AF301" s="1247"/>
      <c r="AG301" s="1247"/>
      <c r="AH301" s="1247"/>
      <c r="AI301" s="1247"/>
      <c r="AJ301" s="1247"/>
      <c r="AK301" s="1247"/>
      <c r="AL301" s="1247"/>
      <c r="AM301" s="1247"/>
      <c r="AN301" s="1247"/>
      <c r="AO301" s="1247"/>
      <c r="AP301" s="1247"/>
      <c r="AQ301" s="1247"/>
      <c r="AR301" s="1247"/>
      <c r="AS301" s="1247"/>
      <c r="AT301" s="1247"/>
      <c r="AU301" s="1247"/>
      <c r="AV301" s="1247"/>
      <c r="AW301" s="1247"/>
      <c r="AX301" s="1247"/>
      <c r="AY301" s="1247"/>
      <c r="AZ301" s="1247"/>
      <c r="BA301" s="1247"/>
      <c r="BB301" s="1247"/>
      <c r="BC301" s="1247"/>
    </row>
    <row r="302" spans="2:55" s="973" customFormat="1" ht="20.25" customHeight="1">
      <c r="B302" s="1247"/>
      <c r="C302" s="1247"/>
      <c r="D302" s="1247"/>
      <c r="E302" s="1247"/>
      <c r="F302" s="1247"/>
      <c r="G302" s="1247"/>
      <c r="H302" s="1247"/>
      <c r="I302" s="1247"/>
      <c r="J302" s="1247"/>
      <c r="K302" s="1247"/>
      <c r="L302" s="1247"/>
      <c r="M302" s="1247"/>
      <c r="N302" s="1247"/>
      <c r="O302" s="1247"/>
      <c r="P302" s="1247"/>
      <c r="Q302" s="1247"/>
      <c r="R302" s="1247"/>
      <c r="S302" s="1247"/>
      <c r="T302" s="1247"/>
      <c r="U302" s="1247"/>
      <c r="V302" s="1247"/>
      <c r="W302" s="1247"/>
      <c r="X302" s="1247"/>
      <c r="Y302" s="1247"/>
      <c r="Z302" s="1247"/>
      <c r="AA302" s="1247"/>
      <c r="AB302" s="1247"/>
      <c r="AC302" s="1247"/>
      <c r="AD302" s="1247"/>
      <c r="AE302" s="1247"/>
      <c r="AF302" s="1247"/>
      <c r="AG302" s="1247"/>
      <c r="AH302" s="1247"/>
      <c r="AI302" s="1247"/>
      <c r="AJ302" s="1247"/>
      <c r="AK302" s="1247"/>
      <c r="AL302" s="1247"/>
      <c r="AM302" s="1247"/>
      <c r="AN302" s="1247"/>
      <c r="AO302" s="1247"/>
      <c r="AP302" s="1247"/>
      <c r="AQ302" s="1247"/>
      <c r="AR302" s="1247"/>
      <c r="AS302" s="1247"/>
      <c r="AT302" s="1247"/>
      <c r="AU302" s="1247"/>
      <c r="AV302" s="1247"/>
      <c r="AW302" s="1247"/>
      <c r="AX302" s="1247"/>
      <c r="AY302" s="1247"/>
      <c r="AZ302" s="1247"/>
      <c r="BA302" s="1247"/>
      <c r="BB302" s="1247"/>
      <c r="BC302" s="1247"/>
    </row>
    <row r="303" spans="2:55" s="973" customFormat="1" ht="20.25" customHeight="1">
      <c r="B303" s="1247"/>
      <c r="C303" s="1247"/>
      <c r="D303" s="1247"/>
      <c r="E303" s="1247"/>
      <c r="F303" s="1247"/>
      <c r="G303" s="1247"/>
      <c r="H303" s="1247"/>
      <c r="I303" s="1247"/>
      <c r="J303" s="1247"/>
      <c r="K303" s="1247"/>
      <c r="L303" s="1247"/>
      <c r="M303" s="1247"/>
      <c r="N303" s="1247"/>
      <c r="O303" s="1247"/>
      <c r="P303" s="1247"/>
      <c r="Q303" s="1247"/>
      <c r="R303" s="1247"/>
      <c r="S303" s="1247"/>
      <c r="T303" s="1247"/>
      <c r="U303" s="1247"/>
      <c r="V303" s="1247"/>
      <c r="W303" s="1247"/>
      <c r="X303" s="1247"/>
      <c r="Y303" s="1247"/>
      <c r="Z303" s="1247"/>
      <c r="AA303" s="1247"/>
      <c r="AB303" s="1247"/>
      <c r="AC303" s="1247"/>
      <c r="AD303" s="1247"/>
      <c r="AE303" s="1247"/>
      <c r="AF303" s="1247"/>
      <c r="AG303" s="1247"/>
      <c r="AH303" s="1247"/>
      <c r="AI303" s="1247"/>
      <c r="AJ303" s="1247"/>
      <c r="AK303" s="1247"/>
      <c r="AL303" s="1247"/>
      <c r="AM303" s="1247"/>
      <c r="AN303" s="1247"/>
      <c r="AO303" s="1247"/>
      <c r="AP303" s="1247"/>
      <c r="AQ303" s="1247"/>
      <c r="AR303" s="1247"/>
      <c r="AS303" s="1247"/>
      <c r="AT303" s="1247"/>
      <c r="AU303" s="1247"/>
      <c r="AV303" s="1247"/>
      <c r="AW303" s="1247"/>
      <c r="AX303" s="1247"/>
      <c r="AY303" s="1247"/>
      <c r="AZ303" s="1247"/>
      <c r="BA303" s="1247"/>
      <c r="BB303" s="1247"/>
      <c r="BC303" s="1247"/>
    </row>
    <row r="304" spans="2:55" s="973" customFormat="1" ht="20.25" customHeight="1">
      <c r="B304" s="1247"/>
      <c r="C304" s="1247"/>
      <c r="D304" s="1247"/>
      <c r="E304" s="1247"/>
      <c r="F304" s="1247"/>
      <c r="G304" s="1247"/>
      <c r="H304" s="1247"/>
      <c r="I304" s="1247"/>
      <c r="J304" s="1247"/>
      <c r="K304" s="1247"/>
      <c r="L304" s="1247"/>
      <c r="M304" s="1247"/>
      <c r="N304" s="1247"/>
      <c r="O304" s="1247"/>
      <c r="P304" s="1247"/>
      <c r="Q304" s="1247"/>
      <c r="R304" s="1247"/>
      <c r="S304" s="1247"/>
      <c r="T304" s="1247"/>
      <c r="U304" s="1247"/>
      <c r="V304" s="1247"/>
      <c r="W304" s="1247"/>
      <c r="X304" s="1247"/>
      <c r="Y304" s="1247"/>
      <c r="Z304" s="1247"/>
      <c r="AA304" s="1247"/>
      <c r="AB304" s="1247"/>
      <c r="AC304" s="1247"/>
      <c r="AD304" s="1247"/>
      <c r="AE304" s="1247"/>
      <c r="AF304" s="1247"/>
      <c r="AG304" s="1247"/>
      <c r="AH304" s="1247"/>
      <c r="AI304" s="1247"/>
      <c r="AJ304" s="1247"/>
      <c r="AK304" s="1247"/>
      <c r="AL304" s="1247"/>
      <c r="AM304" s="1247"/>
      <c r="AN304" s="1247"/>
      <c r="AO304" s="1247"/>
      <c r="AP304" s="1247"/>
      <c r="AQ304" s="1247"/>
      <c r="AR304" s="1247"/>
      <c r="AS304" s="1247"/>
      <c r="AT304" s="1247"/>
      <c r="AU304" s="1247"/>
      <c r="AV304" s="1247"/>
      <c r="AW304" s="1247"/>
      <c r="AX304" s="1247"/>
      <c r="AY304" s="1247"/>
      <c r="AZ304" s="1247"/>
      <c r="BA304" s="1247"/>
      <c r="BB304" s="1247"/>
      <c r="BC304" s="1247"/>
    </row>
    <row r="305" spans="2:55" s="973" customFormat="1" ht="20.25" customHeight="1">
      <c r="B305" s="1247"/>
      <c r="C305" s="1247"/>
      <c r="D305" s="1247"/>
      <c r="E305" s="1247"/>
      <c r="F305" s="1247"/>
      <c r="G305" s="1247"/>
      <c r="H305" s="1247"/>
      <c r="I305" s="1247"/>
      <c r="J305" s="1247"/>
      <c r="K305" s="1247"/>
      <c r="L305" s="1247"/>
      <c r="M305" s="1247"/>
      <c r="N305" s="1247"/>
      <c r="O305" s="1247"/>
      <c r="P305" s="1247"/>
      <c r="Q305" s="1247"/>
      <c r="R305" s="1247"/>
      <c r="S305" s="1247"/>
      <c r="T305" s="1247"/>
      <c r="U305" s="1247"/>
      <c r="V305" s="1247"/>
      <c r="W305" s="1247"/>
      <c r="X305" s="1247"/>
      <c r="Y305" s="1247"/>
      <c r="Z305" s="1247"/>
      <c r="AA305" s="1247"/>
      <c r="AB305" s="1247"/>
      <c r="AC305" s="1247"/>
      <c r="AD305" s="1247"/>
      <c r="AE305" s="1247"/>
      <c r="AF305" s="1247"/>
      <c r="AG305" s="1247"/>
      <c r="AH305" s="1247"/>
      <c r="AI305" s="1247"/>
      <c r="AJ305" s="1247"/>
      <c r="AK305" s="1247"/>
      <c r="AL305" s="1247"/>
      <c r="AM305" s="1247"/>
      <c r="AN305" s="1247"/>
      <c r="AO305" s="1247"/>
      <c r="AP305" s="1247"/>
      <c r="AQ305" s="1247"/>
      <c r="AR305" s="1247"/>
      <c r="AS305" s="1247"/>
      <c r="AT305" s="1247"/>
      <c r="AU305" s="1247"/>
      <c r="AV305" s="1247"/>
      <c r="AW305" s="1247"/>
      <c r="AX305" s="1247"/>
      <c r="AY305" s="1247"/>
      <c r="AZ305" s="1247"/>
      <c r="BA305" s="1247"/>
      <c r="BB305" s="1247"/>
      <c r="BC305" s="1247"/>
    </row>
    <row r="306" spans="2:55" s="973" customFormat="1" ht="20.25" customHeight="1">
      <c r="B306" s="1247"/>
      <c r="C306" s="1247"/>
      <c r="D306" s="1247"/>
      <c r="E306" s="1247"/>
      <c r="F306" s="1247"/>
      <c r="G306" s="1247"/>
      <c r="H306" s="1247"/>
      <c r="I306" s="1247"/>
      <c r="J306" s="1247"/>
      <c r="K306" s="1247"/>
      <c r="L306" s="1247"/>
      <c r="M306" s="1247"/>
      <c r="N306" s="1247"/>
      <c r="O306" s="1247"/>
      <c r="P306" s="1247"/>
      <c r="Q306" s="1247"/>
      <c r="R306" s="1247"/>
      <c r="S306" s="1247"/>
      <c r="T306" s="1247"/>
      <c r="U306" s="1247"/>
      <c r="V306" s="1247"/>
      <c r="W306" s="1247"/>
      <c r="X306" s="1247"/>
      <c r="Y306" s="1247"/>
      <c r="Z306" s="1247"/>
      <c r="AA306" s="1247"/>
      <c r="AB306" s="1247"/>
      <c r="AC306" s="1247"/>
      <c r="AD306" s="1247"/>
      <c r="AE306" s="1247"/>
      <c r="AF306" s="1247"/>
      <c r="AG306" s="1247"/>
      <c r="AH306" s="1247"/>
      <c r="AI306" s="1247"/>
      <c r="AJ306" s="1247"/>
      <c r="AK306" s="1247"/>
      <c r="AL306" s="1247"/>
      <c r="AM306" s="1247"/>
      <c r="AN306" s="1247"/>
      <c r="AO306" s="1247"/>
      <c r="AP306" s="1247"/>
      <c r="AQ306" s="1247"/>
      <c r="AR306" s="1247"/>
      <c r="AS306" s="1247"/>
      <c r="AT306" s="1247"/>
      <c r="AU306" s="1247"/>
      <c r="AV306" s="1247"/>
      <c r="AW306" s="1247"/>
      <c r="AX306" s="1247"/>
      <c r="AY306" s="1247"/>
      <c r="AZ306" s="1247"/>
      <c r="BA306" s="1247"/>
      <c r="BB306" s="1247"/>
      <c r="BC306" s="1247"/>
    </row>
    <row r="307" spans="2:55" s="973" customFormat="1" ht="20.25" customHeight="1">
      <c r="B307" s="1247"/>
      <c r="C307" s="1247"/>
      <c r="D307" s="1247"/>
      <c r="E307" s="1247"/>
      <c r="F307" s="1247"/>
      <c r="G307" s="1247"/>
      <c r="H307" s="1247"/>
      <c r="I307" s="1247"/>
      <c r="J307" s="1247"/>
      <c r="K307" s="1247"/>
      <c r="L307" s="1247"/>
      <c r="M307" s="1247"/>
      <c r="N307" s="1247"/>
      <c r="O307" s="1247"/>
      <c r="P307" s="1247"/>
      <c r="Q307" s="1247"/>
      <c r="R307" s="1247"/>
      <c r="S307" s="1247"/>
      <c r="T307" s="1247"/>
      <c r="U307" s="1247"/>
      <c r="V307" s="1247"/>
      <c r="W307" s="1247"/>
      <c r="X307" s="1247"/>
      <c r="Y307" s="1247"/>
      <c r="Z307" s="1247"/>
      <c r="AA307" s="1247"/>
      <c r="AB307" s="1247"/>
      <c r="AC307" s="1247"/>
      <c r="AD307" s="1247"/>
      <c r="AE307" s="1247"/>
      <c r="AF307" s="1247"/>
      <c r="AG307" s="1247"/>
      <c r="AH307" s="1247"/>
      <c r="AI307" s="1247"/>
      <c r="AJ307" s="1247"/>
      <c r="AK307" s="1247"/>
      <c r="AL307" s="1247"/>
      <c r="AM307" s="1247"/>
      <c r="AN307" s="1247"/>
      <c r="AO307" s="1247"/>
      <c r="AP307" s="1247"/>
      <c r="AQ307" s="1247"/>
      <c r="AR307" s="1247"/>
      <c r="AS307" s="1247"/>
      <c r="AT307" s="1247"/>
      <c r="AU307" s="1247"/>
      <c r="AV307" s="1247"/>
      <c r="AW307" s="1247"/>
      <c r="AX307" s="1247"/>
      <c r="AY307" s="1247"/>
      <c r="AZ307" s="1247"/>
      <c r="BA307" s="1247"/>
      <c r="BB307" s="1247"/>
      <c r="BC307" s="1247"/>
    </row>
    <row r="308" spans="2:55" s="973" customFormat="1" ht="20.25" customHeight="1">
      <c r="B308" s="1247"/>
      <c r="C308" s="1247"/>
      <c r="D308" s="1247"/>
      <c r="E308" s="1247"/>
      <c r="F308" s="1247"/>
      <c r="G308" s="1247"/>
      <c r="H308" s="1247"/>
      <c r="I308" s="1247"/>
      <c r="J308" s="1247"/>
      <c r="K308" s="1247"/>
      <c r="L308" s="1247"/>
      <c r="M308" s="1247"/>
      <c r="N308" s="1247"/>
      <c r="O308" s="1247"/>
      <c r="P308" s="1247"/>
      <c r="Q308" s="1247"/>
      <c r="R308" s="1247"/>
      <c r="S308" s="1247"/>
      <c r="T308" s="1247"/>
      <c r="U308" s="1247"/>
      <c r="V308" s="1247"/>
      <c r="W308" s="1247"/>
      <c r="X308" s="1247"/>
      <c r="Y308" s="1247"/>
      <c r="Z308" s="1247"/>
      <c r="AA308" s="1247"/>
      <c r="AB308" s="1247"/>
      <c r="AC308" s="1247"/>
      <c r="AD308" s="1247"/>
      <c r="AE308" s="1247"/>
      <c r="AF308" s="1247"/>
      <c r="AG308" s="1247"/>
      <c r="AH308" s="1247"/>
      <c r="AI308" s="1247"/>
      <c r="AJ308" s="1247"/>
      <c r="AK308" s="1247"/>
      <c r="AL308" s="1247"/>
      <c r="AM308" s="1247"/>
      <c r="AN308" s="1247"/>
      <c r="AO308" s="1247"/>
      <c r="AP308" s="1247"/>
      <c r="AQ308" s="1247"/>
      <c r="AR308" s="1247"/>
      <c r="AS308" s="1247"/>
      <c r="AT308" s="1247"/>
      <c r="AU308" s="1247"/>
      <c r="AV308" s="1247"/>
      <c r="AW308" s="1247"/>
      <c r="AX308" s="1247"/>
      <c r="AY308" s="1247"/>
      <c r="AZ308" s="1247"/>
      <c r="BA308" s="1247"/>
      <c r="BB308" s="1247"/>
      <c r="BC308" s="1247"/>
    </row>
    <row r="309" spans="2:55" s="973" customFormat="1" ht="20.25" customHeight="1">
      <c r="B309" s="1247"/>
      <c r="C309" s="1247"/>
      <c r="D309" s="1247"/>
      <c r="E309" s="1247"/>
      <c r="F309" s="1247"/>
      <c r="G309" s="1247"/>
      <c r="H309" s="1247"/>
      <c r="I309" s="1247"/>
      <c r="J309" s="1247"/>
      <c r="K309" s="1247"/>
      <c r="L309" s="1247"/>
      <c r="M309" s="1247"/>
      <c r="N309" s="1247"/>
      <c r="O309" s="1247"/>
      <c r="P309" s="1247"/>
      <c r="Q309" s="1247"/>
      <c r="R309" s="1247"/>
      <c r="S309" s="1247"/>
      <c r="T309" s="1247"/>
      <c r="U309" s="1247"/>
      <c r="V309" s="1247"/>
      <c r="W309" s="1247"/>
      <c r="X309" s="1247"/>
      <c r="Y309" s="1247"/>
      <c r="Z309" s="1247"/>
      <c r="AA309" s="1247"/>
      <c r="AB309" s="1247"/>
      <c r="AC309" s="1247"/>
      <c r="AD309" s="1247"/>
      <c r="AE309" s="1247"/>
      <c r="AF309" s="1247"/>
      <c r="AG309" s="1247"/>
      <c r="AH309" s="1247"/>
      <c r="AI309" s="1247"/>
      <c r="AJ309" s="1247"/>
      <c r="AK309" s="1247"/>
      <c r="AL309" s="1247"/>
      <c r="AM309" s="1247"/>
      <c r="AN309" s="1247"/>
      <c r="AO309" s="1247"/>
      <c r="AP309" s="1247"/>
      <c r="AQ309" s="1247"/>
      <c r="AR309" s="1247"/>
      <c r="AS309" s="1247"/>
      <c r="AT309" s="1247"/>
      <c r="AU309" s="1247"/>
      <c r="AV309" s="1247"/>
      <c r="AW309" s="1247"/>
      <c r="AX309" s="1247"/>
      <c r="AY309" s="1247"/>
      <c r="AZ309" s="1247"/>
      <c r="BA309" s="1247"/>
      <c r="BB309" s="1247"/>
      <c r="BC309" s="1247"/>
    </row>
    <row r="310" spans="2:55" s="973" customFormat="1" ht="20.25" customHeight="1">
      <c r="B310" s="1247"/>
      <c r="C310" s="1247"/>
      <c r="D310" s="1247"/>
      <c r="E310" s="1247"/>
      <c r="F310" s="1247"/>
      <c r="G310" s="1247"/>
      <c r="H310" s="1247"/>
      <c r="I310" s="1247"/>
      <c r="J310" s="1247"/>
      <c r="K310" s="1247"/>
      <c r="L310" s="1247"/>
      <c r="M310" s="1247"/>
      <c r="N310" s="1247"/>
      <c r="O310" s="1247"/>
      <c r="P310" s="1247"/>
      <c r="Q310" s="1247"/>
      <c r="R310" s="1247"/>
      <c r="S310" s="1247"/>
      <c r="T310" s="1247"/>
      <c r="U310" s="1247"/>
      <c r="V310" s="1247"/>
      <c r="W310" s="1247"/>
      <c r="X310" s="1247"/>
      <c r="Y310" s="1247"/>
      <c r="Z310" s="1247"/>
      <c r="AA310" s="1247"/>
      <c r="AB310" s="1247"/>
      <c r="AC310" s="1247"/>
      <c r="AD310" s="1247"/>
      <c r="AE310" s="1247"/>
      <c r="AF310" s="1247"/>
      <c r="AG310" s="1247"/>
      <c r="AH310" s="1247"/>
      <c r="AI310" s="1247"/>
      <c r="AJ310" s="1247"/>
      <c r="AK310" s="1247"/>
      <c r="AL310" s="1247"/>
      <c r="AM310" s="1247"/>
      <c r="AN310" s="1247"/>
      <c r="AO310" s="1247"/>
      <c r="AP310" s="1247"/>
      <c r="AQ310" s="1247"/>
      <c r="AR310" s="1247"/>
      <c r="AS310" s="1247"/>
      <c r="AT310" s="1247"/>
      <c r="AU310" s="1247"/>
      <c r="AV310" s="1247"/>
      <c r="AW310" s="1247"/>
      <c r="AX310" s="1247"/>
      <c r="AY310" s="1247"/>
      <c r="AZ310" s="1247"/>
      <c r="BA310" s="1247"/>
      <c r="BB310" s="1247"/>
      <c r="BC310" s="1247"/>
    </row>
    <row r="311" spans="2:55" s="973" customFormat="1" ht="20.25" customHeight="1">
      <c r="B311" s="1247"/>
      <c r="C311" s="1247"/>
      <c r="D311" s="1247"/>
      <c r="E311" s="1247"/>
      <c r="F311" s="1247"/>
      <c r="G311" s="1247"/>
      <c r="H311" s="1247"/>
      <c r="I311" s="1247"/>
      <c r="J311" s="1247"/>
      <c r="K311" s="1247"/>
      <c r="L311" s="1247"/>
      <c r="M311" s="1247"/>
      <c r="N311" s="1247"/>
      <c r="O311" s="1247"/>
      <c r="P311" s="1247"/>
      <c r="Q311" s="1247"/>
      <c r="R311" s="1247"/>
      <c r="S311" s="1247"/>
      <c r="T311" s="1247"/>
      <c r="U311" s="1247"/>
      <c r="V311" s="1247"/>
      <c r="W311" s="1247"/>
      <c r="X311" s="1247"/>
      <c r="Y311" s="1247"/>
      <c r="Z311" s="1247"/>
      <c r="AA311" s="1247"/>
      <c r="AB311" s="1247"/>
      <c r="AC311" s="1247"/>
      <c r="AD311" s="1247"/>
      <c r="AE311" s="1247"/>
      <c r="AF311" s="1247"/>
      <c r="AG311" s="1247"/>
      <c r="AH311" s="1247"/>
      <c r="AI311" s="1247"/>
      <c r="AJ311" s="1247"/>
      <c r="AK311" s="1247"/>
      <c r="AL311" s="1247"/>
      <c r="AM311" s="1247"/>
      <c r="AN311" s="1247"/>
      <c r="AO311" s="1247"/>
      <c r="AP311" s="1247"/>
      <c r="AQ311" s="1247"/>
      <c r="AR311" s="1247"/>
      <c r="AS311" s="1247"/>
      <c r="AT311" s="1247"/>
      <c r="AU311" s="1247"/>
      <c r="AV311" s="1247"/>
      <c r="AW311" s="1247"/>
      <c r="AX311" s="1247"/>
      <c r="AY311" s="1247"/>
      <c r="AZ311" s="1247"/>
      <c r="BA311" s="1247"/>
      <c r="BB311" s="1247"/>
      <c r="BC311" s="1247"/>
    </row>
    <row r="312" spans="2:55" s="973" customFormat="1" ht="20.25" customHeight="1">
      <c r="B312" s="1247"/>
      <c r="C312" s="1247"/>
      <c r="D312" s="1247"/>
      <c r="E312" s="1247"/>
      <c r="F312" s="1247"/>
      <c r="G312" s="1247"/>
      <c r="H312" s="1247"/>
      <c r="I312" s="1247"/>
      <c r="J312" s="1247"/>
      <c r="K312" s="1247"/>
      <c r="L312" s="1247"/>
      <c r="M312" s="1247"/>
      <c r="N312" s="1247"/>
      <c r="O312" s="1247"/>
      <c r="P312" s="1247"/>
      <c r="Q312" s="1247"/>
      <c r="R312" s="1247"/>
      <c r="S312" s="1247"/>
      <c r="T312" s="1247"/>
      <c r="U312" s="1247"/>
      <c r="V312" s="1247"/>
      <c r="W312" s="1247"/>
      <c r="X312" s="1247"/>
      <c r="Y312" s="1247"/>
      <c r="Z312" s="1247"/>
      <c r="AA312" s="1247"/>
      <c r="AB312" s="1247"/>
      <c r="AC312" s="1247"/>
      <c r="AD312" s="1247"/>
      <c r="AE312" s="1247"/>
      <c r="AF312" s="1247"/>
      <c r="AG312" s="1247"/>
      <c r="AH312" s="1247"/>
      <c r="AI312" s="1247"/>
      <c r="AJ312" s="1247"/>
      <c r="AK312" s="1247"/>
      <c r="AL312" s="1247"/>
      <c r="AM312" s="1247"/>
      <c r="AN312" s="1247"/>
      <c r="AO312" s="1247"/>
      <c r="AP312" s="1247"/>
      <c r="AQ312" s="1247"/>
      <c r="AR312" s="1247"/>
      <c r="AS312" s="1247"/>
      <c r="AT312" s="1247"/>
      <c r="AU312" s="1247"/>
      <c r="AV312" s="1247"/>
      <c r="AW312" s="1247"/>
      <c r="AX312" s="1247"/>
      <c r="AY312" s="1247"/>
      <c r="AZ312" s="1247"/>
      <c r="BA312" s="1247"/>
      <c r="BB312" s="1247"/>
      <c r="BC312" s="1247"/>
    </row>
    <row r="313" spans="2:55" s="973" customFormat="1" ht="20.25" customHeight="1">
      <c r="B313" s="1247"/>
      <c r="C313" s="1247"/>
      <c r="D313" s="1247"/>
      <c r="E313" s="1247"/>
      <c r="F313" s="1247"/>
      <c r="G313" s="1247"/>
      <c r="H313" s="1247"/>
      <c r="I313" s="1247"/>
      <c r="J313" s="1247"/>
      <c r="K313" s="1247"/>
      <c r="L313" s="1247"/>
      <c r="M313" s="1247"/>
      <c r="N313" s="1247"/>
      <c r="O313" s="1247"/>
      <c r="P313" s="1247"/>
      <c r="Q313" s="1247"/>
      <c r="R313" s="1247"/>
      <c r="S313" s="1247"/>
      <c r="T313" s="1247"/>
      <c r="U313" s="1247"/>
      <c r="V313" s="1247"/>
      <c r="W313" s="1247"/>
      <c r="X313" s="1247"/>
      <c r="Y313" s="1247"/>
      <c r="Z313" s="1247"/>
      <c r="AA313" s="1247"/>
      <c r="AB313" s="1247"/>
      <c r="AC313" s="1247"/>
      <c r="AD313" s="1247"/>
      <c r="AE313" s="1247"/>
      <c r="AF313" s="1247"/>
      <c r="AG313" s="1247"/>
      <c r="AH313" s="1247"/>
      <c r="AI313" s="1247"/>
      <c r="AJ313" s="1247"/>
      <c r="AK313" s="1247"/>
      <c r="AL313" s="1247"/>
      <c r="AM313" s="1247"/>
      <c r="AN313" s="1247"/>
      <c r="AO313" s="1247"/>
      <c r="AP313" s="1247"/>
      <c r="AQ313" s="1247"/>
      <c r="AR313" s="1247"/>
      <c r="AS313" s="1247"/>
      <c r="AT313" s="1247"/>
      <c r="AU313" s="1247"/>
      <c r="AV313" s="1247"/>
      <c r="AW313" s="1247"/>
      <c r="AX313" s="1247"/>
      <c r="AY313" s="1247"/>
      <c r="AZ313" s="1247"/>
      <c r="BA313" s="1247"/>
      <c r="BB313" s="1247"/>
      <c r="BC313" s="1247"/>
    </row>
    <row r="314" spans="2:55" s="973" customFormat="1" ht="20.25" customHeight="1">
      <c r="B314" s="1247"/>
      <c r="C314" s="1247"/>
      <c r="D314" s="1247"/>
      <c r="E314" s="1247"/>
      <c r="F314" s="1247"/>
      <c r="G314" s="1247"/>
      <c r="H314" s="1247"/>
      <c r="I314" s="1247"/>
      <c r="J314" s="1247"/>
      <c r="K314" s="1247"/>
      <c r="L314" s="1247"/>
      <c r="M314" s="1247"/>
      <c r="N314" s="1247"/>
      <c r="O314" s="1247"/>
      <c r="P314" s="1247"/>
      <c r="Q314" s="1247"/>
      <c r="R314" s="1247"/>
      <c r="S314" s="1247"/>
      <c r="T314" s="1247"/>
      <c r="U314" s="1247"/>
      <c r="V314" s="1247"/>
      <c r="W314" s="1247"/>
      <c r="X314" s="1247"/>
      <c r="Y314" s="1247"/>
      <c r="Z314" s="1247"/>
      <c r="AA314" s="1247"/>
      <c r="AB314" s="1247"/>
      <c r="AC314" s="1247"/>
      <c r="AD314" s="1247"/>
      <c r="AE314" s="1247"/>
      <c r="AF314" s="1247"/>
      <c r="AG314" s="1247"/>
      <c r="AH314" s="1247"/>
      <c r="AI314" s="1247"/>
      <c r="AJ314" s="1247"/>
      <c r="AK314" s="1247"/>
      <c r="AL314" s="1247"/>
      <c r="AM314" s="1247"/>
      <c r="AN314" s="1247"/>
      <c r="AO314" s="1247"/>
      <c r="AP314" s="1247"/>
      <c r="AQ314" s="1247"/>
      <c r="AR314" s="1247"/>
      <c r="AS314" s="1247"/>
      <c r="AT314" s="1247"/>
      <c r="AU314" s="1247"/>
      <c r="AV314" s="1247"/>
      <c r="AW314" s="1247"/>
      <c r="AX314" s="1247"/>
      <c r="AY314" s="1247"/>
      <c r="AZ314" s="1247"/>
      <c r="BA314" s="1247"/>
      <c r="BB314" s="1247"/>
      <c r="BC314" s="1247"/>
    </row>
    <row r="315" spans="2:55" s="973" customFormat="1" ht="20.25" customHeight="1">
      <c r="B315" s="1247"/>
      <c r="C315" s="1247"/>
      <c r="D315" s="1247"/>
      <c r="E315" s="1247"/>
      <c r="F315" s="1247"/>
      <c r="G315" s="1247"/>
      <c r="H315" s="1247"/>
      <c r="I315" s="1247"/>
      <c r="J315" s="1247"/>
      <c r="K315" s="1247"/>
      <c r="L315" s="1247"/>
      <c r="M315" s="1247"/>
      <c r="N315" s="1247"/>
      <c r="O315" s="1247"/>
      <c r="P315" s="1247"/>
      <c r="Q315" s="1247"/>
      <c r="R315" s="1247"/>
      <c r="S315" s="1247"/>
      <c r="T315" s="1247"/>
      <c r="U315" s="1247"/>
      <c r="V315" s="1247"/>
      <c r="W315" s="1247"/>
      <c r="X315" s="1247"/>
      <c r="Y315" s="1247"/>
      <c r="Z315" s="1247"/>
      <c r="AA315" s="1247"/>
      <c r="AB315" s="1247"/>
      <c r="AC315" s="1247"/>
      <c r="AD315" s="1247"/>
      <c r="AE315" s="1247"/>
      <c r="AF315" s="1247"/>
      <c r="AG315" s="1247"/>
      <c r="AH315" s="1247"/>
      <c r="AI315" s="1247"/>
      <c r="AJ315" s="1247"/>
      <c r="AK315" s="1247"/>
      <c r="AL315" s="1247"/>
      <c r="AM315" s="1247"/>
      <c r="AN315" s="1247"/>
      <c r="AO315" s="1247"/>
      <c r="AP315" s="1247"/>
      <c r="AQ315" s="1247"/>
      <c r="AR315" s="1247"/>
      <c r="AS315" s="1247"/>
      <c r="AT315" s="1247"/>
      <c r="AU315" s="1247"/>
      <c r="AV315" s="1247"/>
      <c r="AW315" s="1247"/>
      <c r="AX315" s="1247"/>
      <c r="AY315" s="1247"/>
      <c r="AZ315" s="1247"/>
      <c r="BA315" s="1247"/>
      <c r="BB315" s="1247"/>
      <c r="BC315" s="1247"/>
    </row>
    <row r="316" spans="2:55" s="973" customFormat="1" ht="20.25" customHeight="1">
      <c r="B316" s="1247"/>
      <c r="C316" s="1247"/>
      <c r="D316" s="1247"/>
      <c r="E316" s="1247"/>
      <c r="F316" s="1247"/>
      <c r="G316" s="1247"/>
      <c r="H316" s="1247"/>
      <c r="I316" s="1247"/>
      <c r="J316" s="1247"/>
      <c r="K316" s="1247"/>
      <c r="L316" s="1247"/>
      <c r="M316" s="1247"/>
      <c r="N316" s="1247"/>
      <c r="O316" s="1247"/>
      <c r="P316" s="1247"/>
      <c r="Q316" s="1247"/>
      <c r="R316" s="1247"/>
      <c r="S316" s="1247"/>
      <c r="T316" s="1247"/>
      <c r="U316" s="1247"/>
      <c r="V316" s="1247"/>
      <c r="W316" s="1247"/>
      <c r="X316" s="1247"/>
      <c r="Y316" s="1247"/>
      <c r="Z316" s="1247"/>
      <c r="AA316" s="1247"/>
      <c r="AB316" s="1247"/>
      <c r="AC316" s="1247"/>
      <c r="AD316" s="1247"/>
      <c r="AE316" s="1247"/>
      <c r="AF316" s="1247"/>
      <c r="AG316" s="1247"/>
      <c r="AH316" s="1247"/>
      <c r="AI316" s="1247"/>
      <c r="AJ316" s="1247"/>
      <c r="AK316" s="1247"/>
      <c r="AL316" s="1247"/>
      <c r="AM316" s="1247"/>
      <c r="AN316" s="1247"/>
      <c r="AO316" s="1247"/>
      <c r="AP316" s="1247"/>
      <c r="AQ316" s="1247"/>
      <c r="AR316" s="1247"/>
      <c r="AS316" s="1247"/>
      <c r="AT316" s="1247"/>
      <c r="AU316" s="1247"/>
      <c r="AV316" s="1247"/>
      <c r="AW316" s="1247"/>
      <c r="AX316" s="1247"/>
      <c r="AY316" s="1247"/>
      <c r="AZ316" s="1247"/>
      <c r="BA316" s="1247"/>
      <c r="BB316" s="1247"/>
      <c r="BC316" s="1247"/>
    </row>
    <row r="317" spans="2:55" s="973" customFormat="1" ht="20.25" customHeight="1">
      <c r="B317" s="1247"/>
      <c r="C317" s="1247"/>
      <c r="D317" s="1247"/>
      <c r="E317" s="1247"/>
      <c r="F317" s="1247"/>
      <c r="G317" s="1247"/>
      <c r="H317" s="1247"/>
      <c r="I317" s="1247"/>
      <c r="J317" s="1247"/>
      <c r="K317" s="1247"/>
      <c r="L317" s="1247"/>
      <c r="M317" s="1247"/>
      <c r="N317" s="1247"/>
      <c r="O317" s="1247"/>
      <c r="P317" s="1247"/>
      <c r="Q317" s="1247"/>
      <c r="R317" s="1247"/>
      <c r="S317" s="1247"/>
      <c r="T317" s="1247"/>
      <c r="U317" s="1247"/>
      <c r="V317" s="1247"/>
      <c r="W317" s="1247"/>
      <c r="X317" s="1247"/>
      <c r="Y317" s="1247"/>
      <c r="Z317" s="1247"/>
      <c r="AA317" s="1247"/>
      <c r="AB317" s="1247"/>
      <c r="AC317" s="1247"/>
      <c r="AD317" s="1247"/>
      <c r="AE317" s="1247"/>
      <c r="AF317" s="1247"/>
      <c r="AG317" s="1247"/>
      <c r="AH317" s="1247"/>
      <c r="AI317" s="1247"/>
      <c r="AJ317" s="1247"/>
      <c r="AK317" s="1247"/>
      <c r="AL317" s="1247"/>
      <c r="AM317" s="1247"/>
      <c r="AN317" s="1247"/>
      <c r="AO317" s="1247"/>
      <c r="AP317" s="1247"/>
      <c r="AQ317" s="1247"/>
      <c r="AR317" s="1247"/>
      <c r="AS317" s="1247"/>
      <c r="AT317" s="1247"/>
      <c r="AU317" s="1247"/>
      <c r="AV317" s="1247"/>
      <c r="AW317" s="1247"/>
      <c r="AX317" s="1247"/>
      <c r="AY317" s="1247"/>
      <c r="AZ317" s="1247"/>
      <c r="BA317" s="1247"/>
      <c r="BB317" s="1247"/>
      <c r="BC317" s="1247"/>
    </row>
    <row r="318" spans="2:55" s="973" customFormat="1" ht="20.25" customHeight="1">
      <c r="B318" s="1247"/>
      <c r="C318" s="1247"/>
      <c r="D318" s="1247"/>
      <c r="E318" s="1247"/>
      <c r="F318" s="1247"/>
      <c r="G318" s="1247"/>
      <c r="H318" s="1247"/>
      <c r="I318" s="1247"/>
      <c r="J318" s="1247"/>
      <c r="K318" s="1247"/>
      <c r="L318" s="1247"/>
      <c r="M318" s="1247"/>
      <c r="N318" s="1247"/>
      <c r="O318" s="1247"/>
      <c r="P318" s="1247"/>
      <c r="Q318" s="1247"/>
      <c r="R318" s="1247"/>
      <c r="S318" s="1247"/>
      <c r="T318" s="1247"/>
      <c r="U318" s="1247"/>
      <c r="V318" s="1247"/>
      <c r="W318" s="1247"/>
      <c r="X318" s="1247"/>
      <c r="Y318" s="1247"/>
      <c r="Z318" s="1247"/>
      <c r="AA318" s="1247"/>
      <c r="AB318" s="1247"/>
      <c r="AC318" s="1247"/>
      <c r="AD318" s="1247"/>
      <c r="AE318" s="1247"/>
      <c r="AF318" s="1247"/>
      <c r="AG318" s="1247"/>
      <c r="AH318" s="1247"/>
      <c r="AI318" s="1247"/>
      <c r="AJ318" s="1247"/>
      <c r="AK318" s="1247"/>
      <c r="AL318" s="1247"/>
      <c r="AM318" s="1247"/>
      <c r="AN318" s="1247"/>
      <c r="AO318" s="1247"/>
      <c r="AP318" s="1247"/>
      <c r="AQ318" s="1247"/>
      <c r="AR318" s="1247"/>
      <c r="AS318" s="1247"/>
      <c r="AT318" s="1247"/>
      <c r="AU318" s="1247"/>
      <c r="AV318" s="1247"/>
      <c r="AW318" s="1247"/>
      <c r="AX318" s="1247"/>
      <c r="AY318" s="1247"/>
      <c r="AZ318" s="1247"/>
      <c r="BA318" s="1247"/>
      <c r="BB318" s="1247"/>
      <c r="BC318" s="1247"/>
    </row>
    <row r="319" spans="2:55" s="973" customFormat="1" ht="20.25" customHeight="1">
      <c r="B319" s="1247"/>
      <c r="C319" s="1247"/>
      <c r="D319" s="1247"/>
      <c r="E319" s="1247"/>
      <c r="F319" s="1247"/>
      <c r="G319" s="1247"/>
      <c r="H319" s="1247"/>
      <c r="I319" s="1247"/>
      <c r="J319" s="1247"/>
      <c r="K319" s="1247"/>
      <c r="L319" s="1247"/>
      <c r="M319" s="1247"/>
      <c r="N319" s="1247"/>
      <c r="O319" s="1247"/>
      <c r="P319" s="1247"/>
      <c r="Q319" s="1247"/>
      <c r="R319" s="1247"/>
      <c r="S319" s="1247"/>
      <c r="T319" s="1247"/>
      <c r="U319" s="1247"/>
      <c r="V319" s="1247"/>
      <c r="W319" s="1247"/>
      <c r="X319" s="1247"/>
      <c r="Y319" s="1247"/>
      <c r="Z319" s="1247"/>
      <c r="AA319" s="1247"/>
      <c r="AB319" s="1247"/>
      <c r="AC319" s="1247"/>
      <c r="AD319" s="1247"/>
      <c r="AE319" s="1247"/>
      <c r="AF319" s="1247"/>
      <c r="AG319" s="1247"/>
      <c r="AH319" s="1247"/>
      <c r="AI319" s="1247"/>
      <c r="AJ319" s="1247"/>
      <c r="AK319" s="1247"/>
      <c r="AL319" s="1247"/>
      <c r="AM319" s="1247"/>
      <c r="AN319" s="1247"/>
      <c r="AO319" s="1247"/>
      <c r="AP319" s="1247"/>
      <c r="AQ319" s="1247"/>
      <c r="AR319" s="1247"/>
      <c r="AS319" s="1247"/>
      <c r="AT319" s="1247"/>
      <c r="AU319" s="1247"/>
      <c r="AV319" s="1247"/>
      <c r="AW319" s="1247"/>
      <c r="AX319" s="1247"/>
      <c r="AY319" s="1247"/>
      <c r="AZ319" s="1247"/>
      <c r="BA319" s="1247"/>
      <c r="BB319" s="1247"/>
      <c r="BC319" s="1247"/>
    </row>
    <row r="320" spans="2:55" s="973" customFormat="1" ht="20.25" customHeight="1">
      <c r="B320" s="1247"/>
      <c r="C320" s="1247"/>
      <c r="D320" s="1247"/>
      <c r="E320" s="1247"/>
      <c r="F320" s="1247"/>
      <c r="G320" s="1247"/>
      <c r="H320" s="1247"/>
      <c r="I320" s="1247"/>
      <c r="J320" s="1247"/>
      <c r="K320" s="1247"/>
      <c r="L320" s="1247"/>
      <c r="M320" s="1247"/>
      <c r="N320" s="1247"/>
      <c r="O320" s="1247"/>
      <c r="P320" s="1247"/>
      <c r="Q320" s="1247"/>
      <c r="R320" s="1247"/>
      <c r="S320" s="1247"/>
      <c r="T320" s="1247"/>
      <c r="U320" s="1247"/>
      <c r="V320" s="1247"/>
      <c r="W320" s="1247"/>
      <c r="X320" s="1247"/>
      <c r="Y320" s="1247"/>
      <c r="Z320" s="1247"/>
      <c r="AA320" s="1247"/>
      <c r="AB320" s="1247"/>
      <c r="AC320" s="1247"/>
      <c r="AD320" s="1247"/>
      <c r="AE320" s="1247"/>
      <c r="AF320" s="1247"/>
      <c r="AG320" s="1247"/>
      <c r="AH320" s="1247"/>
      <c r="AI320" s="1247"/>
      <c r="AJ320" s="1247"/>
      <c r="AK320" s="1247"/>
      <c r="AL320" s="1247"/>
      <c r="AM320" s="1247"/>
      <c r="AN320" s="1247"/>
      <c r="AO320" s="1247"/>
      <c r="AP320" s="1247"/>
      <c r="AQ320" s="1247"/>
      <c r="AR320" s="1247"/>
      <c r="AS320" s="1247"/>
      <c r="AT320" s="1247"/>
      <c r="AU320" s="1247"/>
      <c r="AV320" s="1247"/>
      <c r="AW320" s="1247"/>
      <c r="AX320" s="1247"/>
      <c r="AY320" s="1247"/>
      <c r="AZ320" s="1247"/>
      <c r="BA320" s="1247"/>
      <c r="BB320" s="1247"/>
      <c r="BC320" s="1247"/>
    </row>
    <row r="321" spans="2:55" s="973" customFormat="1" ht="20.25" customHeight="1">
      <c r="B321" s="1247"/>
      <c r="C321" s="1247"/>
      <c r="D321" s="1247"/>
      <c r="E321" s="1247"/>
      <c r="F321" s="1247"/>
      <c r="G321" s="1247"/>
      <c r="H321" s="1247"/>
      <c r="I321" s="1247"/>
      <c r="J321" s="1247"/>
      <c r="K321" s="1247"/>
      <c r="L321" s="1247"/>
      <c r="M321" s="1247"/>
      <c r="N321" s="1247"/>
      <c r="O321" s="1247"/>
      <c r="P321" s="1247"/>
      <c r="Q321" s="1247"/>
      <c r="R321" s="1247"/>
      <c r="S321" s="1247"/>
      <c r="T321" s="1247"/>
      <c r="U321" s="1247"/>
      <c r="V321" s="1247"/>
      <c r="W321" s="1247"/>
      <c r="X321" s="1247"/>
      <c r="Y321" s="1247"/>
      <c r="Z321" s="1247"/>
      <c r="AA321" s="1247"/>
      <c r="AB321" s="1247"/>
      <c r="AC321" s="1247"/>
      <c r="AD321" s="1247"/>
      <c r="AE321" s="1247"/>
      <c r="AF321" s="1247"/>
      <c r="AG321" s="1247"/>
      <c r="AH321" s="1247"/>
      <c r="AI321" s="1247"/>
      <c r="AJ321" s="1247"/>
      <c r="AK321" s="1247"/>
      <c r="AL321" s="1247"/>
      <c r="AM321" s="1247"/>
      <c r="AN321" s="1247"/>
      <c r="AO321" s="1247"/>
      <c r="AP321" s="1247"/>
      <c r="AQ321" s="1247"/>
      <c r="AR321" s="1247"/>
      <c r="AS321" s="1247"/>
      <c r="AT321" s="1247"/>
      <c r="AU321" s="1247"/>
      <c r="AV321" s="1247"/>
      <c r="AW321" s="1247"/>
      <c r="AX321" s="1247"/>
      <c r="AY321" s="1247"/>
      <c r="AZ321" s="1247"/>
      <c r="BA321" s="1247"/>
      <c r="BB321" s="1247"/>
      <c r="BC321" s="1247"/>
    </row>
    <row r="322" spans="2:55" s="973" customFormat="1" ht="20.25" customHeight="1">
      <c r="B322" s="1247"/>
      <c r="C322" s="1247"/>
      <c r="D322" s="1247"/>
      <c r="E322" s="1247"/>
      <c r="F322" s="1247"/>
      <c r="G322" s="1247"/>
      <c r="H322" s="1247"/>
      <c r="I322" s="1247"/>
      <c r="J322" s="1247"/>
      <c r="K322" s="1247"/>
      <c r="L322" s="1247"/>
      <c r="M322" s="1247"/>
      <c r="N322" s="1247"/>
      <c r="O322" s="1247"/>
      <c r="P322" s="1247"/>
      <c r="Q322" s="1247"/>
      <c r="R322" s="1247"/>
      <c r="S322" s="1247"/>
      <c r="T322" s="1247"/>
      <c r="U322" s="1247"/>
      <c r="V322" s="1247"/>
      <c r="W322" s="1247"/>
      <c r="X322" s="1247"/>
      <c r="Y322" s="1247"/>
      <c r="Z322" s="1247"/>
      <c r="AA322" s="1247"/>
      <c r="AB322" s="1247"/>
      <c r="AC322" s="1247"/>
      <c r="AD322" s="1247"/>
      <c r="AE322" s="1247"/>
      <c r="AF322" s="1247"/>
      <c r="AG322" s="1247"/>
      <c r="AH322" s="1247"/>
      <c r="AI322" s="1247"/>
      <c r="AJ322" s="1247"/>
      <c r="AK322" s="1247"/>
      <c r="AL322" s="1247"/>
      <c r="AM322" s="1247"/>
      <c r="AN322" s="1247"/>
      <c r="AO322" s="1247"/>
      <c r="AP322" s="1247"/>
      <c r="AQ322" s="1247"/>
      <c r="AR322" s="1247"/>
      <c r="AS322" s="1247"/>
      <c r="AT322" s="1247"/>
      <c r="AU322" s="1247"/>
      <c r="AV322" s="1247"/>
      <c r="AW322" s="1247"/>
      <c r="AX322" s="1247"/>
      <c r="AY322" s="1247"/>
      <c r="AZ322" s="1247"/>
      <c r="BA322" s="1247"/>
      <c r="BB322" s="1247"/>
      <c r="BC322" s="1247"/>
    </row>
    <row r="323" spans="2:55" s="973" customFormat="1" ht="20.25" customHeight="1">
      <c r="B323" s="1247"/>
      <c r="C323" s="1247"/>
      <c r="D323" s="1247"/>
      <c r="E323" s="1247"/>
      <c r="F323" s="1247"/>
      <c r="G323" s="1247"/>
      <c r="H323" s="1247"/>
      <c r="I323" s="1247"/>
      <c r="J323" s="1247"/>
      <c r="K323" s="1247"/>
      <c r="L323" s="1247"/>
      <c r="M323" s="1247"/>
      <c r="N323" s="1247"/>
      <c r="O323" s="1247"/>
      <c r="P323" s="1247"/>
      <c r="Q323" s="1247"/>
      <c r="R323" s="1247"/>
      <c r="S323" s="1247"/>
      <c r="T323" s="1247"/>
      <c r="U323" s="1247"/>
      <c r="V323" s="1247"/>
      <c r="W323" s="1247"/>
      <c r="X323" s="1247"/>
      <c r="Y323" s="1247"/>
      <c r="Z323" s="1247"/>
      <c r="AA323" s="1247"/>
      <c r="AB323" s="1247"/>
      <c r="AC323" s="1247"/>
      <c r="AD323" s="1247"/>
      <c r="AE323" s="1247"/>
      <c r="AF323" s="1247"/>
      <c r="AG323" s="1247"/>
      <c r="AH323" s="1247"/>
      <c r="AI323" s="1247"/>
      <c r="AJ323" s="1247"/>
      <c r="AK323" s="1247"/>
      <c r="AL323" s="1247"/>
      <c r="AM323" s="1247"/>
      <c r="AN323" s="1247"/>
      <c r="AO323" s="1247"/>
      <c r="AP323" s="1247"/>
      <c r="AQ323" s="1247"/>
      <c r="AR323" s="1247"/>
      <c r="AS323" s="1247"/>
      <c r="AT323" s="1247"/>
      <c r="AU323" s="1247"/>
      <c r="AV323" s="1247"/>
      <c r="AW323" s="1247"/>
      <c r="AX323" s="1247"/>
      <c r="AY323" s="1247"/>
      <c r="AZ323" s="1247"/>
      <c r="BA323" s="1247"/>
      <c r="BB323" s="1247"/>
      <c r="BC323" s="1247"/>
    </row>
    <row r="324" spans="2:55" s="973" customFormat="1" ht="20.25" customHeight="1">
      <c r="B324" s="1247"/>
      <c r="C324" s="1247"/>
      <c r="D324" s="1247"/>
      <c r="E324" s="1247"/>
      <c r="F324" s="1247"/>
      <c r="G324" s="1247"/>
      <c r="H324" s="1247"/>
      <c r="I324" s="1247"/>
      <c r="J324" s="1247"/>
      <c r="K324" s="1247"/>
      <c r="L324" s="1247"/>
      <c r="M324" s="1247"/>
      <c r="N324" s="1247"/>
      <c r="O324" s="1247"/>
      <c r="P324" s="1247"/>
      <c r="Q324" s="1247"/>
      <c r="R324" s="1247"/>
      <c r="S324" s="1247"/>
      <c r="T324" s="1247"/>
      <c r="U324" s="1247"/>
      <c r="V324" s="1247"/>
      <c r="W324" s="1247"/>
      <c r="X324" s="1247"/>
      <c r="Y324" s="1247"/>
      <c r="Z324" s="1247"/>
      <c r="AA324" s="1247"/>
      <c r="AB324" s="1247"/>
      <c r="AC324" s="1247"/>
      <c r="AD324" s="1247"/>
      <c r="AE324" s="1247"/>
      <c r="AF324" s="1247"/>
      <c r="AG324" s="1247"/>
      <c r="AH324" s="1247"/>
      <c r="AI324" s="1247"/>
      <c r="AJ324" s="1247"/>
      <c r="AK324" s="1247"/>
      <c r="AL324" s="1247"/>
      <c r="AM324" s="1247"/>
      <c r="AN324" s="1247"/>
      <c r="AO324" s="1247"/>
      <c r="AP324" s="1247"/>
      <c r="AQ324" s="1247"/>
      <c r="AR324" s="1247"/>
      <c r="AS324" s="1247"/>
      <c r="AT324" s="1247"/>
      <c r="AU324" s="1247"/>
      <c r="AV324" s="1247"/>
      <c r="AW324" s="1247"/>
      <c r="AX324" s="1247"/>
      <c r="AY324" s="1247"/>
      <c r="AZ324" s="1247"/>
      <c r="BA324" s="1247"/>
      <c r="BB324" s="1247"/>
      <c r="BC324" s="1247"/>
    </row>
    <row r="325" spans="2:55" s="973" customFormat="1" ht="20.25" customHeight="1">
      <c r="B325" s="1247"/>
      <c r="C325" s="1247"/>
      <c r="D325" s="1247"/>
      <c r="E325" s="1247"/>
      <c r="F325" s="1247"/>
      <c r="G325" s="1247"/>
      <c r="H325" s="1247"/>
      <c r="I325" s="1247"/>
      <c r="J325" s="1247"/>
      <c r="K325" s="1247"/>
      <c r="L325" s="1247"/>
      <c r="M325" s="1247"/>
      <c r="N325" s="1247"/>
      <c r="O325" s="1247"/>
      <c r="P325" s="1247"/>
      <c r="Q325" s="1247"/>
      <c r="R325" s="1247"/>
      <c r="S325" s="1247"/>
      <c r="T325" s="1247"/>
      <c r="U325" s="1247"/>
      <c r="V325" s="1247"/>
      <c r="W325" s="1247"/>
      <c r="X325" s="1247"/>
      <c r="Y325" s="1247"/>
      <c r="Z325" s="1247"/>
      <c r="AA325" s="1247"/>
      <c r="AB325" s="1247"/>
      <c r="AC325" s="1247"/>
      <c r="AD325" s="1247"/>
      <c r="AE325" s="1247"/>
      <c r="AF325" s="1247"/>
      <c r="AG325" s="1247"/>
      <c r="AH325" s="1247"/>
      <c r="AI325" s="1247"/>
      <c r="AJ325" s="1247"/>
      <c r="AK325" s="1247"/>
      <c r="AL325" s="1247"/>
      <c r="AM325" s="1247"/>
      <c r="AN325" s="1247"/>
      <c r="AO325" s="1247"/>
      <c r="AP325" s="1247"/>
      <c r="AQ325" s="1247"/>
      <c r="AR325" s="1247"/>
      <c r="AS325" s="1247"/>
      <c r="AT325" s="1247"/>
      <c r="AU325" s="1247"/>
      <c r="AV325" s="1247"/>
      <c r="AW325" s="1247"/>
      <c r="AX325" s="1247"/>
      <c r="AY325" s="1247"/>
      <c r="AZ325" s="1247"/>
      <c r="BA325" s="1247"/>
      <c r="BB325" s="1247"/>
      <c r="BC325" s="1247"/>
    </row>
    <row r="326" spans="2:55" s="973" customFormat="1" ht="20.25" customHeight="1">
      <c r="B326" s="1247"/>
      <c r="C326" s="1247"/>
      <c r="D326" s="1247"/>
      <c r="E326" s="1247"/>
      <c r="F326" s="1247"/>
      <c r="G326" s="1247"/>
      <c r="H326" s="1247"/>
      <c r="I326" s="1247"/>
      <c r="J326" s="1247"/>
      <c r="K326" s="1247"/>
      <c r="L326" s="1247"/>
      <c r="M326" s="1247"/>
      <c r="N326" s="1247"/>
      <c r="O326" s="1247"/>
      <c r="P326" s="1247"/>
      <c r="Q326" s="1247"/>
      <c r="R326" s="1247"/>
      <c r="S326" s="1247"/>
      <c r="T326" s="1247"/>
      <c r="U326" s="1247"/>
      <c r="V326" s="1247"/>
      <c r="W326" s="1247"/>
      <c r="X326" s="1247"/>
      <c r="Y326" s="1247"/>
      <c r="Z326" s="1247"/>
      <c r="AA326" s="1247"/>
      <c r="AB326" s="1247"/>
      <c r="AC326" s="1247"/>
      <c r="AD326" s="1247"/>
      <c r="AE326" s="1247"/>
      <c r="AF326" s="1247"/>
      <c r="AG326" s="1247"/>
      <c r="AH326" s="1247"/>
      <c r="AI326" s="1247"/>
      <c r="AJ326" s="1247"/>
      <c r="AK326" s="1247"/>
      <c r="AL326" s="1247"/>
      <c r="AM326" s="1247"/>
      <c r="AN326" s="1247"/>
      <c r="AO326" s="1247"/>
      <c r="AP326" s="1247"/>
      <c r="AQ326" s="1247"/>
      <c r="AR326" s="1247"/>
      <c r="AS326" s="1247"/>
      <c r="AT326" s="1247"/>
      <c r="AU326" s="1247"/>
      <c r="AV326" s="1247"/>
      <c r="AW326" s="1247"/>
      <c r="AX326" s="1247"/>
      <c r="AY326" s="1247"/>
      <c r="AZ326" s="1247"/>
      <c r="BA326" s="1247"/>
      <c r="BB326" s="1247"/>
      <c r="BC326" s="1247"/>
    </row>
    <row r="327" spans="2:55" s="973" customFormat="1" ht="20.25" customHeight="1">
      <c r="B327" s="1247"/>
      <c r="C327" s="1247"/>
      <c r="D327" s="1247"/>
      <c r="E327" s="1247"/>
      <c r="F327" s="1247"/>
      <c r="G327" s="1247"/>
      <c r="H327" s="1247"/>
      <c r="I327" s="1247"/>
      <c r="J327" s="1247"/>
      <c r="K327" s="1247"/>
      <c r="L327" s="1247"/>
      <c r="M327" s="1247"/>
      <c r="N327" s="1247"/>
      <c r="O327" s="1247"/>
      <c r="P327" s="1247"/>
      <c r="Q327" s="1247"/>
      <c r="R327" s="1247"/>
      <c r="S327" s="1247"/>
      <c r="T327" s="1247"/>
      <c r="U327" s="1247"/>
      <c r="V327" s="1247"/>
      <c r="W327" s="1247"/>
      <c r="X327" s="1247"/>
      <c r="Y327" s="1247"/>
      <c r="Z327" s="1247"/>
      <c r="AA327" s="1247"/>
      <c r="AB327" s="1247"/>
      <c r="AC327" s="1247"/>
      <c r="AD327" s="1247"/>
      <c r="AE327" s="1247"/>
      <c r="AF327" s="1247"/>
      <c r="AG327" s="1247"/>
      <c r="AH327" s="1247"/>
      <c r="AI327" s="1247"/>
      <c r="AJ327" s="1247"/>
      <c r="AK327" s="1247"/>
      <c r="AL327" s="1247"/>
      <c r="AM327" s="1247"/>
      <c r="AN327" s="1247"/>
      <c r="AO327" s="1247"/>
      <c r="AP327" s="1247"/>
      <c r="AQ327" s="1247"/>
      <c r="AR327" s="1247"/>
      <c r="AS327" s="1247"/>
      <c r="AT327" s="1247"/>
      <c r="AU327" s="1247"/>
      <c r="AV327" s="1247"/>
      <c r="AW327" s="1247"/>
      <c r="AX327" s="1247"/>
      <c r="AY327" s="1247"/>
      <c r="AZ327" s="1247"/>
      <c r="BA327" s="1247"/>
      <c r="BB327" s="1247"/>
      <c r="BC327" s="1247"/>
    </row>
    <row r="328" spans="2:55" s="973" customFormat="1" ht="20.25" customHeight="1">
      <c r="B328" s="1247"/>
      <c r="C328" s="1247"/>
      <c r="D328" s="1247"/>
      <c r="E328" s="1247"/>
      <c r="F328" s="1247"/>
      <c r="G328" s="1247"/>
      <c r="H328" s="1247"/>
      <c r="I328" s="1247"/>
      <c r="J328" s="1247"/>
      <c r="K328" s="1247"/>
      <c r="L328" s="1247"/>
      <c r="M328" s="1247"/>
      <c r="N328" s="1247"/>
      <c r="O328" s="1247"/>
      <c r="P328" s="1247"/>
      <c r="Q328" s="1247"/>
      <c r="R328" s="1247"/>
      <c r="S328" s="1247"/>
      <c r="T328" s="1247"/>
      <c r="U328" s="1247"/>
      <c r="V328" s="1247"/>
      <c r="W328" s="1247"/>
      <c r="X328" s="1247"/>
      <c r="Y328" s="1247"/>
      <c r="Z328" s="1247"/>
      <c r="AA328" s="1247"/>
      <c r="AB328" s="1247"/>
      <c r="AC328" s="1247"/>
      <c r="AD328" s="1247"/>
      <c r="AE328" s="1247"/>
      <c r="AF328" s="1247"/>
      <c r="AG328" s="1247"/>
      <c r="AH328" s="1247"/>
      <c r="AI328" s="1247"/>
      <c r="AJ328" s="1247"/>
      <c r="AK328" s="1247"/>
      <c r="AL328" s="1247"/>
      <c r="AM328" s="1247"/>
      <c r="AN328" s="1247"/>
      <c r="AO328" s="1247"/>
      <c r="AP328" s="1247"/>
      <c r="AQ328" s="1247"/>
      <c r="AR328" s="1247"/>
      <c r="AS328" s="1247"/>
      <c r="AT328" s="1247"/>
      <c r="AU328" s="1247"/>
      <c r="AV328" s="1247"/>
      <c r="AW328" s="1247"/>
      <c r="AX328" s="1247"/>
      <c r="AY328" s="1247"/>
      <c r="AZ328" s="1247"/>
      <c r="BA328" s="1247"/>
      <c r="BB328" s="1247"/>
      <c r="BC328" s="1247"/>
    </row>
    <row r="329" spans="2:55" s="973" customFormat="1" ht="20.25" customHeight="1">
      <c r="B329" s="1247"/>
      <c r="C329" s="1247"/>
      <c r="D329" s="1247"/>
      <c r="E329" s="1247"/>
      <c r="F329" s="1247"/>
      <c r="G329" s="1247"/>
      <c r="H329" s="1247"/>
      <c r="I329" s="1247"/>
      <c r="J329" s="1247"/>
      <c r="K329" s="1247"/>
      <c r="L329" s="1247"/>
      <c r="M329" s="1247"/>
      <c r="N329" s="1247"/>
      <c r="O329" s="1247"/>
      <c r="P329" s="1247"/>
      <c r="Q329" s="1247"/>
      <c r="R329" s="1247"/>
      <c r="S329" s="1247"/>
      <c r="T329" s="1247"/>
      <c r="U329" s="1247"/>
      <c r="V329" s="1247"/>
      <c r="W329" s="1247"/>
      <c r="X329" s="1247"/>
      <c r="Y329" s="1247"/>
      <c r="Z329" s="1247"/>
      <c r="AA329" s="1247"/>
      <c r="AB329" s="1247"/>
      <c r="AC329" s="1247"/>
      <c r="AD329" s="1247"/>
      <c r="AE329" s="1247"/>
      <c r="AF329" s="1247"/>
      <c r="AG329" s="1247"/>
      <c r="AH329" s="1247"/>
      <c r="AI329" s="1247"/>
      <c r="AJ329" s="1247"/>
      <c r="AK329" s="1247"/>
      <c r="AL329" s="1247"/>
      <c r="AM329" s="1247"/>
      <c r="AN329" s="1247"/>
      <c r="AO329" s="1247"/>
      <c r="AP329" s="1247"/>
      <c r="AQ329" s="1247"/>
      <c r="AR329" s="1247"/>
      <c r="AS329" s="1247"/>
      <c r="AT329" s="1247"/>
      <c r="AU329" s="1247"/>
      <c r="AV329" s="1247"/>
      <c r="AW329" s="1247"/>
      <c r="AX329" s="1247"/>
      <c r="AY329" s="1247"/>
      <c r="AZ329" s="1247"/>
      <c r="BA329" s="1247"/>
      <c r="BB329" s="1247"/>
      <c r="BC329" s="1247"/>
    </row>
    <row r="330" spans="2:55" s="973" customFormat="1" ht="20.25" customHeight="1">
      <c r="B330" s="1247"/>
      <c r="C330" s="1247"/>
      <c r="D330" s="1247"/>
      <c r="E330" s="1247"/>
      <c r="F330" s="1247"/>
      <c r="G330" s="1247"/>
      <c r="H330" s="1247"/>
      <c r="I330" s="1247"/>
      <c r="J330" s="1247"/>
      <c r="K330" s="1247"/>
      <c r="L330" s="1247"/>
      <c r="M330" s="1247"/>
      <c r="N330" s="1247"/>
      <c r="O330" s="1247"/>
      <c r="P330" s="1247"/>
      <c r="Q330" s="1247"/>
      <c r="R330" s="1247"/>
      <c r="S330" s="1247"/>
      <c r="T330" s="1247"/>
      <c r="U330" s="1247"/>
      <c r="V330" s="1247"/>
      <c r="W330" s="1247"/>
      <c r="X330" s="1247"/>
      <c r="Y330" s="1247"/>
      <c r="Z330" s="1247"/>
      <c r="AA330" s="1247"/>
      <c r="AB330" s="1247"/>
      <c r="AC330" s="1247"/>
      <c r="AD330" s="1247"/>
      <c r="AE330" s="1247"/>
      <c r="AF330" s="1247"/>
      <c r="AG330" s="1247"/>
      <c r="AH330" s="1247"/>
      <c r="AI330" s="1247"/>
      <c r="AJ330" s="1247"/>
      <c r="AK330" s="1247"/>
      <c r="AL330" s="1247"/>
      <c r="AM330" s="1247"/>
      <c r="AN330" s="1247"/>
      <c r="AO330" s="1247"/>
      <c r="AP330" s="1247"/>
      <c r="AQ330" s="1247"/>
      <c r="AR330" s="1247"/>
      <c r="AS330" s="1247"/>
      <c r="AT330" s="1247"/>
      <c r="AU330" s="1247"/>
      <c r="AV330" s="1247"/>
      <c r="AW330" s="1247"/>
      <c r="AX330" s="1247"/>
      <c r="AY330" s="1247"/>
      <c r="AZ330" s="1247"/>
      <c r="BA330" s="1247"/>
      <c r="BB330" s="1247"/>
      <c r="BC330" s="1247"/>
    </row>
    <row r="331" spans="2:55" s="973" customFormat="1" ht="20.25" customHeight="1">
      <c r="B331" s="1247"/>
      <c r="C331" s="1247"/>
      <c r="D331" s="1247"/>
      <c r="E331" s="1247"/>
      <c r="F331" s="1247"/>
      <c r="G331" s="1247"/>
      <c r="H331" s="1247"/>
      <c r="I331" s="1247"/>
      <c r="J331" s="1247"/>
      <c r="K331" s="1247"/>
      <c r="L331" s="1247"/>
      <c r="M331" s="1247"/>
      <c r="N331" s="1247"/>
      <c r="O331" s="1247"/>
      <c r="P331" s="1247"/>
      <c r="Q331" s="1247"/>
      <c r="R331" s="1247"/>
      <c r="S331" s="1247"/>
      <c r="T331" s="1247"/>
      <c r="U331" s="1247"/>
      <c r="V331" s="1247"/>
      <c r="W331" s="1247"/>
      <c r="X331" s="1247"/>
      <c r="Y331" s="1247"/>
      <c r="Z331" s="1247"/>
      <c r="AA331" s="1247"/>
      <c r="AB331" s="1247"/>
      <c r="AC331" s="1247"/>
      <c r="AD331" s="1247"/>
      <c r="AE331" s="1247"/>
      <c r="AF331" s="1247"/>
      <c r="AG331" s="1247"/>
      <c r="AH331" s="1247"/>
      <c r="AI331" s="1247"/>
      <c r="AJ331" s="1247"/>
      <c r="AK331" s="1247"/>
      <c r="AL331" s="1247"/>
      <c r="AM331" s="1247"/>
      <c r="AN331" s="1247"/>
      <c r="AO331" s="1247"/>
      <c r="AP331" s="1247"/>
      <c r="AQ331" s="1247"/>
      <c r="AR331" s="1247"/>
      <c r="AS331" s="1247"/>
      <c r="AT331" s="1247"/>
      <c r="AU331" s="1247"/>
      <c r="AV331" s="1247"/>
      <c r="AW331" s="1247"/>
      <c r="AX331" s="1247"/>
      <c r="AY331" s="1247"/>
      <c r="AZ331" s="1247"/>
      <c r="BA331" s="1247"/>
      <c r="BB331" s="1247"/>
      <c r="BC331" s="1247"/>
    </row>
    <row r="332" spans="2:55" s="973" customFormat="1" ht="20.25" customHeight="1">
      <c r="B332" s="1247"/>
      <c r="C332" s="1247"/>
      <c r="D332" s="1247"/>
      <c r="E332" s="1247"/>
      <c r="F332" s="1247"/>
      <c r="G332" s="1247"/>
      <c r="H332" s="1247"/>
      <c r="I332" s="1247"/>
      <c r="J332" s="1247"/>
      <c r="K332" s="1247"/>
      <c r="L332" s="1247"/>
      <c r="M332" s="1247"/>
      <c r="N332" s="1247"/>
      <c r="O332" s="1247"/>
      <c r="P332" s="1247"/>
      <c r="Q332" s="1247"/>
      <c r="R332" s="1247"/>
      <c r="S332" s="1247"/>
      <c r="T332" s="1247"/>
      <c r="U332" s="1247"/>
      <c r="V332" s="1247"/>
      <c r="W332" s="1247"/>
      <c r="X332" s="1247"/>
      <c r="Y332" s="1247"/>
      <c r="Z332" s="1247"/>
      <c r="AA332" s="1247"/>
      <c r="AB332" s="1247"/>
      <c r="AC332" s="1247"/>
      <c r="AD332" s="1247"/>
      <c r="AE332" s="1247"/>
      <c r="AF332" s="1247"/>
      <c r="AG332" s="1247"/>
      <c r="AH332" s="1247"/>
      <c r="AI332" s="1247"/>
      <c r="AJ332" s="1247"/>
      <c r="AK332" s="1247"/>
      <c r="AL332" s="1247"/>
      <c r="AM332" s="1247"/>
      <c r="AN332" s="1247"/>
      <c r="AO332" s="1247"/>
      <c r="AP332" s="1247"/>
      <c r="AQ332" s="1247"/>
      <c r="AR332" s="1247"/>
      <c r="AS332" s="1247"/>
      <c r="AT332" s="1247"/>
      <c r="AU332" s="1247"/>
      <c r="AV332" s="1247"/>
      <c r="AW332" s="1247"/>
      <c r="AX332" s="1247"/>
      <c r="AY332" s="1247"/>
      <c r="AZ332" s="1247"/>
      <c r="BA332" s="1247"/>
      <c r="BB332" s="1247"/>
      <c r="BC332" s="1247"/>
    </row>
    <row r="333" spans="2:55" s="973" customFormat="1" ht="20.25" customHeight="1">
      <c r="B333" s="1247"/>
      <c r="C333" s="1247"/>
      <c r="D333" s="1247"/>
      <c r="E333" s="1247"/>
      <c r="F333" s="1247"/>
      <c r="G333" s="1247"/>
      <c r="H333" s="1247"/>
      <c r="I333" s="1247"/>
      <c r="J333" s="1247"/>
      <c r="K333" s="1247"/>
      <c r="L333" s="1247"/>
      <c r="M333" s="1247"/>
      <c r="N333" s="1247"/>
      <c r="O333" s="1247"/>
      <c r="P333" s="1247"/>
      <c r="Q333" s="1247"/>
      <c r="R333" s="1247"/>
      <c r="S333" s="1247"/>
      <c r="T333" s="1247"/>
      <c r="U333" s="1247"/>
      <c r="V333" s="1247"/>
      <c r="W333" s="1247"/>
      <c r="X333" s="1247"/>
      <c r="Y333" s="1247"/>
      <c r="Z333" s="1247"/>
      <c r="AA333" s="1247"/>
      <c r="AB333" s="1247"/>
      <c r="AC333" s="1247"/>
      <c r="AD333" s="1247"/>
      <c r="AE333" s="1247"/>
      <c r="AF333" s="1247"/>
      <c r="AG333" s="1247"/>
      <c r="AH333" s="1247"/>
      <c r="AI333" s="1247"/>
      <c r="AJ333" s="1247"/>
      <c r="AK333" s="1247"/>
      <c r="AL333" s="1247"/>
      <c r="AM333" s="1247"/>
      <c r="AN333" s="1247"/>
      <c r="AO333" s="1247"/>
      <c r="AP333" s="1247"/>
      <c r="AQ333" s="1247"/>
      <c r="AR333" s="1247"/>
      <c r="AS333" s="1247"/>
      <c r="AT333" s="1247"/>
      <c r="AU333" s="1247"/>
      <c r="AV333" s="1247"/>
      <c r="AW333" s="1247"/>
      <c r="AX333" s="1247"/>
      <c r="AY333" s="1247"/>
      <c r="AZ333" s="1247"/>
      <c r="BA333" s="1247"/>
      <c r="BB333" s="1247"/>
      <c r="BC333" s="1247"/>
    </row>
    <row r="334" spans="2:55" s="973" customFormat="1" ht="20.25" customHeight="1">
      <c r="B334" s="1247"/>
      <c r="C334" s="1247"/>
      <c r="D334" s="1247"/>
      <c r="E334" s="1247"/>
      <c r="F334" s="1247"/>
      <c r="G334" s="1247"/>
      <c r="H334" s="1247"/>
      <c r="I334" s="1247"/>
      <c r="J334" s="1247"/>
      <c r="K334" s="1247"/>
      <c r="L334" s="1247"/>
      <c r="M334" s="1247"/>
      <c r="N334" s="1247"/>
      <c r="O334" s="1247"/>
      <c r="P334" s="1247"/>
      <c r="Q334" s="1247"/>
      <c r="R334" s="1247"/>
      <c r="S334" s="1247"/>
      <c r="T334" s="1247"/>
      <c r="U334" s="1247"/>
      <c r="V334" s="1247"/>
      <c r="W334" s="1247"/>
      <c r="X334" s="1247"/>
      <c r="Y334" s="1247"/>
      <c r="Z334" s="1247"/>
      <c r="AA334" s="1247"/>
      <c r="AB334" s="1247"/>
      <c r="AC334" s="1247"/>
      <c r="AD334" s="1247"/>
      <c r="AE334" s="1247"/>
      <c r="AF334" s="1247"/>
      <c r="AG334" s="1247"/>
      <c r="AH334" s="1247"/>
      <c r="AI334" s="1247"/>
      <c r="AJ334" s="1247"/>
      <c r="AK334" s="1247"/>
      <c r="AL334" s="1247"/>
      <c r="AM334" s="1247"/>
      <c r="AN334" s="1247"/>
      <c r="AO334" s="1247"/>
      <c r="AP334" s="1247"/>
      <c r="AQ334" s="1247"/>
      <c r="AR334" s="1247"/>
      <c r="AS334" s="1247"/>
      <c r="AT334" s="1247"/>
      <c r="AU334" s="1247"/>
      <c r="AV334" s="1247"/>
      <c r="AW334" s="1247"/>
      <c r="AX334" s="1247"/>
      <c r="AY334" s="1247"/>
      <c r="AZ334" s="1247"/>
      <c r="BA334" s="1247"/>
      <c r="BB334" s="1247"/>
      <c r="BC334" s="1247"/>
    </row>
    <row r="335" spans="2:55" s="973" customFormat="1" ht="20.25" customHeight="1">
      <c r="B335" s="1247"/>
      <c r="C335" s="1247"/>
      <c r="D335" s="1247"/>
      <c r="E335" s="1247"/>
      <c r="F335" s="1247"/>
      <c r="G335" s="1247"/>
      <c r="H335" s="1247"/>
      <c r="I335" s="1247"/>
      <c r="J335" s="1247"/>
      <c r="K335" s="1247"/>
      <c r="L335" s="1247"/>
      <c r="M335" s="1247"/>
      <c r="N335" s="1247"/>
      <c r="O335" s="1247"/>
      <c r="P335" s="1247"/>
      <c r="Q335" s="1247"/>
      <c r="R335" s="1247"/>
      <c r="S335" s="1247"/>
      <c r="T335" s="1247"/>
      <c r="U335" s="1247"/>
      <c r="V335" s="1247"/>
      <c r="W335" s="1247"/>
      <c r="X335" s="1247"/>
      <c r="Y335" s="1247"/>
      <c r="Z335" s="1247"/>
      <c r="AA335" s="1247"/>
      <c r="AB335" s="1247"/>
      <c r="AC335" s="1247"/>
      <c r="AD335" s="1247"/>
      <c r="AE335" s="1247"/>
      <c r="AF335" s="1247"/>
      <c r="AG335" s="1247"/>
      <c r="AH335" s="1247"/>
      <c r="AI335" s="1247"/>
      <c r="AJ335" s="1247"/>
      <c r="AK335" s="1247"/>
      <c r="AL335" s="1247"/>
      <c r="AM335" s="1247"/>
      <c r="AN335" s="1247"/>
      <c r="AO335" s="1247"/>
      <c r="AP335" s="1247"/>
      <c r="AQ335" s="1247"/>
      <c r="AR335" s="1247"/>
      <c r="AS335" s="1247"/>
      <c r="AT335" s="1247"/>
      <c r="AU335" s="1247"/>
      <c r="AV335" s="1247"/>
      <c r="AW335" s="1247"/>
      <c r="AX335" s="1247"/>
      <c r="AY335" s="1247"/>
      <c r="AZ335" s="1247"/>
      <c r="BA335" s="1247"/>
      <c r="BB335" s="1247"/>
      <c r="BC335" s="1247"/>
    </row>
    <row r="336" spans="2:55" s="973" customFormat="1" ht="20.25" customHeight="1">
      <c r="B336" s="1247"/>
      <c r="C336" s="1247"/>
      <c r="D336" s="1247"/>
      <c r="E336" s="1247"/>
      <c r="F336" s="1247"/>
      <c r="G336" s="1247"/>
      <c r="H336" s="1247"/>
      <c r="I336" s="1247"/>
      <c r="J336" s="1247"/>
      <c r="K336" s="1247"/>
      <c r="L336" s="1247"/>
      <c r="M336" s="1247"/>
      <c r="N336" s="1247"/>
      <c r="O336" s="1247"/>
      <c r="P336" s="1247"/>
      <c r="Q336" s="1247"/>
      <c r="R336" s="1247"/>
      <c r="S336" s="1247"/>
      <c r="T336" s="1247"/>
      <c r="U336" s="1247"/>
      <c r="V336" s="1247"/>
      <c r="W336" s="1247"/>
      <c r="X336" s="1247"/>
      <c r="Y336" s="1247"/>
      <c r="Z336" s="1247"/>
      <c r="AA336" s="1247"/>
      <c r="AB336" s="1247"/>
      <c r="AC336" s="1247"/>
      <c r="AD336" s="1247"/>
      <c r="AE336" s="1247"/>
      <c r="AF336" s="1247"/>
      <c r="AG336" s="1247"/>
      <c r="AH336" s="1247"/>
      <c r="AI336" s="1247"/>
      <c r="AJ336" s="1247"/>
      <c r="AK336" s="1247"/>
      <c r="AL336" s="1247"/>
      <c r="AM336" s="1247"/>
      <c r="AN336" s="1247"/>
      <c r="AO336" s="1247"/>
      <c r="AP336" s="1247"/>
      <c r="AQ336" s="1247"/>
      <c r="AR336" s="1247"/>
      <c r="AS336" s="1247"/>
      <c r="AT336" s="1247"/>
      <c r="AU336" s="1247"/>
      <c r="AV336" s="1247"/>
      <c r="AW336" s="1247"/>
      <c r="AX336" s="1247"/>
      <c r="AY336" s="1247"/>
      <c r="AZ336" s="1247"/>
      <c r="BA336" s="1247"/>
      <c r="BB336" s="1247"/>
      <c r="BC336" s="1247"/>
    </row>
    <row r="337" spans="2:55" s="973" customFormat="1" ht="20.25" customHeight="1">
      <c r="B337" s="1247"/>
      <c r="C337" s="1247"/>
      <c r="D337" s="1247"/>
      <c r="E337" s="1247"/>
      <c r="F337" s="1247"/>
      <c r="G337" s="1247"/>
      <c r="H337" s="1247"/>
      <c r="I337" s="1247"/>
      <c r="J337" s="1247"/>
      <c r="K337" s="1247"/>
      <c r="L337" s="1247"/>
      <c r="M337" s="1247"/>
      <c r="N337" s="1247"/>
      <c r="O337" s="1247"/>
      <c r="P337" s="1247"/>
      <c r="Q337" s="1247"/>
      <c r="R337" s="1247"/>
      <c r="S337" s="1247"/>
      <c r="T337" s="1247"/>
      <c r="U337" s="1247"/>
      <c r="V337" s="1247"/>
      <c r="W337" s="1247"/>
      <c r="X337" s="1247"/>
      <c r="Y337" s="1247"/>
      <c r="Z337" s="1247"/>
      <c r="AA337" s="1247"/>
      <c r="AB337" s="1247"/>
      <c r="AC337" s="1247"/>
      <c r="AD337" s="1247"/>
      <c r="AE337" s="1247"/>
      <c r="AF337" s="1247"/>
      <c r="AG337" s="1247"/>
      <c r="AH337" s="1247"/>
      <c r="AI337" s="1247"/>
      <c r="AJ337" s="1247"/>
      <c r="AK337" s="1247"/>
      <c r="AL337" s="1247"/>
      <c r="AM337" s="1247"/>
      <c r="AN337" s="1247"/>
      <c r="AO337" s="1247"/>
      <c r="AP337" s="1247"/>
      <c r="AQ337" s="1247"/>
      <c r="AR337" s="1247"/>
      <c r="AS337" s="1247"/>
      <c r="AT337" s="1247"/>
      <c r="AU337" s="1247"/>
      <c r="AV337" s="1247"/>
      <c r="AW337" s="1247"/>
      <c r="AX337" s="1247"/>
      <c r="AY337" s="1247"/>
      <c r="AZ337" s="1247"/>
      <c r="BA337" s="1247"/>
      <c r="BB337" s="1247"/>
      <c r="BC337" s="1247"/>
    </row>
    <row r="338" spans="2:55" s="973" customFormat="1" ht="20.25" customHeight="1">
      <c r="B338" s="1247"/>
      <c r="C338" s="1247"/>
      <c r="D338" s="1247"/>
      <c r="E338" s="1247"/>
      <c r="F338" s="1247"/>
      <c r="G338" s="1247"/>
      <c r="H338" s="1247"/>
      <c r="I338" s="1247"/>
      <c r="J338" s="1247"/>
      <c r="K338" s="1247"/>
      <c r="L338" s="1247"/>
      <c r="M338" s="1247"/>
      <c r="N338" s="1247"/>
      <c r="O338" s="1247"/>
      <c r="P338" s="1247"/>
      <c r="Q338" s="1247"/>
      <c r="R338" s="1247"/>
      <c r="S338" s="1247"/>
      <c r="T338" s="1247"/>
      <c r="U338" s="1247"/>
      <c r="V338" s="1247"/>
      <c r="W338" s="1247"/>
      <c r="X338" s="1247"/>
      <c r="Y338" s="1247"/>
      <c r="Z338" s="1247"/>
      <c r="AA338" s="1247"/>
      <c r="AB338" s="1247"/>
      <c r="AC338" s="1247"/>
      <c r="AD338" s="1247"/>
      <c r="AE338" s="1247"/>
      <c r="AF338" s="1247"/>
      <c r="AG338" s="1247"/>
      <c r="AH338" s="1247"/>
      <c r="AI338" s="1247"/>
      <c r="AJ338" s="1247"/>
      <c r="AK338" s="1247"/>
      <c r="AL338" s="1247"/>
      <c r="AM338" s="1247"/>
      <c r="AN338" s="1247"/>
      <c r="AO338" s="1247"/>
      <c r="AP338" s="1247"/>
      <c r="AQ338" s="1247"/>
      <c r="AR338" s="1247"/>
      <c r="AS338" s="1247"/>
      <c r="AT338" s="1247"/>
      <c r="AU338" s="1247"/>
      <c r="AV338" s="1247"/>
      <c r="AW338" s="1247"/>
      <c r="AX338" s="1247"/>
      <c r="AY338" s="1247"/>
      <c r="AZ338" s="1247"/>
      <c r="BA338" s="1247"/>
      <c r="BB338" s="1247"/>
      <c r="BC338" s="1247"/>
    </row>
    <row r="339" spans="2:55" s="973" customFormat="1" ht="20.25" customHeight="1">
      <c r="B339" s="1247"/>
      <c r="C339" s="1247"/>
      <c r="D339" s="1247"/>
      <c r="E339" s="1247"/>
      <c r="F339" s="1247"/>
      <c r="G339" s="1247"/>
      <c r="H339" s="1247"/>
      <c r="I339" s="1247"/>
      <c r="J339" s="1247"/>
      <c r="K339" s="1247"/>
      <c r="L339" s="1247"/>
      <c r="M339" s="1247"/>
      <c r="N339" s="1247"/>
      <c r="O339" s="1247"/>
      <c r="P339" s="1247"/>
      <c r="Q339" s="1247"/>
      <c r="R339" s="1247"/>
      <c r="S339" s="1247"/>
      <c r="T339" s="1247"/>
      <c r="U339" s="1247"/>
      <c r="V339" s="1247"/>
      <c r="W339" s="1247"/>
      <c r="X339" s="1247"/>
      <c r="Y339" s="1247"/>
      <c r="Z339" s="1247"/>
      <c r="AA339" s="1247"/>
      <c r="AB339" s="1247"/>
      <c r="AC339" s="1247"/>
      <c r="AD339" s="1247"/>
      <c r="AE339" s="1247"/>
      <c r="AF339" s="1247"/>
      <c r="AG339" s="1247"/>
      <c r="AH339" s="1247"/>
      <c r="AI339" s="1247"/>
      <c r="AJ339" s="1247"/>
      <c r="AK339" s="1247"/>
      <c r="AL339" s="1247"/>
      <c r="AM339" s="1247"/>
      <c r="AN339" s="1247"/>
      <c r="AO339" s="1247"/>
      <c r="AP339" s="1247"/>
      <c r="AQ339" s="1247"/>
      <c r="AR339" s="1247"/>
      <c r="AS339" s="1247"/>
      <c r="AT339" s="1247"/>
      <c r="AU339" s="1247"/>
      <c r="AV339" s="1247"/>
      <c r="AW339" s="1247"/>
      <c r="AX339" s="1247"/>
      <c r="AY339" s="1247"/>
      <c r="AZ339" s="1247"/>
      <c r="BA339" s="1247"/>
      <c r="BB339" s="1247"/>
      <c r="BC339" s="1247"/>
    </row>
    <row r="340" spans="2:55" s="973" customFormat="1" ht="20.25" customHeight="1">
      <c r="B340" s="1247"/>
      <c r="C340" s="1247"/>
      <c r="D340" s="1247"/>
      <c r="E340" s="1247"/>
      <c r="F340" s="1247"/>
      <c r="G340" s="1247"/>
      <c r="H340" s="1247"/>
      <c r="I340" s="1247"/>
      <c r="J340" s="1247"/>
      <c r="K340" s="1247"/>
      <c r="L340" s="1247"/>
      <c r="M340" s="1247"/>
      <c r="N340" s="1247"/>
      <c r="O340" s="1247"/>
      <c r="P340" s="1247"/>
      <c r="Q340" s="1247"/>
      <c r="R340" s="1247"/>
      <c r="S340" s="1247"/>
      <c r="T340" s="1247"/>
      <c r="U340" s="1247"/>
      <c r="V340" s="1247"/>
      <c r="W340" s="1247"/>
      <c r="X340" s="1247"/>
      <c r="Y340" s="1247"/>
      <c r="Z340" s="1247"/>
      <c r="AA340" s="1247"/>
      <c r="AB340" s="1247"/>
      <c r="AC340" s="1247"/>
      <c r="AD340" s="1247"/>
      <c r="AE340" s="1247"/>
      <c r="AF340" s="1247"/>
      <c r="AG340" s="1247"/>
      <c r="AH340" s="1247"/>
      <c r="AI340" s="1247"/>
      <c r="AJ340" s="1247"/>
      <c r="AK340" s="1247"/>
      <c r="AL340" s="1247"/>
      <c r="AM340" s="1247"/>
      <c r="AN340" s="1247"/>
      <c r="AO340" s="1247"/>
      <c r="AP340" s="1247"/>
      <c r="AQ340" s="1247"/>
      <c r="AR340" s="1247"/>
      <c r="AS340" s="1247"/>
      <c r="AT340" s="1247"/>
      <c r="AU340" s="1247"/>
      <c r="AV340" s="1247"/>
      <c r="AW340" s="1247"/>
      <c r="AX340" s="1247"/>
      <c r="AY340" s="1247"/>
      <c r="AZ340" s="1247"/>
      <c r="BA340" s="1247"/>
      <c r="BB340" s="1247"/>
      <c r="BC340" s="1247"/>
    </row>
    <row r="341" spans="2:55" s="973" customFormat="1" ht="20.25" customHeight="1">
      <c r="B341" s="1247"/>
      <c r="C341" s="1247"/>
      <c r="D341" s="1247"/>
      <c r="E341" s="1247"/>
      <c r="F341" s="1247"/>
      <c r="G341" s="1247"/>
      <c r="H341" s="1247"/>
      <c r="I341" s="1247"/>
      <c r="J341" s="1247"/>
      <c r="K341" s="1247"/>
      <c r="L341" s="1247"/>
      <c r="M341" s="1247"/>
      <c r="N341" s="1247"/>
      <c r="O341" s="1247"/>
      <c r="P341" s="1247"/>
      <c r="Q341" s="1247"/>
      <c r="R341" s="1247"/>
      <c r="S341" s="1247"/>
      <c r="T341" s="1247"/>
      <c r="U341" s="1247"/>
      <c r="V341" s="1247"/>
      <c r="W341" s="1247"/>
      <c r="X341" s="1247"/>
      <c r="Y341" s="1247"/>
      <c r="Z341" s="1247"/>
      <c r="AA341" s="1247"/>
      <c r="AB341" s="1247"/>
      <c r="AC341" s="1247"/>
      <c r="AD341" s="1247"/>
      <c r="AE341" s="1247"/>
      <c r="AF341" s="1247"/>
      <c r="AG341" s="1247"/>
      <c r="AH341" s="1247"/>
      <c r="AI341" s="1247"/>
      <c r="AJ341" s="1247"/>
      <c r="AK341" s="1247"/>
      <c r="AL341" s="1247"/>
      <c r="AM341" s="1247"/>
      <c r="AN341" s="1247"/>
      <c r="AO341" s="1247"/>
      <c r="AP341" s="1247"/>
      <c r="AQ341" s="1247"/>
      <c r="AR341" s="1247"/>
      <c r="AS341" s="1247"/>
      <c r="AT341" s="1247"/>
      <c r="AU341" s="1247"/>
      <c r="AV341" s="1247"/>
      <c r="AW341" s="1247"/>
      <c r="AX341" s="1247"/>
      <c r="AY341" s="1247"/>
      <c r="AZ341" s="1247"/>
      <c r="BA341" s="1247"/>
      <c r="BB341" s="1247"/>
      <c r="BC341" s="1247"/>
    </row>
    <row r="342" spans="2:55" s="973" customFormat="1" ht="20.25" customHeight="1">
      <c r="B342" s="1247"/>
      <c r="C342" s="1247"/>
      <c r="D342" s="1247"/>
      <c r="E342" s="1247"/>
      <c r="F342" s="1247"/>
      <c r="G342" s="1247"/>
      <c r="H342" s="1247"/>
      <c r="I342" s="1247"/>
      <c r="J342" s="1247"/>
      <c r="K342" s="1247"/>
      <c r="L342" s="1247"/>
      <c r="M342" s="1247"/>
      <c r="N342" s="1247"/>
      <c r="O342" s="1247"/>
      <c r="P342" s="1247"/>
      <c r="Q342" s="1247"/>
      <c r="R342" s="1247"/>
      <c r="S342" s="1247"/>
      <c r="T342" s="1247"/>
      <c r="U342" s="1247"/>
      <c r="V342" s="1247"/>
      <c r="W342" s="1247"/>
      <c r="X342" s="1247"/>
      <c r="Y342" s="1247"/>
      <c r="Z342" s="1247"/>
      <c r="AA342" s="1247"/>
      <c r="AB342" s="1247"/>
      <c r="AC342" s="1247"/>
      <c r="AD342" s="1247"/>
      <c r="AE342" s="1247"/>
      <c r="AF342" s="1247"/>
      <c r="AG342" s="1247"/>
      <c r="AH342" s="1247"/>
      <c r="AI342" s="1247"/>
      <c r="AJ342" s="1247"/>
      <c r="AK342" s="1247"/>
      <c r="AL342" s="1247"/>
      <c r="AM342" s="1247"/>
      <c r="AN342" s="1247"/>
      <c r="AO342" s="1247"/>
      <c r="AP342" s="1247"/>
      <c r="AQ342" s="1247"/>
      <c r="AR342" s="1247"/>
      <c r="AS342" s="1247"/>
      <c r="AT342" s="1247"/>
      <c r="AU342" s="1247"/>
      <c r="AV342" s="1247"/>
      <c r="AW342" s="1247"/>
      <c r="AX342" s="1247"/>
      <c r="AY342" s="1247"/>
      <c r="AZ342" s="1247"/>
      <c r="BA342" s="1247"/>
      <c r="BB342" s="1247"/>
      <c r="BC342" s="1247"/>
    </row>
    <row r="343" spans="2:55" s="973" customFormat="1" ht="20.25" customHeight="1">
      <c r="B343" s="1247"/>
      <c r="C343" s="1247"/>
      <c r="D343" s="1247"/>
      <c r="E343" s="1247"/>
      <c r="F343" s="1247"/>
      <c r="G343" s="1247"/>
      <c r="H343" s="1247"/>
      <c r="I343" s="1247"/>
      <c r="J343" s="1247"/>
      <c r="K343" s="1247"/>
      <c r="L343" s="1247"/>
      <c r="M343" s="1247"/>
      <c r="N343" s="1247"/>
      <c r="O343" s="1247"/>
      <c r="P343" s="1247"/>
      <c r="Q343" s="1247"/>
      <c r="R343" s="1247"/>
      <c r="S343" s="1247"/>
      <c r="T343" s="1247"/>
      <c r="U343" s="1247"/>
      <c r="V343" s="1247"/>
      <c r="W343" s="1247"/>
      <c r="X343" s="1247"/>
      <c r="Y343" s="1247"/>
      <c r="Z343" s="1247"/>
      <c r="AA343" s="1247"/>
      <c r="AB343" s="1247"/>
      <c r="AC343" s="1247"/>
      <c r="AD343" s="1247"/>
      <c r="AE343" s="1247"/>
      <c r="AF343" s="1247"/>
      <c r="AG343" s="1247"/>
      <c r="AH343" s="1247"/>
      <c r="AI343" s="1247"/>
      <c r="AJ343" s="1247"/>
      <c r="AK343" s="1247"/>
      <c r="AL343" s="1247"/>
      <c r="AM343" s="1247"/>
      <c r="AN343" s="1247"/>
      <c r="AO343" s="1247"/>
      <c r="AP343" s="1247"/>
      <c r="AQ343" s="1247"/>
      <c r="AR343" s="1247"/>
      <c r="AS343" s="1247"/>
      <c r="AT343" s="1247"/>
      <c r="AU343" s="1247"/>
      <c r="AV343" s="1247"/>
      <c r="AW343" s="1247"/>
      <c r="AX343" s="1247"/>
      <c r="AY343" s="1247"/>
      <c r="AZ343" s="1247"/>
      <c r="BA343" s="1247"/>
      <c r="BB343" s="1247"/>
      <c r="BC343" s="1247"/>
    </row>
    <row r="344" spans="2:55" s="973" customFormat="1" ht="20.25" customHeight="1">
      <c r="B344" s="1247"/>
      <c r="C344" s="1247"/>
      <c r="D344" s="1247"/>
      <c r="E344" s="1247"/>
      <c r="F344" s="1247"/>
      <c r="G344" s="1247"/>
      <c r="H344" s="1247"/>
      <c r="I344" s="1247"/>
      <c r="J344" s="1247"/>
      <c r="K344" s="1247"/>
      <c r="L344" s="1247"/>
      <c r="M344" s="1247"/>
      <c r="N344" s="1247"/>
      <c r="O344" s="1247"/>
      <c r="P344" s="1247"/>
      <c r="Q344" s="1247"/>
      <c r="R344" s="1247"/>
      <c r="S344" s="1247"/>
      <c r="T344" s="1247"/>
      <c r="U344" s="1247"/>
      <c r="V344" s="1247"/>
      <c r="W344" s="1247"/>
      <c r="X344" s="1247"/>
      <c r="Y344" s="1247"/>
      <c r="Z344" s="1247"/>
      <c r="AA344" s="1247"/>
      <c r="AB344" s="1247"/>
      <c r="AC344" s="1247"/>
      <c r="AD344" s="1247"/>
      <c r="AE344" s="1247"/>
      <c r="AF344" s="1247"/>
      <c r="AG344" s="1247"/>
      <c r="AH344" s="1247"/>
      <c r="AI344" s="1247"/>
      <c r="AJ344" s="1247"/>
      <c r="AK344" s="1247"/>
      <c r="AL344" s="1247"/>
      <c r="AM344" s="1247"/>
      <c r="AN344" s="1247"/>
      <c r="AO344" s="1247"/>
      <c r="AP344" s="1247"/>
      <c r="AQ344" s="1247"/>
      <c r="AR344" s="1247"/>
      <c r="AS344" s="1247"/>
      <c r="AT344" s="1247"/>
      <c r="AU344" s="1247"/>
      <c r="AV344" s="1247"/>
      <c r="AW344" s="1247"/>
      <c r="AX344" s="1247"/>
      <c r="AY344" s="1247"/>
      <c r="AZ344" s="1247"/>
      <c r="BA344" s="1247"/>
      <c r="BB344" s="1247"/>
      <c r="BC344" s="1247"/>
    </row>
    <row r="345" spans="2:55" s="973" customFormat="1" ht="20.25" customHeight="1">
      <c r="B345" s="1247"/>
      <c r="C345" s="1247"/>
      <c r="D345" s="1247"/>
      <c r="E345" s="1247"/>
      <c r="F345" s="1247"/>
      <c r="G345" s="1247"/>
      <c r="H345" s="1247"/>
      <c r="I345" s="1247"/>
      <c r="J345" s="1247"/>
      <c r="K345" s="1247"/>
      <c r="L345" s="1247"/>
      <c r="M345" s="1247"/>
      <c r="N345" s="1247"/>
      <c r="O345" s="1247"/>
      <c r="P345" s="1247"/>
      <c r="Q345" s="1247"/>
      <c r="R345" s="1247"/>
      <c r="S345" s="1247"/>
      <c r="T345" s="1247"/>
      <c r="U345" s="1247"/>
      <c r="V345" s="1247"/>
      <c r="W345" s="1247"/>
      <c r="X345" s="1247"/>
      <c r="Y345" s="1247"/>
      <c r="Z345" s="1247"/>
      <c r="AA345" s="1247"/>
      <c r="AB345" s="1247"/>
      <c r="AC345" s="1247"/>
      <c r="AD345" s="1247"/>
      <c r="AE345" s="1247"/>
      <c r="AF345" s="1247"/>
      <c r="AG345" s="1247"/>
      <c r="AH345" s="1247"/>
      <c r="AI345" s="1247"/>
      <c r="AJ345" s="1247"/>
      <c r="AK345" s="1247"/>
      <c r="AL345" s="1247"/>
      <c r="AM345" s="1247"/>
      <c r="AN345" s="1247"/>
      <c r="AO345" s="1247"/>
      <c r="AP345" s="1247"/>
      <c r="AQ345" s="1247"/>
      <c r="AR345" s="1247"/>
      <c r="AS345" s="1247"/>
      <c r="AT345" s="1247"/>
      <c r="AU345" s="1247"/>
      <c r="AV345" s="1247"/>
      <c r="AW345" s="1247"/>
      <c r="AX345" s="1247"/>
      <c r="AY345" s="1247"/>
      <c r="AZ345" s="1247"/>
      <c r="BA345" s="1247"/>
      <c r="BB345" s="1247"/>
      <c r="BC345" s="1247"/>
    </row>
    <row r="346" spans="2:55" s="973" customFormat="1" ht="20.25" customHeight="1">
      <c r="B346" s="1247"/>
      <c r="C346" s="1247"/>
      <c r="D346" s="1247"/>
      <c r="E346" s="1247"/>
      <c r="F346" s="1247"/>
      <c r="G346" s="1247"/>
      <c r="H346" s="1247"/>
      <c r="I346" s="1247"/>
      <c r="J346" s="1247"/>
      <c r="K346" s="1247"/>
      <c r="L346" s="1247"/>
      <c r="M346" s="1247"/>
      <c r="N346" s="1247"/>
      <c r="O346" s="1247"/>
      <c r="P346" s="1247"/>
      <c r="Q346" s="1247"/>
      <c r="R346" s="1247"/>
      <c r="S346" s="1247"/>
      <c r="T346" s="1247"/>
      <c r="U346" s="1247"/>
      <c r="V346" s="1247"/>
      <c r="W346" s="1247"/>
      <c r="X346" s="1247"/>
      <c r="Y346" s="1247"/>
      <c r="Z346" s="1247"/>
      <c r="AA346" s="1247"/>
      <c r="AB346" s="1247"/>
      <c r="AC346" s="1247"/>
      <c r="AD346" s="1247"/>
      <c r="AE346" s="1247"/>
      <c r="AF346" s="1247"/>
      <c r="AG346" s="1247"/>
      <c r="AH346" s="1247"/>
      <c r="AI346" s="1247"/>
      <c r="AJ346" s="1247"/>
      <c r="AK346" s="1247"/>
      <c r="AL346" s="1247"/>
      <c r="AM346" s="1247"/>
      <c r="AN346" s="1247"/>
      <c r="AO346" s="1247"/>
      <c r="AP346" s="1247"/>
      <c r="AQ346" s="1247"/>
      <c r="AR346" s="1247"/>
      <c r="AS346" s="1247"/>
      <c r="AT346" s="1247"/>
      <c r="AU346" s="1247"/>
      <c r="AV346" s="1247"/>
      <c r="AW346" s="1247"/>
      <c r="AX346" s="1247"/>
      <c r="AY346" s="1247"/>
      <c r="AZ346" s="1247"/>
      <c r="BA346" s="1247"/>
      <c r="BB346" s="1247"/>
      <c r="BC346" s="1247"/>
    </row>
    <row r="347" spans="2:55" s="973" customFormat="1" ht="20.25" customHeight="1">
      <c r="B347" s="1247"/>
      <c r="C347" s="1247"/>
      <c r="D347" s="1247"/>
      <c r="E347" s="1247"/>
      <c r="F347" s="1247"/>
      <c r="G347" s="1247"/>
      <c r="H347" s="1247"/>
      <c r="I347" s="1247"/>
      <c r="J347" s="1247"/>
      <c r="K347" s="1247"/>
      <c r="L347" s="1247"/>
      <c r="M347" s="1247"/>
      <c r="N347" s="1247"/>
      <c r="O347" s="1247"/>
      <c r="P347" s="1247"/>
      <c r="Q347" s="1247"/>
      <c r="R347" s="1247"/>
      <c r="S347" s="1247"/>
      <c r="T347" s="1247"/>
      <c r="U347" s="1247"/>
      <c r="V347" s="1247"/>
      <c r="W347" s="1247"/>
      <c r="X347" s="1247"/>
      <c r="Y347" s="1247"/>
      <c r="Z347" s="1247"/>
      <c r="AA347" s="1247"/>
      <c r="AB347" s="1247"/>
      <c r="AC347" s="1247"/>
      <c r="AD347" s="1247"/>
      <c r="AE347" s="1247"/>
      <c r="AF347" s="1247"/>
      <c r="AG347" s="1247"/>
      <c r="AH347" s="1247"/>
      <c r="AI347" s="1247"/>
      <c r="AJ347" s="1247"/>
      <c r="AK347" s="1247"/>
      <c r="AL347" s="1247"/>
      <c r="AM347" s="1247"/>
      <c r="AN347" s="1247"/>
      <c r="AO347" s="1247"/>
      <c r="AP347" s="1247"/>
      <c r="AQ347" s="1247"/>
      <c r="AR347" s="1247"/>
      <c r="AS347" s="1247"/>
      <c r="AT347" s="1247"/>
      <c r="AU347" s="1247"/>
      <c r="AV347" s="1247"/>
      <c r="AW347" s="1247"/>
      <c r="AX347" s="1247"/>
      <c r="AY347" s="1247"/>
      <c r="AZ347" s="1247"/>
      <c r="BA347" s="1247"/>
      <c r="BB347" s="1247"/>
      <c r="BC347" s="1247"/>
    </row>
    <row r="348" spans="2:55" s="973" customFormat="1" ht="20.25" customHeight="1">
      <c r="B348" s="1247"/>
      <c r="C348" s="1247"/>
      <c r="D348" s="1247"/>
      <c r="E348" s="1247"/>
      <c r="F348" s="1247"/>
      <c r="G348" s="1247"/>
      <c r="H348" s="1247"/>
      <c r="I348" s="1247"/>
      <c r="J348" s="1247"/>
      <c r="K348" s="1247"/>
      <c r="L348" s="1247"/>
      <c r="M348" s="1247"/>
      <c r="N348" s="1247"/>
      <c r="O348" s="1247"/>
      <c r="P348" s="1247"/>
      <c r="Q348" s="1247"/>
      <c r="R348" s="1247"/>
      <c r="S348" s="1247"/>
      <c r="T348" s="1247"/>
      <c r="U348" s="1247"/>
      <c r="V348" s="1247"/>
      <c r="W348" s="1247"/>
      <c r="X348" s="1247"/>
      <c r="Y348" s="1247"/>
      <c r="Z348" s="1247"/>
      <c r="AA348" s="1247"/>
      <c r="AB348" s="1247"/>
      <c r="AC348" s="1247"/>
      <c r="AD348" s="1247"/>
      <c r="AE348" s="1247"/>
      <c r="AF348" s="1247"/>
      <c r="AG348" s="1247"/>
      <c r="AH348" s="1247"/>
      <c r="AI348" s="1247"/>
      <c r="AJ348" s="1247"/>
      <c r="AK348" s="1247"/>
      <c r="AL348" s="1247"/>
      <c r="AM348" s="1247"/>
      <c r="AN348" s="1247"/>
      <c r="AO348" s="1247"/>
      <c r="AP348" s="1247"/>
      <c r="AQ348" s="1247"/>
      <c r="AR348" s="1247"/>
      <c r="AS348" s="1247"/>
      <c r="AT348" s="1247"/>
      <c r="AU348" s="1247"/>
      <c r="AV348" s="1247"/>
      <c r="AW348" s="1247"/>
      <c r="AX348" s="1247"/>
      <c r="AY348" s="1247"/>
      <c r="AZ348" s="1247"/>
      <c r="BA348" s="1247"/>
      <c r="BB348" s="1247"/>
      <c r="BC348" s="1247"/>
    </row>
    <row r="349" spans="2:55" s="973" customFormat="1" ht="20.25" customHeight="1">
      <c r="B349" s="1247"/>
      <c r="C349" s="1247"/>
      <c r="D349" s="1247"/>
      <c r="E349" s="1247"/>
      <c r="F349" s="1247"/>
      <c r="G349" s="1247"/>
      <c r="H349" s="1247"/>
      <c r="I349" s="1247"/>
      <c r="J349" s="1247"/>
      <c r="K349" s="1247"/>
      <c r="L349" s="1247"/>
      <c r="M349" s="1247"/>
      <c r="N349" s="1247"/>
      <c r="O349" s="1247"/>
      <c r="P349" s="1247"/>
      <c r="Q349" s="1247"/>
      <c r="R349" s="1247"/>
      <c r="S349" s="1247"/>
      <c r="T349" s="1247"/>
      <c r="U349" s="1247"/>
      <c r="V349" s="1247"/>
      <c r="W349" s="1247"/>
      <c r="X349" s="1247"/>
      <c r="Y349" s="1247"/>
      <c r="Z349" s="1247"/>
      <c r="AA349" s="1247"/>
      <c r="AB349" s="1247"/>
      <c r="AC349" s="1247"/>
      <c r="AD349" s="1247"/>
      <c r="AE349" s="1247"/>
      <c r="AF349" s="1247"/>
      <c r="AG349" s="1247"/>
      <c r="AH349" s="1247"/>
      <c r="AI349" s="1247"/>
      <c r="AJ349" s="1247"/>
      <c r="AK349" s="1247"/>
      <c r="AL349" s="1247"/>
      <c r="AM349" s="1247"/>
      <c r="AN349" s="1247"/>
      <c r="AO349" s="1247"/>
      <c r="AP349" s="1247"/>
      <c r="AQ349" s="1247"/>
      <c r="AR349" s="1247"/>
      <c r="AS349" s="1247"/>
      <c r="AT349" s="1247"/>
      <c r="AU349" s="1247"/>
      <c r="AV349" s="1247"/>
      <c r="AW349" s="1247"/>
      <c r="AX349" s="1247"/>
      <c r="AY349" s="1247"/>
      <c r="AZ349" s="1247"/>
      <c r="BA349" s="1247"/>
      <c r="BB349" s="1247"/>
      <c r="BC349" s="1247"/>
    </row>
    <row r="350" spans="2:55" s="973" customFormat="1" ht="20.25" customHeight="1">
      <c r="B350" s="1247"/>
      <c r="C350" s="1247"/>
      <c r="D350" s="1247"/>
      <c r="E350" s="1247"/>
      <c r="F350" s="1247"/>
      <c r="G350" s="1247"/>
      <c r="H350" s="1247"/>
      <c r="I350" s="1247"/>
      <c r="J350" s="1247"/>
      <c r="K350" s="1247"/>
      <c r="L350" s="1247"/>
      <c r="M350" s="1247"/>
      <c r="N350" s="1247"/>
      <c r="O350" s="1247"/>
      <c r="P350" s="1247"/>
      <c r="Q350" s="1247"/>
      <c r="R350" s="1247"/>
      <c r="S350" s="1247"/>
      <c r="T350" s="1247"/>
      <c r="U350" s="1247"/>
      <c r="V350" s="1247"/>
      <c r="W350" s="1247"/>
      <c r="X350" s="1247"/>
      <c r="Y350" s="1247"/>
      <c r="Z350" s="1247"/>
      <c r="AA350" s="1247"/>
      <c r="AB350" s="1247"/>
      <c r="AC350" s="1247"/>
      <c r="AD350" s="1247"/>
      <c r="AE350" s="1247"/>
      <c r="AF350" s="1247"/>
      <c r="AG350" s="1247"/>
      <c r="AH350" s="1247"/>
      <c r="AI350" s="1247"/>
      <c r="AJ350" s="1247"/>
      <c r="AK350" s="1247"/>
      <c r="AL350" s="1247"/>
      <c r="AM350" s="1247"/>
      <c r="AN350" s="1247"/>
      <c r="AO350" s="1247"/>
      <c r="AP350" s="1247"/>
      <c r="AQ350" s="1247"/>
      <c r="AR350" s="1247"/>
      <c r="AS350" s="1247"/>
      <c r="AT350" s="1247"/>
      <c r="AU350" s="1247"/>
      <c r="AV350" s="1247"/>
      <c r="AW350" s="1247"/>
      <c r="AX350" s="1247"/>
      <c r="AY350" s="1247"/>
      <c r="AZ350" s="1247"/>
      <c r="BA350" s="1247"/>
      <c r="BB350" s="1247"/>
      <c r="BC350" s="1247"/>
    </row>
    <row r="351" spans="2:55" s="973" customFormat="1" ht="20.25" customHeight="1">
      <c r="B351" s="1247"/>
      <c r="C351" s="1247"/>
      <c r="D351" s="1247"/>
      <c r="E351" s="1247"/>
      <c r="F351" s="1247"/>
      <c r="G351" s="1247"/>
      <c r="H351" s="1247"/>
      <c r="I351" s="1247"/>
      <c r="J351" s="1247"/>
      <c r="K351" s="1247"/>
      <c r="L351" s="1247"/>
      <c r="M351" s="1247"/>
      <c r="N351" s="1247"/>
      <c r="O351" s="1247"/>
      <c r="P351" s="1247"/>
      <c r="Q351" s="1247"/>
      <c r="R351" s="1247"/>
      <c r="S351" s="1247"/>
      <c r="T351" s="1247"/>
      <c r="U351" s="1247"/>
      <c r="V351" s="1247"/>
      <c r="W351" s="1247"/>
      <c r="X351" s="1247"/>
      <c r="Y351" s="1247"/>
      <c r="Z351" s="1247"/>
      <c r="AA351" s="1247"/>
      <c r="AB351" s="1247"/>
      <c r="AC351" s="1247"/>
      <c r="AD351" s="1247"/>
      <c r="AE351" s="1247"/>
      <c r="AF351" s="1247"/>
      <c r="AG351" s="1247"/>
      <c r="AH351" s="1247"/>
      <c r="AI351" s="1247"/>
      <c r="AJ351" s="1247"/>
      <c r="AK351" s="1247"/>
      <c r="AL351" s="1247"/>
      <c r="AM351" s="1247"/>
      <c r="AN351" s="1247"/>
      <c r="AO351" s="1247"/>
      <c r="AP351" s="1247"/>
      <c r="AQ351" s="1247"/>
      <c r="AR351" s="1247"/>
      <c r="AS351" s="1247"/>
      <c r="AT351" s="1247"/>
      <c r="AU351" s="1247"/>
      <c r="AV351" s="1247"/>
      <c r="AW351" s="1247"/>
      <c r="AX351" s="1247"/>
      <c r="AY351" s="1247"/>
      <c r="AZ351" s="1247"/>
      <c r="BA351" s="1247"/>
      <c r="BB351" s="1247"/>
      <c r="BC351" s="1247"/>
    </row>
    <row r="352" spans="2:55" s="973" customFormat="1" ht="20.25" customHeight="1">
      <c r="B352" s="1247"/>
      <c r="C352" s="1247"/>
      <c r="D352" s="1247"/>
      <c r="E352" s="1247"/>
      <c r="F352" s="1247"/>
      <c r="G352" s="1247"/>
      <c r="H352" s="1247"/>
      <c r="I352" s="1247"/>
      <c r="J352" s="1247"/>
      <c r="K352" s="1247"/>
      <c r="L352" s="1247"/>
      <c r="M352" s="1247"/>
      <c r="N352" s="1247"/>
      <c r="O352" s="1247"/>
      <c r="P352" s="1247"/>
      <c r="Q352" s="1247"/>
      <c r="R352" s="1247"/>
      <c r="S352" s="1247"/>
      <c r="T352" s="1247"/>
      <c r="U352" s="1247"/>
      <c r="V352" s="1247"/>
      <c r="W352" s="1247"/>
      <c r="X352" s="1247"/>
      <c r="Y352" s="1247"/>
      <c r="Z352" s="1247"/>
      <c r="AA352" s="1247"/>
      <c r="AB352" s="1247"/>
      <c r="AC352" s="1247"/>
      <c r="AD352" s="1247"/>
      <c r="AE352" s="1247"/>
      <c r="AF352" s="1247"/>
      <c r="AG352" s="1247"/>
      <c r="AH352" s="1247"/>
      <c r="AI352" s="1247"/>
      <c r="AJ352" s="1247"/>
      <c r="AK352" s="1247"/>
      <c r="AL352" s="1247"/>
      <c r="AM352" s="1247"/>
      <c r="AN352" s="1247"/>
      <c r="AO352" s="1247"/>
      <c r="AP352" s="1247"/>
      <c r="AQ352" s="1247"/>
      <c r="AR352" s="1247"/>
      <c r="AS352" s="1247"/>
      <c r="AT352" s="1247"/>
      <c r="AU352" s="1247"/>
      <c r="AV352" s="1247"/>
      <c r="AW352" s="1247"/>
      <c r="AX352" s="1247"/>
      <c r="AY352" s="1247"/>
      <c r="AZ352" s="1247"/>
      <c r="BA352" s="1247"/>
      <c r="BB352" s="1247"/>
      <c r="BC352" s="1247"/>
    </row>
    <row r="353" spans="2:55" s="973" customFormat="1" ht="20.25" customHeight="1">
      <c r="B353" s="1247"/>
      <c r="C353" s="1247"/>
      <c r="D353" s="1247"/>
      <c r="E353" s="1247"/>
      <c r="F353" s="1247"/>
      <c r="G353" s="1247"/>
      <c r="H353" s="1247"/>
      <c r="I353" s="1247"/>
      <c r="J353" s="1247"/>
      <c r="K353" s="1247"/>
      <c r="L353" s="1247"/>
      <c r="M353" s="1247"/>
      <c r="N353" s="1247"/>
      <c r="O353" s="1247"/>
      <c r="P353" s="1247"/>
      <c r="Q353" s="1247"/>
      <c r="R353" s="1247"/>
      <c r="S353" s="1247"/>
      <c r="T353" s="1247"/>
      <c r="U353" s="1247"/>
      <c r="V353" s="1247"/>
      <c r="W353" s="1247"/>
      <c r="X353" s="1247"/>
      <c r="Y353" s="1247"/>
      <c r="Z353" s="1247"/>
      <c r="AA353" s="1247"/>
      <c r="AB353" s="1247"/>
      <c r="AC353" s="1247"/>
      <c r="AD353" s="1247"/>
      <c r="AE353" s="1247"/>
      <c r="AF353" s="1247"/>
      <c r="AG353" s="1247"/>
      <c r="AH353" s="1247"/>
      <c r="AI353" s="1247"/>
      <c r="AJ353" s="1247"/>
      <c r="AK353" s="1247"/>
      <c r="AL353" s="1247"/>
      <c r="AM353" s="1247"/>
      <c r="AN353" s="1247"/>
      <c r="AO353" s="1247"/>
      <c r="AP353" s="1247"/>
      <c r="AQ353" s="1247"/>
      <c r="AR353" s="1247"/>
      <c r="AS353" s="1247"/>
      <c r="AT353" s="1247"/>
      <c r="AU353" s="1247"/>
      <c r="AV353" s="1247"/>
      <c r="AW353" s="1247"/>
      <c r="AX353" s="1247"/>
      <c r="AY353" s="1247"/>
      <c r="AZ353" s="1247"/>
      <c r="BA353" s="1247"/>
      <c r="BB353" s="1247"/>
      <c r="BC353" s="1247"/>
    </row>
    <row r="354" spans="2:55" s="973" customFormat="1" ht="20.25" customHeight="1">
      <c r="B354" s="1247"/>
      <c r="C354" s="1247"/>
      <c r="D354" s="1247"/>
      <c r="E354" s="1247"/>
      <c r="F354" s="1247"/>
      <c r="G354" s="1247"/>
      <c r="H354" s="1247"/>
      <c r="I354" s="1247"/>
      <c r="J354" s="1247"/>
      <c r="K354" s="1247"/>
      <c r="L354" s="1247"/>
      <c r="M354" s="1247"/>
      <c r="N354" s="1247"/>
      <c r="O354" s="1247"/>
      <c r="P354" s="1247"/>
      <c r="Q354" s="1247"/>
      <c r="R354" s="1247"/>
      <c r="S354" s="1247"/>
      <c r="T354" s="1247"/>
      <c r="U354" s="1247"/>
      <c r="V354" s="1247"/>
      <c r="W354" s="1247"/>
      <c r="X354" s="1247"/>
      <c r="Y354" s="1247"/>
      <c r="Z354" s="1247"/>
      <c r="AA354" s="1247"/>
      <c r="AB354" s="1247"/>
      <c r="AC354" s="1247"/>
      <c r="AD354" s="1247"/>
      <c r="AE354" s="1247"/>
      <c r="AF354" s="1247"/>
      <c r="AG354" s="1247"/>
      <c r="AH354" s="1247"/>
      <c r="AI354" s="1247"/>
      <c r="AJ354" s="1247"/>
      <c r="AK354" s="1247"/>
      <c r="AL354" s="1247"/>
      <c r="AM354" s="1247"/>
      <c r="AN354" s="1247"/>
      <c r="AO354" s="1247"/>
      <c r="AP354" s="1247"/>
      <c r="AQ354" s="1247"/>
      <c r="AR354" s="1247"/>
      <c r="AS354" s="1247"/>
      <c r="AT354" s="1247"/>
      <c r="AU354" s="1247"/>
      <c r="AV354" s="1247"/>
      <c r="AW354" s="1247"/>
      <c r="AX354" s="1247"/>
      <c r="AY354" s="1247"/>
      <c r="AZ354" s="1247"/>
      <c r="BA354" s="1247"/>
      <c r="BB354" s="1247"/>
      <c r="BC354" s="1247"/>
    </row>
    <row r="355" spans="2:55" s="973" customFormat="1" ht="20.25" customHeight="1">
      <c r="B355" s="1247"/>
      <c r="C355" s="1247"/>
      <c r="D355" s="1247"/>
      <c r="E355" s="1247"/>
      <c r="F355" s="1247"/>
      <c r="G355" s="1247"/>
      <c r="H355" s="1247"/>
      <c r="I355" s="1247"/>
      <c r="J355" s="1247"/>
      <c r="K355" s="1247"/>
      <c r="L355" s="1247"/>
      <c r="M355" s="1247"/>
      <c r="N355" s="1247"/>
      <c r="O355" s="1247"/>
      <c r="P355" s="1247"/>
      <c r="Q355" s="1247"/>
      <c r="R355" s="1247"/>
      <c r="S355" s="1247"/>
      <c r="T355" s="1247"/>
      <c r="U355" s="1247"/>
      <c r="V355" s="1247"/>
      <c r="W355" s="1247"/>
      <c r="X355" s="1247"/>
      <c r="Y355" s="1247"/>
      <c r="Z355" s="1247"/>
      <c r="AA355" s="1247"/>
      <c r="AB355" s="1247"/>
      <c r="AC355" s="1247"/>
      <c r="AD355" s="1247"/>
      <c r="AE355" s="1247"/>
      <c r="AF355" s="1247"/>
      <c r="AG355" s="1247"/>
      <c r="AH355" s="1247"/>
      <c r="AI355" s="1247"/>
      <c r="AJ355" s="1247"/>
      <c r="AK355" s="1247"/>
      <c r="AL355" s="1247"/>
      <c r="AM355" s="1247"/>
      <c r="AN355" s="1247"/>
      <c r="AO355" s="1247"/>
      <c r="AP355" s="1247"/>
      <c r="AQ355" s="1247"/>
      <c r="AR355" s="1247"/>
      <c r="AS355" s="1247"/>
      <c r="AT355" s="1247"/>
      <c r="AU355" s="1247"/>
      <c r="AV355" s="1247"/>
      <c r="AW355" s="1247"/>
      <c r="AX355" s="1247"/>
      <c r="AY355" s="1247"/>
      <c r="AZ355" s="1247"/>
      <c r="BA355" s="1247"/>
      <c r="BB355" s="1247"/>
      <c r="BC355" s="1247"/>
    </row>
    <row r="356" spans="2:55" s="973" customFormat="1" ht="20.25" customHeight="1">
      <c r="B356" s="1247"/>
      <c r="C356" s="1247"/>
      <c r="D356" s="1247"/>
      <c r="E356" s="1247"/>
      <c r="F356" s="1247"/>
      <c r="G356" s="1247"/>
      <c r="H356" s="1247"/>
      <c r="I356" s="1247"/>
      <c r="J356" s="1247"/>
      <c r="K356" s="1247"/>
      <c r="L356" s="1247"/>
      <c r="M356" s="1247"/>
      <c r="N356" s="1247"/>
      <c r="O356" s="1247"/>
      <c r="P356" s="1247"/>
      <c r="Q356" s="1247"/>
      <c r="R356" s="1247"/>
      <c r="S356" s="1247"/>
      <c r="T356" s="1247"/>
      <c r="U356" s="1247"/>
      <c r="V356" s="1247"/>
      <c r="W356" s="1247"/>
      <c r="X356" s="1247"/>
      <c r="Y356" s="1247"/>
      <c r="Z356" s="1247"/>
      <c r="AA356" s="1247"/>
      <c r="AB356" s="1247"/>
      <c r="AC356" s="1247"/>
      <c r="AD356" s="1247"/>
      <c r="AE356" s="1247"/>
      <c r="AF356" s="1247"/>
      <c r="AG356" s="1247"/>
      <c r="AH356" s="1247"/>
      <c r="AI356" s="1247"/>
      <c r="AJ356" s="1247"/>
      <c r="AK356" s="1247"/>
      <c r="AL356" s="1247"/>
      <c r="AM356" s="1247"/>
      <c r="AN356" s="1247"/>
      <c r="AO356" s="1247"/>
      <c r="AP356" s="1247"/>
      <c r="AQ356" s="1247"/>
      <c r="AR356" s="1247"/>
      <c r="AS356" s="1247"/>
      <c r="AT356" s="1247"/>
      <c r="AU356" s="1247"/>
      <c r="AV356" s="1247"/>
      <c r="AW356" s="1247"/>
      <c r="AX356" s="1247"/>
      <c r="AY356" s="1247"/>
      <c r="AZ356" s="1247"/>
      <c r="BA356" s="1247"/>
      <c r="BB356" s="1247"/>
      <c r="BC356" s="1247"/>
    </row>
    <row r="357" spans="2:55" s="973" customFormat="1" ht="20.25" customHeight="1">
      <c r="B357" s="1247"/>
      <c r="C357" s="1247"/>
      <c r="D357" s="1247"/>
      <c r="E357" s="1247"/>
      <c r="F357" s="1247"/>
      <c r="G357" s="1247"/>
      <c r="H357" s="1247"/>
      <c r="I357" s="1247"/>
      <c r="J357" s="1247"/>
      <c r="K357" s="1247"/>
      <c r="L357" s="1247"/>
      <c r="M357" s="1247"/>
      <c r="N357" s="1247"/>
      <c r="O357" s="1247"/>
      <c r="P357" s="1247"/>
      <c r="Q357" s="1247"/>
      <c r="R357" s="1247"/>
      <c r="S357" s="1247"/>
      <c r="T357" s="1247"/>
      <c r="U357" s="1247"/>
      <c r="V357" s="1247"/>
      <c r="W357" s="1247"/>
      <c r="X357" s="1247"/>
      <c r="Y357" s="1247"/>
      <c r="Z357" s="1247"/>
      <c r="AA357" s="1247"/>
      <c r="AB357" s="1247"/>
      <c r="AC357" s="1247"/>
      <c r="AD357" s="1247"/>
      <c r="AE357" s="1247"/>
      <c r="AF357" s="1247"/>
      <c r="AG357" s="1247"/>
      <c r="AH357" s="1247"/>
      <c r="AI357" s="1247"/>
      <c r="AJ357" s="1247"/>
      <c r="AK357" s="1247"/>
      <c r="AL357" s="1247"/>
      <c r="AM357" s="1247"/>
      <c r="AN357" s="1247"/>
      <c r="AO357" s="1247"/>
      <c r="AP357" s="1247"/>
      <c r="AQ357" s="1247"/>
      <c r="AR357" s="1247"/>
      <c r="AS357" s="1247"/>
      <c r="AT357" s="1247"/>
      <c r="AU357" s="1247"/>
      <c r="AV357" s="1247"/>
      <c r="AW357" s="1247"/>
      <c r="AX357" s="1247"/>
      <c r="AY357" s="1247"/>
      <c r="AZ357" s="1247"/>
      <c r="BA357" s="1247"/>
      <c r="BB357" s="1247"/>
      <c r="BC357" s="1247"/>
    </row>
    <row r="358" spans="2:55" s="973" customFormat="1" ht="20.25" customHeight="1">
      <c r="B358" s="1247"/>
      <c r="C358" s="1247"/>
      <c r="D358" s="1247"/>
      <c r="E358" s="1247"/>
      <c r="F358" s="1247"/>
      <c r="G358" s="1247"/>
      <c r="H358" s="1247"/>
      <c r="I358" s="1247"/>
      <c r="J358" s="1247"/>
      <c r="K358" s="1247"/>
      <c r="L358" s="1247"/>
      <c r="M358" s="1247"/>
      <c r="N358" s="1247"/>
      <c r="O358" s="1247"/>
      <c r="P358" s="1247"/>
      <c r="Q358" s="1247"/>
      <c r="R358" s="1247"/>
      <c r="S358" s="1247"/>
      <c r="T358" s="1247"/>
      <c r="U358" s="1247"/>
      <c r="V358" s="1247"/>
      <c r="W358" s="1247"/>
      <c r="X358" s="1247"/>
      <c r="Y358" s="1247"/>
      <c r="Z358" s="1247"/>
      <c r="AA358" s="1247"/>
      <c r="AB358" s="1247"/>
      <c r="AC358" s="1247"/>
      <c r="AD358" s="1247"/>
      <c r="AE358" s="1247"/>
      <c r="AF358" s="1247"/>
      <c r="AG358" s="1247"/>
      <c r="AH358" s="1247"/>
      <c r="AI358" s="1247"/>
      <c r="AJ358" s="1247"/>
      <c r="AK358" s="1247"/>
      <c r="AL358" s="1247"/>
      <c r="AM358" s="1247"/>
      <c r="AN358" s="1247"/>
      <c r="AO358" s="1247"/>
      <c r="AP358" s="1247"/>
      <c r="AQ358" s="1247"/>
      <c r="AR358" s="1247"/>
      <c r="AS358" s="1247"/>
      <c r="AT358" s="1247"/>
      <c r="AU358" s="1247"/>
      <c r="AV358" s="1247"/>
      <c r="AW358" s="1247"/>
      <c r="AX358" s="1247"/>
      <c r="AY358" s="1247"/>
      <c r="AZ358" s="1247"/>
      <c r="BA358" s="1247"/>
      <c r="BB358" s="1247"/>
      <c r="BC358" s="1247"/>
    </row>
    <row r="359" spans="2:55" s="973" customFormat="1" ht="20.25" customHeight="1">
      <c r="B359" s="1247"/>
      <c r="C359" s="1247"/>
      <c r="D359" s="1247"/>
      <c r="E359" s="1247"/>
      <c r="F359" s="1247"/>
      <c r="G359" s="1247"/>
      <c r="H359" s="1247"/>
      <c r="I359" s="1247"/>
      <c r="J359" s="1247"/>
      <c r="K359" s="1247"/>
      <c r="L359" s="1247"/>
      <c r="M359" s="1247"/>
      <c r="N359" s="1247"/>
      <c r="O359" s="1247"/>
      <c r="P359" s="1247"/>
      <c r="Q359" s="1247"/>
      <c r="R359" s="1247"/>
      <c r="S359" s="1247"/>
      <c r="T359" s="1247"/>
      <c r="U359" s="1247"/>
      <c r="V359" s="1247"/>
      <c r="W359" s="1247"/>
      <c r="X359" s="1247"/>
      <c r="Y359" s="1247"/>
      <c r="Z359" s="1247"/>
      <c r="AA359" s="1247"/>
      <c r="AB359" s="1247"/>
      <c r="AC359" s="1247"/>
      <c r="AD359" s="1247"/>
      <c r="AE359" s="1247"/>
      <c r="AF359" s="1247"/>
      <c r="AG359" s="1247"/>
      <c r="AH359" s="1247"/>
      <c r="AI359" s="1247"/>
      <c r="AJ359" s="1247"/>
      <c r="AK359" s="1247"/>
      <c r="AL359" s="1247"/>
      <c r="AM359" s="1247"/>
      <c r="AN359" s="1247"/>
      <c r="AO359" s="1247"/>
      <c r="AP359" s="1247"/>
      <c r="AQ359" s="1247"/>
      <c r="AR359" s="1247"/>
      <c r="AS359" s="1247"/>
      <c r="AT359" s="1247"/>
      <c r="AU359" s="1247"/>
      <c r="AV359" s="1247"/>
      <c r="AW359" s="1247"/>
      <c r="AX359" s="1247"/>
      <c r="AY359" s="1247"/>
      <c r="AZ359" s="1247"/>
      <c r="BA359" s="1247"/>
      <c r="BB359" s="1247"/>
      <c r="BC359" s="1247"/>
    </row>
    <row r="360" spans="2:55" s="973" customFormat="1" ht="20.25" customHeight="1">
      <c r="B360" s="1247"/>
      <c r="C360" s="1247"/>
      <c r="D360" s="1247"/>
      <c r="E360" s="1247"/>
      <c r="F360" s="1247"/>
      <c r="G360" s="1247"/>
      <c r="H360" s="1247"/>
      <c r="I360" s="1247"/>
      <c r="J360" s="1247"/>
      <c r="K360" s="1247"/>
      <c r="L360" s="1247"/>
      <c r="M360" s="1247"/>
      <c r="N360" s="1247"/>
      <c r="O360" s="1247"/>
      <c r="P360" s="1247"/>
      <c r="Q360" s="1247"/>
      <c r="R360" s="1247"/>
      <c r="S360" s="1247"/>
      <c r="T360" s="1247"/>
      <c r="U360" s="1247"/>
      <c r="V360" s="1247"/>
      <c r="W360" s="1247"/>
      <c r="X360" s="1247"/>
      <c r="Y360" s="1247"/>
      <c r="Z360" s="1247"/>
      <c r="AA360" s="1247"/>
      <c r="AB360" s="1247"/>
      <c r="AC360" s="1247"/>
      <c r="AD360" s="1247"/>
      <c r="AE360" s="1247"/>
      <c r="AF360" s="1247"/>
      <c r="AG360" s="1247"/>
      <c r="AH360" s="1247"/>
      <c r="AI360" s="1247"/>
      <c r="AJ360" s="1247"/>
      <c r="AK360" s="1247"/>
      <c r="AL360" s="1247"/>
      <c r="AM360" s="1247"/>
      <c r="AN360" s="1247"/>
      <c r="AO360" s="1247"/>
      <c r="AP360" s="1247"/>
      <c r="AQ360" s="1247"/>
      <c r="AR360" s="1247"/>
      <c r="AS360" s="1247"/>
      <c r="AT360" s="1247"/>
      <c r="AU360" s="1247"/>
      <c r="AV360" s="1247"/>
      <c r="AW360" s="1247"/>
      <c r="AX360" s="1247"/>
      <c r="AY360" s="1247"/>
      <c r="AZ360" s="1247"/>
      <c r="BA360" s="1247"/>
      <c r="BB360" s="1247"/>
      <c r="BC360" s="1247"/>
    </row>
    <row r="361" spans="2:55" s="973" customFormat="1" ht="20.25" customHeight="1">
      <c r="B361" s="1247"/>
      <c r="C361" s="1247"/>
      <c r="D361" s="1247"/>
      <c r="E361" s="1247"/>
      <c r="F361" s="1247"/>
      <c r="G361" s="1247"/>
      <c r="H361" s="1247"/>
      <c r="I361" s="1247"/>
      <c r="J361" s="1247"/>
      <c r="K361" s="1247"/>
      <c r="L361" s="1247"/>
      <c r="M361" s="1247"/>
      <c r="N361" s="1247"/>
      <c r="O361" s="1247"/>
      <c r="P361" s="1247"/>
      <c r="Q361" s="1247"/>
      <c r="R361" s="1247"/>
      <c r="S361" s="1247"/>
      <c r="T361" s="1247"/>
      <c r="U361" s="1247"/>
      <c r="V361" s="1247"/>
      <c r="W361" s="1247"/>
      <c r="X361" s="1247"/>
      <c r="Y361" s="1247"/>
      <c r="Z361" s="1247"/>
      <c r="AA361" s="1247"/>
      <c r="AB361" s="1247"/>
      <c r="AC361" s="1247"/>
      <c r="AD361" s="1247"/>
      <c r="AE361" s="1247"/>
      <c r="AF361" s="1247"/>
      <c r="AG361" s="1247"/>
      <c r="AH361" s="1247"/>
      <c r="AI361" s="1247"/>
      <c r="AJ361" s="1247"/>
      <c r="AK361" s="1247"/>
      <c r="AL361" s="1247"/>
      <c r="AM361" s="1247"/>
      <c r="AN361" s="1247"/>
      <c r="AO361" s="1247"/>
      <c r="AP361" s="1247"/>
      <c r="AQ361" s="1247"/>
      <c r="AR361" s="1247"/>
      <c r="AS361" s="1247"/>
      <c r="AT361" s="1247"/>
      <c r="AU361" s="1247"/>
      <c r="AV361" s="1247"/>
      <c r="AW361" s="1247"/>
      <c r="AX361" s="1247"/>
      <c r="AY361" s="1247"/>
      <c r="AZ361" s="1247"/>
      <c r="BA361" s="1247"/>
      <c r="BB361" s="1247"/>
      <c r="BC361" s="1247"/>
    </row>
    <row r="362" spans="2:55" s="973" customFormat="1" ht="20.25" customHeight="1">
      <c r="B362" s="1247"/>
      <c r="C362" s="1247"/>
      <c r="D362" s="1247"/>
      <c r="E362" s="1247"/>
      <c r="F362" s="1247"/>
      <c r="G362" s="1247"/>
      <c r="H362" s="1247"/>
      <c r="I362" s="1247"/>
      <c r="J362" s="1247"/>
      <c r="K362" s="1247"/>
      <c r="L362" s="1247"/>
      <c r="M362" s="1247"/>
      <c r="N362" s="1247"/>
      <c r="O362" s="1247"/>
      <c r="P362" s="1247"/>
      <c r="Q362" s="1247"/>
      <c r="R362" s="1247"/>
      <c r="S362" s="1247"/>
      <c r="T362" s="1247"/>
      <c r="U362" s="1247"/>
      <c r="V362" s="1247"/>
      <c r="W362" s="1247"/>
      <c r="X362" s="1247"/>
      <c r="Y362" s="1247"/>
      <c r="Z362" s="1247"/>
      <c r="AA362" s="1247"/>
      <c r="AB362" s="1247"/>
      <c r="AC362" s="1247"/>
      <c r="AD362" s="1247"/>
      <c r="AE362" s="1247"/>
      <c r="AF362" s="1247"/>
      <c r="AG362" s="1247"/>
      <c r="AH362" s="1247"/>
      <c r="AI362" s="1247"/>
      <c r="AJ362" s="1247"/>
      <c r="AK362" s="1247"/>
      <c r="AL362" s="1247"/>
      <c r="AM362" s="1247"/>
      <c r="AN362" s="1247"/>
      <c r="AO362" s="1247"/>
      <c r="AP362" s="1247"/>
      <c r="AQ362" s="1247"/>
      <c r="AR362" s="1247"/>
      <c r="AS362" s="1247"/>
      <c r="AT362" s="1247"/>
      <c r="AU362" s="1247"/>
      <c r="AV362" s="1247"/>
      <c r="AW362" s="1247"/>
      <c r="AX362" s="1247"/>
      <c r="AY362" s="1247"/>
      <c r="AZ362" s="1247"/>
      <c r="BA362" s="1247"/>
      <c r="BB362" s="1247"/>
      <c r="BC362" s="1247"/>
    </row>
    <row r="363" spans="2:55" s="973" customFormat="1" ht="20.25" customHeight="1">
      <c r="B363" s="1247"/>
      <c r="C363" s="1247"/>
      <c r="D363" s="1247"/>
      <c r="E363" s="1247"/>
      <c r="F363" s="1247"/>
      <c r="G363" s="1247"/>
      <c r="H363" s="1247"/>
      <c r="I363" s="1247"/>
      <c r="J363" s="1247"/>
      <c r="K363" s="1247"/>
      <c r="L363" s="1247"/>
      <c r="M363" s="1247"/>
      <c r="N363" s="1247"/>
      <c r="O363" s="1247"/>
      <c r="P363" s="1247"/>
      <c r="Q363" s="1247"/>
      <c r="R363" s="1247"/>
      <c r="S363" s="1247"/>
      <c r="T363" s="1247"/>
      <c r="U363" s="1247"/>
      <c r="V363" s="1247"/>
      <c r="W363" s="1247"/>
      <c r="X363" s="1247"/>
      <c r="Y363" s="1247"/>
      <c r="Z363" s="1247"/>
      <c r="AA363" s="1247"/>
      <c r="AB363" s="1247"/>
      <c r="AC363" s="1247"/>
      <c r="AD363" s="1247"/>
      <c r="AE363" s="1247"/>
      <c r="AF363" s="1247"/>
      <c r="AG363" s="1247"/>
      <c r="AH363" s="1247"/>
      <c r="AI363" s="1247"/>
      <c r="AJ363" s="1247"/>
      <c r="AK363" s="1247"/>
      <c r="AL363" s="1247"/>
      <c r="AM363" s="1247"/>
      <c r="AN363" s="1247"/>
      <c r="AO363" s="1247"/>
      <c r="AP363" s="1247"/>
      <c r="AQ363" s="1247"/>
      <c r="AR363" s="1247"/>
      <c r="AS363" s="1247"/>
      <c r="AT363" s="1247"/>
      <c r="AU363" s="1247"/>
      <c r="AV363" s="1247"/>
      <c r="AW363" s="1247"/>
      <c r="AX363" s="1247"/>
      <c r="AY363" s="1247"/>
      <c r="AZ363" s="1247"/>
      <c r="BA363" s="1247"/>
      <c r="BB363" s="1247"/>
      <c r="BC363" s="1247"/>
    </row>
    <row r="364" spans="2:55" s="973" customFormat="1" ht="20.25" customHeight="1">
      <c r="B364" s="1247"/>
      <c r="C364" s="1247"/>
      <c r="D364" s="1247"/>
      <c r="E364" s="1247"/>
      <c r="F364" s="1247"/>
      <c r="G364" s="1247"/>
      <c r="H364" s="1247"/>
      <c r="I364" s="1247"/>
      <c r="J364" s="1247"/>
      <c r="K364" s="1247"/>
      <c r="L364" s="1247"/>
      <c r="M364" s="1247"/>
      <c r="N364" s="1247"/>
      <c r="O364" s="1247"/>
      <c r="P364" s="1247"/>
      <c r="Q364" s="1247"/>
      <c r="R364" s="1247"/>
      <c r="S364" s="1247"/>
      <c r="T364" s="1247"/>
      <c r="U364" s="1247"/>
      <c r="V364" s="1247"/>
      <c r="W364" s="1247"/>
      <c r="X364" s="1247"/>
      <c r="Y364" s="1247"/>
      <c r="Z364" s="1247"/>
      <c r="AA364" s="1247"/>
      <c r="AB364" s="1247"/>
      <c r="AC364" s="1247"/>
      <c r="AD364" s="1247"/>
      <c r="AE364" s="1247"/>
      <c r="AF364" s="1247"/>
      <c r="AG364" s="1247"/>
      <c r="AH364" s="1247"/>
      <c r="AI364" s="1247"/>
      <c r="AJ364" s="1247"/>
      <c r="AK364" s="1247"/>
      <c r="AL364" s="1247"/>
      <c r="AM364" s="1247"/>
      <c r="AN364" s="1247"/>
      <c r="AO364" s="1247"/>
      <c r="AP364" s="1247"/>
      <c r="AQ364" s="1247"/>
      <c r="AR364" s="1247"/>
      <c r="AS364" s="1247"/>
      <c r="AT364" s="1247"/>
      <c r="AU364" s="1247"/>
      <c r="AV364" s="1247"/>
      <c r="AW364" s="1247"/>
      <c r="AX364" s="1247"/>
      <c r="AY364" s="1247"/>
      <c r="AZ364" s="1247"/>
      <c r="BA364" s="1247"/>
      <c r="BB364" s="1247"/>
      <c r="BC364" s="1247"/>
    </row>
    <row r="365" spans="2:55" s="973" customFormat="1" ht="20.25" customHeight="1">
      <c r="B365" s="1247"/>
      <c r="C365" s="1247"/>
      <c r="D365" s="1247"/>
      <c r="E365" s="1247"/>
      <c r="F365" s="1247"/>
      <c r="G365" s="1247"/>
      <c r="H365" s="1247"/>
      <c r="I365" s="1247"/>
      <c r="J365" s="1247"/>
      <c r="K365" s="1247"/>
      <c r="L365" s="1247"/>
      <c r="M365" s="1247"/>
      <c r="N365" s="1247"/>
      <c r="O365" s="1247"/>
      <c r="P365" s="1247"/>
      <c r="Q365" s="1247"/>
      <c r="R365" s="1247"/>
      <c r="S365" s="1247"/>
      <c r="T365" s="1247"/>
      <c r="U365" s="1247"/>
      <c r="V365" s="1247"/>
      <c r="W365" s="1247"/>
      <c r="X365" s="1247"/>
      <c r="Y365" s="1247"/>
      <c r="Z365" s="1247"/>
      <c r="AA365" s="1247"/>
      <c r="AB365" s="1247"/>
      <c r="AC365" s="1247"/>
      <c r="AD365" s="1247"/>
      <c r="AE365" s="1247"/>
      <c r="AF365" s="1247"/>
      <c r="AG365" s="1247"/>
      <c r="AH365" s="1247"/>
      <c r="AI365" s="1247"/>
      <c r="AJ365" s="1247"/>
      <c r="AK365" s="1247"/>
      <c r="AL365" s="1247"/>
      <c r="AM365" s="1247"/>
      <c r="AN365" s="1247"/>
      <c r="AO365" s="1247"/>
      <c r="AP365" s="1247"/>
      <c r="AQ365" s="1247"/>
      <c r="AR365" s="1247"/>
      <c r="AS365" s="1247"/>
      <c r="AT365" s="1247"/>
      <c r="AU365" s="1247"/>
      <c r="AV365" s="1247"/>
      <c r="AW365" s="1247"/>
      <c r="AX365" s="1247"/>
      <c r="AY365" s="1247"/>
      <c r="AZ365" s="1247"/>
      <c r="BA365" s="1247"/>
      <c r="BB365" s="1247"/>
      <c r="BC365" s="1247"/>
    </row>
    <row r="366" spans="2:55" s="973" customFormat="1" ht="20.25" customHeight="1">
      <c r="B366" s="1247"/>
      <c r="C366" s="1247"/>
      <c r="D366" s="1247"/>
      <c r="E366" s="1247"/>
      <c r="F366" s="1247"/>
      <c r="G366" s="1247"/>
      <c r="H366" s="1247"/>
      <c r="I366" s="1247"/>
      <c r="J366" s="1247"/>
      <c r="K366" s="1247"/>
      <c r="L366" s="1247"/>
      <c r="M366" s="1247"/>
      <c r="N366" s="1247"/>
      <c r="O366" s="1247"/>
      <c r="P366" s="1247"/>
      <c r="Q366" s="1247"/>
      <c r="R366" s="1247"/>
      <c r="S366" s="1247"/>
      <c r="T366" s="1247"/>
      <c r="U366" s="1247"/>
      <c r="V366" s="1247"/>
      <c r="W366" s="1247"/>
      <c r="X366" s="1247"/>
      <c r="Y366" s="1247"/>
      <c r="Z366" s="1247"/>
      <c r="AA366" s="1247"/>
      <c r="AB366" s="1247"/>
      <c r="AC366" s="1247"/>
      <c r="AD366" s="1247"/>
      <c r="AE366" s="1247"/>
      <c r="AF366" s="1247"/>
      <c r="AG366" s="1247"/>
      <c r="AH366" s="1247"/>
      <c r="AI366" s="1247"/>
      <c r="AJ366" s="1247"/>
      <c r="AK366" s="1247"/>
      <c r="AL366" s="1247"/>
      <c r="AM366" s="1247"/>
      <c r="AN366" s="1247"/>
      <c r="AO366" s="1247"/>
      <c r="AP366" s="1247"/>
      <c r="AQ366" s="1247"/>
      <c r="AR366" s="1247"/>
      <c r="AS366" s="1247"/>
      <c r="AT366" s="1247"/>
      <c r="AU366" s="1247"/>
      <c r="AV366" s="1247"/>
      <c r="AW366" s="1247"/>
      <c r="AX366" s="1247"/>
      <c r="AY366" s="1247"/>
      <c r="AZ366" s="1247"/>
      <c r="BA366" s="1247"/>
      <c r="BB366" s="1247"/>
      <c r="BC366" s="1247"/>
    </row>
    <row r="367" spans="2:55" s="973" customFormat="1" ht="20.25" customHeight="1">
      <c r="B367" s="1247"/>
      <c r="C367" s="1247"/>
      <c r="D367" s="1247"/>
      <c r="E367" s="1247"/>
      <c r="F367" s="1247"/>
      <c r="G367" s="1247"/>
      <c r="H367" s="1247"/>
      <c r="I367" s="1247"/>
      <c r="J367" s="1247"/>
      <c r="K367" s="1247"/>
      <c r="L367" s="1247"/>
      <c r="M367" s="1247"/>
      <c r="N367" s="1247"/>
      <c r="O367" s="1247"/>
      <c r="P367" s="1247"/>
      <c r="Q367" s="1247"/>
      <c r="R367" s="1247"/>
      <c r="S367" s="1247"/>
      <c r="T367" s="1247"/>
      <c r="U367" s="1247"/>
      <c r="V367" s="1247"/>
      <c r="W367" s="1247"/>
      <c r="X367" s="1247"/>
      <c r="Y367" s="1247"/>
      <c r="Z367" s="1247"/>
      <c r="AA367" s="1247"/>
      <c r="AB367" s="1247"/>
      <c r="AC367" s="1247"/>
      <c r="AD367" s="1247"/>
      <c r="AE367" s="1247"/>
      <c r="AF367" s="1247"/>
      <c r="AG367" s="1247"/>
      <c r="AH367" s="1247"/>
      <c r="AI367" s="1247"/>
      <c r="AJ367" s="1247"/>
      <c r="AK367" s="1247"/>
      <c r="AL367" s="1247"/>
      <c r="AM367" s="1247"/>
      <c r="AN367" s="1247"/>
      <c r="AO367" s="1247"/>
      <c r="AP367" s="1247"/>
      <c r="AQ367" s="1247"/>
      <c r="AR367" s="1247"/>
      <c r="AS367" s="1247"/>
      <c r="AT367" s="1247"/>
      <c r="AU367" s="1247"/>
      <c r="AV367" s="1247"/>
      <c r="AW367" s="1247"/>
      <c r="AX367" s="1247"/>
      <c r="AY367" s="1247"/>
      <c r="AZ367" s="1247"/>
      <c r="BA367" s="1247"/>
      <c r="BB367" s="1247"/>
      <c r="BC367" s="1247"/>
    </row>
    <row r="368" spans="2:55" s="973" customFormat="1" ht="20.25" customHeight="1">
      <c r="B368" s="1247"/>
      <c r="C368" s="1247"/>
      <c r="D368" s="1247"/>
      <c r="E368" s="1247"/>
      <c r="F368" s="1247"/>
      <c r="G368" s="1247"/>
      <c r="H368" s="1247"/>
      <c r="I368" s="1247"/>
      <c r="J368" s="1247"/>
      <c r="K368" s="1247"/>
      <c r="L368" s="1247"/>
      <c r="M368" s="1247"/>
      <c r="N368" s="1247"/>
      <c r="O368" s="1247"/>
      <c r="P368" s="1247"/>
      <c r="Q368" s="1247"/>
      <c r="R368" s="1247"/>
      <c r="S368" s="1247"/>
      <c r="T368" s="1247"/>
      <c r="U368" s="1247"/>
      <c r="V368" s="1247"/>
      <c r="W368" s="1247"/>
      <c r="X368" s="1247"/>
      <c r="Y368" s="1247"/>
      <c r="Z368" s="1247"/>
      <c r="AA368" s="1247"/>
      <c r="AB368" s="1247"/>
      <c r="AC368" s="1247"/>
      <c r="AD368" s="1247"/>
      <c r="AE368" s="1247"/>
      <c r="AF368" s="1247"/>
      <c r="AG368" s="1247"/>
      <c r="AH368" s="1247"/>
      <c r="AI368" s="1247"/>
      <c r="AJ368" s="1247"/>
      <c r="AK368" s="1247"/>
      <c r="AL368" s="1247"/>
      <c r="AM368" s="1247"/>
      <c r="AN368" s="1247"/>
      <c r="AO368" s="1247"/>
      <c r="AP368" s="1247"/>
      <c r="AQ368" s="1247"/>
      <c r="AR368" s="1247"/>
      <c r="AS368" s="1247"/>
      <c r="AT368" s="1247"/>
      <c r="AU368" s="1247"/>
      <c r="AV368" s="1247"/>
      <c r="AW368" s="1247"/>
      <c r="AX368" s="1247"/>
      <c r="AY368" s="1247"/>
      <c r="AZ368" s="1247"/>
      <c r="BA368" s="1247"/>
      <c r="BB368" s="1247"/>
      <c r="BC368" s="1247"/>
    </row>
    <row r="369" spans="2:55" s="973" customFormat="1" ht="20.25" customHeight="1">
      <c r="B369" s="1247"/>
      <c r="C369" s="1247"/>
      <c r="D369" s="1247"/>
      <c r="E369" s="1247"/>
      <c r="F369" s="1247"/>
      <c r="G369" s="1247"/>
      <c r="H369" s="1247"/>
      <c r="I369" s="1247"/>
      <c r="J369" s="1247"/>
      <c r="K369" s="1247"/>
      <c r="L369" s="1247"/>
      <c r="M369" s="1247"/>
      <c r="N369" s="1247"/>
      <c r="O369" s="1247"/>
      <c r="P369" s="1247"/>
      <c r="Q369" s="1247"/>
      <c r="R369" s="1247"/>
      <c r="S369" s="1247"/>
      <c r="T369" s="1247"/>
      <c r="U369" s="1247"/>
      <c r="V369" s="1247"/>
      <c r="W369" s="1247"/>
      <c r="X369" s="1247"/>
      <c r="Y369" s="1247"/>
      <c r="Z369" s="1247"/>
      <c r="AA369" s="1247"/>
      <c r="AB369" s="1247"/>
      <c r="AC369" s="1247"/>
      <c r="AD369" s="1247"/>
      <c r="AE369" s="1247"/>
      <c r="AF369" s="1247"/>
      <c r="AG369" s="1247"/>
      <c r="AH369" s="1247"/>
      <c r="AI369" s="1247"/>
      <c r="AJ369" s="1247"/>
      <c r="AK369" s="1247"/>
      <c r="AL369" s="1247"/>
      <c r="AM369" s="1247"/>
      <c r="AN369" s="1247"/>
      <c r="AO369" s="1247"/>
      <c r="AP369" s="1247"/>
      <c r="AQ369" s="1247"/>
      <c r="AR369" s="1247"/>
      <c r="AS369" s="1247"/>
      <c r="AT369" s="1247"/>
      <c r="AU369" s="1247"/>
      <c r="AV369" s="1247"/>
      <c r="AW369" s="1247"/>
      <c r="AX369" s="1247"/>
      <c r="AY369" s="1247"/>
      <c r="AZ369" s="1247"/>
      <c r="BA369" s="1247"/>
      <c r="BB369" s="1247"/>
      <c r="BC369" s="1247"/>
    </row>
    <row r="370" spans="2:55" s="973" customFormat="1" ht="20.25" customHeight="1">
      <c r="B370" s="1247"/>
      <c r="C370" s="1247"/>
      <c r="D370" s="1247"/>
      <c r="E370" s="1247"/>
      <c r="F370" s="1247"/>
      <c r="G370" s="1247"/>
      <c r="H370" s="1247"/>
      <c r="I370" s="1247"/>
      <c r="J370" s="1247"/>
      <c r="K370" s="1247"/>
      <c r="L370" s="1247"/>
      <c r="M370" s="1247"/>
      <c r="N370" s="1247"/>
      <c r="O370" s="1247"/>
      <c r="P370" s="1247"/>
      <c r="Q370" s="1247"/>
      <c r="R370" s="1247"/>
      <c r="S370" s="1247"/>
      <c r="T370" s="1247"/>
      <c r="U370" s="1247"/>
      <c r="V370" s="1247"/>
      <c r="W370" s="1247"/>
      <c r="X370" s="1247"/>
      <c r="Y370" s="1247"/>
      <c r="Z370" s="1247"/>
      <c r="AA370" s="1247"/>
      <c r="AB370" s="1247"/>
      <c r="AC370" s="1247"/>
      <c r="AD370" s="1247"/>
      <c r="AE370" s="1247"/>
      <c r="AF370" s="1247"/>
      <c r="AG370" s="1247"/>
      <c r="AH370" s="1247"/>
      <c r="AI370" s="1247"/>
      <c r="AJ370" s="1247"/>
      <c r="AK370" s="1247"/>
      <c r="AL370" s="1247"/>
      <c r="AM370" s="1247"/>
      <c r="AN370" s="1247"/>
      <c r="AO370" s="1247"/>
      <c r="AP370" s="1247"/>
      <c r="AQ370" s="1247"/>
      <c r="AR370" s="1247"/>
      <c r="AS370" s="1247"/>
      <c r="AT370" s="1247"/>
      <c r="AU370" s="1247"/>
      <c r="AV370" s="1247"/>
      <c r="AW370" s="1247"/>
      <c r="AX370" s="1247"/>
      <c r="AY370" s="1247"/>
      <c r="AZ370" s="1247"/>
      <c r="BA370" s="1247"/>
      <c r="BB370" s="1247"/>
      <c r="BC370" s="1247"/>
    </row>
    <row r="371" spans="2:55" s="973" customFormat="1" ht="20.25" customHeight="1">
      <c r="B371" s="1247"/>
      <c r="C371" s="1247"/>
      <c r="D371" s="1247"/>
      <c r="E371" s="1247"/>
      <c r="F371" s="1247"/>
      <c r="G371" s="1247"/>
      <c r="H371" s="1247"/>
      <c r="I371" s="1247"/>
      <c r="J371" s="1247"/>
      <c r="K371" s="1247"/>
      <c r="L371" s="1247"/>
      <c r="M371" s="1247"/>
      <c r="N371" s="1247"/>
      <c r="O371" s="1247"/>
      <c r="P371" s="1247"/>
      <c r="Q371" s="1247"/>
      <c r="R371" s="1247"/>
      <c r="S371" s="1247"/>
      <c r="T371" s="1247"/>
      <c r="U371" s="1247"/>
      <c r="V371" s="1247"/>
      <c r="W371" s="1247"/>
      <c r="X371" s="1247"/>
      <c r="Y371" s="1247"/>
      <c r="Z371" s="1247"/>
      <c r="AA371" s="1247"/>
      <c r="AB371" s="1247"/>
      <c r="AC371" s="1247"/>
      <c r="AD371" s="1247"/>
      <c r="AE371" s="1247"/>
      <c r="AF371" s="1247"/>
      <c r="AG371" s="1247"/>
      <c r="AH371" s="1247"/>
      <c r="AI371" s="1247"/>
      <c r="AJ371" s="1247"/>
      <c r="AK371" s="1247"/>
      <c r="AL371" s="1247"/>
      <c r="AM371" s="1247"/>
      <c r="AN371" s="1247"/>
      <c r="AO371" s="1247"/>
      <c r="AP371" s="1247"/>
      <c r="AQ371" s="1247"/>
      <c r="AR371" s="1247"/>
      <c r="AS371" s="1247"/>
      <c r="AT371" s="1247"/>
      <c r="AU371" s="1247"/>
      <c r="AV371" s="1247"/>
      <c r="AW371" s="1247"/>
      <c r="AX371" s="1247"/>
      <c r="AY371" s="1247"/>
      <c r="AZ371" s="1247"/>
      <c r="BA371" s="1247"/>
      <c r="BB371" s="1247"/>
      <c r="BC371" s="1247"/>
    </row>
    <row r="372" spans="2:55" s="973" customFormat="1" ht="20.25" customHeight="1">
      <c r="B372" s="1247"/>
      <c r="C372" s="1247"/>
      <c r="D372" s="1247"/>
      <c r="E372" s="1247"/>
      <c r="F372" s="1247"/>
      <c r="G372" s="1247"/>
      <c r="H372" s="1247"/>
      <c r="I372" s="1247"/>
      <c r="J372" s="1247"/>
      <c r="K372" s="1247"/>
      <c r="L372" s="1247"/>
      <c r="M372" s="1247"/>
      <c r="N372" s="1247"/>
      <c r="O372" s="1247"/>
      <c r="P372" s="1247"/>
      <c r="Q372" s="1247"/>
      <c r="R372" s="1247"/>
      <c r="S372" s="1247"/>
      <c r="T372" s="1247"/>
      <c r="U372" s="1247"/>
      <c r="V372" s="1247"/>
      <c r="W372" s="1247"/>
      <c r="X372" s="1247"/>
      <c r="Y372" s="1247"/>
      <c r="Z372" s="1247"/>
      <c r="AA372" s="1247"/>
      <c r="AB372" s="1247"/>
      <c r="AC372" s="1247"/>
      <c r="AD372" s="1247"/>
      <c r="AE372" s="1247"/>
      <c r="AF372" s="1247"/>
      <c r="AG372" s="1247"/>
      <c r="AH372" s="1247"/>
      <c r="AI372" s="1247"/>
      <c r="AJ372" s="1247"/>
      <c r="AK372" s="1247"/>
      <c r="AL372" s="1247"/>
      <c r="AM372" s="1247"/>
      <c r="AN372" s="1247"/>
      <c r="AO372" s="1247"/>
      <c r="AP372" s="1247"/>
      <c r="AQ372" s="1247"/>
      <c r="AR372" s="1247"/>
      <c r="AS372" s="1247"/>
      <c r="AT372" s="1247"/>
      <c r="AU372" s="1247"/>
      <c r="AV372" s="1247"/>
      <c r="AW372" s="1247"/>
      <c r="AX372" s="1247"/>
      <c r="AY372" s="1247"/>
      <c r="AZ372" s="1247"/>
      <c r="BA372" s="1247"/>
      <c r="BB372" s="1247"/>
      <c r="BC372" s="1247"/>
    </row>
    <row r="373" spans="2:55" s="973" customFormat="1" ht="20.25" customHeight="1">
      <c r="B373" s="1247"/>
      <c r="C373" s="1247"/>
      <c r="D373" s="1247"/>
      <c r="E373" s="1247"/>
      <c r="F373" s="1247"/>
      <c r="G373" s="1247"/>
      <c r="H373" s="1247"/>
      <c r="I373" s="1247"/>
      <c r="J373" s="1247"/>
      <c r="K373" s="1247"/>
      <c r="L373" s="1247"/>
      <c r="M373" s="1247"/>
      <c r="N373" s="1247"/>
      <c r="O373" s="1247"/>
      <c r="P373" s="1247"/>
      <c r="Q373" s="1247"/>
      <c r="R373" s="1247"/>
      <c r="S373" s="1247"/>
      <c r="T373" s="1247"/>
      <c r="U373" s="1247"/>
      <c r="V373" s="1247"/>
      <c r="W373" s="1247"/>
      <c r="X373" s="1247"/>
      <c r="Y373" s="1247"/>
      <c r="Z373" s="1247"/>
      <c r="AA373" s="1247"/>
      <c r="AB373" s="1247"/>
      <c r="AC373" s="1247"/>
      <c r="AD373" s="1247"/>
      <c r="AE373" s="1247"/>
      <c r="AF373" s="1247"/>
      <c r="AG373" s="1247"/>
      <c r="AH373" s="1247"/>
      <c r="AI373" s="1247"/>
      <c r="AJ373" s="1247"/>
      <c r="AK373" s="1247"/>
      <c r="AL373" s="1247"/>
      <c r="AM373" s="1247"/>
      <c r="AN373" s="1247"/>
      <c r="AO373" s="1247"/>
      <c r="AP373" s="1247"/>
      <c r="AQ373" s="1247"/>
      <c r="AR373" s="1247"/>
      <c r="AS373" s="1247"/>
      <c r="AT373" s="1247"/>
      <c r="AU373" s="1247"/>
      <c r="AV373" s="1247"/>
      <c r="AW373" s="1247"/>
      <c r="AX373" s="1247"/>
      <c r="AY373" s="1247"/>
      <c r="AZ373" s="1247"/>
      <c r="BA373" s="1247"/>
      <c r="BB373" s="1247"/>
      <c r="BC373" s="1247"/>
    </row>
    <row r="374" spans="2:55" s="973" customFormat="1" ht="20.25" customHeight="1">
      <c r="B374" s="1247"/>
      <c r="C374" s="1247"/>
      <c r="D374" s="1247"/>
      <c r="E374" s="1247"/>
      <c r="F374" s="1247"/>
      <c r="G374" s="1247"/>
      <c r="H374" s="1247"/>
      <c r="I374" s="1247"/>
      <c r="J374" s="1247"/>
      <c r="K374" s="1247"/>
      <c r="L374" s="1247"/>
      <c r="M374" s="1247"/>
      <c r="N374" s="1247"/>
      <c r="O374" s="1247"/>
      <c r="P374" s="1247"/>
      <c r="Q374" s="1247"/>
      <c r="R374" s="1247"/>
      <c r="S374" s="1247"/>
      <c r="T374" s="1247"/>
      <c r="U374" s="1247"/>
      <c r="V374" s="1247"/>
      <c r="W374" s="1247"/>
      <c r="X374" s="1247"/>
      <c r="Y374" s="1247"/>
      <c r="Z374" s="1247"/>
      <c r="AA374" s="1247"/>
      <c r="AB374" s="1247"/>
      <c r="AC374" s="1247"/>
      <c r="AD374" s="1247"/>
      <c r="AE374" s="1247"/>
      <c r="AF374" s="1247"/>
      <c r="AG374" s="1247"/>
      <c r="AH374" s="1247"/>
      <c r="AI374" s="1247"/>
      <c r="AJ374" s="1247"/>
      <c r="AK374" s="1247"/>
      <c r="AL374" s="1247"/>
      <c r="AM374" s="1247"/>
      <c r="AN374" s="1247"/>
      <c r="AO374" s="1247"/>
      <c r="AP374" s="1247"/>
      <c r="AQ374" s="1247"/>
      <c r="AR374" s="1247"/>
      <c r="AS374" s="1247"/>
      <c r="AT374" s="1247"/>
      <c r="AU374" s="1247"/>
      <c r="AV374" s="1247"/>
      <c r="AW374" s="1247"/>
      <c r="AX374" s="1247"/>
      <c r="AY374" s="1247"/>
      <c r="AZ374" s="1247"/>
      <c r="BA374" s="1247"/>
      <c r="BB374" s="1247"/>
      <c r="BC374" s="1247"/>
    </row>
    <row r="375" spans="2:55" s="973" customFormat="1" ht="20.25" customHeight="1">
      <c r="B375" s="1247"/>
      <c r="C375" s="1247"/>
      <c r="D375" s="1247"/>
      <c r="E375" s="1247"/>
      <c r="F375" s="1247"/>
      <c r="G375" s="1247"/>
      <c r="H375" s="1247"/>
      <c r="I375" s="1247"/>
      <c r="J375" s="1247"/>
      <c r="K375" s="1247"/>
      <c r="L375" s="1247"/>
      <c r="M375" s="1247"/>
      <c r="N375" s="1247"/>
      <c r="O375" s="1247"/>
      <c r="P375" s="1247"/>
      <c r="Q375" s="1247"/>
      <c r="R375" s="1247"/>
      <c r="S375" s="1247"/>
      <c r="T375" s="1247"/>
      <c r="U375" s="1247"/>
      <c r="V375" s="1247"/>
      <c r="W375" s="1247"/>
      <c r="X375" s="1247"/>
      <c r="Y375" s="1247"/>
      <c r="Z375" s="1247"/>
      <c r="AA375" s="1247"/>
      <c r="AB375" s="1247"/>
      <c r="AC375" s="1247"/>
      <c r="AD375" s="1247"/>
      <c r="AE375" s="1247"/>
      <c r="AF375" s="1247"/>
      <c r="AG375" s="1247"/>
      <c r="AH375" s="1247"/>
      <c r="AI375" s="1247"/>
      <c r="AJ375" s="1247"/>
      <c r="AK375" s="1247"/>
      <c r="AL375" s="1247"/>
      <c r="AM375" s="1247"/>
      <c r="AN375" s="1247"/>
      <c r="AO375" s="1247"/>
      <c r="AP375" s="1247"/>
      <c r="AQ375" s="1247"/>
      <c r="AR375" s="1247"/>
      <c r="AS375" s="1247"/>
      <c r="AT375" s="1247"/>
      <c r="AU375" s="1247"/>
      <c r="AV375" s="1247"/>
      <c r="AW375" s="1247"/>
      <c r="AX375" s="1247"/>
      <c r="AY375" s="1247"/>
      <c r="AZ375" s="1247"/>
      <c r="BA375" s="1247"/>
      <c r="BB375" s="1247"/>
      <c r="BC375" s="1247"/>
    </row>
    <row r="376" spans="2:55" s="973" customFormat="1" ht="20.25" customHeight="1">
      <c r="B376" s="1247"/>
      <c r="C376" s="1247"/>
      <c r="D376" s="1247"/>
      <c r="E376" s="1247"/>
      <c r="F376" s="1247"/>
      <c r="G376" s="1247"/>
      <c r="H376" s="1247"/>
      <c r="I376" s="1247"/>
      <c r="J376" s="1247"/>
      <c r="K376" s="1247"/>
      <c r="L376" s="1247"/>
      <c r="M376" s="1247"/>
      <c r="N376" s="1247"/>
      <c r="O376" s="1247"/>
      <c r="P376" s="1247"/>
      <c r="Q376" s="1247"/>
      <c r="R376" s="1247"/>
      <c r="S376" s="1247"/>
      <c r="T376" s="1247"/>
      <c r="U376" s="1247"/>
      <c r="V376" s="1247"/>
      <c r="W376" s="1247"/>
      <c r="X376" s="1247"/>
      <c r="Y376" s="1247"/>
      <c r="Z376" s="1247"/>
      <c r="AA376" s="1247"/>
      <c r="AB376" s="1247"/>
      <c r="AC376" s="1247"/>
      <c r="AD376" s="1247"/>
      <c r="AE376" s="1247"/>
      <c r="AF376" s="1247"/>
      <c r="AG376" s="1247"/>
      <c r="AH376" s="1247"/>
      <c r="AI376" s="1247"/>
      <c r="AJ376" s="1247"/>
      <c r="AK376" s="1247"/>
      <c r="AL376" s="1247"/>
      <c r="AM376" s="1247"/>
      <c r="AN376" s="1247"/>
      <c r="AO376" s="1247"/>
      <c r="AP376" s="1247"/>
      <c r="AQ376" s="1247"/>
      <c r="AR376" s="1247"/>
      <c r="AS376" s="1247"/>
      <c r="AT376" s="1247"/>
      <c r="AU376" s="1247"/>
      <c r="AV376" s="1247"/>
      <c r="AW376" s="1247"/>
      <c r="AX376" s="1247"/>
      <c r="AY376" s="1247"/>
      <c r="AZ376" s="1247"/>
      <c r="BA376" s="1247"/>
      <c r="BB376" s="1247"/>
      <c r="BC376" s="1247"/>
    </row>
    <row r="377" spans="2:55" s="973" customFormat="1" ht="20.25" customHeight="1">
      <c r="B377" s="1247"/>
      <c r="C377" s="1247"/>
      <c r="D377" s="1247"/>
      <c r="E377" s="1247"/>
      <c r="F377" s="1247"/>
      <c r="G377" s="1247"/>
      <c r="H377" s="1247"/>
      <c r="I377" s="1247"/>
      <c r="J377" s="1247"/>
      <c r="K377" s="1247"/>
      <c r="L377" s="1247"/>
      <c r="M377" s="1247"/>
      <c r="N377" s="1247"/>
      <c r="O377" s="1247"/>
      <c r="P377" s="1247"/>
      <c r="Q377" s="1247"/>
      <c r="R377" s="1247"/>
      <c r="S377" s="1247"/>
      <c r="T377" s="1247"/>
      <c r="U377" s="1247"/>
      <c r="V377" s="1247"/>
      <c r="W377" s="1247"/>
      <c r="X377" s="1247"/>
      <c r="Y377" s="1247"/>
      <c r="Z377" s="1247"/>
      <c r="AA377" s="1247"/>
      <c r="AB377" s="1247"/>
      <c r="AC377" s="1247"/>
      <c r="AD377" s="1247"/>
      <c r="AE377" s="1247"/>
      <c r="AF377" s="1247"/>
      <c r="AG377" s="1247"/>
      <c r="AH377" s="1247"/>
      <c r="AI377" s="1247"/>
      <c r="AJ377" s="1247"/>
      <c r="AK377" s="1247"/>
      <c r="AL377" s="1247"/>
      <c r="AM377" s="1247"/>
      <c r="AN377" s="1247"/>
      <c r="AO377" s="1247"/>
      <c r="AP377" s="1247"/>
      <c r="AQ377" s="1247"/>
      <c r="AR377" s="1247"/>
      <c r="AS377" s="1247"/>
      <c r="AT377" s="1247"/>
      <c r="AU377" s="1247"/>
      <c r="AV377" s="1247"/>
      <c r="AW377" s="1247"/>
      <c r="AX377" s="1247"/>
      <c r="AY377" s="1247"/>
      <c r="AZ377" s="1247"/>
      <c r="BA377" s="1247"/>
      <c r="BB377" s="1247"/>
      <c r="BC377" s="1247"/>
    </row>
    <row r="378" spans="2:55" s="973" customFormat="1" ht="20.25" customHeight="1">
      <c r="B378" s="1247"/>
      <c r="C378" s="1247"/>
      <c r="D378" s="1247"/>
      <c r="E378" s="1247"/>
      <c r="F378" s="1247"/>
      <c r="G378" s="1247"/>
      <c r="H378" s="1247"/>
      <c r="I378" s="1247"/>
      <c r="J378" s="1247"/>
      <c r="K378" s="1247"/>
      <c r="L378" s="1247"/>
      <c r="M378" s="1247"/>
      <c r="N378" s="1247"/>
      <c r="O378" s="1247"/>
      <c r="P378" s="1247"/>
      <c r="Q378" s="1247"/>
      <c r="R378" s="1247"/>
      <c r="S378" s="1247"/>
      <c r="T378" s="1247"/>
      <c r="U378" s="1247"/>
      <c r="V378" s="1247"/>
      <c r="W378" s="1247"/>
      <c r="X378" s="1247"/>
      <c r="Y378" s="1247"/>
      <c r="Z378" s="1247"/>
      <c r="AA378" s="1247"/>
      <c r="AB378" s="1247"/>
      <c r="AC378" s="1247"/>
      <c r="AD378" s="1247"/>
      <c r="AE378" s="1247"/>
      <c r="AF378" s="1247"/>
      <c r="AG378" s="1247"/>
      <c r="AH378" s="1247"/>
      <c r="AI378" s="1247"/>
      <c r="AJ378" s="1247"/>
      <c r="AK378" s="1247"/>
      <c r="AL378" s="1247"/>
      <c r="AM378" s="1247"/>
      <c r="AN378" s="1247"/>
      <c r="AO378" s="1247"/>
      <c r="AP378" s="1247"/>
      <c r="AQ378" s="1247"/>
      <c r="AR378" s="1247"/>
      <c r="AS378" s="1247"/>
      <c r="AT378" s="1247"/>
      <c r="AU378" s="1247"/>
      <c r="AV378" s="1247"/>
      <c r="AW378" s="1247"/>
      <c r="AX378" s="1247"/>
      <c r="AY378" s="1247"/>
      <c r="AZ378" s="1247"/>
      <c r="BA378" s="1247"/>
      <c r="BB378" s="1247"/>
      <c r="BC378" s="1247"/>
    </row>
    <row r="379" spans="2:55" s="973" customFormat="1" ht="20.25" customHeight="1">
      <c r="B379" s="1247"/>
      <c r="C379" s="1247"/>
      <c r="D379" s="1247"/>
      <c r="E379" s="1247"/>
      <c r="F379" s="1247"/>
      <c r="G379" s="1247"/>
      <c r="H379" s="1247"/>
      <c r="I379" s="1247"/>
      <c r="J379" s="1247"/>
      <c r="K379" s="1247"/>
      <c r="L379" s="1247"/>
      <c r="M379" s="1247"/>
      <c r="N379" s="1247"/>
      <c r="O379" s="1247"/>
      <c r="P379" s="1247"/>
      <c r="Q379" s="1247"/>
      <c r="R379" s="1247"/>
      <c r="S379" s="1247"/>
      <c r="T379" s="1247"/>
      <c r="U379" s="1247"/>
      <c r="V379" s="1247"/>
      <c r="W379" s="1247"/>
      <c r="X379" s="1247"/>
      <c r="Y379" s="1247"/>
      <c r="Z379" s="1247"/>
      <c r="AA379" s="1247"/>
      <c r="AB379" s="1247"/>
      <c r="AC379" s="1247"/>
      <c r="AD379" s="1247"/>
      <c r="AE379" s="1247"/>
      <c r="AF379" s="1247"/>
      <c r="AG379" s="1247"/>
      <c r="AH379" s="1247"/>
      <c r="AI379" s="1247"/>
      <c r="AJ379" s="1247"/>
      <c r="AK379" s="1247"/>
      <c r="AL379" s="1247"/>
      <c r="AM379" s="1247"/>
      <c r="AN379" s="1247"/>
      <c r="AO379" s="1247"/>
      <c r="AP379" s="1247"/>
      <c r="AQ379" s="1247"/>
      <c r="AR379" s="1247"/>
      <c r="AS379" s="1247"/>
      <c r="AT379" s="1247"/>
      <c r="AU379" s="1247"/>
      <c r="AV379" s="1247"/>
      <c r="AW379" s="1247"/>
      <c r="AX379" s="1247"/>
      <c r="AY379" s="1247"/>
      <c r="AZ379" s="1247"/>
      <c r="BA379" s="1247"/>
      <c r="BB379" s="1247"/>
      <c r="BC379" s="1247"/>
    </row>
    <row r="380" spans="2:55" s="973" customFormat="1" ht="20.25" customHeight="1">
      <c r="B380" s="1247"/>
      <c r="C380" s="1247"/>
      <c r="D380" s="1247"/>
      <c r="E380" s="1247"/>
      <c r="F380" s="1247"/>
      <c r="G380" s="1247"/>
      <c r="H380" s="1247"/>
      <c r="I380" s="1247"/>
      <c r="J380" s="1247"/>
      <c r="K380" s="1247"/>
      <c r="L380" s="1247"/>
      <c r="M380" s="1247"/>
      <c r="N380" s="1247"/>
      <c r="O380" s="1247"/>
      <c r="P380" s="1247"/>
      <c r="Q380" s="1247"/>
      <c r="R380" s="1247"/>
      <c r="S380" s="1247"/>
      <c r="T380" s="1247"/>
      <c r="U380" s="1247"/>
      <c r="V380" s="1247"/>
      <c r="W380" s="1247"/>
      <c r="X380" s="1247"/>
      <c r="Y380" s="1247"/>
      <c r="Z380" s="1247"/>
      <c r="AA380" s="1247"/>
      <c r="AB380" s="1247"/>
      <c r="AC380" s="1247"/>
      <c r="AD380" s="1247"/>
      <c r="AE380" s="1247"/>
      <c r="AF380" s="1247"/>
      <c r="AG380" s="1247"/>
      <c r="AH380" s="1247"/>
      <c r="AI380" s="1247"/>
      <c r="AJ380" s="1247"/>
      <c r="AK380" s="1247"/>
      <c r="AL380" s="1247"/>
      <c r="AM380" s="1247"/>
      <c r="AN380" s="1247"/>
      <c r="AO380" s="1247"/>
      <c r="AP380" s="1247"/>
      <c r="AQ380" s="1247"/>
      <c r="AR380" s="1247"/>
      <c r="AS380" s="1247"/>
      <c r="AT380" s="1247"/>
      <c r="AU380" s="1247"/>
      <c r="AV380" s="1247"/>
      <c r="AW380" s="1247"/>
      <c r="AX380" s="1247"/>
      <c r="AY380" s="1247"/>
      <c r="AZ380" s="1247"/>
      <c r="BA380" s="1247"/>
      <c r="BB380" s="1247"/>
      <c r="BC380" s="1247"/>
    </row>
    <row r="381" spans="2:55" s="973" customFormat="1" ht="20.25" customHeight="1">
      <c r="B381" s="1247"/>
      <c r="C381" s="1247"/>
      <c r="D381" s="1247"/>
      <c r="E381" s="1247"/>
      <c r="F381" s="1247"/>
      <c r="G381" s="1247"/>
      <c r="H381" s="1247"/>
      <c r="I381" s="1247"/>
      <c r="J381" s="1247"/>
      <c r="K381" s="1247"/>
      <c r="L381" s="1247"/>
      <c r="M381" s="1247"/>
      <c r="N381" s="1247"/>
      <c r="O381" s="1247"/>
      <c r="P381" s="1247"/>
      <c r="Q381" s="1247"/>
      <c r="R381" s="1247"/>
      <c r="S381" s="1247"/>
      <c r="T381" s="1247"/>
      <c r="U381" s="1247"/>
      <c r="V381" s="1247"/>
      <c r="W381" s="1247"/>
      <c r="X381" s="1247"/>
      <c r="Y381" s="1247"/>
      <c r="Z381" s="1247"/>
      <c r="AA381" s="1247"/>
      <c r="AB381" s="1247"/>
      <c r="AC381" s="1247"/>
      <c r="AD381" s="1247"/>
      <c r="AE381" s="1247"/>
      <c r="AF381" s="1247"/>
      <c r="AG381" s="1247"/>
      <c r="AH381" s="1247"/>
      <c r="AI381" s="1247"/>
      <c r="AJ381" s="1247"/>
      <c r="AK381" s="1247"/>
      <c r="AL381" s="1247"/>
      <c r="AM381" s="1247"/>
      <c r="AN381" s="1247"/>
      <c r="AO381" s="1247"/>
      <c r="AP381" s="1247"/>
      <c r="AQ381" s="1247"/>
      <c r="AR381" s="1247"/>
      <c r="AS381" s="1247"/>
      <c r="AT381" s="1247"/>
      <c r="AU381" s="1247"/>
      <c r="AV381" s="1247"/>
      <c r="AW381" s="1247"/>
      <c r="AX381" s="1247"/>
      <c r="AY381" s="1247"/>
      <c r="AZ381" s="1247"/>
      <c r="BA381" s="1247"/>
      <c r="BB381" s="1247"/>
      <c r="BC381" s="1247"/>
    </row>
    <row r="382" spans="2:55" s="973" customFormat="1" ht="20.25" customHeight="1">
      <c r="B382" s="1247"/>
      <c r="C382" s="1247"/>
      <c r="D382" s="1247"/>
      <c r="E382" s="1247"/>
      <c r="F382" s="1247"/>
      <c r="G382" s="1247"/>
      <c r="H382" s="1247"/>
      <c r="I382" s="1247"/>
      <c r="J382" s="1247"/>
      <c r="K382" s="1247"/>
      <c r="L382" s="1247"/>
      <c r="M382" s="1247"/>
      <c r="N382" s="1247"/>
      <c r="O382" s="1247"/>
      <c r="P382" s="1247"/>
      <c r="Q382" s="1247"/>
      <c r="R382" s="1247"/>
      <c r="S382" s="1247"/>
      <c r="T382" s="1247"/>
      <c r="U382" s="1247"/>
      <c r="V382" s="1247"/>
      <c r="W382" s="1247"/>
      <c r="X382" s="1247"/>
      <c r="Y382" s="1247"/>
      <c r="Z382" s="1247"/>
      <c r="AA382" s="1247"/>
      <c r="AB382" s="1247"/>
      <c r="AC382" s="1247"/>
      <c r="AD382" s="1247"/>
      <c r="AE382" s="1247"/>
      <c r="AF382" s="1247"/>
      <c r="AG382" s="1247"/>
      <c r="AH382" s="1247"/>
      <c r="AI382" s="1247"/>
      <c r="AJ382" s="1247"/>
      <c r="AK382" s="1247"/>
      <c r="AL382" s="1247"/>
      <c r="AM382" s="1247"/>
      <c r="AN382" s="1247"/>
      <c r="AO382" s="1247"/>
      <c r="AP382" s="1247"/>
      <c r="AQ382" s="1247"/>
      <c r="AR382" s="1247"/>
      <c r="AS382" s="1247"/>
      <c r="AT382" s="1247"/>
      <c r="AU382" s="1247"/>
      <c r="AV382" s="1247"/>
      <c r="AW382" s="1247"/>
      <c r="AX382" s="1247"/>
      <c r="AY382" s="1247"/>
      <c r="AZ382" s="1247"/>
      <c r="BA382" s="1247"/>
      <c r="BB382" s="1247"/>
      <c r="BC382" s="1247"/>
    </row>
    <row r="383" spans="2:55" s="973" customFormat="1" ht="20.25" customHeight="1">
      <c r="B383" s="1247"/>
      <c r="C383" s="1247"/>
      <c r="D383" s="1247"/>
      <c r="E383" s="1247"/>
      <c r="F383" s="1247"/>
      <c r="G383" s="1247"/>
      <c r="H383" s="1247"/>
      <c r="I383" s="1247"/>
      <c r="J383" s="1247"/>
      <c r="K383" s="1247"/>
      <c r="L383" s="1247"/>
      <c r="M383" s="1247"/>
      <c r="N383" s="1247"/>
      <c r="O383" s="1247"/>
      <c r="P383" s="1247"/>
      <c r="Q383" s="1247"/>
      <c r="R383" s="1247"/>
      <c r="S383" s="1247"/>
      <c r="T383" s="1247"/>
      <c r="U383" s="1247"/>
      <c r="V383" s="1247"/>
      <c r="W383" s="1247"/>
      <c r="X383" s="1247"/>
      <c r="Y383" s="1247"/>
      <c r="Z383" s="1247"/>
      <c r="AA383" s="1247"/>
      <c r="AB383" s="1247"/>
      <c r="AC383" s="1247"/>
      <c r="AD383" s="1247"/>
      <c r="AE383" s="1247"/>
      <c r="AF383" s="1247"/>
      <c r="AG383" s="1247"/>
      <c r="AH383" s="1247"/>
      <c r="AI383" s="1247"/>
      <c r="AJ383" s="1247"/>
      <c r="AK383" s="1247"/>
      <c r="AL383" s="1247"/>
      <c r="AM383" s="1247"/>
      <c r="AN383" s="1247"/>
      <c r="AO383" s="1247"/>
      <c r="AP383" s="1247"/>
      <c r="AQ383" s="1247"/>
      <c r="AR383" s="1247"/>
      <c r="AS383" s="1247"/>
      <c r="AT383" s="1247"/>
      <c r="AU383" s="1247"/>
      <c r="AV383" s="1247"/>
      <c r="AW383" s="1247"/>
      <c r="AX383" s="1247"/>
      <c r="AY383" s="1247"/>
      <c r="AZ383" s="1247"/>
      <c r="BA383" s="1247"/>
      <c r="BB383" s="1247"/>
      <c r="BC383" s="1247"/>
    </row>
    <row r="384" spans="2:55" s="973" customFormat="1" ht="20.25" customHeight="1">
      <c r="B384" s="1247"/>
      <c r="C384" s="1247"/>
      <c r="D384" s="1247"/>
      <c r="E384" s="1247"/>
      <c r="F384" s="1247"/>
      <c r="G384" s="1247"/>
      <c r="H384" s="1247"/>
      <c r="I384" s="1247"/>
      <c r="J384" s="1247"/>
      <c r="K384" s="1247"/>
      <c r="L384" s="1247"/>
      <c r="M384" s="1247"/>
      <c r="N384" s="1247"/>
      <c r="O384" s="1247"/>
      <c r="P384" s="1247"/>
      <c r="Q384" s="1247"/>
      <c r="R384" s="1247"/>
      <c r="S384" s="1247"/>
      <c r="T384" s="1247"/>
      <c r="U384" s="1247"/>
      <c r="V384" s="1247"/>
      <c r="W384" s="1247"/>
      <c r="X384" s="1247"/>
      <c r="Y384" s="1247"/>
      <c r="Z384" s="1247"/>
      <c r="AA384" s="1247"/>
      <c r="AB384" s="1247"/>
      <c r="AC384" s="1247"/>
      <c r="AD384" s="1247"/>
      <c r="AE384" s="1247"/>
      <c r="AF384" s="1247"/>
      <c r="AG384" s="1247"/>
      <c r="AH384" s="1247"/>
      <c r="AI384" s="1247"/>
      <c r="AJ384" s="1247"/>
      <c r="AK384" s="1247"/>
      <c r="AL384" s="1247"/>
      <c r="AM384" s="1247"/>
      <c r="AN384" s="1247"/>
      <c r="AO384" s="1247"/>
      <c r="AP384" s="1247"/>
      <c r="AQ384" s="1247"/>
      <c r="AR384" s="1247"/>
      <c r="AS384" s="1247"/>
      <c r="AT384" s="1247"/>
      <c r="AU384" s="1247"/>
      <c r="AV384" s="1247"/>
      <c r="AW384" s="1247"/>
      <c r="AX384" s="1247"/>
      <c r="AY384" s="1247"/>
      <c r="AZ384" s="1247"/>
      <c r="BA384" s="1247"/>
      <c r="BB384" s="1247"/>
      <c r="BC384" s="1247"/>
    </row>
    <row r="385" spans="2:55" s="973" customFormat="1" ht="20.25" customHeight="1">
      <c r="B385" s="1247"/>
      <c r="C385" s="1247"/>
      <c r="D385" s="1247"/>
      <c r="E385" s="1247"/>
      <c r="F385" s="1247"/>
      <c r="G385" s="1247"/>
      <c r="H385" s="1247"/>
      <c r="I385" s="1247"/>
      <c r="J385" s="1247"/>
      <c r="K385" s="1247"/>
      <c r="L385" s="1247"/>
      <c r="M385" s="1247"/>
      <c r="N385" s="1247"/>
      <c r="O385" s="1247"/>
      <c r="P385" s="1247"/>
      <c r="Q385" s="1247"/>
      <c r="R385" s="1247"/>
      <c r="S385" s="1247"/>
      <c r="T385" s="1247"/>
      <c r="U385" s="1247"/>
      <c r="V385" s="1247"/>
      <c r="W385" s="1247"/>
      <c r="X385" s="1247"/>
      <c r="Y385" s="1247"/>
      <c r="Z385" s="1247"/>
      <c r="AA385" s="1247"/>
      <c r="AB385" s="1247"/>
      <c r="AC385" s="1247"/>
      <c r="AD385" s="1247"/>
      <c r="AE385" s="1247"/>
      <c r="AF385" s="1247"/>
      <c r="AG385" s="1247"/>
      <c r="AH385" s="1247"/>
      <c r="AI385" s="1247"/>
      <c r="AJ385" s="1247"/>
      <c r="AK385" s="1247"/>
      <c r="AL385" s="1247"/>
      <c r="AM385" s="1247"/>
      <c r="AN385" s="1247"/>
      <c r="AO385" s="1247"/>
      <c r="AP385" s="1247"/>
      <c r="AQ385" s="1247"/>
      <c r="AR385" s="1247"/>
      <c r="AS385" s="1247"/>
      <c r="AT385" s="1247"/>
      <c r="AU385" s="1247"/>
      <c r="AV385" s="1247"/>
      <c r="AW385" s="1247"/>
      <c r="AX385" s="1247"/>
      <c r="AY385" s="1247"/>
      <c r="AZ385" s="1247"/>
      <c r="BA385" s="1247"/>
      <c r="BB385" s="1247"/>
      <c r="BC385" s="1247"/>
    </row>
    <row r="386" spans="2:55" s="973" customFormat="1" ht="20.25" customHeight="1">
      <c r="B386" s="1247"/>
      <c r="C386" s="1247"/>
      <c r="D386" s="1247"/>
      <c r="E386" s="1247"/>
      <c r="F386" s="1247"/>
      <c r="G386" s="1247"/>
      <c r="H386" s="1247"/>
      <c r="I386" s="1247"/>
      <c r="J386" s="1247"/>
      <c r="K386" s="1247"/>
      <c r="L386" s="1247"/>
      <c r="M386" s="1247"/>
      <c r="N386" s="1247"/>
      <c r="O386" s="1247"/>
      <c r="P386" s="1247"/>
      <c r="Q386" s="1247"/>
      <c r="R386" s="1247"/>
      <c r="S386" s="1247"/>
      <c r="T386" s="1247"/>
      <c r="U386" s="1247"/>
      <c r="V386" s="1247"/>
      <c r="W386" s="1247"/>
      <c r="X386" s="1247"/>
      <c r="Y386" s="1247"/>
      <c r="Z386" s="1247"/>
      <c r="AA386" s="1247"/>
      <c r="AB386" s="1247"/>
      <c r="AC386" s="1247"/>
      <c r="AD386" s="1247"/>
      <c r="AE386" s="1247"/>
      <c r="AF386" s="1247"/>
      <c r="AG386" s="1247"/>
      <c r="AH386" s="1247"/>
      <c r="AI386" s="1247"/>
      <c r="AJ386" s="1247"/>
      <c r="AK386" s="1247"/>
      <c r="AL386" s="1247"/>
      <c r="AM386" s="1247"/>
      <c r="AN386" s="1247"/>
      <c r="AO386" s="1247"/>
      <c r="AP386" s="1247"/>
      <c r="AQ386" s="1247"/>
      <c r="AR386" s="1247"/>
      <c r="AS386" s="1247"/>
      <c r="AT386" s="1247"/>
      <c r="AU386" s="1247"/>
      <c r="AV386" s="1247"/>
      <c r="AW386" s="1247"/>
      <c r="AX386" s="1247"/>
      <c r="AY386" s="1247"/>
      <c r="AZ386" s="1247"/>
      <c r="BA386" s="1247"/>
      <c r="BB386" s="1247"/>
      <c r="BC386" s="1247"/>
    </row>
    <row r="387" spans="2:55" s="973" customFormat="1" ht="20.25" customHeight="1">
      <c r="B387" s="1247"/>
      <c r="C387" s="1247"/>
      <c r="D387" s="1247"/>
      <c r="E387" s="1247"/>
      <c r="F387" s="1247"/>
      <c r="G387" s="1247"/>
      <c r="H387" s="1247"/>
      <c r="I387" s="1247"/>
      <c r="J387" s="1247"/>
      <c r="K387" s="1247"/>
      <c r="L387" s="1247"/>
      <c r="M387" s="1247"/>
      <c r="N387" s="1247"/>
      <c r="O387" s="1247"/>
      <c r="P387" s="1247"/>
      <c r="Q387" s="1247"/>
      <c r="R387" s="1247"/>
      <c r="S387" s="1247"/>
      <c r="T387" s="1247"/>
      <c r="U387" s="1247"/>
      <c r="V387" s="1247"/>
      <c r="W387" s="1247"/>
      <c r="X387" s="1247"/>
      <c r="Y387" s="1247"/>
      <c r="Z387" s="1247"/>
      <c r="AA387" s="1247"/>
      <c r="AB387" s="1247"/>
      <c r="AC387" s="1247"/>
      <c r="AD387" s="1247"/>
      <c r="AE387" s="1247"/>
      <c r="AF387" s="1247"/>
      <c r="AG387" s="1247"/>
      <c r="AH387" s="1247"/>
      <c r="AI387" s="1247"/>
      <c r="AJ387" s="1247"/>
      <c r="AK387" s="1247"/>
      <c r="AL387" s="1247"/>
      <c r="AM387" s="1247"/>
      <c r="AN387" s="1247"/>
      <c r="AO387" s="1247"/>
      <c r="AP387" s="1247"/>
      <c r="AQ387" s="1247"/>
      <c r="AR387" s="1247"/>
      <c r="AS387" s="1247"/>
      <c r="AT387" s="1247"/>
      <c r="AU387" s="1247"/>
      <c r="AV387" s="1247"/>
      <c r="AW387" s="1247"/>
      <c r="AX387" s="1247"/>
      <c r="AY387" s="1247"/>
      <c r="AZ387" s="1247"/>
      <c r="BA387" s="1247"/>
      <c r="BB387" s="1247"/>
      <c r="BC387" s="1247"/>
    </row>
    <row r="388" spans="2:55" s="973" customFormat="1" ht="20.25" customHeight="1">
      <c r="B388" s="1247"/>
      <c r="C388" s="1247"/>
      <c r="D388" s="1247"/>
      <c r="E388" s="1247"/>
      <c r="F388" s="1247"/>
      <c r="G388" s="1247"/>
      <c r="H388" s="1247"/>
      <c r="I388" s="1247"/>
      <c r="J388" s="1247"/>
      <c r="K388" s="1247"/>
      <c r="L388" s="1247"/>
      <c r="M388" s="1247"/>
      <c r="N388" s="1247"/>
      <c r="O388" s="1247"/>
      <c r="P388" s="1247"/>
      <c r="Q388" s="1247"/>
      <c r="R388" s="1247"/>
      <c r="S388" s="1247"/>
      <c r="T388" s="1247"/>
      <c r="U388" s="1247"/>
      <c r="V388" s="1247"/>
      <c r="W388" s="1247"/>
      <c r="X388" s="1247"/>
      <c r="Y388" s="1247"/>
      <c r="Z388" s="1247"/>
      <c r="AA388" s="1247"/>
      <c r="AB388" s="1247"/>
      <c r="AC388" s="1247"/>
      <c r="AD388" s="1247"/>
      <c r="AE388" s="1247"/>
      <c r="AF388" s="1247"/>
      <c r="AG388" s="1247"/>
      <c r="AH388" s="1247"/>
      <c r="AI388" s="1247"/>
      <c r="AJ388" s="1247"/>
      <c r="AK388" s="1247"/>
      <c r="AL388" s="1247"/>
      <c r="AM388" s="1247"/>
      <c r="AN388" s="1247"/>
      <c r="AO388" s="1247"/>
      <c r="AP388" s="1247"/>
      <c r="AQ388" s="1247"/>
      <c r="AR388" s="1247"/>
      <c r="AS388" s="1247"/>
      <c r="AT388" s="1247"/>
      <c r="AU388" s="1247"/>
      <c r="AV388" s="1247"/>
      <c r="AW388" s="1247"/>
      <c r="AX388" s="1247"/>
      <c r="AY388" s="1247"/>
      <c r="AZ388" s="1247"/>
      <c r="BA388" s="1247"/>
      <c r="BB388" s="1247"/>
      <c r="BC388" s="1247"/>
    </row>
    <row r="389" spans="2:55" s="973" customFormat="1" ht="20.25" customHeight="1">
      <c r="B389" s="1247"/>
      <c r="C389" s="1247"/>
      <c r="D389" s="1247"/>
      <c r="E389" s="1247"/>
      <c r="F389" s="1247"/>
      <c r="G389" s="1247"/>
      <c r="H389" s="1247"/>
      <c r="I389" s="1247"/>
      <c r="J389" s="1247"/>
      <c r="K389" s="1247"/>
      <c r="L389" s="1247"/>
      <c r="M389" s="1247"/>
      <c r="N389" s="1247"/>
      <c r="O389" s="1247"/>
      <c r="P389" s="1247"/>
      <c r="Q389" s="1247"/>
      <c r="R389" s="1247"/>
      <c r="S389" s="1247"/>
      <c r="T389" s="1247"/>
      <c r="U389" s="1247"/>
      <c r="V389" s="1247"/>
      <c r="W389" s="1247"/>
      <c r="X389" s="1247"/>
      <c r="Y389" s="1247"/>
      <c r="Z389" s="1247"/>
      <c r="AA389" s="1247"/>
      <c r="AB389" s="1247"/>
      <c r="AC389" s="1247"/>
      <c r="AD389" s="1247"/>
      <c r="AE389" s="1247"/>
      <c r="AF389" s="1247"/>
      <c r="AG389" s="1247"/>
      <c r="AH389" s="1247"/>
      <c r="AI389" s="1247"/>
      <c r="AJ389" s="1247"/>
      <c r="AK389" s="1247"/>
      <c r="AL389" s="1247"/>
      <c r="AM389" s="1247"/>
      <c r="AN389" s="1247"/>
      <c r="AO389" s="1247"/>
      <c r="AP389" s="1247"/>
      <c r="AQ389" s="1247"/>
      <c r="AR389" s="1247"/>
      <c r="AS389" s="1247"/>
      <c r="AT389" s="1247"/>
      <c r="AU389" s="1247"/>
      <c r="AV389" s="1247"/>
      <c r="AW389" s="1247"/>
      <c r="AX389" s="1247"/>
      <c r="AY389" s="1247"/>
      <c r="AZ389" s="1247"/>
      <c r="BA389" s="1247"/>
      <c r="BB389" s="1247"/>
      <c r="BC389" s="1247"/>
    </row>
    <row r="390" spans="2:55" s="973" customFormat="1" ht="20.25" customHeight="1">
      <c r="B390" s="1247"/>
      <c r="C390" s="1247"/>
      <c r="D390" s="1247"/>
      <c r="E390" s="1247"/>
      <c r="F390" s="1247"/>
      <c r="G390" s="1247"/>
      <c r="H390" s="1247"/>
      <c r="I390" s="1247"/>
      <c r="J390" s="1247"/>
      <c r="K390" s="1247"/>
      <c r="L390" s="1247"/>
      <c r="M390" s="1247"/>
      <c r="N390" s="1247"/>
      <c r="O390" s="1247"/>
      <c r="P390" s="1247"/>
      <c r="Q390" s="1247"/>
      <c r="R390" s="1247"/>
      <c r="S390" s="1247"/>
      <c r="T390" s="1247"/>
      <c r="U390" s="1247"/>
      <c r="V390" s="1247"/>
      <c r="W390" s="1247"/>
      <c r="X390" s="1247"/>
      <c r="Y390" s="1247"/>
      <c r="Z390" s="1247"/>
      <c r="AA390" s="1247"/>
      <c r="AB390" s="1247"/>
      <c r="AC390" s="1247"/>
      <c r="AD390" s="1247"/>
      <c r="AE390" s="1247"/>
      <c r="AF390" s="1247"/>
      <c r="AG390" s="1247"/>
      <c r="AH390" s="1247"/>
      <c r="AI390" s="1247"/>
      <c r="AJ390" s="1247"/>
      <c r="AK390" s="1247"/>
      <c r="AL390" s="1247"/>
      <c r="AM390" s="1247"/>
      <c r="AN390" s="1247"/>
      <c r="AO390" s="1247"/>
      <c r="AP390" s="1247"/>
      <c r="AQ390" s="1247"/>
      <c r="AR390" s="1247"/>
      <c r="AS390" s="1247"/>
      <c r="AT390" s="1247"/>
      <c r="AU390" s="1247"/>
      <c r="AV390" s="1247"/>
      <c r="AW390" s="1247"/>
      <c r="AX390" s="1247"/>
      <c r="AY390" s="1247"/>
      <c r="AZ390" s="1247"/>
      <c r="BA390" s="1247"/>
      <c r="BB390" s="1247"/>
      <c r="BC390" s="1247"/>
    </row>
    <row r="391" spans="2:55" s="973" customFormat="1" ht="20.25" customHeight="1">
      <c r="B391" s="1247"/>
      <c r="C391" s="1247"/>
      <c r="D391" s="1247"/>
      <c r="E391" s="1247"/>
      <c r="F391" s="1247"/>
      <c r="G391" s="1247"/>
      <c r="H391" s="1247"/>
      <c r="I391" s="1247"/>
      <c r="J391" s="1247"/>
      <c r="K391" s="1247"/>
      <c r="L391" s="1247"/>
      <c r="M391" s="1247"/>
      <c r="N391" s="1247"/>
      <c r="O391" s="1247"/>
      <c r="P391" s="1247"/>
      <c r="Q391" s="1247"/>
      <c r="R391" s="1247"/>
      <c r="S391" s="1247"/>
      <c r="T391" s="1247"/>
      <c r="U391" s="1247"/>
      <c r="V391" s="1247"/>
      <c r="W391" s="1247"/>
      <c r="X391" s="1247"/>
      <c r="Y391" s="1247"/>
      <c r="Z391" s="1247"/>
      <c r="AA391" s="1247"/>
      <c r="AB391" s="1247"/>
      <c r="AC391" s="1247"/>
      <c r="AD391" s="1247"/>
      <c r="AE391" s="1247"/>
      <c r="AF391" s="1247"/>
      <c r="AG391" s="1247"/>
      <c r="AH391" s="1247"/>
      <c r="AI391" s="1247"/>
      <c r="AJ391" s="1247"/>
      <c r="AK391" s="1247"/>
      <c r="AL391" s="1247"/>
      <c r="AM391" s="1247"/>
      <c r="AN391" s="1247"/>
      <c r="AO391" s="1247"/>
      <c r="AP391" s="1247"/>
      <c r="AQ391" s="1247"/>
      <c r="AR391" s="1247"/>
      <c r="AS391" s="1247"/>
      <c r="AT391" s="1247"/>
      <c r="AU391" s="1247"/>
      <c r="AV391" s="1247"/>
      <c r="AW391" s="1247"/>
      <c r="AX391" s="1247"/>
      <c r="AY391" s="1247"/>
      <c r="AZ391" s="1247"/>
      <c r="BA391" s="1247"/>
      <c r="BB391" s="1247"/>
      <c r="BC391" s="1247"/>
    </row>
    <row r="392" spans="2:55" s="973" customFormat="1" ht="20.25" customHeight="1">
      <c r="B392" s="1247"/>
      <c r="C392" s="1247"/>
      <c r="D392" s="1247"/>
      <c r="E392" s="1247"/>
      <c r="F392" s="1247"/>
      <c r="G392" s="1247"/>
      <c r="H392" s="1247"/>
      <c r="I392" s="1247"/>
      <c r="J392" s="1247"/>
      <c r="K392" s="1247"/>
      <c r="L392" s="1247"/>
      <c r="M392" s="1247"/>
      <c r="N392" s="1247"/>
      <c r="O392" s="1247"/>
      <c r="P392" s="1247"/>
      <c r="Q392" s="1247"/>
      <c r="R392" s="1247"/>
      <c r="S392" s="1247"/>
      <c r="T392" s="1247"/>
      <c r="U392" s="1247"/>
      <c r="V392" s="1247"/>
      <c r="W392" s="1247"/>
      <c r="X392" s="1247"/>
      <c r="Y392" s="1247"/>
      <c r="Z392" s="1247"/>
      <c r="AA392" s="1247"/>
      <c r="AB392" s="1247"/>
      <c r="AC392" s="1247"/>
      <c r="AD392" s="1247"/>
      <c r="AE392" s="1247"/>
      <c r="AF392" s="1247"/>
      <c r="AG392" s="1247"/>
      <c r="AH392" s="1247"/>
      <c r="AI392" s="1247"/>
      <c r="AJ392" s="1247"/>
      <c r="AK392" s="1247"/>
      <c r="AL392" s="1247"/>
      <c r="AM392" s="1247"/>
      <c r="AN392" s="1247"/>
      <c r="AO392" s="1247"/>
      <c r="AP392" s="1247"/>
      <c r="AQ392" s="1247"/>
      <c r="AR392" s="1247"/>
      <c r="AS392" s="1247"/>
      <c r="AT392" s="1247"/>
      <c r="AU392" s="1247"/>
      <c r="AV392" s="1247"/>
      <c r="AW392" s="1247"/>
      <c r="AX392" s="1247"/>
      <c r="AY392" s="1247"/>
      <c r="AZ392" s="1247"/>
      <c r="BA392" s="1247"/>
      <c r="BB392" s="1247"/>
      <c r="BC392" s="1247"/>
    </row>
    <row r="393" spans="2:55" s="973" customFormat="1" ht="20.25" customHeight="1">
      <c r="B393" s="1247"/>
      <c r="C393" s="1247"/>
      <c r="D393" s="1247"/>
      <c r="E393" s="1247"/>
      <c r="F393" s="1247"/>
      <c r="G393" s="1247"/>
      <c r="H393" s="1247"/>
      <c r="I393" s="1247"/>
      <c r="J393" s="1247"/>
      <c r="K393" s="1247"/>
      <c r="L393" s="1247"/>
      <c r="M393" s="1247"/>
      <c r="N393" s="1247"/>
      <c r="O393" s="1247"/>
      <c r="P393" s="1247"/>
      <c r="Q393" s="1247"/>
      <c r="R393" s="1247"/>
      <c r="S393" s="1247"/>
      <c r="T393" s="1247"/>
      <c r="U393" s="1247"/>
      <c r="V393" s="1247"/>
      <c r="W393" s="1247"/>
      <c r="X393" s="1247"/>
      <c r="Y393" s="1247"/>
      <c r="Z393" s="1247"/>
      <c r="AA393" s="1247"/>
      <c r="AB393" s="1247"/>
      <c r="AC393" s="1247"/>
      <c r="AD393" s="1247"/>
      <c r="AE393" s="1247"/>
      <c r="AF393" s="1247"/>
      <c r="AG393" s="1247"/>
      <c r="AH393" s="1247"/>
      <c r="AI393" s="1247"/>
      <c r="AJ393" s="1247"/>
      <c r="AK393" s="1247"/>
      <c r="AL393" s="1247"/>
      <c r="AM393" s="1247"/>
      <c r="AN393" s="1247"/>
      <c r="AO393" s="1247"/>
      <c r="AP393" s="1247"/>
      <c r="AQ393" s="1247"/>
      <c r="AR393" s="1247"/>
      <c r="AS393" s="1247"/>
      <c r="AT393" s="1247"/>
      <c r="AU393" s="1247"/>
      <c r="AV393" s="1247"/>
      <c r="AW393" s="1247"/>
      <c r="AX393" s="1247"/>
      <c r="AY393" s="1247"/>
      <c r="AZ393" s="1247"/>
      <c r="BA393" s="1247"/>
      <c r="BB393" s="1247"/>
      <c r="BC393" s="1247"/>
    </row>
    <row r="394" spans="2:55" s="973" customFormat="1" ht="20.25" customHeight="1">
      <c r="B394" s="1247"/>
      <c r="C394" s="1247"/>
      <c r="D394" s="1247"/>
      <c r="E394" s="1247"/>
      <c r="F394" s="1247"/>
      <c r="G394" s="1247"/>
      <c r="H394" s="1247"/>
      <c r="I394" s="1247"/>
      <c r="J394" s="1247"/>
      <c r="K394" s="1247"/>
      <c r="L394" s="1247"/>
      <c r="M394" s="1247"/>
      <c r="N394" s="1247"/>
      <c r="O394" s="1247"/>
      <c r="P394" s="1247"/>
      <c r="Q394" s="1247"/>
      <c r="R394" s="1247"/>
      <c r="S394" s="1247"/>
      <c r="T394" s="1247"/>
      <c r="U394" s="1247"/>
      <c r="V394" s="1247"/>
      <c r="W394" s="1247"/>
      <c r="X394" s="1247"/>
      <c r="Y394" s="1247"/>
      <c r="Z394" s="1247"/>
      <c r="AA394" s="1247"/>
      <c r="AB394" s="1247"/>
      <c r="AC394" s="1247"/>
      <c r="AD394" s="1247"/>
      <c r="AE394" s="1247"/>
      <c r="AF394" s="1247"/>
      <c r="AG394" s="1247"/>
      <c r="AH394" s="1247"/>
      <c r="AI394" s="1247"/>
      <c r="AJ394" s="1247"/>
      <c r="AK394" s="1247"/>
      <c r="AL394" s="1247"/>
      <c r="AM394" s="1247"/>
      <c r="AN394" s="1247"/>
      <c r="AO394" s="1247"/>
      <c r="AP394" s="1247"/>
      <c r="AQ394" s="1247"/>
      <c r="AR394" s="1247"/>
      <c r="AS394" s="1247"/>
      <c r="AT394" s="1247"/>
      <c r="AU394" s="1247"/>
      <c r="AV394" s="1247"/>
      <c r="AW394" s="1247"/>
      <c r="AX394" s="1247"/>
      <c r="AY394" s="1247"/>
      <c r="AZ394" s="1247"/>
      <c r="BA394" s="1247"/>
      <c r="BB394" s="1247"/>
      <c r="BC394" s="1247"/>
    </row>
    <row r="395" spans="2:55" s="973" customFormat="1" ht="20.25" customHeight="1">
      <c r="B395" s="1247"/>
      <c r="C395" s="1247"/>
      <c r="D395" s="1247"/>
      <c r="E395" s="1247"/>
      <c r="F395" s="1247"/>
      <c r="G395" s="1247"/>
      <c r="H395" s="1247"/>
      <c r="I395" s="1247"/>
      <c r="J395" s="1247"/>
      <c r="K395" s="1247"/>
      <c r="L395" s="1247"/>
      <c r="M395" s="1247"/>
      <c r="N395" s="1247"/>
      <c r="O395" s="1247"/>
      <c r="P395" s="1247"/>
      <c r="Q395" s="1247"/>
      <c r="R395" s="1247"/>
      <c r="S395" s="1247"/>
      <c r="T395" s="1247"/>
      <c r="U395" s="1247"/>
      <c r="V395" s="1247"/>
      <c r="W395" s="1247"/>
      <c r="X395" s="1247"/>
      <c r="Y395" s="1247"/>
      <c r="Z395" s="1247"/>
      <c r="AA395" s="1247"/>
      <c r="AB395" s="1247"/>
      <c r="AC395" s="1247"/>
      <c r="AD395" s="1247"/>
      <c r="AE395" s="1247"/>
      <c r="AF395" s="1247"/>
      <c r="AG395" s="1247"/>
      <c r="AH395" s="1247"/>
      <c r="AI395" s="1247"/>
      <c r="AJ395" s="1247"/>
      <c r="AK395" s="1247"/>
      <c r="AL395" s="1247"/>
      <c r="AM395" s="1247"/>
      <c r="AN395" s="1247"/>
      <c r="AO395" s="1247"/>
      <c r="AP395" s="1247"/>
      <c r="AQ395" s="1247"/>
      <c r="AR395" s="1247"/>
      <c r="AS395" s="1247"/>
      <c r="AT395" s="1247"/>
      <c r="AU395" s="1247"/>
      <c r="AV395" s="1247"/>
      <c r="AW395" s="1247"/>
      <c r="AX395" s="1247"/>
      <c r="AY395" s="1247"/>
      <c r="AZ395" s="1247"/>
      <c r="BA395" s="1247"/>
      <c r="BB395" s="1247"/>
      <c r="BC395" s="1247"/>
    </row>
    <row r="396" spans="2:55" s="973" customFormat="1" ht="20.25" customHeight="1">
      <c r="B396" s="1247"/>
      <c r="C396" s="1247"/>
      <c r="D396" s="1247"/>
      <c r="E396" s="1247"/>
      <c r="F396" s="1247"/>
      <c r="G396" s="1247"/>
      <c r="H396" s="1247"/>
      <c r="I396" s="1247"/>
      <c r="J396" s="1247"/>
      <c r="K396" s="1247"/>
      <c r="L396" s="1247"/>
      <c r="M396" s="1247"/>
      <c r="N396" s="1247"/>
      <c r="O396" s="1247"/>
      <c r="P396" s="1247"/>
      <c r="Q396" s="1247"/>
      <c r="R396" s="1247"/>
      <c r="S396" s="1247"/>
      <c r="T396" s="1247"/>
      <c r="U396" s="1247"/>
      <c r="V396" s="1247"/>
      <c r="W396" s="1247"/>
      <c r="X396" s="1247"/>
      <c r="Y396" s="1247"/>
      <c r="Z396" s="1247"/>
      <c r="AA396" s="1247"/>
      <c r="AB396" s="1247"/>
      <c r="AC396" s="1247"/>
      <c r="AD396" s="1247"/>
      <c r="AE396" s="1247"/>
      <c r="AF396" s="1247"/>
      <c r="AG396" s="1247"/>
      <c r="AH396" s="1247"/>
      <c r="AI396" s="1247"/>
      <c r="AJ396" s="1247"/>
      <c r="AK396" s="1247"/>
      <c r="AL396" s="1247"/>
      <c r="AM396" s="1247"/>
      <c r="AN396" s="1247"/>
      <c r="AO396" s="1247"/>
      <c r="AP396" s="1247"/>
      <c r="AQ396" s="1247"/>
      <c r="AR396" s="1247"/>
      <c r="AS396" s="1247"/>
      <c r="AT396" s="1247"/>
      <c r="AU396" s="1247"/>
      <c r="AV396" s="1247"/>
      <c r="AW396" s="1247"/>
      <c r="AX396" s="1247"/>
      <c r="AY396" s="1247"/>
      <c r="AZ396" s="1247"/>
      <c r="BA396" s="1247"/>
      <c r="BB396" s="1247"/>
      <c r="BC396" s="1247"/>
    </row>
    <row r="397" spans="2:55" s="973" customFormat="1" ht="20.25" customHeight="1">
      <c r="B397" s="1247"/>
      <c r="C397" s="1247"/>
      <c r="D397" s="1247"/>
      <c r="E397" s="1247"/>
      <c r="F397" s="1247"/>
      <c r="G397" s="1247"/>
      <c r="H397" s="1247"/>
      <c r="I397" s="1247"/>
      <c r="J397" s="1247"/>
      <c r="K397" s="1247"/>
      <c r="L397" s="1247"/>
      <c r="M397" s="1247"/>
      <c r="N397" s="1247"/>
      <c r="O397" s="1247"/>
      <c r="P397" s="1247"/>
      <c r="Q397" s="1247"/>
      <c r="R397" s="1247"/>
      <c r="S397" s="1247"/>
      <c r="T397" s="1247"/>
      <c r="U397" s="1247"/>
      <c r="V397" s="1247"/>
      <c r="W397" s="1247"/>
      <c r="X397" s="1247"/>
      <c r="Y397" s="1247"/>
      <c r="Z397" s="1247"/>
      <c r="AA397" s="1247"/>
      <c r="AB397" s="1247"/>
      <c r="AC397" s="1247"/>
      <c r="AD397" s="1247"/>
      <c r="AE397" s="1247"/>
      <c r="AF397" s="1247"/>
      <c r="AG397" s="1247"/>
      <c r="AH397" s="1247"/>
      <c r="AI397" s="1247"/>
      <c r="AJ397" s="1247"/>
      <c r="AK397" s="1247"/>
      <c r="AL397" s="1247"/>
      <c r="AM397" s="1247"/>
      <c r="AN397" s="1247"/>
      <c r="AO397" s="1247"/>
      <c r="AP397" s="1247"/>
      <c r="AQ397" s="1247"/>
      <c r="AR397" s="1247"/>
      <c r="AS397" s="1247"/>
      <c r="AT397" s="1247"/>
      <c r="AU397" s="1247"/>
      <c r="AV397" s="1247"/>
      <c r="AW397" s="1247"/>
      <c r="AX397" s="1247"/>
      <c r="AY397" s="1247"/>
      <c r="AZ397" s="1247"/>
      <c r="BA397" s="1247"/>
      <c r="BB397" s="1247"/>
      <c r="BC397" s="1247"/>
    </row>
    <row r="398" spans="2:55" s="973" customFormat="1" ht="20.25" customHeight="1">
      <c r="B398" s="1247"/>
      <c r="C398" s="1247"/>
      <c r="D398" s="1247"/>
      <c r="E398" s="1247"/>
      <c r="F398" s="1247"/>
      <c r="G398" s="1247"/>
      <c r="H398" s="1247"/>
      <c r="I398" s="1247"/>
      <c r="J398" s="1247"/>
      <c r="K398" s="1247"/>
      <c r="L398" s="1247"/>
      <c r="M398" s="1247"/>
      <c r="N398" s="1247"/>
      <c r="O398" s="1247"/>
      <c r="P398" s="1247"/>
      <c r="Q398" s="1247"/>
      <c r="R398" s="1247"/>
      <c r="S398" s="1247"/>
      <c r="T398" s="1247"/>
      <c r="U398" s="1247"/>
      <c r="V398" s="1247"/>
      <c r="W398" s="1247"/>
      <c r="X398" s="1247"/>
      <c r="Y398" s="1247"/>
      <c r="Z398" s="1247"/>
      <c r="AA398" s="1247"/>
      <c r="AB398" s="1247"/>
      <c r="AC398" s="1247"/>
      <c r="AD398" s="1247"/>
      <c r="AE398" s="1247"/>
      <c r="AF398" s="1247"/>
      <c r="AG398" s="1247"/>
      <c r="AH398" s="1247"/>
      <c r="AI398" s="1247"/>
      <c r="AJ398" s="1247"/>
      <c r="AK398" s="1247"/>
      <c r="AL398" s="1247"/>
      <c r="AM398" s="1247"/>
      <c r="AN398" s="1247"/>
      <c r="AO398" s="1247"/>
      <c r="AP398" s="1247"/>
      <c r="AQ398" s="1247"/>
      <c r="AR398" s="1247"/>
      <c r="AS398" s="1247"/>
      <c r="AT398" s="1247"/>
      <c r="AU398" s="1247"/>
      <c r="AV398" s="1247"/>
      <c r="AW398" s="1247"/>
      <c r="AX398" s="1247"/>
      <c r="AY398" s="1247"/>
      <c r="AZ398" s="1247"/>
      <c r="BA398" s="1247"/>
      <c r="BB398" s="1247"/>
      <c r="BC398" s="1247"/>
    </row>
    <row r="399" spans="2:55" s="973" customFormat="1" ht="20.25" customHeight="1">
      <c r="B399" s="1247"/>
      <c r="C399" s="1247"/>
      <c r="D399" s="1247"/>
      <c r="E399" s="1247"/>
      <c r="F399" s="1247"/>
      <c r="G399" s="1247"/>
      <c r="H399" s="1247"/>
      <c r="I399" s="1247"/>
      <c r="J399" s="1247"/>
      <c r="K399" s="1247"/>
      <c r="L399" s="1247"/>
      <c r="M399" s="1247"/>
      <c r="N399" s="1247"/>
      <c r="O399" s="1247"/>
      <c r="P399" s="1247"/>
      <c r="Q399" s="1247"/>
      <c r="R399" s="1247"/>
      <c r="S399" s="1247"/>
      <c r="T399" s="1247"/>
      <c r="U399" s="1247"/>
      <c r="V399" s="1247"/>
      <c r="W399" s="1247"/>
      <c r="X399" s="1247"/>
      <c r="Y399" s="1247"/>
      <c r="Z399" s="1247"/>
      <c r="AA399" s="1247"/>
      <c r="AB399" s="1247"/>
      <c r="AC399" s="1247"/>
      <c r="AD399" s="1247"/>
      <c r="AE399" s="1247"/>
      <c r="AF399" s="1247"/>
      <c r="AG399" s="1247"/>
      <c r="AH399" s="1247"/>
      <c r="AI399" s="1247"/>
      <c r="AJ399" s="1247"/>
      <c r="AK399" s="1247"/>
      <c r="AL399" s="1247"/>
      <c r="AM399" s="1247"/>
      <c r="AN399" s="1247"/>
      <c r="AO399" s="1247"/>
      <c r="AP399" s="1247"/>
      <c r="AQ399" s="1247"/>
      <c r="AR399" s="1247"/>
      <c r="AS399" s="1247"/>
      <c r="AT399" s="1247"/>
      <c r="AU399" s="1247"/>
      <c r="AV399" s="1247"/>
      <c r="AW399" s="1247"/>
      <c r="AX399" s="1247"/>
      <c r="AY399" s="1247"/>
      <c r="AZ399" s="1247"/>
      <c r="BA399" s="1247"/>
      <c r="BB399" s="1247"/>
      <c r="BC399" s="1247"/>
    </row>
    <row r="400" spans="2:55" s="973" customFormat="1" ht="20.25" customHeight="1">
      <c r="B400" s="1247"/>
      <c r="C400" s="1247"/>
      <c r="D400" s="1247"/>
      <c r="E400" s="1247"/>
      <c r="F400" s="1247"/>
      <c r="G400" s="1247"/>
      <c r="H400" s="1247"/>
      <c r="I400" s="1247"/>
      <c r="J400" s="1247"/>
      <c r="K400" s="1247"/>
      <c r="L400" s="1247"/>
      <c r="M400" s="1247"/>
      <c r="N400" s="1247"/>
      <c r="O400" s="1247"/>
      <c r="P400" s="1247"/>
      <c r="Q400" s="1247"/>
      <c r="R400" s="1247"/>
      <c r="S400" s="1247"/>
      <c r="T400" s="1247"/>
      <c r="U400" s="1247"/>
      <c r="V400" s="1247"/>
      <c r="W400" s="1247"/>
      <c r="X400" s="1247"/>
      <c r="Y400" s="1247"/>
      <c r="Z400" s="1247"/>
      <c r="AA400" s="1247"/>
      <c r="AB400" s="1247"/>
      <c r="AC400" s="1247"/>
      <c r="AD400" s="1247"/>
      <c r="AE400" s="1247"/>
      <c r="AF400" s="1247"/>
      <c r="AG400" s="1247"/>
      <c r="AH400" s="1247"/>
      <c r="AI400" s="1247"/>
      <c r="AJ400" s="1247"/>
      <c r="AK400" s="1247"/>
      <c r="AL400" s="1247"/>
      <c r="AM400" s="1247"/>
      <c r="AN400" s="1247"/>
      <c r="AO400" s="1247"/>
      <c r="AP400" s="1247"/>
      <c r="AQ400" s="1247"/>
      <c r="AR400" s="1247"/>
      <c r="AS400" s="1247"/>
      <c r="AT400" s="1247"/>
      <c r="AU400" s="1247"/>
      <c r="AV400" s="1247"/>
      <c r="AW400" s="1247"/>
      <c r="AX400" s="1247"/>
      <c r="AY400" s="1247"/>
      <c r="AZ400" s="1247"/>
      <c r="BA400" s="1247"/>
      <c r="BB400" s="1247"/>
      <c r="BC400" s="1247"/>
    </row>
    <row r="401" spans="2:55" s="973" customFormat="1" ht="20.25" customHeight="1">
      <c r="B401" s="1247"/>
      <c r="C401" s="1247"/>
      <c r="D401" s="1247"/>
      <c r="E401" s="1247"/>
      <c r="F401" s="1247"/>
      <c r="G401" s="1247"/>
      <c r="H401" s="1247"/>
      <c r="I401" s="1247"/>
      <c r="J401" s="1247"/>
      <c r="K401" s="1247"/>
      <c r="L401" s="1247"/>
      <c r="M401" s="1247"/>
      <c r="N401" s="1247"/>
      <c r="O401" s="1247"/>
      <c r="P401" s="1247"/>
      <c r="Q401" s="1247"/>
      <c r="R401" s="1247"/>
      <c r="S401" s="1247"/>
      <c r="T401" s="1247"/>
      <c r="U401" s="1247"/>
      <c r="V401" s="1247"/>
      <c r="W401" s="1247"/>
      <c r="X401" s="1247"/>
      <c r="Y401" s="1247"/>
      <c r="Z401" s="1247"/>
      <c r="AA401" s="1247"/>
      <c r="AB401" s="1247"/>
      <c r="AC401" s="1247"/>
      <c r="AD401" s="1247"/>
      <c r="AE401" s="1247"/>
      <c r="AF401" s="1247"/>
      <c r="AG401" s="1247"/>
      <c r="AH401" s="1247"/>
      <c r="AI401" s="1247"/>
      <c r="AJ401" s="1247"/>
      <c r="AK401" s="1247"/>
      <c r="AL401" s="1247"/>
      <c r="AM401" s="1247"/>
      <c r="AN401" s="1247"/>
      <c r="AO401" s="1247"/>
      <c r="AP401" s="1247"/>
      <c r="AQ401" s="1247"/>
      <c r="AR401" s="1247"/>
      <c r="AS401" s="1247"/>
      <c r="AT401" s="1247"/>
      <c r="AU401" s="1247"/>
      <c r="AV401" s="1247"/>
      <c r="AW401" s="1247"/>
      <c r="AX401" s="1247"/>
      <c r="AY401" s="1247"/>
      <c r="AZ401" s="1247"/>
      <c r="BA401" s="1247"/>
      <c r="BB401" s="1247"/>
      <c r="BC401" s="1247"/>
    </row>
    <row r="402" spans="2:55" s="973" customFormat="1" ht="20.25" customHeight="1">
      <c r="B402" s="1247"/>
      <c r="C402" s="1247"/>
      <c r="D402" s="1247"/>
      <c r="E402" s="1247"/>
      <c r="F402" s="1247"/>
      <c r="G402" s="1247"/>
      <c r="H402" s="1247"/>
      <c r="I402" s="1247"/>
      <c r="J402" s="1247"/>
      <c r="K402" s="1247"/>
      <c r="L402" s="1247"/>
      <c r="M402" s="1247"/>
      <c r="N402" s="1247"/>
      <c r="O402" s="1247"/>
      <c r="P402" s="1247"/>
      <c r="Q402" s="1247"/>
      <c r="R402" s="1247"/>
      <c r="S402" s="1247"/>
      <c r="T402" s="1247"/>
      <c r="U402" s="1247"/>
      <c r="V402" s="1247"/>
      <c r="W402" s="1247"/>
      <c r="X402" s="1247"/>
      <c r="Y402" s="1247"/>
      <c r="Z402" s="1247"/>
      <c r="AA402" s="1247"/>
      <c r="AB402" s="1247"/>
      <c r="AC402" s="1247"/>
      <c r="AD402" s="1247"/>
      <c r="AE402" s="1247"/>
      <c r="AF402" s="1247"/>
      <c r="AG402" s="1247"/>
      <c r="AH402" s="1247"/>
      <c r="AI402" s="1247"/>
      <c r="AJ402" s="1247"/>
      <c r="AK402" s="1247"/>
      <c r="AL402" s="1247"/>
      <c r="AM402" s="1247"/>
      <c r="AN402" s="1247"/>
      <c r="AO402" s="1247"/>
      <c r="AP402" s="1247"/>
      <c r="AQ402" s="1247"/>
      <c r="AR402" s="1247"/>
      <c r="AS402" s="1247"/>
      <c r="AT402" s="1247"/>
      <c r="AU402" s="1247"/>
      <c r="AV402" s="1247"/>
      <c r="AW402" s="1247"/>
      <c r="AX402" s="1247"/>
      <c r="AY402" s="1247"/>
      <c r="AZ402" s="1247"/>
      <c r="BA402" s="1247"/>
      <c r="BB402" s="1247"/>
      <c r="BC402" s="1247"/>
    </row>
    <row r="403" spans="2:55" s="973" customFormat="1" ht="20.25" customHeight="1">
      <c r="B403" s="1247"/>
      <c r="C403" s="1247"/>
      <c r="D403" s="1247"/>
      <c r="E403" s="1247"/>
      <c r="F403" s="1247"/>
      <c r="G403" s="1247"/>
      <c r="H403" s="1247"/>
      <c r="I403" s="1247"/>
      <c r="J403" s="1247"/>
      <c r="K403" s="1247"/>
      <c r="L403" s="1247"/>
      <c r="M403" s="1247"/>
      <c r="N403" s="1247"/>
      <c r="O403" s="1247"/>
      <c r="P403" s="1247"/>
      <c r="Q403" s="1247"/>
      <c r="R403" s="1247"/>
      <c r="S403" s="1247"/>
      <c r="T403" s="1247"/>
      <c r="U403" s="1247"/>
      <c r="V403" s="1247"/>
      <c r="W403" s="1247"/>
      <c r="X403" s="1247"/>
      <c r="Y403" s="1247"/>
      <c r="Z403" s="1247"/>
      <c r="AA403" s="1247"/>
      <c r="AB403" s="1247"/>
      <c r="AC403" s="1247"/>
      <c r="AD403" s="1247"/>
      <c r="AE403" s="1247"/>
      <c r="AF403" s="1247"/>
      <c r="AG403" s="1247"/>
      <c r="AH403" s="1247"/>
      <c r="AI403" s="1247"/>
      <c r="AJ403" s="1247"/>
      <c r="AK403" s="1247"/>
      <c r="AL403" s="1247"/>
      <c r="AM403" s="1247"/>
      <c r="AN403" s="1247"/>
      <c r="AO403" s="1247"/>
      <c r="AP403" s="1247"/>
      <c r="AQ403" s="1247"/>
      <c r="AR403" s="1247"/>
      <c r="AS403" s="1247"/>
      <c r="AT403" s="1247"/>
      <c r="AU403" s="1247"/>
      <c r="AV403" s="1247"/>
      <c r="AW403" s="1247"/>
      <c r="AX403" s="1247"/>
      <c r="AY403" s="1247"/>
      <c r="AZ403" s="1247"/>
      <c r="BA403" s="1247"/>
      <c r="BB403" s="1247"/>
      <c r="BC403" s="1247"/>
    </row>
    <row r="404" spans="2:55" s="973" customFormat="1" ht="20.25" customHeight="1">
      <c r="B404" s="1247"/>
      <c r="C404" s="1247"/>
      <c r="D404" s="1247"/>
      <c r="E404" s="1247"/>
      <c r="F404" s="1247"/>
      <c r="G404" s="1247"/>
      <c r="H404" s="1247"/>
      <c r="I404" s="1247"/>
      <c r="J404" s="1247"/>
      <c r="K404" s="1247"/>
      <c r="L404" s="1247"/>
      <c r="M404" s="1247"/>
      <c r="N404" s="1247"/>
      <c r="O404" s="1247"/>
      <c r="P404" s="1247"/>
      <c r="Q404" s="1247"/>
      <c r="R404" s="1247"/>
      <c r="S404" s="1247"/>
      <c r="T404" s="1247"/>
      <c r="U404" s="1247"/>
      <c r="V404" s="1247"/>
      <c r="W404" s="1247"/>
      <c r="X404" s="1247"/>
      <c r="Y404" s="1247"/>
      <c r="Z404" s="1247"/>
      <c r="AA404" s="1247"/>
      <c r="AB404" s="1247"/>
      <c r="AC404" s="1247"/>
      <c r="AD404" s="1247"/>
      <c r="AE404" s="1247"/>
      <c r="AF404" s="1247"/>
      <c r="AG404" s="1247"/>
      <c r="AH404" s="1247"/>
      <c r="AI404" s="1247"/>
      <c r="AJ404" s="1247"/>
      <c r="AK404" s="1247"/>
      <c r="AL404" s="1247"/>
      <c r="AM404" s="1247"/>
      <c r="AN404" s="1247"/>
      <c r="AO404" s="1247"/>
      <c r="AP404" s="1247"/>
      <c r="AQ404" s="1247"/>
      <c r="AR404" s="1247"/>
      <c r="AS404" s="1247"/>
      <c r="AT404" s="1247"/>
      <c r="AU404" s="1247"/>
      <c r="AV404" s="1247"/>
      <c r="AW404" s="1247"/>
      <c r="AX404" s="1247"/>
      <c r="AY404" s="1247"/>
      <c r="AZ404" s="1247"/>
      <c r="BA404" s="1247"/>
      <c r="BB404" s="1247"/>
      <c r="BC404" s="1247"/>
    </row>
    <row r="405" spans="2:55" s="973" customFormat="1" ht="20.25" customHeight="1">
      <c r="B405" s="1247"/>
      <c r="C405" s="1247"/>
      <c r="D405" s="1247"/>
      <c r="E405" s="1247"/>
      <c r="F405" s="1247"/>
      <c r="G405" s="1247"/>
      <c r="H405" s="1247"/>
      <c r="I405" s="1247"/>
      <c r="J405" s="1247"/>
      <c r="K405" s="1247"/>
      <c r="L405" s="1247"/>
      <c r="M405" s="1247"/>
      <c r="N405" s="1247"/>
      <c r="O405" s="1247"/>
      <c r="P405" s="1247"/>
      <c r="Q405" s="1247"/>
      <c r="R405" s="1247"/>
      <c r="S405" s="1247"/>
      <c r="T405" s="1247"/>
      <c r="U405" s="1247"/>
      <c r="V405" s="1247"/>
      <c r="W405" s="1247"/>
      <c r="X405" s="1247"/>
      <c r="Y405" s="1247"/>
      <c r="Z405" s="1247"/>
      <c r="AA405" s="1247"/>
      <c r="AB405" s="1247"/>
      <c r="AC405" s="1247"/>
      <c r="AD405" s="1247"/>
      <c r="AE405" s="1247"/>
      <c r="AF405" s="1247"/>
      <c r="AG405" s="1247"/>
      <c r="AH405" s="1247"/>
      <c r="AI405" s="1247"/>
      <c r="AJ405" s="1247"/>
      <c r="AK405" s="1247"/>
      <c r="AL405" s="1247"/>
      <c r="AM405" s="1247"/>
      <c r="AN405" s="1247"/>
      <c r="AO405" s="1247"/>
      <c r="AP405" s="1247"/>
      <c r="AQ405" s="1247"/>
      <c r="AR405" s="1247"/>
      <c r="AS405" s="1247"/>
      <c r="AT405" s="1247"/>
      <c r="AU405" s="1247"/>
      <c r="AV405" s="1247"/>
      <c r="AW405" s="1247"/>
      <c r="AX405" s="1247"/>
      <c r="AY405" s="1247"/>
      <c r="AZ405" s="1247"/>
      <c r="BA405" s="1247"/>
      <c r="BB405" s="1247"/>
      <c r="BC405" s="1247"/>
    </row>
    <row r="406" spans="2:55" s="973" customFormat="1" ht="20.25" customHeight="1">
      <c r="B406" s="1247"/>
      <c r="C406" s="1247"/>
      <c r="D406" s="1247"/>
      <c r="E406" s="1247"/>
      <c r="F406" s="1247"/>
      <c r="G406" s="1247"/>
      <c r="H406" s="1247"/>
      <c r="I406" s="1247"/>
      <c r="J406" s="1247"/>
      <c r="K406" s="1247"/>
      <c r="L406" s="1247"/>
      <c r="M406" s="1247"/>
      <c r="N406" s="1247"/>
      <c r="O406" s="1247"/>
      <c r="P406" s="1247"/>
      <c r="Q406" s="1247"/>
      <c r="R406" s="1247"/>
      <c r="S406" s="1247"/>
      <c r="T406" s="1247"/>
      <c r="U406" s="1247"/>
      <c r="V406" s="1247"/>
      <c r="W406" s="1247"/>
      <c r="X406" s="1247"/>
      <c r="Y406" s="1247"/>
      <c r="Z406" s="1247"/>
      <c r="AA406" s="1247"/>
      <c r="AB406" s="1247"/>
      <c r="AC406" s="1247"/>
      <c r="AD406" s="1247"/>
      <c r="AE406" s="1247"/>
      <c r="AF406" s="1247"/>
      <c r="AG406" s="1247"/>
      <c r="AH406" s="1247"/>
      <c r="AI406" s="1247"/>
      <c r="AJ406" s="1247"/>
      <c r="AK406" s="1247"/>
      <c r="AL406" s="1247"/>
      <c r="AM406" s="1247"/>
      <c r="AN406" s="1247"/>
      <c r="AO406" s="1247"/>
      <c r="AP406" s="1247"/>
      <c r="AQ406" s="1247"/>
      <c r="AR406" s="1247"/>
      <c r="AS406" s="1247"/>
      <c r="AT406" s="1247"/>
      <c r="AU406" s="1247"/>
      <c r="AV406" s="1247"/>
      <c r="AW406" s="1247"/>
      <c r="AX406" s="1247"/>
      <c r="AY406" s="1247"/>
      <c r="AZ406" s="1247"/>
      <c r="BA406" s="1247"/>
      <c r="BB406" s="1247"/>
      <c r="BC406" s="1247"/>
    </row>
    <row r="407" spans="2:55" s="973" customFormat="1" ht="20.25" customHeight="1">
      <c r="B407" s="1247"/>
      <c r="C407" s="1247"/>
      <c r="D407" s="1247"/>
      <c r="E407" s="1247"/>
      <c r="F407" s="1247"/>
      <c r="G407" s="1247"/>
      <c r="H407" s="1247"/>
      <c r="I407" s="1247"/>
      <c r="J407" s="1247"/>
      <c r="K407" s="1247"/>
      <c r="L407" s="1247"/>
      <c r="M407" s="1247"/>
      <c r="N407" s="1247"/>
      <c r="O407" s="1247"/>
      <c r="P407" s="1247"/>
      <c r="Q407" s="1247"/>
      <c r="R407" s="1247"/>
      <c r="S407" s="1247"/>
      <c r="T407" s="1247"/>
      <c r="U407" s="1247"/>
      <c r="V407" s="1247"/>
      <c r="W407" s="1247"/>
      <c r="X407" s="1247"/>
      <c r="Y407" s="1247"/>
      <c r="Z407" s="1247"/>
      <c r="AA407" s="1247"/>
      <c r="AB407" s="1247"/>
      <c r="AC407" s="1247"/>
      <c r="AD407" s="1247"/>
      <c r="AE407" s="1247"/>
      <c r="AF407" s="1247"/>
      <c r="AG407" s="1247"/>
      <c r="AH407" s="1247"/>
      <c r="AI407" s="1247"/>
      <c r="AJ407" s="1247"/>
      <c r="AK407" s="1247"/>
      <c r="AL407" s="1247"/>
      <c r="AM407" s="1247"/>
      <c r="AN407" s="1247"/>
      <c r="AO407" s="1247"/>
      <c r="AP407" s="1247"/>
      <c r="AQ407" s="1247"/>
      <c r="AR407" s="1247"/>
      <c r="AS407" s="1247"/>
      <c r="AT407" s="1247"/>
      <c r="AU407" s="1247"/>
      <c r="AV407" s="1247"/>
      <c r="AW407" s="1247"/>
      <c r="AX407" s="1247"/>
      <c r="AY407" s="1247"/>
      <c r="AZ407" s="1247"/>
      <c r="BA407" s="1247"/>
      <c r="BB407" s="1247"/>
      <c r="BC407" s="1247"/>
    </row>
    <row r="408" spans="2:55" s="973" customFormat="1" ht="20.25" customHeight="1">
      <c r="B408" s="1247"/>
      <c r="C408" s="1247"/>
      <c r="D408" s="1247"/>
      <c r="E408" s="1247"/>
      <c r="F408" s="1247"/>
      <c r="G408" s="1247"/>
      <c r="H408" s="1247"/>
      <c r="I408" s="1247"/>
      <c r="J408" s="1247"/>
      <c r="K408" s="1247"/>
      <c r="L408" s="1247"/>
      <c r="M408" s="1247"/>
      <c r="N408" s="1247"/>
      <c r="O408" s="1247"/>
      <c r="P408" s="1247"/>
      <c r="Q408" s="1247"/>
      <c r="R408" s="1247"/>
      <c r="S408" s="1247"/>
      <c r="T408" s="1247"/>
      <c r="U408" s="1247"/>
      <c r="V408" s="1247"/>
      <c r="W408" s="1247"/>
      <c r="X408" s="1247"/>
      <c r="Y408" s="1247"/>
      <c r="Z408" s="1247"/>
      <c r="AA408" s="1247"/>
      <c r="AB408" s="1247"/>
      <c r="AC408" s="1247"/>
      <c r="AD408" s="1247"/>
      <c r="AE408" s="1247"/>
      <c r="AF408" s="1247"/>
      <c r="AG408" s="1247"/>
      <c r="AH408" s="1247"/>
      <c r="AI408" s="1247"/>
      <c r="AJ408" s="1247"/>
      <c r="AK408" s="1247"/>
      <c r="AL408" s="1247"/>
      <c r="AM408" s="1247"/>
      <c r="AN408" s="1247"/>
      <c r="AO408" s="1247"/>
      <c r="AP408" s="1247"/>
      <c r="AQ408" s="1247"/>
      <c r="AR408" s="1247"/>
      <c r="AS408" s="1247"/>
      <c r="AT408" s="1247"/>
      <c r="AU408" s="1247"/>
      <c r="AV408" s="1247"/>
      <c r="AW408" s="1247"/>
      <c r="AX408" s="1247"/>
      <c r="AY408" s="1247"/>
      <c r="AZ408" s="1247"/>
      <c r="BA408" s="1247"/>
      <c r="BB408" s="1247"/>
      <c r="BC408" s="1247"/>
    </row>
    <row r="409" spans="2:55" s="973" customFormat="1" ht="20.25" customHeight="1">
      <c r="B409" s="1247"/>
      <c r="C409" s="1247"/>
      <c r="D409" s="1247"/>
      <c r="E409" s="1247"/>
      <c r="F409" s="1247"/>
      <c r="G409" s="1247"/>
      <c r="H409" s="1247"/>
      <c r="I409" s="1247"/>
      <c r="J409" s="1247"/>
      <c r="K409" s="1247"/>
      <c r="L409" s="1247"/>
      <c r="M409" s="1247"/>
      <c r="N409" s="1247"/>
      <c r="O409" s="1247"/>
      <c r="P409" s="1247"/>
      <c r="Q409" s="1247"/>
      <c r="R409" s="1247"/>
      <c r="S409" s="1247"/>
      <c r="T409" s="1247"/>
      <c r="U409" s="1247"/>
      <c r="V409" s="1247"/>
      <c r="W409" s="1247"/>
      <c r="X409" s="1247"/>
      <c r="Y409" s="1247"/>
      <c r="Z409" s="1247"/>
      <c r="AA409" s="1247"/>
      <c r="AB409" s="1247"/>
      <c r="AC409" s="1247"/>
      <c r="AD409" s="1247"/>
      <c r="AE409" s="1247"/>
      <c r="AF409" s="1247"/>
      <c r="AG409" s="1247"/>
      <c r="AH409" s="1247"/>
      <c r="AI409" s="1247"/>
      <c r="AJ409" s="1247"/>
      <c r="AK409" s="1247"/>
      <c r="AL409" s="1247"/>
      <c r="AM409" s="1247"/>
      <c r="AN409" s="1247"/>
      <c r="AO409" s="1247"/>
      <c r="AP409" s="1247"/>
      <c r="AQ409" s="1247"/>
      <c r="AR409" s="1247"/>
      <c r="AS409" s="1247"/>
      <c r="AT409" s="1247"/>
      <c r="AU409" s="1247"/>
      <c r="AV409" s="1247"/>
      <c r="AW409" s="1247"/>
      <c r="AX409" s="1247"/>
      <c r="AY409" s="1247"/>
      <c r="AZ409" s="1247"/>
      <c r="BA409" s="1247"/>
      <c r="BB409" s="1247"/>
      <c r="BC409" s="1247"/>
    </row>
    <row r="410" spans="2:55" s="973" customFormat="1" ht="20.25" customHeight="1">
      <c r="B410" s="1247"/>
      <c r="C410" s="1247"/>
      <c r="D410" s="1247"/>
      <c r="E410" s="1247"/>
      <c r="F410" s="1247"/>
      <c r="G410" s="1247"/>
      <c r="H410" s="1247"/>
      <c r="I410" s="1247"/>
      <c r="J410" s="1247"/>
      <c r="K410" s="1247"/>
      <c r="L410" s="1247"/>
      <c r="M410" s="1247"/>
      <c r="N410" s="1247"/>
      <c r="O410" s="1247"/>
      <c r="P410" s="1247"/>
      <c r="Q410" s="1247"/>
      <c r="R410" s="1247"/>
      <c r="S410" s="1247"/>
      <c r="T410" s="1247"/>
      <c r="U410" s="1247"/>
      <c r="V410" s="1247"/>
      <c r="W410" s="1247"/>
      <c r="X410" s="1247"/>
      <c r="Y410" s="1247"/>
      <c r="Z410" s="1247"/>
      <c r="AA410" s="1247"/>
      <c r="AB410" s="1247"/>
      <c r="AC410" s="1247"/>
      <c r="AD410" s="1247"/>
      <c r="AE410" s="1247"/>
      <c r="AF410" s="1247"/>
      <c r="AG410" s="1247"/>
      <c r="AH410" s="1247"/>
      <c r="AI410" s="1247"/>
      <c r="AJ410" s="1247"/>
      <c r="AK410" s="1247"/>
      <c r="AL410" s="1247"/>
      <c r="AM410" s="1247"/>
      <c r="AN410" s="1247"/>
      <c r="AO410" s="1247"/>
      <c r="AP410" s="1247"/>
      <c r="AQ410" s="1247"/>
      <c r="AR410" s="1247"/>
      <c r="AS410" s="1247"/>
      <c r="AT410" s="1247"/>
      <c r="AU410" s="1247"/>
      <c r="AV410" s="1247"/>
      <c r="AW410" s="1247"/>
      <c r="AX410" s="1247"/>
      <c r="AY410" s="1247"/>
      <c r="AZ410" s="1247"/>
      <c r="BA410" s="1247"/>
      <c r="BB410" s="1247"/>
      <c r="BC410" s="1247"/>
    </row>
    <row r="411" spans="2:55" s="973" customFormat="1" ht="20.25" customHeight="1">
      <c r="B411" s="1247"/>
      <c r="C411" s="1247"/>
      <c r="D411" s="1247"/>
      <c r="E411" s="1247"/>
      <c r="F411" s="1247"/>
      <c r="G411" s="1247"/>
      <c r="H411" s="1247"/>
      <c r="I411" s="1247"/>
      <c r="J411" s="1247"/>
      <c r="K411" s="1247"/>
      <c r="L411" s="1247"/>
      <c r="M411" s="1247"/>
      <c r="N411" s="1247"/>
      <c r="O411" s="1247"/>
      <c r="P411" s="1247"/>
      <c r="Q411" s="1247"/>
      <c r="R411" s="1247"/>
      <c r="S411" s="1247"/>
      <c r="T411" s="1247"/>
      <c r="U411" s="1247"/>
      <c r="V411" s="1247"/>
      <c r="W411" s="1247"/>
      <c r="X411" s="1247"/>
      <c r="Y411" s="1247"/>
      <c r="Z411" s="1247"/>
      <c r="AA411" s="1247"/>
      <c r="AB411" s="1247"/>
      <c r="AC411" s="1247"/>
      <c r="AD411" s="1247"/>
      <c r="AE411" s="1247"/>
      <c r="AF411" s="1247"/>
      <c r="AG411" s="1247"/>
      <c r="AH411" s="1247"/>
      <c r="AI411" s="1247"/>
      <c r="AJ411" s="1247"/>
      <c r="AK411" s="1247"/>
      <c r="AL411" s="1247"/>
      <c r="AM411" s="1247"/>
      <c r="AN411" s="1247"/>
      <c r="AO411" s="1247"/>
      <c r="AP411" s="1247"/>
      <c r="AQ411" s="1247"/>
      <c r="AR411" s="1247"/>
      <c r="AS411" s="1247"/>
      <c r="AT411" s="1247"/>
      <c r="AU411" s="1247"/>
      <c r="AV411" s="1247"/>
      <c r="AW411" s="1247"/>
      <c r="AX411" s="1247"/>
      <c r="AY411" s="1247"/>
      <c r="AZ411" s="1247"/>
      <c r="BA411" s="1247"/>
      <c r="BB411" s="1247"/>
      <c r="BC411" s="1247"/>
    </row>
    <row r="412" spans="2:55" s="973" customFormat="1" ht="20.25" customHeight="1">
      <c r="B412" s="1247"/>
      <c r="C412" s="1247"/>
      <c r="D412" s="1247"/>
      <c r="E412" s="1247"/>
      <c r="F412" s="1247"/>
      <c r="G412" s="1247"/>
      <c r="H412" s="1247"/>
      <c r="I412" s="1247"/>
      <c r="J412" s="1247"/>
      <c r="K412" s="1247"/>
      <c r="L412" s="1247"/>
      <c r="M412" s="1247"/>
      <c r="N412" s="1247"/>
      <c r="O412" s="1247"/>
      <c r="P412" s="1247"/>
      <c r="Q412" s="1247"/>
      <c r="R412" s="1247"/>
      <c r="S412" s="1247"/>
      <c r="T412" s="1247"/>
      <c r="U412" s="1247"/>
      <c r="V412" s="1247"/>
      <c r="W412" s="1247"/>
      <c r="X412" s="1247"/>
      <c r="Y412" s="1247"/>
      <c r="Z412" s="1247"/>
      <c r="AA412" s="1247"/>
      <c r="AB412" s="1247"/>
      <c r="AC412" s="1247"/>
      <c r="AD412" s="1247"/>
      <c r="AE412" s="1247"/>
      <c r="AF412" s="1247"/>
      <c r="AG412" s="1247"/>
      <c r="AH412" s="1247"/>
      <c r="AI412" s="1247"/>
      <c r="AJ412" s="1247"/>
      <c r="AK412" s="1247"/>
      <c r="AL412" s="1247"/>
      <c r="AM412" s="1247"/>
      <c r="AN412" s="1247"/>
      <c r="AO412" s="1247"/>
      <c r="AP412" s="1247"/>
      <c r="AQ412" s="1247"/>
      <c r="AR412" s="1247"/>
      <c r="AS412" s="1247"/>
      <c r="AT412" s="1247"/>
      <c r="AU412" s="1247"/>
      <c r="AV412" s="1247"/>
      <c r="AW412" s="1247"/>
      <c r="AX412" s="1247"/>
      <c r="AY412" s="1247"/>
      <c r="AZ412" s="1247"/>
      <c r="BA412" s="1247"/>
      <c r="BB412" s="1247"/>
      <c r="BC412" s="1247"/>
    </row>
    <row r="413" spans="2:55" s="973" customFormat="1" ht="20.25" customHeight="1">
      <c r="B413" s="1247"/>
      <c r="C413" s="1247"/>
      <c r="D413" s="1247"/>
      <c r="E413" s="1247"/>
      <c r="F413" s="1247"/>
      <c r="G413" s="1247"/>
      <c r="H413" s="1247"/>
      <c r="I413" s="1247"/>
      <c r="J413" s="1247"/>
      <c r="K413" s="1247"/>
      <c r="L413" s="1247"/>
      <c r="M413" s="1247"/>
      <c r="N413" s="1247"/>
      <c r="O413" s="1247"/>
      <c r="P413" s="1247"/>
      <c r="Q413" s="1247"/>
      <c r="R413" s="1247"/>
      <c r="S413" s="1247"/>
      <c r="T413" s="1247"/>
      <c r="U413" s="1247"/>
      <c r="V413" s="1247"/>
      <c r="W413" s="1247"/>
      <c r="X413" s="1247"/>
      <c r="Y413" s="1247"/>
      <c r="Z413" s="1247"/>
      <c r="AA413" s="1247"/>
      <c r="AB413" s="1247"/>
      <c r="AC413" s="1247"/>
      <c r="AD413" s="1247"/>
      <c r="AE413" s="1247"/>
      <c r="AF413" s="1247"/>
      <c r="AG413" s="1247"/>
      <c r="AH413" s="1247"/>
      <c r="AI413" s="1247"/>
      <c r="AJ413" s="1247"/>
      <c r="AK413" s="1247"/>
      <c r="AL413" s="1247"/>
      <c r="AM413" s="1247"/>
      <c r="AN413" s="1247"/>
      <c r="AO413" s="1247"/>
      <c r="AP413" s="1247"/>
      <c r="AQ413" s="1247"/>
      <c r="AR413" s="1247"/>
      <c r="AS413" s="1247"/>
      <c r="AT413" s="1247"/>
      <c r="AU413" s="1247"/>
      <c r="AV413" s="1247"/>
      <c r="AW413" s="1247"/>
      <c r="AX413" s="1247"/>
      <c r="AY413" s="1247"/>
      <c r="AZ413" s="1247"/>
      <c r="BA413" s="1247"/>
      <c r="BB413" s="1247"/>
      <c r="BC413" s="1247"/>
    </row>
    <row r="414" spans="2:55" s="973" customFormat="1" ht="20.25" customHeight="1">
      <c r="B414" s="1247"/>
      <c r="C414" s="1247"/>
      <c r="D414" s="1247"/>
      <c r="E414" s="1247"/>
      <c r="F414" s="1247"/>
      <c r="G414" s="1247"/>
      <c r="H414" s="1247"/>
      <c r="I414" s="1247"/>
      <c r="J414" s="1247"/>
      <c r="K414" s="1247"/>
      <c r="L414" s="1247"/>
      <c r="M414" s="1247"/>
      <c r="N414" s="1247"/>
      <c r="O414" s="1247"/>
      <c r="P414" s="1247"/>
      <c r="Q414" s="1247"/>
      <c r="R414" s="1247"/>
      <c r="S414" s="1247"/>
      <c r="T414" s="1247"/>
      <c r="U414" s="1247"/>
      <c r="V414" s="1247"/>
      <c r="W414" s="1247"/>
      <c r="X414" s="1247"/>
      <c r="Y414" s="1247"/>
      <c r="Z414" s="1247"/>
      <c r="AA414" s="1247"/>
      <c r="AB414" s="1247"/>
      <c r="AC414" s="1247"/>
      <c r="AD414" s="1247"/>
      <c r="AE414" s="1247"/>
      <c r="AF414" s="1247"/>
      <c r="AG414" s="1247"/>
      <c r="AH414" s="1247"/>
      <c r="AI414" s="1247"/>
      <c r="AJ414" s="1247"/>
      <c r="AK414" s="1247"/>
      <c r="AL414" s="1247"/>
      <c r="AM414" s="1247"/>
      <c r="AN414" s="1247"/>
      <c r="AO414" s="1247"/>
      <c r="AP414" s="1247"/>
      <c r="AQ414" s="1247"/>
      <c r="AR414" s="1247"/>
      <c r="AS414" s="1247"/>
      <c r="AT414" s="1247"/>
      <c r="AU414" s="1247"/>
      <c r="AV414" s="1247"/>
      <c r="AW414" s="1247"/>
      <c r="AX414" s="1247"/>
      <c r="AY414" s="1247"/>
      <c r="AZ414" s="1247"/>
      <c r="BA414" s="1247"/>
      <c r="BB414" s="1247"/>
      <c r="BC414" s="1247"/>
    </row>
    <row r="415" spans="2:55" s="973" customFormat="1" ht="20.25" customHeight="1">
      <c r="B415" s="1247"/>
      <c r="C415" s="1247"/>
      <c r="D415" s="1247"/>
      <c r="E415" s="1247"/>
      <c r="F415" s="1247"/>
      <c r="G415" s="1247"/>
      <c r="H415" s="1247"/>
      <c r="I415" s="1247"/>
      <c r="J415" s="1247"/>
      <c r="K415" s="1247"/>
      <c r="L415" s="1247"/>
      <c r="M415" s="1247"/>
      <c r="N415" s="1247"/>
      <c r="O415" s="1247"/>
      <c r="P415" s="1247"/>
      <c r="Q415" s="1247"/>
      <c r="R415" s="1247"/>
      <c r="S415" s="1247"/>
      <c r="T415" s="1247"/>
      <c r="U415" s="1247"/>
      <c r="V415" s="1247"/>
      <c r="W415" s="1247"/>
      <c r="X415" s="1247"/>
      <c r="Y415" s="1247"/>
      <c r="Z415" s="1247"/>
      <c r="AA415" s="1247"/>
      <c r="AB415" s="1247"/>
      <c r="AC415" s="1247"/>
      <c r="AD415" s="1247"/>
      <c r="AE415" s="1247"/>
      <c r="AF415" s="1247"/>
      <c r="AG415" s="1247"/>
      <c r="AH415" s="1247"/>
      <c r="AI415" s="1247"/>
      <c r="AJ415" s="1247"/>
      <c r="AK415" s="1247"/>
      <c r="AL415" s="1247"/>
      <c r="AM415" s="1247"/>
      <c r="AN415" s="1247"/>
      <c r="AO415" s="1247"/>
      <c r="AP415" s="1247"/>
      <c r="AQ415" s="1247"/>
      <c r="AR415" s="1247"/>
      <c r="AS415" s="1247"/>
      <c r="AT415" s="1247"/>
      <c r="AU415" s="1247"/>
      <c r="AV415" s="1247"/>
      <c r="AW415" s="1247"/>
      <c r="AX415" s="1247"/>
      <c r="AY415" s="1247"/>
      <c r="AZ415" s="1247"/>
      <c r="BA415" s="1247"/>
      <c r="BB415" s="1247"/>
      <c r="BC415" s="1247"/>
    </row>
    <row r="416" spans="2:55" s="973" customFormat="1" ht="20.25" customHeight="1">
      <c r="B416" s="1247"/>
      <c r="C416" s="1247"/>
      <c r="D416" s="1247"/>
      <c r="E416" s="1247"/>
      <c r="F416" s="1247"/>
      <c r="G416" s="1247"/>
      <c r="H416" s="1247"/>
      <c r="I416" s="1247"/>
      <c r="J416" s="1247"/>
      <c r="K416" s="1247"/>
      <c r="L416" s="1247"/>
      <c r="M416" s="1247"/>
      <c r="N416" s="1247"/>
      <c r="O416" s="1247"/>
      <c r="P416" s="1247"/>
      <c r="Q416" s="1247"/>
      <c r="R416" s="1247"/>
      <c r="S416" s="1247"/>
      <c r="T416" s="1247"/>
      <c r="U416" s="1247"/>
      <c r="V416" s="1247"/>
      <c r="W416" s="1247"/>
      <c r="X416" s="1247"/>
      <c r="Y416" s="1247"/>
      <c r="Z416" s="1247"/>
      <c r="AA416" s="1247"/>
      <c r="AB416" s="1247"/>
      <c r="AC416" s="1247"/>
      <c r="AD416" s="1247"/>
      <c r="AE416" s="1247"/>
      <c r="AF416" s="1247"/>
      <c r="AG416" s="1247"/>
      <c r="AH416" s="1247"/>
      <c r="AI416" s="1247"/>
      <c r="AJ416" s="1247"/>
      <c r="AK416" s="1247"/>
      <c r="AL416" s="1247"/>
      <c r="AM416" s="1247"/>
      <c r="AN416" s="1247"/>
      <c r="AO416" s="1247"/>
      <c r="AP416" s="1247"/>
      <c r="AQ416" s="1247"/>
      <c r="AR416" s="1247"/>
      <c r="AS416" s="1247"/>
      <c r="AT416" s="1247"/>
      <c r="AU416" s="1247"/>
      <c r="AV416" s="1247"/>
      <c r="AW416" s="1247"/>
      <c r="AX416" s="1247"/>
      <c r="AY416" s="1247"/>
      <c r="AZ416" s="1247"/>
      <c r="BA416" s="1247"/>
      <c r="BB416" s="1247"/>
      <c r="BC416" s="1247"/>
    </row>
    <row r="417" spans="2:55" s="973" customFormat="1" ht="20.25" customHeight="1">
      <c r="B417" s="1247"/>
      <c r="C417" s="1247"/>
      <c r="D417" s="1247"/>
      <c r="E417" s="1247"/>
      <c r="F417" s="1247"/>
      <c r="G417" s="1247"/>
      <c r="H417" s="1247"/>
      <c r="I417" s="1247"/>
      <c r="J417" s="1247"/>
      <c r="K417" s="1247"/>
      <c r="L417" s="1247"/>
      <c r="M417" s="1247"/>
      <c r="N417" s="1247"/>
      <c r="O417" s="1247"/>
      <c r="P417" s="1247"/>
      <c r="Q417" s="1247"/>
      <c r="R417" s="1247"/>
      <c r="S417" s="1247"/>
      <c r="T417" s="1247"/>
      <c r="U417" s="1247"/>
      <c r="V417" s="1247"/>
      <c r="W417" s="1247"/>
      <c r="X417" s="1247"/>
      <c r="Y417" s="1247"/>
      <c r="Z417" s="1247"/>
      <c r="AA417" s="1247"/>
      <c r="AB417" s="1247"/>
      <c r="AC417" s="1247"/>
      <c r="AD417" s="1247"/>
      <c r="AE417" s="1247"/>
      <c r="AF417" s="1247"/>
      <c r="AG417" s="1247"/>
      <c r="AH417" s="1247"/>
      <c r="AI417" s="1247"/>
      <c r="AJ417" s="1247"/>
      <c r="AK417" s="1247"/>
      <c r="AL417" s="1247"/>
      <c r="AM417" s="1247"/>
      <c r="AN417" s="1247"/>
      <c r="AO417" s="1247"/>
      <c r="AP417" s="1247"/>
      <c r="AQ417" s="1247"/>
      <c r="AR417" s="1247"/>
      <c r="AS417" s="1247"/>
      <c r="AT417" s="1247"/>
      <c r="AU417" s="1247"/>
      <c r="AV417" s="1247"/>
      <c r="AW417" s="1247"/>
      <c r="AX417" s="1247"/>
      <c r="AY417" s="1247"/>
      <c r="AZ417" s="1247"/>
      <c r="BA417" s="1247"/>
      <c r="BB417" s="1247"/>
      <c r="BC417" s="1247"/>
    </row>
    <row r="418" spans="2:55" s="973" customFormat="1" ht="20.25" customHeight="1">
      <c r="B418" s="1247"/>
      <c r="C418" s="1247"/>
      <c r="D418" s="1247"/>
      <c r="E418" s="1247"/>
      <c r="F418" s="1247"/>
      <c r="G418" s="1247"/>
      <c r="H418" s="1247"/>
      <c r="I418" s="1247"/>
      <c r="J418" s="1247"/>
      <c r="K418" s="1247"/>
      <c r="L418" s="1247"/>
      <c r="M418" s="1247"/>
      <c r="N418" s="1247"/>
      <c r="O418" s="1247"/>
      <c r="P418" s="1247"/>
      <c r="Q418" s="1247"/>
      <c r="R418" s="1247"/>
      <c r="S418" s="1247"/>
      <c r="T418" s="1247"/>
      <c r="U418" s="1247"/>
      <c r="V418" s="1247"/>
      <c r="W418" s="1247"/>
      <c r="X418" s="1247"/>
      <c r="Y418" s="1247"/>
      <c r="Z418" s="1247"/>
      <c r="AA418" s="1247"/>
      <c r="AB418" s="1247"/>
      <c r="AC418" s="1247"/>
      <c r="AD418" s="1247"/>
      <c r="AE418" s="1247"/>
      <c r="AF418" s="1247"/>
      <c r="AG418" s="1247"/>
      <c r="AH418" s="1247"/>
      <c r="AI418" s="1247"/>
      <c r="AJ418" s="1247"/>
      <c r="AK418" s="1247"/>
      <c r="AL418" s="1247"/>
      <c r="AM418" s="1247"/>
      <c r="AN418" s="1247"/>
      <c r="AO418" s="1247"/>
      <c r="AP418" s="1247"/>
      <c r="AQ418" s="1247"/>
      <c r="AR418" s="1247"/>
      <c r="AS418" s="1247"/>
      <c r="AT418" s="1247"/>
      <c r="AU418" s="1247"/>
      <c r="AV418" s="1247"/>
      <c r="AW418" s="1247"/>
      <c r="AX418" s="1247"/>
      <c r="AY418" s="1247"/>
      <c r="AZ418" s="1247"/>
      <c r="BA418" s="1247"/>
      <c r="BB418" s="1247"/>
      <c r="BC418" s="1247"/>
    </row>
    <row r="419" spans="2:55" s="973" customFormat="1" ht="20.25" customHeight="1">
      <c r="B419" s="1247"/>
      <c r="C419" s="1247"/>
      <c r="D419" s="1247"/>
      <c r="E419" s="1247"/>
      <c r="F419" s="1247"/>
      <c r="G419" s="1247"/>
      <c r="H419" s="1247"/>
      <c r="I419" s="1247"/>
      <c r="J419" s="1247"/>
      <c r="K419" s="1247"/>
      <c r="L419" s="1247"/>
      <c r="M419" s="1247"/>
      <c r="N419" s="1247"/>
      <c r="O419" s="1247"/>
      <c r="P419" s="1247"/>
      <c r="Q419" s="1247"/>
      <c r="R419" s="1247"/>
      <c r="S419" s="1247"/>
      <c r="T419" s="1247"/>
      <c r="U419" s="1247"/>
      <c r="V419" s="1247"/>
      <c r="W419" s="1247"/>
      <c r="X419" s="1247"/>
      <c r="Y419" s="1247"/>
      <c r="Z419" s="1247"/>
      <c r="AA419" s="1247"/>
      <c r="AB419" s="1247"/>
      <c r="AC419" s="1247"/>
      <c r="AD419" s="1247"/>
      <c r="AE419" s="1247"/>
      <c r="AF419" s="1247"/>
      <c r="AG419" s="1247"/>
      <c r="AH419" s="1247"/>
      <c r="AI419" s="1247"/>
      <c r="AJ419" s="1247"/>
      <c r="AK419" s="1247"/>
      <c r="AL419" s="1247"/>
      <c r="AM419" s="1247"/>
      <c r="AN419" s="1247"/>
      <c r="AO419" s="1247"/>
      <c r="AP419" s="1247"/>
      <c r="AQ419" s="1247"/>
      <c r="AR419" s="1247"/>
      <c r="AS419" s="1247"/>
      <c r="AT419" s="1247"/>
      <c r="AU419" s="1247"/>
      <c r="AV419" s="1247"/>
      <c r="AW419" s="1247"/>
      <c r="AX419" s="1247"/>
      <c r="AY419" s="1247"/>
      <c r="AZ419" s="1247"/>
      <c r="BA419" s="1247"/>
      <c r="BB419" s="1247"/>
      <c r="BC419" s="1247"/>
    </row>
    <row r="420" spans="2:55" s="973" customFormat="1" ht="20.25" customHeight="1">
      <c r="B420" s="1247"/>
      <c r="C420" s="1247"/>
      <c r="D420" s="1247"/>
      <c r="E420" s="1247"/>
      <c r="F420" s="1247"/>
      <c r="G420" s="1247"/>
      <c r="H420" s="1247"/>
      <c r="I420" s="1247"/>
      <c r="J420" s="1247"/>
      <c r="K420" s="1247"/>
      <c r="L420" s="1247"/>
      <c r="M420" s="1247"/>
      <c r="N420" s="1247"/>
      <c r="O420" s="1247"/>
      <c r="P420" s="1247"/>
      <c r="Q420" s="1247"/>
      <c r="R420" s="1247"/>
      <c r="S420" s="1247"/>
      <c r="T420" s="1247"/>
      <c r="U420" s="1247"/>
      <c r="V420" s="1247"/>
      <c r="W420" s="1247"/>
      <c r="X420" s="1247"/>
      <c r="Y420" s="1247"/>
      <c r="Z420" s="1247"/>
      <c r="AA420" s="1247"/>
      <c r="AB420" s="1247"/>
      <c r="AC420" s="1247"/>
      <c r="AD420" s="1247"/>
      <c r="AE420" s="1247"/>
      <c r="AF420" s="1247"/>
      <c r="AG420" s="1247"/>
      <c r="AH420" s="1247"/>
      <c r="AI420" s="1247"/>
      <c r="AJ420" s="1247"/>
      <c r="AK420" s="1247"/>
      <c r="AL420" s="1247"/>
      <c r="AM420" s="1247"/>
      <c r="AN420" s="1247"/>
      <c r="AO420" s="1247"/>
      <c r="AP420" s="1247"/>
      <c r="AQ420" s="1247"/>
      <c r="AR420" s="1247"/>
      <c r="AS420" s="1247"/>
      <c r="AT420" s="1247"/>
      <c r="AU420" s="1247"/>
      <c r="AV420" s="1247"/>
      <c r="AW420" s="1247"/>
      <c r="AX420" s="1247"/>
      <c r="AY420" s="1247"/>
      <c r="AZ420" s="1247"/>
      <c r="BA420" s="1247"/>
      <c r="BB420" s="1247"/>
      <c r="BC420" s="1247"/>
    </row>
    <row r="421" spans="2:55" s="973" customFormat="1" ht="20.25" customHeight="1">
      <c r="B421" s="1247"/>
      <c r="C421" s="1247"/>
      <c r="D421" s="1247"/>
      <c r="E421" s="1247"/>
      <c r="F421" s="1247"/>
      <c r="G421" s="1247"/>
      <c r="H421" s="1247"/>
      <c r="I421" s="1247"/>
      <c r="J421" s="1247"/>
      <c r="K421" s="1247"/>
      <c r="L421" s="1247"/>
      <c r="M421" s="1247"/>
      <c r="N421" s="1247"/>
      <c r="O421" s="1247"/>
      <c r="P421" s="1247"/>
      <c r="Q421" s="1247"/>
      <c r="R421" s="1247"/>
      <c r="S421" s="1247"/>
      <c r="T421" s="1247"/>
      <c r="U421" s="1247"/>
      <c r="V421" s="1247"/>
      <c r="W421" s="1247"/>
      <c r="X421" s="1247"/>
      <c r="Y421" s="1247"/>
      <c r="Z421" s="1247"/>
      <c r="AA421" s="1247"/>
      <c r="AB421" s="1247"/>
      <c r="AC421" s="1247"/>
      <c r="AD421" s="1247"/>
      <c r="AE421" s="1247"/>
      <c r="AF421" s="1247"/>
      <c r="AG421" s="1247"/>
      <c r="AH421" s="1247"/>
      <c r="AI421" s="1247"/>
      <c r="AJ421" s="1247"/>
      <c r="AK421" s="1247"/>
      <c r="AL421" s="1247"/>
      <c r="AM421" s="1247"/>
      <c r="AN421" s="1247"/>
      <c r="AO421" s="1247"/>
      <c r="AP421" s="1247"/>
      <c r="AQ421" s="1247"/>
      <c r="AR421" s="1247"/>
      <c r="AS421" s="1247"/>
      <c r="AT421" s="1247"/>
      <c r="AU421" s="1247"/>
      <c r="AV421" s="1247"/>
      <c r="AW421" s="1247"/>
      <c r="AX421" s="1247"/>
      <c r="AY421" s="1247"/>
      <c r="AZ421" s="1247"/>
      <c r="BA421" s="1247"/>
      <c r="BB421" s="1247"/>
      <c r="BC421" s="1247"/>
    </row>
    <row r="422" spans="2:55" s="973" customFormat="1" ht="20.25" customHeight="1">
      <c r="B422" s="1247"/>
      <c r="C422" s="1247"/>
      <c r="D422" s="1247"/>
      <c r="E422" s="1247"/>
      <c r="F422" s="1247"/>
      <c r="G422" s="1247"/>
      <c r="H422" s="1247"/>
      <c r="I422" s="1247"/>
      <c r="J422" s="1247"/>
      <c r="K422" s="1247"/>
      <c r="L422" s="1247"/>
      <c r="M422" s="1247"/>
      <c r="N422" s="1247"/>
      <c r="O422" s="1247"/>
      <c r="P422" s="1247"/>
      <c r="Q422" s="1247"/>
      <c r="R422" s="1247"/>
      <c r="S422" s="1247"/>
      <c r="T422" s="1247"/>
      <c r="U422" s="1247"/>
      <c r="V422" s="1247"/>
      <c r="W422" s="1247"/>
      <c r="X422" s="1247"/>
      <c r="Y422" s="1247"/>
      <c r="Z422" s="1247"/>
      <c r="AA422" s="1247"/>
      <c r="AB422" s="1247"/>
      <c r="AC422" s="1247"/>
      <c r="AD422" s="1247"/>
      <c r="AE422" s="1247"/>
      <c r="AF422" s="1247"/>
      <c r="AG422" s="1247"/>
      <c r="AH422" s="1247"/>
      <c r="AI422" s="1247"/>
      <c r="AJ422" s="1247"/>
      <c r="AK422" s="1247"/>
      <c r="AL422" s="1247"/>
      <c r="AM422" s="1247"/>
      <c r="AN422" s="1247"/>
      <c r="AO422" s="1247"/>
      <c r="AP422" s="1247"/>
      <c r="AQ422" s="1247"/>
      <c r="AR422" s="1247"/>
      <c r="AS422" s="1247"/>
      <c r="AT422" s="1247"/>
      <c r="AU422" s="1247"/>
      <c r="AV422" s="1247"/>
      <c r="AW422" s="1247"/>
      <c r="AX422" s="1247"/>
      <c r="AY422" s="1247"/>
      <c r="AZ422" s="1247"/>
      <c r="BA422" s="1247"/>
      <c r="BB422" s="1247"/>
      <c r="BC422" s="1247"/>
    </row>
    <row r="423" spans="2:55" s="973" customFormat="1" ht="20.25" customHeight="1">
      <c r="B423" s="1247"/>
      <c r="C423" s="1247"/>
      <c r="D423" s="1247"/>
      <c r="E423" s="1247"/>
      <c r="F423" s="1247"/>
      <c r="G423" s="1247"/>
      <c r="H423" s="1247"/>
      <c r="I423" s="1247"/>
      <c r="J423" s="1247"/>
      <c r="K423" s="1247"/>
      <c r="L423" s="1247"/>
      <c r="M423" s="1247"/>
      <c r="N423" s="1247"/>
      <c r="O423" s="1247"/>
      <c r="P423" s="1247"/>
      <c r="Q423" s="1247"/>
      <c r="R423" s="1247"/>
      <c r="S423" s="1247"/>
      <c r="T423" s="1247"/>
      <c r="U423" s="1247"/>
      <c r="V423" s="1247"/>
      <c r="W423" s="1247"/>
      <c r="X423" s="1247"/>
      <c r="Y423" s="1247"/>
      <c r="Z423" s="1247"/>
      <c r="AA423" s="1247"/>
      <c r="AB423" s="1247"/>
      <c r="AC423" s="1247"/>
      <c r="AD423" s="1247"/>
      <c r="AE423" s="1247"/>
      <c r="AF423" s="1247"/>
      <c r="AG423" s="1247"/>
      <c r="AH423" s="1247"/>
      <c r="AI423" s="1247"/>
      <c r="AJ423" s="1247"/>
      <c r="AK423" s="1247"/>
      <c r="AL423" s="1247"/>
      <c r="AM423" s="1247"/>
      <c r="AN423" s="1247"/>
      <c r="AO423" s="1247"/>
      <c r="AP423" s="1247"/>
      <c r="AQ423" s="1247"/>
      <c r="AR423" s="1247"/>
      <c r="AS423" s="1247"/>
      <c r="AT423" s="1247"/>
      <c r="AU423" s="1247"/>
      <c r="AV423" s="1247"/>
      <c r="AW423" s="1247"/>
      <c r="AX423" s="1247"/>
      <c r="AY423" s="1247"/>
      <c r="AZ423" s="1247"/>
      <c r="BA423" s="1247"/>
      <c r="BB423" s="1247"/>
      <c r="BC423" s="1247"/>
    </row>
    <row r="424" spans="2:55" s="973" customFormat="1" ht="20.25" customHeight="1">
      <c r="B424" s="1247"/>
      <c r="C424" s="1247"/>
      <c r="D424" s="1247"/>
      <c r="E424" s="1247"/>
      <c r="F424" s="1247"/>
      <c r="G424" s="1247"/>
      <c r="H424" s="1247"/>
      <c r="I424" s="1247"/>
      <c r="J424" s="1247"/>
      <c r="K424" s="1247"/>
      <c r="L424" s="1247"/>
      <c r="M424" s="1247"/>
      <c r="N424" s="1247"/>
      <c r="O424" s="1247"/>
      <c r="P424" s="1247"/>
      <c r="Q424" s="1247"/>
      <c r="R424" s="1247"/>
      <c r="S424" s="1247"/>
      <c r="T424" s="1247"/>
      <c r="U424" s="1247"/>
      <c r="V424" s="1247"/>
      <c r="W424" s="1247"/>
      <c r="X424" s="1247"/>
      <c r="Y424" s="1247"/>
      <c r="Z424" s="1247"/>
      <c r="AA424" s="1247"/>
      <c r="AB424" s="1247"/>
      <c r="AC424" s="1247"/>
      <c r="AD424" s="1247"/>
      <c r="AE424" s="1247"/>
      <c r="AF424" s="1247"/>
      <c r="AG424" s="1247"/>
      <c r="AH424" s="1247"/>
      <c r="AI424" s="1247"/>
      <c r="AJ424" s="1247"/>
      <c r="AK424" s="1247"/>
      <c r="AL424" s="1247"/>
      <c r="AM424" s="1247"/>
      <c r="AN424" s="1247"/>
      <c r="AO424" s="1247"/>
      <c r="AP424" s="1247"/>
      <c r="AQ424" s="1247"/>
      <c r="AR424" s="1247"/>
      <c r="AS424" s="1247"/>
      <c r="AT424" s="1247"/>
      <c r="AU424" s="1247"/>
      <c r="AV424" s="1247"/>
      <c r="AW424" s="1247"/>
      <c r="AX424" s="1247"/>
      <c r="AY424" s="1247"/>
      <c r="AZ424" s="1247"/>
      <c r="BA424" s="1247"/>
      <c r="BB424" s="1247"/>
      <c r="BC424" s="1247"/>
    </row>
    <row r="425" spans="2:55" s="973" customFormat="1" ht="20.25" customHeight="1">
      <c r="B425" s="1247"/>
      <c r="C425" s="1247"/>
      <c r="D425" s="1247"/>
      <c r="E425" s="1247"/>
      <c r="F425" s="1247"/>
      <c r="G425" s="1247"/>
      <c r="H425" s="1247"/>
      <c r="I425" s="1247"/>
      <c r="J425" s="1247"/>
      <c r="K425" s="1247"/>
      <c r="L425" s="1247"/>
      <c r="M425" s="1247"/>
      <c r="N425" s="1247"/>
      <c r="O425" s="1247"/>
      <c r="P425" s="1247"/>
      <c r="Q425" s="1247"/>
      <c r="R425" s="1247"/>
      <c r="S425" s="1247"/>
      <c r="T425" s="1247"/>
      <c r="U425" s="1247"/>
      <c r="V425" s="1247"/>
      <c r="W425" s="1247"/>
      <c r="X425" s="1247"/>
      <c r="Y425" s="1247"/>
      <c r="Z425" s="1247"/>
      <c r="AA425" s="1247"/>
      <c r="AB425" s="1247"/>
      <c r="AC425" s="1247"/>
      <c r="AD425" s="1247"/>
      <c r="AE425" s="1247"/>
      <c r="AF425" s="1247"/>
      <c r="AG425" s="1247"/>
      <c r="AH425" s="1247"/>
      <c r="AI425" s="1247"/>
      <c r="AJ425" s="1247"/>
      <c r="AK425" s="1247"/>
      <c r="AL425" s="1247"/>
      <c r="AM425" s="1247"/>
      <c r="AN425" s="1247"/>
      <c r="AO425" s="1247"/>
      <c r="AP425" s="1247"/>
      <c r="AQ425" s="1247"/>
      <c r="AR425" s="1247"/>
      <c r="AS425" s="1247"/>
      <c r="AT425" s="1247"/>
      <c r="AU425" s="1247"/>
      <c r="AV425" s="1247"/>
      <c r="AW425" s="1247"/>
      <c r="AX425" s="1247"/>
      <c r="AY425" s="1247"/>
      <c r="AZ425" s="1247"/>
      <c r="BA425" s="1247"/>
      <c r="BB425" s="1247"/>
      <c r="BC425" s="1247"/>
    </row>
    <row r="426" spans="2:55" s="973" customFormat="1" ht="20.25" customHeight="1">
      <c r="B426" s="1247"/>
      <c r="C426" s="1247"/>
      <c r="D426" s="1247"/>
      <c r="E426" s="1247"/>
      <c r="F426" s="1247"/>
      <c r="G426" s="1247"/>
      <c r="H426" s="1247"/>
      <c r="I426" s="1247"/>
      <c r="J426" s="1247"/>
      <c r="K426" s="1247"/>
      <c r="L426" s="1247"/>
      <c r="M426" s="1247"/>
      <c r="N426" s="1247"/>
      <c r="O426" s="1247"/>
      <c r="P426" s="1247"/>
      <c r="Q426" s="1247"/>
      <c r="R426" s="1247"/>
      <c r="S426" s="1247"/>
      <c r="T426" s="1247"/>
      <c r="U426" s="1247"/>
      <c r="V426" s="1247"/>
      <c r="W426" s="1247"/>
      <c r="X426" s="1247"/>
      <c r="Y426" s="1247"/>
      <c r="Z426" s="1247"/>
      <c r="AA426" s="1247"/>
      <c r="AB426" s="1247"/>
      <c r="AC426" s="1247"/>
      <c r="AD426" s="1247"/>
      <c r="AE426" s="1247"/>
      <c r="AF426" s="1247"/>
      <c r="AG426" s="1247"/>
      <c r="AH426" s="1247"/>
      <c r="AI426" s="1247"/>
      <c r="AJ426" s="1247"/>
      <c r="AK426" s="1247"/>
      <c r="AL426" s="1247"/>
      <c r="AM426" s="1247"/>
      <c r="AN426" s="1247"/>
      <c r="AO426" s="1247"/>
      <c r="AP426" s="1247"/>
      <c r="AQ426" s="1247"/>
      <c r="AR426" s="1247"/>
      <c r="AS426" s="1247"/>
      <c r="AT426" s="1247"/>
      <c r="AU426" s="1247"/>
      <c r="AV426" s="1247"/>
      <c r="AW426" s="1247"/>
      <c r="AX426" s="1247"/>
      <c r="AY426" s="1247"/>
      <c r="AZ426" s="1247"/>
      <c r="BA426" s="1247"/>
      <c r="BB426" s="1247"/>
      <c r="BC426" s="1247"/>
    </row>
    <row r="427" spans="2:55" s="973" customFormat="1" ht="20.25" customHeight="1">
      <c r="B427" s="1247"/>
      <c r="C427" s="1247"/>
      <c r="D427" s="1247"/>
      <c r="E427" s="1247"/>
      <c r="F427" s="1247"/>
      <c r="G427" s="1247"/>
      <c r="H427" s="1247"/>
      <c r="I427" s="1247"/>
      <c r="J427" s="1247"/>
      <c r="K427" s="1247"/>
      <c r="L427" s="1247"/>
      <c r="M427" s="1247"/>
      <c r="N427" s="1247"/>
      <c r="O427" s="1247"/>
      <c r="P427" s="1247"/>
      <c r="Q427" s="1247"/>
      <c r="R427" s="1247"/>
      <c r="S427" s="1247"/>
      <c r="T427" s="1247"/>
      <c r="U427" s="1247"/>
      <c r="V427" s="1247"/>
      <c r="W427" s="1247"/>
      <c r="X427" s="1247"/>
      <c r="Y427" s="1247"/>
      <c r="Z427" s="1247"/>
      <c r="AA427" s="1247"/>
      <c r="AB427" s="1247"/>
      <c r="AC427" s="1247"/>
      <c r="AD427" s="1247"/>
      <c r="AE427" s="1247"/>
      <c r="AF427" s="1247"/>
      <c r="AG427" s="1247"/>
      <c r="AH427" s="1247"/>
      <c r="AI427" s="1247"/>
      <c r="AJ427" s="1247"/>
      <c r="AK427" s="1247"/>
      <c r="AL427" s="1247"/>
      <c r="AM427" s="1247"/>
      <c r="AN427" s="1247"/>
      <c r="AO427" s="1247"/>
      <c r="AP427" s="1247"/>
      <c r="AQ427" s="1247"/>
      <c r="AR427" s="1247"/>
      <c r="AS427" s="1247"/>
      <c r="AT427" s="1247"/>
      <c r="AU427" s="1247"/>
      <c r="AV427" s="1247"/>
      <c r="AW427" s="1247"/>
      <c r="AX427" s="1247"/>
      <c r="AY427" s="1247"/>
      <c r="AZ427" s="1247"/>
      <c r="BA427" s="1247"/>
      <c r="BB427" s="1247"/>
      <c r="BC427" s="1247"/>
    </row>
    <row r="428" spans="2:55" s="973" customFormat="1" ht="20.25" customHeight="1">
      <c r="B428" s="1247"/>
      <c r="C428" s="1247"/>
      <c r="D428" s="1247"/>
      <c r="E428" s="1247"/>
      <c r="F428" s="1247"/>
      <c r="G428" s="1247"/>
      <c r="H428" s="1247"/>
      <c r="I428" s="1247"/>
      <c r="J428" s="1247"/>
      <c r="K428" s="1247"/>
      <c r="L428" s="1247"/>
      <c r="M428" s="1247"/>
      <c r="N428" s="1247"/>
      <c r="O428" s="1247"/>
      <c r="P428" s="1247"/>
      <c r="Q428" s="1247"/>
      <c r="R428" s="1247"/>
      <c r="S428" s="1247"/>
      <c r="T428" s="1247"/>
      <c r="U428" s="1247"/>
      <c r="V428" s="1247"/>
      <c r="W428" s="1247"/>
      <c r="X428" s="1247"/>
      <c r="Y428" s="1247"/>
      <c r="Z428" s="1247"/>
      <c r="AA428" s="1247"/>
      <c r="AB428" s="1247"/>
      <c r="AC428" s="1247"/>
      <c r="AD428" s="1247"/>
      <c r="AE428" s="1247"/>
      <c r="AF428" s="1247"/>
      <c r="AG428" s="1247"/>
      <c r="AH428" s="1247"/>
      <c r="AI428" s="1247"/>
      <c r="AJ428" s="1247"/>
      <c r="AK428" s="1247"/>
      <c r="AL428" s="1247"/>
      <c r="AM428" s="1247"/>
      <c r="AN428" s="1247"/>
      <c r="AO428" s="1247"/>
      <c r="AP428" s="1247"/>
      <c r="AQ428" s="1247"/>
      <c r="AR428" s="1247"/>
      <c r="AS428" s="1247"/>
      <c r="AT428" s="1247"/>
      <c r="AU428" s="1247"/>
      <c r="AV428" s="1247"/>
      <c r="AW428" s="1247"/>
      <c r="AX428" s="1247"/>
      <c r="AY428" s="1247"/>
      <c r="AZ428" s="1247"/>
      <c r="BA428" s="1247"/>
      <c r="BB428" s="1247"/>
      <c r="BC428" s="1247"/>
    </row>
    <row r="429" spans="2:55" s="973" customFormat="1" ht="20.25" customHeight="1">
      <c r="B429" s="1247"/>
      <c r="C429" s="1247"/>
      <c r="D429" s="1247"/>
      <c r="E429" s="1247"/>
      <c r="F429" s="1247"/>
      <c r="G429" s="1247"/>
      <c r="H429" s="1247"/>
      <c r="I429" s="1247"/>
      <c r="J429" s="1247"/>
      <c r="K429" s="1247"/>
      <c r="L429" s="1247"/>
      <c r="M429" s="1247"/>
      <c r="N429" s="1247"/>
      <c r="O429" s="1247"/>
      <c r="P429" s="1247"/>
      <c r="Q429" s="1247"/>
      <c r="R429" s="1247"/>
      <c r="S429" s="1247"/>
      <c r="T429" s="1247"/>
      <c r="U429" s="1247"/>
      <c r="V429" s="1247"/>
      <c r="W429" s="1247"/>
      <c r="X429" s="1247"/>
      <c r="Y429" s="1247"/>
      <c r="Z429" s="1247"/>
      <c r="AA429" s="1247"/>
      <c r="AB429" s="1247"/>
      <c r="AC429" s="1247"/>
      <c r="AD429" s="1247"/>
      <c r="AE429" s="1247"/>
      <c r="AF429" s="1247"/>
      <c r="AG429" s="1247"/>
      <c r="AH429" s="1247"/>
      <c r="AI429" s="1247"/>
      <c r="AJ429" s="1247"/>
      <c r="AK429" s="1247"/>
      <c r="AL429" s="1247"/>
      <c r="AM429" s="1247"/>
      <c r="AN429" s="1247"/>
      <c r="AO429" s="1247"/>
      <c r="AP429" s="1247"/>
      <c r="AQ429" s="1247"/>
      <c r="AR429" s="1247"/>
      <c r="AS429" s="1247"/>
      <c r="AT429" s="1247"/>
      <c r="AU429" s="1247"/>
      <c r="AV429" s="1247"/>
      <c r="AW429" s="1247"/>
      <c r="AX429" s="1247"/>
      <c r="AY429" s="1247"/>
      <c r="AZ429" s="1247"/>
      <c r="BA429" s="1247"/>
      <c r="BB429" s="1247"/>
      <c r="BC429" s="1247"/>
    </row>
    <row r="430" spans="2:55" s="973" customFormat="1" ht="20.25" customHeight="1">
      <c r="B430" s="1247"/>
      <c r="C430" s="1247"/>
      <c r="D430" s="1247"/>
      <c r="E430" s="1247"/>
      <c r="F430" s="1247"/>
      <c r="G430" s="1247"/>
      <c r="H430" s="1247"/>
      <c r="I430" s="1247"/>
      <c r="J430" s="1247"/>
      <c r="K430" s="1247"/>
      <c r="L430" s="1247"/>
      <c r="M430" s="1247"/>
      <c r="N430" s="1247"/>
      <c r="O430" s="1247"/>
      <c r="P430" s="1247"/>
      <c r="Q430" s="1247"/>
      <c r="R430" s="1247"/>
      <c r="S430" s="1247"/>
      <c r="T430" s="1247"/>
      <c r="U430" s="1247"/>
      <c r="V430" s="1247"/>
      <c r="W430" s="1247"/>
      <c r="X430" s="1247"/>
      <c r="Y430" s="1247"/>
      <c r="Z430" s="1247"/>
      <c r="AA430" s="1247"/>
      <c r="AB430" s="1247"/>
      <c r="AC430" s="1247"/>
      <c r="AD430" s="1247"/>
      <c r="AE430" s="1247"/>
      <c r="AF430" s="1247"/>
      <c r="AG430" s="1247"/>
      <c r="AH430" s="1247"/>
      <c r="AI430" s="1247"/>
      <c r="AJ430" s="1247"/>
      <c r="AK430" s="1247"/>
      <c r="AL430" s="1247"/>
      <c r="AM430" s="1247"/>
      <c r="AN430" s="1247"/>
      <c r="AO430" s="1247"/>
      <c r="AP430" s="1247"/>
      <c r="AQ430" s="1247"/>
      <c r="AR430" s="1247"/>
      <c r="AS430" s="1247"/>
      <c r="AT430" s="1247"/>
      <c r="AU430" s="1247"/>
      <c r="AV430" s="1247"/>
      <c r="AW430" s="1247"/>
      <c r="AX430" s="1247"/>
      <c r="AY430" s="1247"/>
      <c r="AZ430" s="1247"/>
      <c r="BA430" s="1247"/>
      <c r="BB430" s="1247"/>
      <c r="BC430" s="1247"/>
    </row>
    <row r="431" spans="2:55" s="973" customFormat="1" ht="20.25" customHeight="1">
      <c r="B431" s="1247"/>
      <c r="C431" s="1247"/>
      <c r="D431" s="1247"/>
      <c r="E431" s="1247"/>
      <c r="F431" s="1247"/>
      <c r="G431" s="1247"/>
      <c r="H431" s="1247"/>
      <c r="I431" s="1247"/>
      <c r="J431" s="1247"/>
      <c r="K431" s="1247"/>
      <c r="L431" s="1247"/>
      <c r="M431" s="1247"/>
      <c r="N431" s="1247"/>
      <c r="O431" s="1247"/>
      <c r="P431" s="1247"/>
      <c r="Q431" s="1247"/>
      <c r="R431" s="1247"/>
      <c r="S431" s="1247"/>
      <c r="T431" s="1247"/>
      <c r="U431" s="1247"/>
      <c r="V431" s="1247"/>
      <c r="W431" s="1247"/>
      <c r="X431" s="1247"/>
      <c r="Y431" s="1247"/>
      <c r="Z431" s="1247"/>
      <c r="AA431" s="1247"/>
      <c r="AB431" s="1247"/>
      <c r="AC431" s="1247"/>
      <c r="AD431" s="1247"/>
      <c r="AE431" s="1247"/>
      <c r="AF431" s="1247"/>
      <c r="AG431" s="1247"/>
      <c r="AH431" s="1247"/>
      <c r="AI431" s="1247"/>
      <c r="AJ431" s="1247"/>
      <c r="AK431" s="1247"/>
      <c r="AL431" s="1247"/>
      <c r="AM431" s="1247"/>
      <c r="AN431" s="1247"/>
      <c r="AO431" s="1247"/>
      <c r="AP431" s="1247"/>
      <c r="AQ431" s="1247"/>
      <c r="AR431" s="1247"/>
      <c r="AS431" s="1247"/>
      <c r="AT431" s="1247"/>
      <c r="AU431" s="1247"/>
      <c r="AV431" s="1247"/>
      <c r="AW431" s="1247"/>
      <c r="AX431" s="1247"/>
      <c r="AY431" s="1247"/>
      <c r="AZ431" s="1247"/>
      <c r="BA431" s="1247"/>
      <c r="BB431" s="1247"/>
      <c r="BC431" s="1247"/>
    </row>
    <row r="432" spans="2:55" s="973" customFormat="1" ht="20.25" customHeight="1">
      <c r="B432" s="1247"/>
      <c r="C432" s="1247"/>
      <c r="D432" s="1247"/>
      <c r="E432" s="1247"/>
      <c r="F432" s="1247"/>
      <c r="G432" s="1247"/>
      <c r="H432" s="1247"/>
      <c r="I432" s="1247"/>
      <c r="J432" s="1247"/>
      <c r="K432" s="1247"/>
      <c r="L432" s="1247"/>
      <c r="M432" s="1247"/>
      <c r="N432" s="1247"/>
      <c r="O432" s="1247"/>
      <c r="P432" s="1247"/>
      <c r="Q432" s="1247"/>
      <c r="R432" s="1247"/>
      <c r="S432" s="1247"/>
      <c r="T432" s="1247"/>
      <c r="U432" s="1247"/>
      <c r="V432" s="1247"/>
      <c r="W432" s="1247"/>
      <c r="X432" s="1247"/>
      <c r="Y432" s="1247"/>
      <c r="Z432" s="1247"/>
      <c r="AA432" s="1247"/>
      <c r="AB432" s="1247"/>
      <c r="AC432" s="1247"/>
      <c r="AD432" s="1247"/>
      <c r="AE432" s="1247"/>
      <c r="AF432" s="1247"/>
      <c r="AG432" s="1247"/>
      <c r="AH432" s="1247"/>
      <c r="AI432" s="1247"/>
      <c r="AJ432" s="1247"/>
      <c r="AK432" s="1247"/>
      <c r="AL432" s="1247"/>
      <c r="AM432" s="1247"/>
      <c r="AN432" s="1247"/>
      <c r="AO432" s="1247"/>
      <c r="AP432" s="1247"/>
      <c r="AQ432" s="1247"/>
      <c r="AR432" s="1247"/>
      <c r="AS432" s="1247"/>
      <c r="AT432" s="1247"/>
      <c r="AU432" s="1247"/>
      <c r="AV432" s="1247"/>
      <c r="AW432" s="1247"/>
      <c r="AX432" s="1247"/>
      <c r="AY432" s="1247"/>
      <c r="AZ432" s="1247"/>
      <c r="BA432" s="1247"/>
      <c r="BB432" s="1247"/>
      <c r="BC432" s="1247"/>
    </row>
    <row r="433" spans="2:55" s="973" customFormat="1" ht="20.25" customHeight="1">
      <c r="B433" s="1247"/>
      <c r="C433" s="1247"/>
      <c r="D433" s="1247"/>
      <c r="E433" s="1247"/>
      <c r="F433" s="1247"/>
      <c r="G433" s="1247"/>
      <c r="H433" s="1247"/>
      <c r="I433" s="1247"/>
      <c r="J433" s="1247"/>
      <c r="K433" s="1247"/>
      <c r="L433" s="1247"/>
      <c r="M433" s="1247"/>
      <c r="N433" s="1247"/>
      <c r="O433" s="1247"/>
      <c r="P433" s="1247"/>
      <c r="Q433" s="1247"/>
      <c r="R433" s="1247"/>
      <c r="S433" s="1247"/>
      <c r="T433" s="1247"/>
      <c r="U433" s="1247"/>
      <c r="V433" s="1247"/>
      <c r="W433" s="1247"/>
      <c r="X433" s="1247"/>
      <c r="Y433" s="1247"/>
      <c r="Z433" s="1247"/>
      <c r="AA433" s="1247"/>
      <c r="AB433" s="1247"/>
      <c r="AC433" s="1247"/>
      <c r="AD433" s="1247"/>
      <c r="AE433" s="1247"/>
      <c r="AF433" s="1247"/>
      <c r="AG433" s="1247"/>
      <c r="AH433" s="1247"/>
      <c r="AI433" s="1247"/>
      <c r="AJ433" s="1247"/>
      <c r="AK433" s="1247"/>
      <c r="AL433" s="1247"/>
      <c r="AM433" s="1247"/>
      <c r="AN433" s="1247"/>
      <c r="AO433" s="1247"/>
      <c r="AP433" s="1247"/>
      <c r="AQ433" s="1247"/>
      <c r="AR433" s="1247"/>
      <c r="AS433" s="1247"/>
      <c r="AT433" s="1247"/>
      <c r="AU433" s="1247"/>
      <c r="AV433" s="1247"/>
      <c r="AW433" s="1247"/>
      <c r="AX433" s="1247"/>
      <c r="AY433" s="1247"/>
      <c r="AZ433" s="1247"/>
      <c r="BA433" s="1247"/>
      <c r="BB433" s="1247"/>
      <c r="BC433" s="1247"/>
    </row>
    <row r="434" spans="2:55" s="973" customFormat="1" ht="20.25" customHeight="1">
      <c r="B434" s="1247"/>
      <c r="C434" s="1247"/>
      <c r="D434" s="1247"/>
      <c r="E434" s="1247"/>
      <c r="F434" s="1247"/>
      <c r="G434" s="1247"/>
      <c r="H434" s="1247"/>
      <c r="I434" s="1247"/>
      <c r="J434" s="1247"/>
      <c r="K434" s="1247"/>
      <c r="L434" s="1247"/>
      <c r="M434" s="1247"/>
      <c r="N434" s="1247"/>
      <c r="O434" s="1247"/>
      <c r="P434" s="1247"/>
      <c r="Q434" s="1247"/>
      <c r="R434" s="1247"/>
      <c r="S434" s="1247"/>
      <c r="T434" s="1247"/>
      <c r="U434" s="1247"/>
      <c r="V434" s="1247"/>
      <c r="W434" s="1247"/>
      <c r="X434" s="1247"/>
      <c r="Y434" s="1247"/>
      <c r="Z434" s="1247"/>
      <c r="AA434" s="1247"/>
      <c r="AB434" s="1247"/>
      <c r="AC434" s="1247"/>
      <c r="AD434" s="1247"/>
      <c r="AE434" s="1247"/>
      <c r="AF434" s="1247"/>
      <c r="AG434" s="1247"/>
      <c r="AH434" s="1247"/>
      <c r="AI434" s="1247"/>
      <c r="AJ434" s="1247"/>
      <c r="AK434" s="1247"/>
      <c r="AL434" s="1247"/>
      <c r="AM434" s="1247"/>
      <c r="AN434" s="1247"/>
      <c r="AO434" s="1247"/>
      <c r="AP434" s="1247"/>
      <c r="AQ434" s="1247"/>
      <c r="AR434" s="1247"/>
      <c r="AS434" s="1247"/>
      <c r="AT434" s="1247"/>
      <c r="AU434" s="1247"/>
      <c r="AV434" s="1247"/>
      <c r="AW434" s="1247"/>
      <c r="AX434" s="1247"/>
      <c r="AY434" s="1247"/>
      <c r="AZ434" s="1247"/>
      <c r="BA434" s="1247"/>
      <c r="BB434" s="1247"/>
      <c r="BC434" s="1247"/>
    </row>
    <row r="435" spans="2:55" s="973" customFormat="1" ht="20.25" customHeight="1">
      <c r="B435" s="1247"/>
      <c r="C435" s="1247"/>
      <c r="D435" s="1247"/>
      <c r="E435" s="1247"/>
      <c r="F435" s="1247"/>
      <c r="G435" s="1247"/>
      <c r="H435" s="1247"/>
      <c r="I435" s="1247"/>
      <c r="J435" s="1247"/>
      <c r="K435" s="1247"/>
      <c r="L435" s="1247"/>
      <c r="M435" s="1247"/>
      <c r="N435" s="1247"/>
      <c r="O435" s="1247"/>
      <c r="P435" s="1247"/>
      <c r="Q435" s="1247"/>
      <c r="R435" s="1247"/>
      <c r="S435" s="1247"/>
      <c r="T435" s="1247"/>
      <c r="U435" s="1247"/>
      <c r="V435" s="1247"/>
      <c r="W435" s="1247"/>
      <c r="X435" s="1247"/>
      <c r="Y435" s="1247"/>
      <c r="Z435" s="1247"/>
      <c r="AA435" s="1247"/>
      <c r="AB435" s="1247"/>
      <c r="AC435" s="1247"/>
      <c r="AD435" s="1247"/>
      <c r="AE435" s="1247"/>
      <c r="AF435" s="1247"/>
      <c r="AG435" s="1247"/>
      <c r="AH435" s="1247"/>
      <c r="AI435" s="1247"/>
      <c r="AJ435" s="1247"/>
      <c r="AK435" s="1247"/>
      <c r="AL435" s="1247"/>
      <c r="AM435" s="1247"/>
      <c r="AN435" s="1247"/>
      <c r="AO435" s="1247"/>
      <c r="AP435" s="1247"/>
      <c r="AQ435" s="1247"/>
      <c r="AR435" s="1247"/>
      <c r="AS435" s="1247"/>
      <c r="AT435" s="1247"/>
      <c r="AU435" s="1247"/>
      <c r="AV435" s="1247"/>
      <c r="AW435" s="1247"/>
      <c r="AX435" s="1247"/>
      <c r="AY435" s="1247"/>
      <c r="AZ435" s="1247"/>
      <c r="BA435" s="1247"/>
      <c r="BB435" s="1247"/>
      <c r="BC435" s="1247"/>
    </row>
    <row r="436" spans="2:55" s="973" customFormat="1" ht="20.25" customHeight="1">
      <c r="B436" s="1247"/>
      <c r="C436" s="1247"/>
      <c r="D436" s="1247"/>
      <c r="E436" s="1247"/>
      <c r="F436" s="1247"/>
      <c r="G436" s="1247"/>
      <c r="H436" s="1247"/>
      <c r="I436" s="1247"/>
      <c r="J436" s="1247"/>
      <c r="K436" s="1247"/>
      <c r="L436" s="1247"/>
      <c r="M436" s="1247"/>
      <c r="N436" s="1247"/>
      <c r="O436" s="1247"/>
      <c r="P436" s="1247"/>
      <c r="Q436" s="1247"/>
      <c r="R436" s="1247"/>
      <c r="S436" s="1247"/>
      <c r="T436" s="1247"/>
      <c r="U436" s="1247"/>
      <c r="V436" s="1247"/>
      <c r="W436" s="1247"/>
      <c r="X436" s="1247"/>
      <c r="Y436" s="1247"/>
      <c r="Z436" s="1247"/>
      <c r="AA436" s="1247"/>
      <c r="AB436" s="1247"/>
      <c r="AC436" s="1247"/>
      <c r="AD436" s="1247"/>
      <c r="AE436" s="1247"/>
      <c r="AF436" s="1247"/>
      <c r="AG436" s="1247"/>
      <c r="AH436" s="1247"/>
      <c r="AI436" s="1247"/>
      <c r="AJ436" s="1247"/>
      <c r="AK436" s="1247"/>
      <c r="AL436" s="1247"/>
      <c r="AM436" s="1247"/>
      <c r="AN436" s="1247"/>
      <c r="AO436" s="1247"/>
      <c r="AP436" s="1247"/>
      <c r="AQ436" s="1247"/>
      <c r="AR436" s="1247"/>
      <c r="AS436" s="1247"/>
      <c r="AT436" s="1247"/>
      <c r="AU436" s="1247"/>
      <c r="AV436" s="1247"/>
      <c r="AW436" s="1247"/>
      <c r="AX436" s="1247"/>
      <c r="AY436" s="1247"/>
      <c r="AZ436" s="1247"/>
      <c r="BA436" s="1247"/>
      <c r="BB436" s="1247"/>
      <c r="BC436" s="1247"/>
    </row>
    <row r="437" spans="2:55" s="973" customFormat="1" ht="20.25" customHeight="1">
      <c r="B437" s="1247"/>
      <c r="C437" s="1247"/>
      <c r="D437" s="1247"/>
      <c r="E437" s="1247"/>
      <c r="F437" s="1247"/>
      <c r="G437" s="1247"/>
      <c r="H437" s="1247"/>
      <c r="I437" s="1247"/>
      <c r="J437" s="1247"/>
      <c r="K437" s="1247"/>
      <c r="L437" s="1247"/>
      <c r="M437" s="1247"/>
      <c r="N437" s="1247"/>
      <c r="O437" s="1247"/>
      <c r="P437" s="1247"/>
      <c r="Q437" s="1247"/>
      <c r="R437" s="1247"/>
      <c r="S437" s="1247"/>
      <c r="T437" s="1247"/>
      <c r="U437" s="1247"/>
      <c r="V437" s="1247"/>
      <c r="W437" s="1247"/>
      <c r="X437" s="1247"/>
      <c r="Y437" s="1247"/>
      <c r="Z437" s="1247"/>
      <c r="AA437" s="1247"/>
      <c r="AB437" s="1247"/>
      <c r="AC437" s="1247"/>
      <c r="AD437" s="1247"/>
      <c r="AE437" s="1247"/>
      <c r="AF437" s="1247"/>
      <c r="AG437" s="1247"/>
      <c r="AH437" s="1247"/>
      <c r="AI437" s="1247"/>
      <c r="AJ437" s="1247"/>
      <c r="AK437" s="1247"/>
      <c r="AL437" s="1247"/>
      <c r="AM437" s="1247"/>
      <c r="AN437" s="1247"/>
      <c r="AO437" s="1247"/>
      <c r="AP437" s="1247"/>
      <c r="AQ437" s="1247"/>
      <c r="AR437" s="1247"/>
      <c r="AS437" s="1247"/>
      <c r="AT437" s="1247"/>
      <c r="AU437" s="1247"/>
      <c r="AV437" s="1247"/>
      <c r="AW437" s="1247"/>
      <c r="AX437" s="1247"/>
      <c r="AY437" s="1247"/>
      <c r="AZ437" s="1247"/>
      <c r="BA437" s="1247"/>
      <c r="BB437" s="1247"/>
      <c r="BC437" s="1247"/>
    </row>
    <row r="438" spans="2:55" s="973" customFormat="1" ht="20.25" customHeight="1">
      <c r="B438" s="1247"/>
      <c r="C438" s="1247"/>
      <c r="D438" s="1247"/>
      <c r="E438" s="1247"/>
      <c r="F438" s="1247"/>
      <c r="G438" s="1247"/>
      <c r="H438" s="1247"/>
      <c r="I438" s="1247"/>
      <c r="J438" s="1247"/>
      <c r="K438" s="1247"/>
      <c r="L438" s="1247"/>
      <c r="M438" s="1247"/>
      <c r="N438" s="1247"/>
      <c r="O438" s="1247"/>
      <c r="P438" s="1247"/>
      <c r="Q438" s="1247"/>
      <c r="R438" s="1247"/>
      <c r="S438" s="1247"/>
      <c r="T438" s="1247"/>
      <c r="U438" s="1247"/>
      <c r="V438" s="1247"/>
      <c r="W438" s="1247"/>
      <c r="X438" s="1247"/>
      <c r="Y438" s="1247"/>
      <c r="Z438" s="1247"/>
      <c r="AA438" s="1247"/>
      <c r="AB438" s="1247"/>
      <c r="AC438" s="1247"/>
      <c r="AD438" s="1247"/>
      <c r="AE438" s="1247"/>
      <c r="AF438" s="1247"/>
      <c r="AG438" s="1247"/>
      <c r="AH438" s="1247"/>
      <c r="AI438" s="1247"/>
      <c r="AJ438" s="1247"/>
      <c r="AK438" s="1247"/>
      <c r="AL438" s="1247"/>
      <c r="AM438" s="1247"/>
      <c r="AN438" s="1247"/>
      <c r="AO438" s="1247"/>
      <c r="AP438" s="1247"/>
      <c r="AQ438" s="1247"/>
      <c r="AR438" s="1247"/>
      <c r="AS438" s="1247"/>
      <c r="AT438" s="1247"/>
      <c r="AU438" s="1247"/>
      <c r="AV438" s="1247"/>
      <c r="AW438" s="1247"/>
      <c r="AX438" s="1247"/>
      <c r="AY438" s="1247"/>
      <c r="AZ438" s="1247"/>
      <c r="BA438" s="1247"/>
      <c r="BB438" s="1247"/>
      <c r="BC438" s="1247"/>
    </row>
    <row r="439" spans="2:55" s="973" customFormat="1" ht="20.25" customHeight="1">
      <c r="B439" s="1247"/>
      <c r="C439" s="1247"/>
      <c r="D439" s="1247"/>
      <c r="E439" s="1247"/>
      <c r="F439" s="1247"/>
      <c r="G439" s="1247"/>
      <c r="H439" s="1247"/>
      <c r="I439" s="1247"/>
      <c r="J439" s="1247"/>
      <c r="K439" s="1247"/>
      <c r="L439" s="1247"/>
      <c r="M439" s="1247"/>
      <c r="N439" s="1247"/>
      <c r="O439" s="1247"/>
      <c r="P439" s="1247"/>
      <c r="Q439" s="1247"/>
      <c r="R439" s="1247"/>
      <c r="S439" s="1247"/>
      <c r="T439" s="1247"/>
      <c r="U439" s="1247"/>
      <c r="V439" s="1247"/>
      <c r="W439" s="1247"/>
      <c r="X439" s="1247"/>
      <c r="Y439" s="1247"/>
      <c r="Z439" s="1247"/>
      <c r="AA439" s="1247"/>
      <c r="AB439" s="1247"/>
      <c r="AC439" s="1247"/>
      <c r="AD439" s="1247"/>
      <c r="AE439" s="1247"/>
      <c r="AF439" s="1247"/>
      <c r="AG439" s="1247"/>
      <c r="AH439" s="1247"/>
      <c r="AI439" s="1247"/>
      <c r="AJ439" s="1247"/>
      <c r="AK439" s="1247"/>
      <c r="AL439" s="1247"/>
      <c r="AM439" s="1247"/>
      <c r="AN439" s="1247"/>
      <c r="AO439" s="1247"/>
      <c r="AP439" s="1247"/>
      <c r="AQ439" s="1247"/>
      <c r="AR439" s="1247"/>
      <c r="AS439" s="1247"/>
      <c r="AT439" s="1247"/>
      <c r="AU439" s="1247"/>
      <c r="AV439" s="1247"/>
      <c r="AW439" s="1247"/>
      <c r="AX439" s="1247"/>
      <c r="AY439" s="1247"/>
      <c r="AZ439" s="1247"/>
      <c r="BA439" s="1247"/>
      <c r="BB439" s="1247"/>
      <c r="BC439" s="1247"/>
    </row>
    <row r="440" spans="2:55" s="973" customFormat="1" ht="20.25" customHeight="1">
      <c r="B440" s="1247"/>
      <c r="C440" s="1247"/>
      <c r="D440" s="1247"/>
      <c r="E440" s="1247"/>
      <c r="F440" s="1247"/>
      <c r="G440" s="1247"/>
      <c r="H440" s="1247"/>
      <c r="I440" s="1247"/>
      <c r="J440" s="1247"/>
      <c r="K440" s="1247"/>
      <c r="L440" s="1247"/>
      <c r="M440" s="1247"/>
      <c r="N440" s="1247"/>
      <c r="O440" s="1247"/>
      <c r="P440" s="1247"/>
      <c r="Q440" s="1247"/>
      <c r="R440" s="1247"/>
      <c r="S440" s="1247"/>
      <c r="T440" s="1247"/>
      <c r="U440" s="1247"/>
      <c r="V440" s="1247"/>
      <c r="W440" s="1247"/>
      <c r="X440" s="1247"/>
      <c r="Y440" s="1247"/>
      <c r="Z440" s="1247"/>
      <c r="AA440" s="1247"/>
      <c r="AB440" s="1247"/>
      <c r="AC440" s="1247"/>
      <c r="AD440" s="1247"/>
      <c r="AE440" s="1247"/>
      <c r="AF440" s="1247"/>
      <c r="AG440" s="1247"/>
      <c r="AH440" s="1247"/>
      <c r="AI440" s="1247"/>
      <c r="AJ440" s="1247"/>
      <c r="AK440" s="1247"/>
      <c r="AL440" s="1247"/>
      <c r="AM440" s="1247"/>
      <c r="AN440" s="1247"/>
      <c r="AO440" s="1247"/>
      <c r="AP440" s="1247"/>
      <c r="AQ440" s="1247"/>
      <c r="AR440" s="1247"/>
      <c r="AS440" s="1247"/>
      <c r="AT440" s="1247"/>
      <c r="AU440" s="1247"/>
      <c r="AV440" s="1247"/>
      <c r="AW440" s="1247"/>
      <c r="AX440" s="1247"/>
      <c r="AY440" s="1247"/>
      <c r="AZ440" s="1247"/>
      <c r="BA440" s="1247"/>
      <c r="BB440" s="1247"/>
      <c r="BC440" s="1247"/>
    </row>
  </sheetData>
  <mergeCells count="150">
    <mergeCell ref="D62:Y62"/>
    <mergeCell ref="AE45:AL46"/>
    <mergeCell ref="AB51:AD51"/>
    <mergeCell ref="Z57:AL57"/>
    <mergeCell ref="Z56:AL56"/>
    <mergeCell ref="W45:AD46"/>
    <mergeCell ref="Z58:AL58"/>
    <mergeCell ref="D59:Y59"/>
    <mergeCell ref="D60:Y60"/>
    <mergeCell ref="D61:Y61"/>
    <mergeCell ref="D42:N42"/>
    <mergeCell ref="D41:N41"/>
    <mergeCell ref="W39:AD40"/>
    <mergeCell ref="D38:N38"/>
    <mergeCell ref="D39:N39"/>
    <mergeCell ref="D40:N40"/>
    <mergeCell ref="AE41:AL42"/>
    <mergeCell ref="AE38:AL38"/>
    <mergeCell ref="AE43:AL44"/>
    <mergeCell ref="B56:C56"/>
    <mergeCell ref="D45:N45"/>
    <mergeCell ref="D46:N46"/>
    <mergeCell ref="O47:V48"/>
    <mergeCell ref="B61:C61"/>
    <mergeCell ref="Z63:AL63"/>
    <mergeCell ref="O27:V27"/>
    <mergeCell ref="O45:V46"/>
    <mergeCell ref="D43:N43"/>
    <mergeCell ref="D44:N44"/>
    <mergeCell ref="D50:N50"/>
    <mergeCell ref="D47:N47"/>
    <mergeCell ref="W41:AD42"/>
    <mergeCell ref="Z61:AL61"/>
    <mergeCell ref="W36:AD36"/>
    <mergeCell ref="AE51:AL51"/>
    <mergeCell ref="W29:Y29"/>
    <mergeCell ref="W30:Y30"/>
    <mergeCell ref="Z60:AL60"/>
    <mergeCell ref="D63:Y63"/>
    <mergeCell ref="D58:Y58"/>
    <mergeCell ref="Z62:AL62"/>
    <mergeCell ref="O37:V37"/>
    <mergeCell ref="AE39:AL40"/>
    <mergeCell ref="D24:N24"/>
    <mergeCell ref="W24:Y24"/>
    <mergeCell ref="O24:V24"/>
    <mergeCell ref="X31:Y31"/>
    <mergeCell ref="O25:V25"/>
    <mergeCell ref="W27:Y27"/>
    <mergeCell ref="X64:Y64"/>
    <mergeCell ref="O28:V28"/>
    <mergeCell ref="O29:V29"/>
    <mergeCell ref="O30:V30"/>
    <mergeCell ref="O31:V31"/>
    <mergeCell ref="D30:N30"/>
    <mergeCell ref="B31:N31"/>
    <mergeCell ref="B39:C40"/>
    <mergeCell ref="B62:C62"/>
    <mergeCell ref="B63:C63"/>
    <mergeCell ref="O39:V40"/>
    <mergeCell ref="B57:C57"/>
    <mergeCell ref="B58:C58"/>
    <mergeCell ref="B43:C44"/>
    <mergeCell ref="B45:C46"/>
    <mergeCell ref="W43:AD44"/>
    <mergeCell ref="Z59:AL59"/>
    <mergeCell ref="B59:C59"/>
    <mergeCell ref="D26:N26"/>
    <mergeCell ref="D27:N27"/>
    <mergeCell ref="D28:N28"/>
    <mergeCell ref="D29:N29"/>
    <mergeCell ref="Z26:AL26"/>
    <mergeCell ref="Z30:AL30"/>
    <mergeCell ref="W28:Y28"/>
    <mergeCell ref="W37:AD37"/>
    <mergeCell ref="D36:N37"/>
    <mergeCell ref="AE36:AL36"/>
    <mergeCell ref="AE37:AL37"/>
    <mergeCell ref="B41:C42"/>
    <mergeCell ref="B47:C48"/>
    <mergeCell ref="B25:C25"/>
    <mergeCell ref="D57:Y57"/>
    <mergeCell ref="D56:Y56"/>
    <mergeCell ref="B28:C28"/>
    <mergeCell ref="B29:C29"/>
    <mergeCell ref="B30:C30"/>
    <mergeCell ref="B38:C38"/>
    <mergeCell ref="W51:AA51"/>
    <mergeCell ref="B51:V51"/>
    <mergeCell ref="W38:AD38"/>
    <mergeCell ref="Z25:AL25"/>
    <mergeCell ref="O36:V36"/>
    <mergeCell ref="W47:AD48"/>
    <mergeCell ref="O41:V42"/>
    <mergeCell ref="O43:V44"/>
    <mergeCell ref="W25:Y25"/>
    <mergeCell ref="W26:Y26"/>
    <mergeCell ref="O26:V26"/>
    <mergeCell ref="O49:V50"/>
    <mergeCell ref="D25:N25"/>
    <mergeCell ref="Z31:AL31"/>
    <mergeCell ref="Z27:AL27"/>
    <mergeCell ref="C3:H3"/>
    <mergeCell ref="E22:AC22"/>
    <mergeCell ref="O38:V38"/>
    <mergeCell ref="AB13:AE13"/>
    <mergeCell ref="AG13:AL13"/>
    <mergeCell ref="K8:AB8"/>
    <mergeCell ref="C4:H7"/>
    <mergeCell ref="AD3:AE4"/>
    <mergeCell ref="K6:AB7"/>
    <mergeCell ref="I4:AB5"/>
    <mergeCell ref="AD8:AE8"/>
    <mergeCell ref="I3:AB3"/>
    <mergeCell ref="AH3:AI4"/>
    <mergeCell ref="AJ3:AK4"/>
    <mergeCell ref="B23:C23"/>
    <mergeCell ref="D23:X23"/>
    <mergeCell ref="B26:C26"/>
    <mergeCell ref="F13:O13"/>
    <mergeCell ref="Y23:AL23"/>
    <mergeCell ref="B24:C24"/>
    <mergeCell ref="Z28:AL28"/>
    <mergeCell ref="Z29:AL29"/>
    <mergeCell ref="Z24:AL24"/>
    <mergeCell ref="B36:C37"/>
    <mergeCell ref="B3:B7"/>
    <mergeCell ref="B8:H8"/>
    <mergeCell ref="B27:C27"/>
    <mergeCell ref="AG67:AK68"/>
    <mergeCell ref="AD67:AD68"/>
    <mergeCell ref="AA67:AC68"/>
    <mergeCell ref="AF67:AF68"/>
    <mergeCell ref="AE67:AE68"/>
    <mergeCell ref="W49:AD50"/>
    <mergeCell ref="C67:Y68"/>
    <mergeCell ref="B60:C60"/>
    <mergeCell ref="D48:N48"/>
    <mergeCell ref="D49:N49"/>
    <mergeCell ref="AE47:AL48"/>
    <mergeCell ref="AE49:AL50"/>
    <mergeCell ref="B49:C50"/>
    <mergeCell ref="B64:W64"/>
    <mergeCell ref="Z64:AL64"/>
    <mergeCell ref="AK8:AL8"/>
    <mergeCell ref="AC3:AC11"/>
    <mergeCell ref="AI8:AJ8"/>
    <mergeCell ref="AF3:AG4"/>
    <mergeCell ref="AF8:AG8"/>
    <mergeCell ref="B9:H9"/>
  </mergeCells>
  <phoneticPr fontId="20" type="noConversion"/>
  <printOptions horizontalCentered="1"/>
  <pageMargins left="0.11811023622047245" right="0.11811023622047245" top="0.39370078740157483" bottom="0.19685039370078741" header="7.874015748031496E-2" footer="7.874015748031496E-2"/>
  <pageSetup paperSize="5" scale="77" orientation="portrait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tabColor rgb="FF92D050"/>
  </sheetPr>
  <dimension ref="A1:BD408"/>
  <sheetViews>
    <sheetView showGridLines="0" view="pageBreakPreview" workbookViewId="0">
      <selection activeCell="C3" sqref="C3:H6"/>
    </sheetView>
  </sheetViews>
  <sheetFormatPr defaultColWidth="9.140625" defaultRowHeight="12.75"/>
  <cols>
    <col min="1" max="1" width="3.7109375" style="64" customWidth="1"/>
    <col min="2" max="2" width="3.85546875" style="102" customWidth="1"/>
    <col min="3" max="3" width="5.140625" style="102" customWidth="1"/>
    <col min="4" max="4" width="3.28515625" style="102" customWidth="1"/>
    <col min="5" max="5" width="2" style="102" customWidth="1"/>
    <col min="6" max="6" width="3" style="102" customWidth="1"/>
    <col min="7" max="7" width="2.85546875" style="102" customWidth="1"/>
    <col min="8" max="8" width="4.7109375" style="102" customWidth="1"/>
    <col min="9" max="9" width="1.5703125" style="102" customWidth="1"/>
    <col min="10" max="10" width="1.140625" style="102" customWidth="1"/>
    <col min="11" max="11" width="1" style="102" customWidth="1"/>
    <col min="12" max="39" width="3.7109375" style="102" customWidth="1"/>
    <col min="40" max="40" width="1" style="102" customWidth="1"/>
    <col min="41" max="41" width="1.85546875" style="102" customWidth="1"/>
    <col min="42" max="94" width="2.85546875" style="102" customWidth="1"/>
    <col min="95" max="188" width="3.85546875" style="102" customWidth="1"/>
    <col min="189" max="16384" width="9.140625" style="102"/>
  </cols>
  <sheetData>
    <row r="1" spans="1:39" ht="12.75" customHeight="1">
      <c r="A1" s="103"/>
      <c r="B1" s="10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64"/>
      <c r="AM1" s="165"/>
    </row>
    <row r="2" spans="1:39" ht="5.25" customHeight="1">
      <c r="A2" s="106"/>
      <c r="B2" s="10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64"/>
      <c r="AM2" s="104"/>
    </row>
    <row r="3" spans="1:39" ht="15" customHeight="1">
      <c r="B3" s="2596" t="s">
        <v>0</v>
      </c>
      <c r="C3" s="2597" t="s">
        <v>147</v>
      </c>
      <c r="D3" s="2597"/>
      <c r="E3" s="2597"/>
      <c r="F3" s="2597"/>
      <c r="G3" s="2597"/>
      <c r="H3" s="2598"/>
      <c r="I3" s="2599" t="s">
        <v>148</v>
      </c>
      <c r="J3" s="2600"/>
      <c r="K3" s="2600"/>
      <c r="L3" s="2600"/>
      <c r="M3" s="2600"/>
      <c r="N3" s="2600"/>
      <c r="O3" s="2600"/>
      <c r="P3" s="2600"/>
      <c r="Q3" s="2600"/>
      <c r="R3" s="2600"/>
      <c r="S3" s="2600"/>
      <c r="T3" s="2600"/>
      <c r="U3" s="2600"/>
      <c r="V3" s="2600"/>
      <c r="W3" s="2600"/>
      <c r="X3" s="2600"/>
      <c r="Y3" s="2600"/>
      <c r="Z3" s="2600"/>
      <c r="AA3" s="2600"/>
      <c r="AB3" s="2600"/>
      <c r="AC3" s="2601"/>
      <c r="AD3" s="2602" t="s">
        <v>3</v>
      </c>
      <c r="AE3" s="2507">
        <f>'FE-1770-II'!AE3</f>
        <v>0</v>
      </c>
      <c r="AF3" s="2507"/>
      <c r="AG3" s="2507">
        <f>'FE-1770-II'!AG3</f>
        <v>0</v>
      </c>
      <c r="AH3" s="2507"/>
      <c r="AI3" s="2507">
        <f>'FE-1770-II'!AI3</f>
        <v>0</v>
      </c>
      <c r="AJ3" s="2507"/>
      <c r="AK3" s="2507">
        <f>'FE-1770-II'!AK3</f>
        <v>0</v>
      </c>
      <c r="AL3" s="2507"/>
      <c r="AM3" s="408"/>
    </row>
    <row r="4" spans="1:39" ht="13.5" customHeight="1">
      <c r="B4" s="2596"/>
      <c r="C4" s="2597"/>
      <c r="D4" s="2597"/>
      <c r="E4" s="2597"/>
      <c r="F4" s="2597"/>
      <c r="G4" s="2597"/>
      <c r="H4" s="2598"/>
      <c r="I4" s="3332" t="s">
        <v>149</v>
      </c>
      <c r="J4" s="3333"/>
      <c r="K4" s="3333"/>
      <c r="L4" s="3333"/>
      <c r="M4" s="3333"/>
      <c r="N4" s="3333"/>
      <c r="O4" s="3333"/>
      <c r="P4" s="3333"/>
      <c r="Q4" s="3333"/>
      <c r="R4" s="3333"/>
      <c r="S4" s="3333"/>
      <c r="T4" s="3333"/>
      <c r="U4" s="3333"/>
      <c r="V4" s="3333"/>
      <c r="W4" s="3333"/>
      <c r="X4" s="3333"/>
      <c r="Y4" s="3333"/>
      <c r="Z4" s="3333"/>
      <c r="AA4" s="3333"/>
      <c r="AB4" s="3333"/>
      <c r="AC4" s="3334"/>
      <c r="AD4" s="2602"/>
      <c r="AE4" s="2507"/>
      <c r="AF4" s="2507"/>
      <c r="AG4" s="2507"/>
      <c r="AH4" s="2507"/>
      <c r="AI4" s="2507"/>
      <c r="AJ4" s="2507"/>
      <c r="AK4" s="2507"/>
      <c r="AL4" s="2507"/>
      <c r="AM4" s="408"/>
    </row>
    <row r="5" spans="1:39" ht="13.5" customHeight="1" thickBot="1">
      <c r="B5" s="2596"/>
      <c r="C5" s="2597"/>
      <c r="D5" s="2597"/>
      <c r="E5" s="2597"/>
      <c r="F5" s="2597"/>
      <c r="G5" s="2597"/>
      <c r="H5" s="2598"/>
      <c r="I5" s="3332"/>
      <c r="J5" s="3333"/>
      <c r="K5" s="3333"/>
      <c r="L5" s="3333"/>
      <c r="M5" s="3333"/>
      <c r="N5" s="3333"/>
      <c r="O5" s="3333"/>
      <c r="P5" s="3333"/>
      <c r="Q5" s="3333"/>
      <c r="R5" s="3333"/>
      <c r="S5" s="3333"/>
      <c r="T5" s="3333"/>
      <c r="U5" s="3333"/>
      <c r="V5" s="3333"/>
      <c r="W5" s="3333"/>
      <c r="X5" s="3333"/>
      <c r="Y5" s="3333"/>
      <c r="Z5" s="3333"/>
      <c r="AA5" s="3333"/>
      <c r="AB5" s="3333"/>
      <c r="AC5" s="3334"/>
      <c r="AD5" s="2602"/>
      <c r="AE5" s="483"/>
      <c r="AF5" s="483"/>
      <c r="AG5" s="483"/>
      <c r="AH5" s="483"/>
      <c r="AI5" s="408"/>
      <c r="AJ5" s="408"/>
      <c r="AK5" s="408"/>
      <c r="AL5" s="408"/>
      <c r="AM5" s="408"/>
    </row>
    <row r="6" spans="1:39" ht="20.25" customHeight="1">
      <c r="B6" s="2596"/>
      <c r="C6" s="2597"/>
      <c r="D6" s="2597"/>
      <c r="E6" s="2597"/>
      <c r="F6" s="2597"/>
      <c r="G6" s="2597"/>
      <c r="H6" s="2598"/>
      <c r="I6" s="484"/>
      <c r="J6" s="23"/>
      <c r="K6" s="485"/>
      <c r="L6" s="2548" t="s">
        <v>283</v>
      </c>
      <c r="M6" s="2548"/>
      <c r="N6" s="2548"/>
      <c r="O6" s="2548"/>
      <c r="P6" s="2548"/>
      <c r="Q6" s="2548"/>
      <c r="R6" s="2548"/>
      <c r="S6" s="2548"/>
      <c r="T6" s="2548"/>
      <c r="U6" s="2548"/>
      <c r="V6" s="2548"/>
      <c r="W6" s="2548"/>
      <c r="X6" s="2548"/>
      <c r="Y6" s="2548"/>
      <c r="Z6" s="2548"/>
      <c r="AA6" s="2548"/>
      <c r="AB6" s="2548"/>
      <c r="AC6" s="486"/>
      <c r="AD6" s="2602"/>
      <c r="AE6" s="1698" t="str">
        <f>'FE-1770-II'!AE6</f>
        <v>0</v>
      </c>
      <c r="AF6" s="1698" t="str">
        <f>'FE-1770-II'!AF6</f>
        <v>1</v>
      </c>
      <c r="AG6" s="1698" t="str">
        <f>'FE-1770-II'!AG6</f>
        <v>0</v>
      </c>
      <c r="AH6" s="1698" t="str">
        <f>'FE-1770-II'!AH6</f>
        <v>0</v>
      </c>
      <c r="AI6" s="1111" t="s">
        <v>7</v>
      </c>
      <c r="AJ6" s="1698" t="str">
        <f>'FE-1770-II'!AJ6</f>
        <v>0</v>
      </c>
      <c r="AK6" s="1698" t="str">
        <f>'FE-1770-II'!AK6</f>
        <v>1</v>
      </c>
      <c r="AL6" s="1698" t="str">
        <f>'FE-1770-II'!AL6</f>
        <v>0</v>
      </c>
      <c r="AM6" s="1698" t="str">
        <f>'FE-1770-II'!AM6</f>
        <v>0</v>
      </c>
    </row>
    <row r="7" spans="1:39" ht="4.5" customHeight="1">
      <c r="B7" s="2596"/>
      <c r="C7" s="487"/>
      <c r="D7" s="487"/>
      <c r="E7" s="487"/>
      <c r="F7" s="487"/>
      <c r="G7" s="487"/>
      <c r="H7" s="488"/>
      <c r="I7" s="489"/>
      <c r="J7" s="490"/>
      <c r="K7" s="490"/>
      <c r="L7" s="2550"/>
      <c r="M7" s="2550"/>
      <c r="N7" s="2550"/>
      <c r="O7" s="2550"/>
      <c r="P7" s="2550"/>
      <c r="Q7" s="2550"/>
      <c r="R7" s="2550"/>
      <c r="S7" s="2550"/>
      <c r="T7" s="2550"/>
      <c r="U7" s="2550"/>
      <c r="V7" s="2550"/>
      <c r="W7" s="2550"/>
      <c r="X7" s="2550"/>
      <c r="Y7" s="2550"/>
      <c r="Z7" s="2550"/>
      <c r="AA7" s="2550"/>
      <c r="AB7" s="2550"/>
      <c r="AC7" s="491"/>
      <c r="AD7" s="2602"/>
      <c r="AE7" s="492"/>
      <c r="AF7" s="492"/>
      <c r="AG7" s="493"/>
      <c r="AH7" s="494"/>
      <c r="AI7" s="495"/>
      <c r="AJ7" s="493"/>
      <c r="AK7" s="494"/>
      <c r="AL7" s="493"/>
      <c r="AM7" s="494"/>
    </row>
    <row r="8" spans="1:39" ht="12.75" customHeight="1">
      <c r="B8" s="2524" t="s">
        <v>302</v>
      </c>
      <c r="C8" s="2524"/>
      <c r="D8" s="2524"/>
      <c r="E8" s="2524"/>
      <c r="F8" s="2524"/>
      <c r="G8" s="2524"/>
      <c r="H8" s="2525"/>
      <c r="I8" s="489"/>
      <c r="J8" s="490"/>
      <c r="K8" s="490"/>
      <c r="L8" s="2550"/>
      <c r="M8" s="2550"/>
      <c r="N8" s="2550"/>
      <c r="O8" s="2550"/>
      <c r="P8" s="2550"/>
      <c r="Q8" s="2550"/>
      <c r="R8" s="2550"/>
      <c r="S8" s="2550"/>
      <c r="T8" s="2550"/>
      <c r="U8" s="2550"/>
      <c r="V8" s="2550"/>
      <c r="W8" s="2550"/>
      <c r="X8" s="2550"/>
      <c r="Y8" s="2550"/>
      <c r="Z8" s="2550"/>
      <c r="AA8" s="2550"/>
      <c r="AB8" s="2550"/>
      <c r="AC8" s="491"/>
      <c r="AD8" s="2602"/>
      <c r="AE8" s="2591" t="s">
        <v>4</v>
      </c>
      <c r="AF8" s="2591"/>
      <c r="AG8" s="2592" t="s">
        <v>5</v>
      </c>
      <c r="AH8" s="2593"/>
      <c r="AI8" s="496"/>
      <c r="AJ8" s="2592" t="s">
        <v>4</v>
      </c>
      <c r="AK8" s="2593"/>
      <c r="AL8" s="2592" t="s">
        <v>5</v>
      </c>
      <c r="AM8" s="2593"/>
    </row>
    <row r="9" spans="1:39" ht="16.5" customHeight="1">
      <c r="B9" s="2500" t="s">
        <v>8</v>
      </c>
      <c r="C9" s="2500"/>
      <c r="D9" s="2500"/>
      <c r="E9" s="2500"/>
      <c r="F9" s="2500"/>
      <c r="G9" s="2500"/>
      <c r="H9" s="2501"/>
      <c r="I9" s="489"/>
      <c r="J9" s="490"/>
      <c r="K9" s="490"/>
      <c r="L9" s="2550"/>
      <c r="M9" s="2550"/>
      <c r="N9" s="2550"/>
      <c r="O9" s="2550"/>
      <c r="P9" s="2550"/>
      <c r="Q9" s="2550"/>
      <c r="R9" s="2550"/>
      <c r="S9" s="2550"/>
      <c r="T9" s="2550"/>
      <c r="U9" s="2550"/>
      <c r="V9" s="2550"/>
      <c r="W9" s="2550"/>
      <c r="X9" s="2550"/>
      <c r="Y9" s="2550"/>
      <c r="Z9" s="2550"/>
      <c r="AA9" s="2550"/>
      <c r="AB9" s="2550"/>
      <c r="AC9" s="491"/>
      <c r="AD9" s="2602"/>
      <c r="AE9" s="792" t="str">
        <f>'FE-1770-II'!AE9</f>
        <v/>
      </c>
      <c r="AF9" s="385" t="s">
        <v>9</v>
      </c>
      <c r="AG9" s="446"/>
      <c r="AH9" s="1110"/>
      <c r="AI9" s="497" t="str">
        <f>'FE-1770-II'!AI9</f>
        <v/>
      </c>
      <c r="AJ9" s="385" t="s">
        <v>321</v>
      </c>
      <c r="AK9" s="498"/>
      <c r="AL9" s="446"/>
      <c r="AM9" s="446"/>
    </row>
    <row r="10" spans="1:39" ht="3.75" customHeight="1" thickBot="1">
      <c r="B10" s="499"/>
      <c r="C10" s="500"/>
      <c r="D10" s="501"/>
      <c r="E10" s="501"/>
      <c r="F10" s="501"/>
      <c r="G10" s="502"/>
      <c r="H10" s="503"/>
      <c r="I10" s="504"/>
      <c r="J10" s="505"/>
      <c r="K10" s="505"/>
      <c r="L10" s="505"/>
      <c r="M10" s="505"/>
      <c r="N10" s="505"/>
      <c r="O10" s="505"/>
      <c r="P10" s="505"/>
      <c r="Q10" s="505"/>
      <c r="R10" s="505"/>
      <c r="S10" s="505"/>
      <c r="T10" s="505"/>
      <c r="U10" s="505"/>
      <c r="V10" s="505"/>
      <c r="W10" s="505"/>
      <c r="X10" s="505"/>
      <c r="Y10" s="505"/>
      <c r="Z10" s="505"/>
      <c r="AA10" s="505"/>
      <c r="AB10" s="505"/>
      <c r="AC10" s="506"/>
      <c r="AD10" s="507"/>
      <c r="AE10" s="500"/>
      <c r="AF10" s="500"/>
      <c r="AG10" s="500"/>
      <c r="AH10" s="500"/>
      <c r="AI10" s="508"/>
      <c r="AJ10" s="500"/>
      <c r="AK10" s="500"/>
      <c r="AL10" s="500"/>
      <c r="AM10" s="500"/>
    </row>
    <row r="11" spans="1:39" ht="2.25" customHeight="1">
      <c r="B11" s="419"/>
      <c r="C11" s="106"/>
      <c r="D11" s="408"/>
      <c r="E11" s="408"/>
      <c r="F11" s="408"/>
      <c r="G11" s="1141"/>
      <c r="H11" s="509"/>
      <c r="I11" s="1125"/>
      <c r="J11" s="1125"/>
      <c r="K11" s="1125"/>
      <c r="L11" s="1125"/>
      <c r="M11" s="1125"/>
      <c r="N11" s="1125"/>
      <c r="O11" s="1125"/>
      <c r="P11" s="1125"/>
      <c r="Q11" s="1125"/>
      <c r="R11" s="1125"/>
      <c r="S11" s="1125"/>
      <c r="T11" s="1125"/>
      <c r="U11" s="1125"/>
      <c r="V11" s="1125"/>
      <c r="W11" s="1125"/>
      <c r="X11" s="1125"/>
      <c r="Y11" s="1125"/>
      <c r="Z11" s="1125"/>
      <c r="AA11" s="1125"/>
      <c r="AB11" s="1125"/>
      <c r="AC11" s="1125"/>
      <c r="AD11" s="419"/>
      <c r="AE11" s="106"/>
      <c r="AF11" s="106"/>
      <c r="AG11" s="106"/>
      <c r="AH11" s="106"/>
      <c r="AI11" s="420"/>
      <c r="AJ11" s="106"/>
      <c r="AK11" s="106"/>
      <c r="AL11" s="106"/>
      <c r="AM11" s="106"/>
    </row>
    <row r="12" spans="1:39" s="30" customFormat="1" ht="18" customHeight="1">
      <c r="A12" s="29"/>
      <c r="B12" s="1109" t="s">
        <v>121</v>
      </c>
      <c r="C12" s="1109"/>
      <c r="D12" s="1141" t="s">
        <v>6</v>
      </c>
      <c r="E12" s="3329" t="s">
        <v>349</v>
      </c>
      <c r="F12" s="3329"/>
      <c r="G12" s="3329"/>
      <c r="H12" s="3329"/>
      <c r="I12" s="3329"/>
      <c r="J12" s="3329"/>
      <c r="K12" s="3329"/>
      <c r="L12" s="3329"/>
      <c r="M12" s="3329"/>
      <c r="N12" s="3329"/>
      <c r="O12" s="3329"/>
      <c r="P12" s="1141" t="s">
        <v>6</v>
      </c>
      <c r="Q12" s="91" t="s">
        <v>357</v>
      </c>
      <c r="S12" s="437"/>
      <c r="T12" s="437"/>
      <c r="U12" s="437"/>
      <c r="V12" s="437"/>
      <c r="W12" s="437"/>
      <c r="X12" s="437"/>
      <c r="Y12" s="437"/>
      <c r="Z12" s="437"/>
      <c r="AA12" s="1141" t="s">
        <v>6</v>
      </c>
      <c r="AB12" s="2503" t="s">
        <v>74</v>
      </c>
      <c r="AC12" s="2503"/>
      <c r="AD12" s="2503"/>
      <c r="AE12" s="2611"/>
      <c r="AF12" s="34"/>
      <c r="AG12" s="2505" t="s">
        <v>223</v>
      </c>
      <c r="AH12" s="2503"/>
      <c r="AI12" s="2503"/>
      <c r="AJ12" s="2503"/>
      <c r="AK12" s="2503"/>
      <c r="AL12" s="436"/>
      <c r="AM12" s="436"/>
    </row>
    <row r="13" spans="1:39" ht="2.25" customHeight="1" thickBot="1">
      <c r="B13" s="64"/>
      <c r="D13" s="1106"/>
      <c r="E13" s="1106"/>
      <c r="F13" s="1106"/>
      <c r="G13" s="1106"/>
      <c r="H13" s="1106"/>
      <c r="I13" s="1106"/>
      <c r="J13" s="64"/>
      <c r="K13" s="64"/>
      <c r="L13" s="64"/>
      <c r="M13" s="64"/>
      <c r="N13" s="64"/>
      <c r="O13" s="117"/>
      <c r="P13" s="117"/>
      <c r="Q13" s="117"/>
      <c r="R13" s="117"/>
      <c r="S13" s="117"/>
      <c r="T13" s="117"/>
      <c r="U13" s="117"/>
      <c r="V13" s="117"/>
      <c r="W13" s="117"/>
      <c r="X13" s="117"/>
      <c r="Y13" s="117"/>
      <c r="Z13" s="16"/>
      <c r="AA13" s="118"/>
      <c r="AB13" s="118"/>
      <c r="AC13" s="64"/>
      <c r="AD13" s="17"/>
      <c r="AE13" s="37"/>
      <c r="AF13" s="10"/>
      <c r="AG13" s="10"/>
      <c r="AH13" s="10"/>
      <c r="AI13" s="10"/>
      <c r="AJ13" s="33"/>
      <c r="AK13" s="33"/>
      <c r="AL13" s="33"/>
      <c r="AM13" s="33"/>
    </row>
    <row r="14" spans="1:39" ht="5.25" customHeight="1">
      <c r="B14" s="304"/>
      <c r="C14" s="236"/>
      <c r="D14" s="236"/>
      <c r="E14" s="236"/>
      <c r="F14" s="305"/>
      <c r="G14" s="305"/>
      <c r="H14" s="305"/>
      <c r="I14" s="305"/>
      <c r="J14" s="114"/>
      <c r="K14" s="114"/>
      <c r="L14" s="114"/>
      <c r="M14" s="114"/>
      <c r="N14" s="114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26"/>
      <c r="AA14" s="116"/>
      <c r="AB14" s="116"/>
      <c r="AC14" s="114"/>
      <c r="AD14" s="18"/>
      <c r="AE14" s="238"/>
      <c r="AF14" s="28"/>
      <c r="AG14" s="28"/>
      <c r="AH14" s="28"/>
      <c r="AI14" s="28"/>
      <c r="AJ14" s="28"/>
      <c r="AK14" s="28"/>
      <c r="AL14" s="28"/>
      <c r="AM14" s="239"/>
    </row>
    <row r="15" spans="1:39" ht="20.100000000000001" customHeight="1">
      <c r="B15" s="368" t="s">
        <v>12</v>
      </c>
      <c r="C15" s="127"/>
      <c r="D15" s="127"/>
      <c r="E15" s="127"/>
      <c r="F15" s="54"/>
      <c r="G15" s="54"/>
      <c r="H15" s="42" t="s">
        <v>13</v>
      </c>
      <c r="I15" s="54"/>
      <c r="J15" s="64"/>
      <c r="K15" s="64"/>
      <c r="L15" s="1423" t="str">
        <f>'1770-I-hal 2'!K16</f>
        <v/>
      </c>
      <c r="M15" s="1423" t="str">
        <f>'1770-I-hal 2'!L16</f>
        <v/>
      </c>
      <c r="N15" s="1426"/>
      <c r="O15" s="1423" t="str">
        <f>'1770-I-hal 2'!N16</f>
        <v/>
      </c>
      <c r="P15" s="1423" t="str">
        <f>'1770-I-hal 2'!O16</f>
        <v/>
      </c>
      <c r="Q15" s="1423" t="str">
        <f>'1770-I-hal 2'!P16</f>
        <v/>
      </c>
      <c r="R15" s="119"/>
      <c r="S15" s="1423" t="str">
        <f>'1770-I-hal 2'!R16</f>
        <v/>
      </c>
      <c r="T15" s="1423" t="str">
        <f>'1770-I-hal 2'!S16</f>
        <v/>
      </c>
      <c r="U15" s="1423" t="str">
        <f>'1770-I-hal 2'!T16</f>
        <v/>
      </c>
      <c r="V15" s="395"/>
      <c r="W15" s="1423" t="str">
        <f>'1770-I-hal 2'!V16</f>
        <v/>
      </c>
      <c r="X15" s="395"/>
      <c r="Y15" s="1423" t="str">
        <f>'1770-I-hal 2'!X16</f>
        <v/>
      </c>
      <c r="Z15" s="1423" t="str">
        <f>'1770-I-hal 2'!Y16</f>
        <v/>
      </c>
      <c r="AA15" s="1423" t="str">
        <f>'1770-I-hal 2'!Z16</f>
        <v/>
      </c>
      <c r="AB15" s="395"/>
      <c r="AC15" s="1423" t="str">
        <f>'1770-I-hal 2'!AB16</f>
        <v/>
      </c>
      <c r="AD15" s="1423" t="str">
        <f>'1770-I-hal 2'!AC16</f>
        <v/>
      </c>
      <c r="AE15" s="1423" t="str">
        <f>'1770-I-hal 2'!AD16</f>
        <v/>
      </c>
      <c r="AF15" s="64"/>
      <c r="AG15" s="119"/>
      <c r="AH15" s="119"/>
      <c r="AI15" s="119"/>
      <c r="AJ15" s="119"/>
      <c r="AK15" s="119"/>
      <c r="AL15" s="119"/>
      <c r="AM15" s="307"/>
    </row>
    <row r="16" spans="1:39" ht="5.25" customHeight="1">
      <c r="B16" s="367"/>
      <c r="C16" s="127"/>
      <c r="D16" s="127"/>
      <c r="E16" s="127"/>
      <c r="F16" s="54"/>
      <c r="G16" s="54"/>
      <c r="H16" s="54"/>
      <c r="I16" s="54"/>
      <c r="J16" s="184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307"/>
    </row>
    <row r="17" spans="1:51" ht="20.100000000000001" customHeight="1">
      <c r="B17" s="368" t="s">
        <v>14</v>
      </c>
      <c r="C17" s="127"/>
      <c r="D17" s="127"/>
      <c r="E17" s="127"/>
      <c r="F17" s="54"/>
      <c r="G17" s="54"/>
      <c r="H17" s="45" t="s">
        <v>13</v>
      </c>
      <c r="I17" s="54"/>
      <c r="J17" s="64"/>
      <c r="K17" s="64"/>
      <c r="L17" s="1707" t="str">
        <f>'1770-I-hal 2'!K18</f>
        <v/>
      </c>
      <c r="M17" s="1708"/>
      <c r="N17" s="1708"/>
      <c r="O17" s="1708"/>
      <c r="P17" s="1708"/>
      <c r="Q17" s="1708"/>
      <c r="R17" s="1708"/>
      <c r="S17" s="1708"/>
      <c r="T17" s="1708"/>
      <c r="U17" s="1708"/>
      <c r="V17" s="1708"/>
      <c r="W17" s="1708"/>
      <c r="X17" s="1708"/>
      <c r="Y17" s="1708"/>
      <c r="Z17" s="1708"/>
      <c r="AA17" s="1708"/>
      <c r="AB17" s="1708"/>
      <c r="AC17" s="1708"/>
      <c r="AD17" s="1708"/>
      <c r="AE17" s="1708"/>
      <c r="AF17" s="1708"/>
      <c r="AG17" s="1708"/>
      <c r="AH17" s="1708"/>
      <c r="AI17" s="1708"/>
      <c r="AJ17" s="1708"/>
      <c r="AK17" s="1708"/>
      <c r="AL17" s="119"/>
      <c r="AM17" s="307"/>
    </row>
    <row r="18" spans="1:51" ht="6.75" customHeight="1" thickBot="1">
      <c r="B18" s="309"/>
      <c r="C18" s="310"/>
      <c r="D18" s="310"/>
      <c r="E18" s="310"/>
      <c r="F18" s="311"/>
      <c r="G18" s="312"/>
      <c r="H18" s="312"/>
      <c r="I18" s="312"/>
      <c r="J18" s="313"/>
      <c r="K18" s="113"/>
      <c r="L18" s="113"/>
      <c r="M18" s="113"/>
      <c r="N18" s="113"/>
      <c r="O18" s="315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316"/>
    </row>
    <row r="19" spans="1:51" ht="12" customHeight="1">
      <c r="G19" s="35"/>
      <c r="M19" s="104"/>
      <c r="N19" s="104"/>
      <c r="O19" s="1234"/>
      <c r="P19" s="104"/>
      <c r="Q19" s="104"/>
      <c r="R19" s="104"/>
      <c r="S19" s="104"/>
      <c r="T19" s="104"/>
      <c r="U19" s="104"/>
      <c r="V19" s="104"/>
      <c r="W19" s="104"/>
      <c r="X19" s="104"/>
      <c r="Y19" s="104"/>
      <c r="Z19" s="104"/>
      <c r="AA19" s="120"/>
      <c r="AB19" s="106"/>
      <c r="AC19" s="106"/>
      <c r="AD19" s="106"/>
      <c r="AE19" s="106"/>
      <c r="AF19" s="106"/>
      <c r="AG19" s="106"/>
      <c r="AH19" s="106"/>
      <c r="AI19" s="106"/>
      <c r="AJ19" s="106"/>
      <c r="AK19" s="106"/>
      <c r="AL19" s="106"/>
      <c r="AM19" s="64"/>
    </row>
    <row r="20" spans="1:51" s="402" customFormat="1" ht="27.75" customHeight="1">
      <c r="A20" s="47"/>
      <c r="B20" s="55" t="s">
        <v>150</v>
      </c>
      <c r="E20" s="2574" t="s">
        <v>311</v>
      </c>
      <c r="F20" s="2574"/>
      <c r="G20" s="2574"/>
      <c r="H20" s="2574"/>
      <c r="I20" s="2574"/>
      <c r="J20" s="2574"/>
      <c r="K20" s="2574"/>
      <c r="L20" s="2574"/>
      <c r="M20" s="2574"/>
      <c r="N20" s="2574"/>
      <c r="O20" s="2574"/>
      <c r="P20" s="2574"/>
      <c r="Q20" s="2574"/>
      <c r="R20" s="2574"/>
      <c r="S20" s="2574"/>
      <c r="T20" s="2574"/>
      <c r="U20" s="2574"/>
      <c r="V20" s="2574"/>
      <c r="W20" s="2574"/>
      <c r="X20" s="2574"/>
      <c r="Y20" s="2574"/>
      <c r="Z20" s="2574"/>
      <c r="AA20" s="2574"/>
      <c r="AB20" s="2574"/>
      <c r="AC20" s="2574"/>
      <c r="AD20" s="2574"/>
      <c r="AE20" s="2574"/>
      <c r="AF20" s="2574"/>
      <c r="AG20" s="2574"/>
      <c r="AH20" s="2574"/>
      <c r="AI20" s="2574"/>
      <c r="AJ20" s="2574"/>
      <c r="AK20" s="2574"/>
      <c r="AL20" s="2574"/>
      <c r="AM20" s="2574"/>
      <c r="AN20" s="185"/>
      <c r="AO20" s="185"/>
      <c r="AP20" s="185"/>
      <c r="AQ20" s="185"/>
      <c r="AR20" s="185"/>
      <c r="AS20" s="185"/>
      <c r="AT20" s="185"/>
      <c r="AU20" s="185"/>
      <c r="AV20" s="185"/>
    </row>
    <row r="21" spans="1:51" s="64" customFormat="1" ht="9" customHeight="1">
      <c r="A21" s="47"/>
      <c r="B21" s="1139"/>
      <c r="C21" s="1139"/>
      <c r="D21" s="169"/>
      <c r="E21" s="169"/>
      <c r="F21" s="169"/>
      <c r="G21" s="169"/>
      <c r="H21" s="169"/>
      <c r="I21" s="169"/>
      <c r="J21" s="169"/>
      <c r="K21" s="169"/>
      <c r="L21" s="169"/>
      <c r="M21" s="169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</row>
    <row r="22" spans="1:51" s="64" customFormat="1" ht="36.75" customHeight="1">
      <c r="A22" s="47"/>
      <c r="B22" s="2577" t="s">
        <v>151</v>
      </c>
      <c r="C22" s="2579" t="s">
        <v>152</v>
      </c>
      <c r="D22" s="2580"/>
      <c r="E22" s="2580"/>
      <c r="F22" s="2580"/>
      <c r="G22" s="2580"/>
      <c r="H22" s="2580"/>
      <c r="I22" s="2580"/>
      <c r="J22" s="2580"/>
      <c r="K22" s="2581"/>
      <c r="L22" s="2580" t="s">
        <v>231</v>
      </c>
      <c r="M22" s="2580"/>
      <c r="N22" s="2580"/>
      <c r="O22" s="2580"/>
      <c r="P22" s="2580"/>
      <c r="Q22" s="2580"/>
      <c r="R22" s="2579" t="s">
        <v>284</v>
      </c>
      <c r="S22" s="2580"/>
      <c r="T22" s="2580"/>
      <c r="U22" s="2580"/>
      <c r="V22" s="2580"/>
      <c r="W22" s="2580"/>
      <c r="X22" s="2580"/>
      <c r="Y22" s="2581"/>
      <c r="Z22" s="2580" t="s">
        <v>238</v>
      </c>
      <c r="AA22" s="2580"/>
      <c r="AB22" s="2580"/>
      <c r="AC22" s="2580"/>
      <c r="AD22" s="2580"/>
      <c r="AE22" s="2580"/>
      <c r="AF22" s="2579" t="s">
        <v>224</v>
      </c>
      <c r="AG22" s="2580"/>
      <c r="AH22" s="2580"/>
      <c r="AI22" s="2580"/>
      <c r="AJ22" s="2580"/>
      <c r="AK22" s="2580"/>
      <c r="AL22" s="2580"/>
      <c r="AM22" s="2581"/>
      <c r="AN22" s="169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</row>
    <row r="23" spans="1:51" s="64" customFormat="1" ht="14.25" customHeight="1">
      <c r="A23" s="47"/>
      <c r="B23" s="2578"/>
      <c r="C23" s="2582"/>
      <c r="D23" s="2583"/>
      <c r="E23" s="2583"/>
      <c r="F23" s="2583"/>
      <c r="G23" s="2583"/>
      <c r="H23" s="2583"/>
      <c r="I23" s="2583"/>
      <c r="J23" s="2583"/>
      <c r="K23" s="2584"/>
      <c r="L23" s="2583"/>
      <c r="M23" s="2583"/>
      <c r="N23" s="2583"/>
      <c r="O23" s="2583"/>
      <c r="P23" s="2583"/>
      <c r="Q23" s="2583"/>
      <c r="R23" s="2603" t="s">
        <v>232</v>
      </c>
      <c r="S23" s="2604"/>
      <c r="T23" s="2604"/>
      <c r="U23" s="2604"/>
      <c r="V23" s="2579" t="s">
        <v>233</v>
      </c>
      <c r="W23" s="2580"/>
      <c r="X23" s="2580"/>
      <c r="Y23" s="2581"/>
      <c r="Z23" s="2583"/>
      <c r="AA23" s="2583"/>
      <c r="AB23" s="2583"/>
      <c r="AC23" s="2583"/>
      <c r="AD23" s="2583"/>
      <c r="AE23" s="2583"/>
      <c r="AF23" s="2582"/>
      <c r="AG23" s="2583"/>
      <c r="AH23" s="2583"/>
      <c r="AI23" s="2583"/>
      <c r="AJ23" s="2583"/>
      <c r="AK23" s="2583"/>
      <c r="AL23" s="2583"/>
      <c r="AM23" s="2584"/>
      <c r="AN23" s="169"/>
      <c r="AO23" s="169"/>
      <c r="AP23" s="169"/>
      <c r="AQ23" s="169"/>
      <c r="AR23" s="169"/>
      <c r="AS23" s="169"/>
      <c r="AT23" s="169"/>
      <c r="AU23" s="169"/>
      <c r="AV23" s="169"/>
      <c r="AW23" s="169"/>
      <c r="AX23" s="169"/>
      <c r="AY23" s="169"/>
    </row>
    <row r="24" spans="1:51" ht="12.75" customHeight="1">
      <c r="A24" s="69"/>
      <c r="B24" s="1745" t="s">
        <v>128</v>
      </c>
      <c r="C24" s="2605" t="s">
        <v>129</v>
      </c>
      <c r="D24" s="2606"/>
      <c r="E24" s="2606"/>
      <c r="F24" s="2606"/>
      <c r="G24" s="2606"/>
      <c r="H24" s="2606"/>
      <c r="I24" s="2606"/>
      <c r="J24" s="2606"/>
      <c r="K24" s="2607"/>
      <c r="L24" s="2608" t="s">
        <v>130</v>
      </c>
      <c r="M24" s="2608"/>
      <c r="N24" s="2608"/>
      <c r="O24" s="2608"/>
      <c r="P24" s="2608"/>
      <c r="Q24" s="1134"/>
      <c r="R24" s="2605" t="s">
        <v>131</v>
      </c>
      <c r="S24" s="2609"/>
      <c r="T24" s="2609"/>
      <c r="U24" s="2609"/>
      <c r="V24" s="2605" t="s">
        <v>132</v>
      </c>
      <c r="W24" s="2609"/>
      <c r="X24" s="2609"/>
      <c r="Y24" s="2610"/>
      <c r="Z24" s="2609" t="s">
        <v>153</v>
      </c>
      <c r="AA24" s="2606"/>
      <c r="AB24" s="2606"/>
      <c r="AC24" s="2606"/>
      <c r="AD24" s="2606"/>
      <c r="AE24" s="2606"/>
      <c r="AF24" s="2605" t="s">
        <v>234</v>
      </c>
      <c r="AG24" s="2606"/>
      <c r="AH24" s="2606"/>
      <c r="AI24" s="2606"/>
      <c r="AJ24" s="2606"/>
      <c r="AK24" s="2606"/>
      <c r="AL24" s="2606"/>
      <c r="AM24" s="2607"/>
    </row>
    <row r="25" spans="1:51" ht="45" customHeight="1">
      <c r="A25" s="133"/>
      <c r="B25" s="1723">
        <v>1</v>
      </c>
      <c r="C25" s="2612" t="str">
        <f>'FE-1770-II'!C25</f>
        <v>-</v>
      </c>
      <c r="D25" s="2612"/>
      <c r="E25" s="2612"/>
      <c r="F25" s="2612"/>
      <c r="G25" s="2612"/>
      <c r="H25" s="2612"/>
      <c r="I25" s="2612"/>
      <c r="J25" s="2612"/>
      <c r="K25" s="2612"/>
      <c r="L25" s="2613" t="str">
        <f>'FE-1770-II'!L25</f>
        <v>-</v>
      </c>
      <c r="M25" s="2613"/>
      <c r="N25" s="2613"/>
      <c r="O25" s="2613"/>
      <c r="P25" s="2613"/>
      <c r="Q25" s="2613"/>
      <c r="R25" s="2613" t="str">
        <f>'FE-1770-II'!R25</f>
        <v>-</v>
      </c>
      <c r="S25" s="2613"/>
      <c r="T25" s="2613"/>
      <c r="U25" s="2613"/>
      <c r="V25" s="2613" t="str">
        <f>'FE-1770-II'!V25</f>
        <v>-</v>
      </c>
      <c r="W25" s="2613"/>
      <c r="X25" s="2613"/>
      <c r="Y25" s="2613"/>
      <c r="Z25" s="2613" t="str">
        <f>'FE-1770-II'!Z25</f>
        <v>-</v>
      </c>
      <c r="AA25" s="2613"/>
      <c r="AB25" s="2613"/>
      <c r="AC25" s="2613"/>
      <c r="AD25" s="2613"/>
      <c r="AE25" s="2613"/>
      <c r="AF25" s="2566">
        <f>'FE-1770-II'!AF25</f>
        <v>0</v>
      </c>
      <c r="AG25" s="2566"/>
      <c r="AH25" s="2566"/>
      <c r="AI25" s="2566"/>
      <c r="AJ25" s="2566"/>
      <c r="AK25" s="2566"/>
      <c r="AL25" s="2566"/>
      <c r="AM25" s="2566"/>
    </row>
    <row r="26" spans="1:51" ht="45" customHeight="1">
      <c r="A26" s="133"/>
      <c r="B26" s="1735">
        <v>2</v>
      </c>
      <c r="C26" s="2612" t="str">
        <f>'FE-1770-II'!C26</f>
        <v>-</v>
      </c>
      <c r="D26" s="2612"/>
      <c r="E26" s="2612"/>
      <c r="F26" s="2612"/>
      <c r="G26" s="2612"/>
      <c r="H26" s="2612"/>
      <c r="I26" s="2612"/>
      <c r="J26" s="2612"/>
      <c r="K26" s="2612"/>
      <c r="L26" s="2613" t="str">
        <f>'FE-1770-II'!L26</f>
        <v>-</v>
      </c>
      <c r="M26" s="2613"/>
      <c r="N26" s="2613"/>
      <c r="O26" s="2613"/>
      <c r="P26" s="2613"/>
      <c r="Q26" s="2613"/>
      <c r="R26" s="2612" t="str">
        <f>'FE-1770-II'!R26</f>
        <v>-</v>
      </c>
      <c r="S26" s="2612"/>
      <c r="T26" s="2612"/>
      <c r="U26" s="2612"/>
      <c r="V26" s="2614" t="str">
        <f>'FE-1770-II'!V26</f>
        <v>-</v>
      </c>
      <c r="W26" s="2614"/>
      <c r="X26" s="2614"/>
      <c r="Y26" s="2614"/>
      <c r="Z26" s="2613" t="str">
        <f>'FE-1770-II'!Z26</f>
        <v>-</v>
      </c>
      <c r="AA26" s="2613"/>
      <c r="AB26" s="2613"/>
      <c r="AC26" s="2613"/>
      <c r="AD26" s="2613"/>
      <c r="AE26" s="2613"/>
      <c r="AF26" s="2566">
        <f>'FE-1770-II'!AF26</f>
        <v>0</v>
      </c>
      <c r="AG26" s="2566"/>
      <c r="AH26" s="2566"/>
      <c r="AI26" s="2566"/>
      <c r="AJ26" s="2566"/>
      <c r="AK26" s="2566"/>
      <c r="AL26" s="2566"/>
      <c r="AM26" s="2566"/>
    </row>
    <row r="27" spans="1:51" ht="45" customHeight="1">
      <c r="A27" s="133"/>
      <c r="B27" s="1735">
        <v>3</v>
      </c>
      <c r="C27" s="2612" t="str">
        <f>'FE-1770-II'!C27</f>
        <v>-</v>
      </c>
      <c r="D27" s="2612"/>
      <c r="E27" s="2612"/>
      <c r="F27" s="2612"/>
      <c r="G27" s="2612"/>
      <c r="H27" s="2612"/>
      <c r="I27" s="2612"/>
      <c r="J27" s="2612"/>
      <c r="K27" s="2612"/>
      <c r="L27" s="2613" t="str">
        <f>'FE-1770-II'!L27</f>
        <v>-</v>
      </c>
      <c r="M27" s="2613"/>
      <c r="N27" s="2613"/>
      <c r="O27" s="2613"/>
      <c r="P27" s="2613"/>
      <c r="Q27" s="2613"/>
      <c r="R27" s="2612" t="str">
        <f>'FE-1770-II'!R27</f>
        <v>-</v>
      </c>
      <c r="S27" s="2612"/>
      <c r="T27" s="2612"/>
      <c r="U27" s="2612"/>
      <c r="V27" s="2614" t="str">
        <f>'FE-1770-II'!V27</f>
        <v>-</v>
      </c>
      <c r="W27" s="2614"/>
      <c r="X27" s="2614"/>
      <c r="Y27" s="2614"/>
      <c r="Z27" s="2613" t="str">
        <f>'FE-1770-II'!Z27</f>
        <v>-</v>
      </c>
      <c r="AA27" s="2613"/>
      <c r="AB27" s="2613"/>
      <c r="AC27" s="2613"/>
      <c r="AD27" s="2613"/>
      <c r="AE27" s="2613"/>
      <c r="AF27" s="2566">
        <f>'FE-1770-II'!AF27</f>
        <v>0</v>
      </c>
      <c r="AG27" s="2566"/>
      <c r="AH27" s="2566"/>
      <c r="AI27" s="2566"/>
      <c r="AJ27" s="2566"/>
      <c r="AK27" s="2566"/>
      <c r="AL27" s="2566"/>
      <c r="AM27" s="2566"/>
    </row>
    <row r="28" spans="1:51" ht="45" customHeight="1">
      <c r="A28" s="133"/>
      <c r="B28" s="1723">
        <v>4</v>
      </c>
      <c r="C28" s="2612" t="str">
        <f>'FE-1770-II'!C28</f>
        <v>-</v>
      </c>
      <c r="D28" s="2612"/>
      <c r="E28" s="2612"/>
      <c r="F28" s="2612"/>
      <c r="G28" s="2612"/>
      <c r="H28" s="2612"/>
      <c r="I28" s="2612"/>
      <c r="J28" s="2612"/>
      <c r="K28" s="2612"/>
      <c r="L28" s="2613" t="str">
        <f>'FE-1770-II'!L28</f>
        <v>-</v>
      </c>
      <c r="M28" s="2613"/>
      <c r="N28" s="2613"/>
      <c r="O28" s="2613"/>
      <c r="P28" s="2613"/>
      <c r="Q28" s="2613"/>
      <c r="R28" s="2612" t="str">
        <f>'FE-1770-II'!R28</f>
        <v>-</v>
      </c>
      <c r="S28" s="2612"/>
      <c r="T28" s="2612"/>
      <c r="U28" s="2612"/>
      <c r="V28" s="2614" t="str">
        <f>'FE-1770-II'!V28</f>
        <v>-</v>
      </c>
      <c r="W28" s="2614"/>
      <c r="X28" s="2614"/>
      <c r="Y28" s="2614"/>
      <c r="Z28" s="2613" t="str">
        <f>'FE-1770-II'!Z28</f>
        <v>-</v>
      </c>
      <c r="AA28" s="2613"/>
      <c r="AB28" s="2613"/>
      <c r="AC28" s="2613"/>
      <c r="AD28" s="2613"/>
      <c r="AE28" s="2613"/>
      <c r="AF28" s="2566">
        <f>'FE-1770-II'!AF28</f>
        <v>0</v>
      </c>
      <c r="AG28" s="2566"/>
      <c r="AH28" s="2566"/>
      <c r="AI28" s="2566"/>
      <c r="AJ28" s="2566"/>
      <c r="AK28" s="2566"/>
      <c r="AL28" s="2566"/>
      <c r="AM28" s="2566"/>
      <c r="AN28" s="64"/>
    </row>
    <row r="29" spans="1:51" ht="45" customHeight="1">
      <c r="A29" s="133"/>
      <c r="B29" s="1723">
        <v>5</v>
      </c>
      <c r="C29" s="2612" t="str">
        <f>'FE-1770-II'!C29</f>
        <v>-</v>
      </c>
      <c r="D29" s="2612"/>
      <c r="E29" s="2612"/>
      <c r="F29" s="2612"/>
      <c r="G29" s="2612"/>
      <c r="H29" s="2612"/>
      <c r="I29" s="2612"/>
      <c r="J29" s="2612"/>
      <c r="K29" s="2612"/>
      <c r="L29" s="2613" t="str">
        <f>'FE-1770-II'!L29</f>
        <v>-</v>
      </c>
      <c r="M29" s="2613"/>
      <c r="N29" s="2613"/>
      <c r="O29" s="2613"/>
      <c r="P29" s="2613"/>
      <c r="Q29" s="2613"/>
      <c r="R29" s="2612" t="str">
        <f>'FE-1770-II'!R29</f>
        <v>-</v>
      </c>
      <c r="S29" s="2612"/>
      <c r="T29" s="2612"/>
      <c r="U29" s="2612"/>
      <c r="V29" s="2614" t="str">
        <f>'FE-1770-II'!V29</f>
        <v>-</v>
      </c>
      <c r="W29" s="2614"/>
      <c r="X29" s="2614"/>
      <c r="Y29" s="2614"/>
      <c r="Z29" s="2613" t="str">
        <f>'FE-1770-II'!Z29</f>
        <v>-</v>
      </c>
      <c r="AA29" s="2613"/>
      <c r="AB29" s="2613"/>
      <c r="AC29" s="2613"/>
      <c r="AD29" s="2613"/>
      <c r="AE29" s="2613"/>
      <c r="AF29" s="2566">
        <f>'FE-1770-II'!AF29</f>
        <v>0</v>
      </c>
      <c r="AG29" s="2566"/>
      <c r="AH29" s="2566"/>
      <c r="AI29" s="2566"/>
      <c r="AJ29" s="2566"/>
      <c r="AK29" s="2566"/>
      <c r="AL29" s="2566"/>
      <c r="AM29" s="2566"/>
    </row>
    <row r="30" spans="1:51" ht="45" customHeight="1">
      <c r="A30" s="133"/>
      <c r="B30" s="1723">
        <v>6</v>
      </c>
      <c r="C30" s="2612" t="str">
        <f>'FE-1770-II'!C30</f>
        <v>-</v>
      </c>
      <c r="D30" s="2612"/>
      <c r="E30" s="2612"/>
      <c r="F30" s="2612"/>
      <c r="G30" s="2612"/>
      <c r="H30" s="2612"/>
      <c r="I30" s="2612"/>
      <c r="J30" s="2612"/>
      <c r="K30" s="2612"/>
      <c r="L30" s="2613" t="str">
        <f>'FE-1770-II'!L30</f>
        <v>-</v>
      </c>
      <c r="M30" s="2613"/>
      <c r="N30" s="2613"/>
      <c r="O30" s="2613"/>
      <c r="P30" s="2613"/>
      <c r="Q30" s="2613"/>
      <c r="R30" s="2612" t="str">
        <f>'FE-1770-II'!R30</f>
        <v>-</v>
      </c>
      <c r="S30" s="2612"/>
      <c r="T30" s="2612"/>
      <c r="U30" s="2612"/>
      <c r="V30" s="2614" t="str">
        <f>'FE-1770-II'!V30</f>
        <v>-</v>
      </c>
      <c r="W30" s="2614"/>
      <c r="X30" s="2614"/>
      <c r="Y30" s="2614"/>
      <c r="Z30" s="2613" t="str">
        <f>'FE-1770-II'!Z30</f>
        <v>-</v>
      </c>
      <c r="AA30" s="2613"/>
      <c r="AB30" s="2613"/>
      <c r="AC30" s="2613"/>
      <c r="AD30" s="2613"/>
      <c r="AE30" s="2613"/>
      <c r="AF30" s="2566">
        <f>'FE-1770-II'!AF30</f>
        <v>0</v>
      </c>
      <c r="AG30" s="2566"/>
      <c r="AH30" s="2566"/>
      <c r="AI30" s="2566"/>
      <c r="AJ30" s="2566"/>
      <c r="AK30" s="2566"/>
      <c r="AL30" s="2566"/>
      <c r="AM30" s="2566"/>
    </row>
    <row r="31" spans="1:51" ht="45" customHeight="1">
      <c r="A31" s="133"/>
      <c r="B31" s="1723">
        <v>7</v>
      </c>
      <c r="C31" s="2612" t="str">
        <f>'FE-1770-II'!C31</f>
        <v>-</v>
      </c>
      <c r="D31" s="2612"/>
      <c r="E31" s="2612"/>
      <c r="F31" s="2612"/>
      <c r="G31" s="2612"/>
      <c r="H31" s="2612"/>
      <c r="I31" s="2612"/>
      <c r="J31" s="2612"/>
      <c r="K31" s="2612"/>
      <c r="L31" s="2613" t="str">
        <f>'FE-1770-II'!L31</f>
        <v>-</v>
      </c>
      <c r="M31" s="2613"/>
      <c r="N31" s="2613"/>
      <c r="O31" s="2613"/>
      <c r="P31" s="2613"/>
      <c r="Q31" s="2613"/>
      <c r="R31" s="2612" t="str">
        <f>'FE-1770-II'!R31</f>
        <v>-</v>
      </c>
      <c r="S31" s="2612"/>
      <c r="T31" s="2612"/>
      <c r="U31" s="2612"/>
      <c r="V31" s="2614" t="str">
        <f>'FE-1770-II'!V31</f>
        <v>-</v>
      </c>
      <c r="W31" s="2614"/>
      <c r="X31" s="2614"/>
      <c r="Y31" s="2614"/>
      <c r="Z31" s="2613" t="str">
        <f>'FE-1770-II'!Z31</f>
        <v>-</v>
      </c>
      <c r="AA31" s="2613"/>
      <c r="AB31" s="2613"/>
      <c r="AC31" s="2613"/>
      <c r="AD31" s="2613"/>
      <c r="AE31" s="2613"/>
      <c r="AF31" s="2566">
        <f>'FE-1770-II'!AF31</f>
        <v>0</v>
      </c>
      <c r="AG31" s="2566"/>
      <c r="AH31" s="2566"/>
      <c r="AI31" s="2566"/>
      <c r="AJ31" s="2566"/>
      <c r="AK31" s="2566"/>
      <c r="AL31" s="2566"/>
      <c r="AM31" s="2566"/>
    </row>
    <row r="32" spans="1:51" ht="45" customHeight="1">
      <c r="A32" s="133"/>
      <c r="B32" s="1723">
        <v>8</v>
      </c>
      <c r="C32" s="2612" t="str">
        <f>'FE-1770-II'!C32</f>
        <v>-</v>
      </c>
      <c r="D32" s="2612"/>
      <c r="E32" s="2612"/>
      <c r="F32" s="2612"/>
      <c r="G32" s="2612"/>
      <c r="H32" s="2612"/>
      <c r="I32" s="2612"/>
      <c r="J32" s="2612"/>
      <c r="K32" s="2612"/>
      <c r="L32" s="2613" t="str">
        <f>'FE-1770-II'!L32</f>
        <v>-</v>
      </c>
      <c r="M32" s="2613"/>
      <c r="N32" s="2613"/>
      <c r="O32" s="2613"/>
      <c r="P32" s="2613"/>
      <c r="Q32" s="2613"/>
      <c r="R32" s="2612" t="str">
        <f>'FE-1770-II'!R32</f>
        <v>-</v>
      </c>
      <c r="S32" s="2612"/>
      <c r="T32" s="2612"/>
      <c r="U32" s="2612"/>
      <c r="V32" s="2614" t="str">
        <f>'FE-1770-II'!V32</f>
        <v>-</v>
      </c>
      <c r="W32" s="2614"/>
      <c r="X32" s="2614"/>
      <c r="Y32" s="2614"/>
      <c r="Z32" s="2613" t="str">
        <f>'FE-1770-II'!Z32</f>
        <v>-</v>
      </c>
      <c r="AA32" s="2613"/>
      <c r="AB32" s="2613"/>
      <c r="AC32" s="2613"/>
      <c r="AD32" s="2613"/>
      <c r="AE32" s="2613"/>
      <c r="AF32" s="2566">
        <f>'FE-1770-II'!AF32</f>
        <v>0</v>
      </c>
      <c r="AG32" s="2566"/>
      <c r="AH32" s="2566"/>
      <c r="AI32" s="2566"/>
      <c r="AJ32" s="2566"/>
      <c r="AK32" s="2566"/>
      <c r="AL32" s="2566"/>
      <c r="AM32" s="2566"/>
    </row>
    <row r="33" spans="1:56" ht="45" customHeight="1">
      <c r="A33" s="133"/>
      <c r="B33" s="1723">
        <v>9</v>
      </c>
      <c r="C33" s="2612" t="str">
        <f>'FE-1770-II'!C33</f>
        <v>-</v>
      </c>
      <c r="D33" s="2612"/>
      <c r="E33" s="2612"/>
      <c r="F33" s="2612"/>
      <c r="G33" s="2612"/>
      <c r="H33" s="2612"/>
      <c r="I33" s="2612"/>
      <c r="J33" s="2612"/>
      <c r="K33" s="2612"/>
      <c r="L33" s="2613" t="str">
        <f>'FE-1770-II'!L33</f>
        <v>-</v>
      </c>
      <c r="M33" s="2613"/>
      <c r="N33" s="2613"/>
      <c r="O33" s="2613"/>
      <c r="P33" s="2613"/>
      <c r="Q33" s="2613"/>
      <c r="R33" s="2612" t="str">
        <f>'FE-1770-II'!R33</f>
        <v>-</v>
      </c>
      <c r="S33" s="2612"/>
      <c r="T33" s="2612"/>
      <c r="U33" s="2612"/>
      <c r="V33" s="2614" t="str">
        <f>'FE-1770-II'!V33</f>
        <v>-</v>
      </c>
      <c r="W33" s="2614"/>
      <c r="X33" s="2614"/>
      <c r="Y33" s="2614"/>
      <c r="Z33" s="2613" t="str">
        <f>'FE-1770-II'!Z33</f>
        <v>-</v>
      </c>
      <c r="AA33" s="2613"/>
      <c r="AB33" s="2613"/>
      <c r="AC33" s="2613"/>
      <c r="AD33" s="2613"/>
      <c r="AE33" s="2613"/>
      <c r="AF33" s="2566">
        <f>'FE-1770-II'!AF33</f>
        <v>0</v>
      </c>
      <c r="AG33" s="2566"/>
      <c r="AH33" s="2566"/>
      <c r="AI33" s="2566"/>
      <c r="AJ33" s="2566"/>
      <c r="AK33" s="2566"/>
      <c r="AL33" s="2566"/>
      <c r="AM33" s="2566"/>
    </row>
    <row r="34" spans="1:56" ht="45" customHeight="1">
      <c r="A34" s="133"/>
      <c r="B34" s="1723">
        <v>10</v>
      </c>
      <c r="C34" s="2612" t="str">
        <f>'FE-1770-II'!C34</f>
        <v>-</v>
      </c>
      <c r="D34" s="2612"/>
      <c r="E34" s="2612"/>
      <c r="F34" s="2612"/>
      <c r="G34" s="2612"/>
      <c r="H34" s="2612"/>
      <c r="I34" s="2612"/>
      <c r="J34" s="2612"/>
      <c r="K34" s="2612"/>
      <c r="L34" s="2613" t="str">
        <f>'FE-1770-II'!L34</f>
        <v>-</v>
      </c>
      <c r="M34" s="2613"/>
      <c r="N34" s="2613"/>
      <c r="O34" s="2613"/>
      <c r="P34" s="2613"/>
      <c r="Q34" s="2613"/>
      <c r="R34" s="2612" t="str">
        <f>'FE-1770-II'!R34</f>
        <v>-</v>
      </c>
      <c r="S34" s="2612"/>
      <c r="T34" s="2612"/>
      <c r="U34" s="2612"/>
      <c r="V34" s="2614" t="str">
        <f>'FE-1770-II'!V34</f>
        <v>-</v>
      </c>
      <c r="W34" s="2614"/>
      <c r="X34" s="2614"/>
      <c r="Y34" s="2614"/>
      <c r="Z34" s="2613" t="str">
        <f>'FE-1770-II'!Z34</f>
        <v>-</v>
      </c>
      <c r="AA34" s="2613"/>
      <c r="AB34" s="2613"/>
      <c r="AC34" s="2613"/>
      <c r="AD34" s="2613"/>
      <c r="AE34" s="2613"/>
      <c r="AF34" s="2566">
        <f>'FE-1770-II'!AF34</f>
        <v>0</v>
      </c>
      <c r="AG34" s="2566"/>
      <c r="AH34" s="2566"/>
      <c r="AI34" s="2566"/>
      <c r="AJ34" s="2566"/>
      <c r="AK34" s="2566"/>
      <c r="AL34" s="2566"/>
      <c r="AM34" s="2566"/>
    </row>
    <row r="35" spans="1:56" ht="45" customHeight="1">
      <c r="A35" s="133"/>
      <c r="B35" s="1723">
        <v>11</v>
      </c>
      <c r="C35" s="2612" t="str">
        <f>'FE-1770-II'!C35</f>
        <v>-</v>
      </c>
      <c r="D35" s="2612"/>
      <c r="E35" s="2612"/>
      <c r="F35" s="2612"/>
      <c r="G35" s="2612"/>
      <c r="H35" s="2612"/>
      <c r="I35" s="2612"/>
      <c r="J35" s="2612"/>
      <c r="K35" s="2612"/>
      <c r="L35" s="2613" t="str">
        <f>'FE-1770-II'!L35</f>
        <v>-</v>
      </c>
      <c r="M35" s="2613"/>
      <c r="N35" s="2613"/>
      <c r="O35" s="2613"/>
      <c r="P35" s="2613"/>
      <c r="Q35" s="2613"/>
      <c r="R35" s="2612" t="str">
        <f>'FE-1770-II'!R35</f>
        <v>-</v>
      </c>
      <c r="S35" s="2612"/>
      <c r="T35" s="2612"/>
      <c r="U35" s="2612"/>
      <c r="V35" s="2614" t="str">
        <f>'FE-1770-II'!V35</f>
        <v>-</v>
      </c>
      <c r="W35" s="2614"/>
      <c r="X35" s="2614"/>
      <c r="Y35" s="2614"/>
      <c r="Z35" s="2613" t="str">
        <f>'FE-1770-II'!Z35</f>
        <v>-</v>
      </c>
      <c r="AA35" s="2613"/>
      <c r="AB35" s="2613"/>
      <c r="AC35" s="2613"/>
      <c r="AD35" s="2613"/>
      <c r="AE35" s="2613"/>
      <c r="AF35" s="2566">
        <f>'FE-1770-II'!AF35</f>
        <v>0</v>
      </c>
      <c r="AG35" s="2566"/>
      <c r="AH35" s="2566"/>
      <c r="AI35" s="2566"/>
      <c r="AJ35" s="2566"/>
      <c r="AK35" s="2566"/>
      <c r="AL35" s="2566"/>
      <c r="AM35" s="2566"/>
    </row>
    <row r="36" spans="1:56" ht="45" customHeight="1">
      <c r="A36" s="133"/>
      <c r="B36" s="1723">
        <v>12</v>
      </c>
      <c r="C36" s="2612" t="str">
        <f>'FE-1770-II'!C36</f>
        <v>-</v>
      </c>
      <c r="D36" s="2612"/>
      <c r="E36" s="2612"/>
      <c r="F36" s="2612"/>
      <c r="G36" s="2612"/>
      <c r="H36" s="2612"/>
      <c r="I36" s="2612"/>
      <c r="J36" s="2612"/>
      <c r="K36" s="2612"/>
      <c r="L36" s="2613" t="str">
        <f>'FE-1770-II'!L36</f>
        <v>-</v>
      </c>
      <c r="M36" s="2613"/>
      <c r="N36" s="2613"/>
      <c r="O36" s="2613"/>
      <c r="P36" s="2613"/>
      <c r="Q36" s="2613"/>
      <c r="R36" s="2612" t="str">
        <f>'FE-1770-II'!R36</f>
        <v>-</v>
      </c>
      <c r="S36" s="2612"/>
      <c r="T36" s="2612"/>
      <c r="U36" s="2612"/>
      <c r="V36" s="2614" t="str">
        <f>'FE-1770-II'!V36</f>
        <v>-</v>
      </c>
      <c r="W36" s="2614"/>
      <c r="X36" s="2614"/>
      <c r="Y36" s="2614"/>
      <c r="Z36" s="2613" t="str">
        <f>'FE-1770-II'!Z36</f>
        <v>-</v>
      </c>
      <c r="AA36" s="2613"/>
      <c r="AB36" s="2613"/>
      <c r="AC36" s="2613"/>
      <c r="AD36" s="2613"/>
      <c r="AE36" s="2613"/>
      <c r="AF36" s="2566">
        <f>'FE-1770-II'!AF36</f>
        <v>0</v>
      </c>
      <c r="AG36" s="2566"/>
      <c r="AH36" s="2566"/>
      <c r="AI36" s="2566"/>
      <c r="AJ36" s="2566"/>
      <c r="AK36" s="2566"/>
      <c r="AL36" s="2566"/>
      <c r="AM36" s="2566"/>
    </row>
    <row r="37" spans="1:56" ht="45" customHeight="1">
      <c r="A37" s="133"/>
      <c r="B37" s="1735">
        <v>13</v>
      </c>
      <c r="C37" s="2612" t="str">
        <f>'FE-1770-II'!C37</f>
        <v>-</v>
      </c>
      <c r="D37" s="2612"/>
      <c r="E37" s="2612"/>
      <c r="F37" s="2612"/>
      <c r="G37" s="2612"/>
      <c r="H37" s="2612"/>
      <c r="I37" s="2612"/>
      <c r="J37" s="2612"/>
      <c r="K37" s="2612"/>
      <c r="L37" s="2613" t="str">
        <f>'FE-1770-II'!L37</f>
        <v>-</v>
      </c>
      <c r="M37" s="2613"/>
      <c r="N37" s="2613"/>
      <c r="O37" s="2613"/>
      <c r="P37" s="2613"/>
      <c r="Q37" s="2613"/>
      <c r="R37" s="2612" t="str">
        <f>'FE-1770-II'!R37</f>
        <v>-</v>
      </c>
      <c r="S37" s="2612"/>
      <c r="T37" s="2612"/>
      <c r="U37" s="2612"/>
      <c r="V37" s="2614" t="str">
        <f>'FE-1770-II'!V37</f>
        <v>-</v>
      </c>
      <c r="W37" s="2614"/>
      <c r="X37" s="2614"/>
      <c r="Y37" s="2614"/>
      <c r="Z37" s="2613" t="str">
        <f>'FE-1770-II'!Z37</f>
        <v>-</v>
      </c>
      <c r="AA37" s="2613"/>
      <c r="AB37" s="2613"/>
      <c r="AC37" s="2613"/>
      <c r="AD37" s="2613"/>
      <c r="AE37" s="2613"/>
      <c r="AF37" s="2566">
        <f>'FE-1770-II'!AF37</f>
        <v>0</v>
      </c>
      <c r="AG37" s="2566"/>
      <c r="AH37" s="2566"/>
      <c r="AI37" s="2566"/>
      <c r="AJ37" s="2566"/>
      <c r="AK37" s="2566"/>
      <c r="AL37" s="2566"/>
      <c r="AM37" s="2566"/>
    </row>
    <row r="38" spans="1:56" ht="45" customHeight="1">
      <c r="A38" s="133"/>
      <c r="B38" s="1735">
        <v>14</v>
      </c>
      <c r="C38" s="2612" t="str">
        <f>'FE-1770-II'!C38</f>
        <v>-</v>
      </c>
      <c r="D38" s="2612"/>
      <c r="E38" s="2612"/>
      <c r="F38" s="2612"/>
      <c r="G38" s="2612"/>
      <c r="H38" s="2612"/>
      <c r="I38" s="2612"/>
      <c r="J38" s="2612"/>
      <c r="K38" s="2612"/>
      <c r="L38" s="2613" t="str">
        <f>'FE-1770-II'!L38</f>
        <v>-</v>
      </c>
      <c r="M38" s="2613"/>
      <c r="N38" s="2613"/>
      <c r="O38" s="2613"/>
      <c r="P38" s="2613"/>
      <c r="Q38" s="2613"/>
      <c r="R38" s="2612" t="str">
        <f>'FE-1770-II'!R38</f>
        <v>-</v>
      </c>
      <c r="S38" s="2612"/>
      <c r="T38" s="2612"/>
      <c r="U38" s="2612"/>
      <c r="V38" s="2614" t="str">
        <f>'FE-1770-II'!V38</f>
        <v>-</v>
      </c>
      <c r="W38" s="2614"/>
      <c r="X38" s="2614"/>
      <c r="Y38" s="2614"/>
      <c r="Z38" s="2613" t="str">
        <f>'FE-1770-II'!Z38</f>
        <v>-</v>
      </c>
      <c r="AA38" s="2613"/>
      <c r="AB38" s="2613"/>
      <c r="AC38" s="2613"/>
      <c r="AD38" s="2613"/>
      <c r="AE38" s="2613"/>
      <c r="AF38" s="2566">
        <f>'FE-1770-II'!AF38</f>
        <v>0</v>
      </c>
      <c r="AG38" s="2566"/>
      <c r="AH38" s="2566"/>
      <c r="AI38" s="2566"/>
      <c r="AJ38" s="2566"/>
      <c r="AK38" s="2566"/>
      <c r="AL38" s="2566"/>
      <c r="AM38" s="2566"/>
    </row>
    <row r="39" spans="1:56" ht="45" customHeight="1">
      <c r="A39" s="209"/>
      <c r="B39" s="369" t="s">
        <v>183</v>
      </c>
      <c r="C39" s="2612" t="str">
        <f>'FE-1770-II'!C39</f>
        <v>-</v>
      </c>
      <c r="D39" s="2612"/>
      <c r="E39" s="2612"/>
      <c r="F39" s="2612"/>
      <c r="G39" s="2612"/>
      <c r="H39" s="2612"/>
      <c r="I39" s="2612"/>
      <c r="J39" s="2612"/>
      <c r="K39" s="2612"/>
      <c r="L39" s="2613" t="str">
        <f>'FE-1770-II'!L39</f>
        <v>-</v>
      </c>
      <c r="M39" s="2613"/>
      <c r="N39" s="2613"/>
      <c r="O39" s="2613"/>
      <c r="P39" s="2613"/>
      <c r="Q39" s="2613"/>
      <c r="R39" s="2612" t="str">
        <f>'FE-1770-II'!R39</f>
        <v>-</v>
      </c>
      <c r="S39" s="2612"/>
      <c r="T39" s="2612"/>
      <c r="U39" s="2612"/>
      <c r="V39" s="2614" t="str">
        <f>'FE-1770-II'!V39</f>
        <v>-</v>
      </c>
      <c r="W39" s="2614"/>
      <c r="X39" s="2614"/>
      <c r="Y39" s="2614"/>
      <c r="Z39" s="2613" t="str">
        <f>'FE-1770-II'!Z39</f>
        <v>-</v>
      </c>
      <c r="AA39" s="2613"/>
      <c r="AB39" s="2613"/>
      <c r="AC39" s="2613"/>
      <c r="AD39" s="2613"/>
      <c r="AE39" s="2613"/>
      <c r="AF39" s="2566">
        <f>'FE-1770-II'!AF39</f>
        <v>0</v>
      </c>
      <c r="AG39" s="2566"/>
      <c r="AH39" s="2566"/>
      <c r="AI39" s="2566"/>
      <c r="AJ39" s="2566"/>
      <c r="AK39" s="2566"/>
      <c r="AL39" s="2566"/>
      <c r="AM39" s="2566"/>
    </row>
    <row r="40" spans="1:56" ht="45" customHeight="1">
      <c r="A40" s="69"/>
      <c r="B40" s="1126"/>
      <c r="C40" s="2625" t="s">
        <v>154</v>
      </c>
      <c r="D40" s="2626"/>
      <c r="E40" s="2626"/>
      <c r="F40" s="2626"/>
      <c r="G40" s="2626"/>
      <c r="H40" s="2626"/>
      <c r="I40" s="2626"/>
      <c r="J40" s="2626"/>
      <c r="K40" s="2626"/>
      <c r="L40" s="2626"/>
      <c r="M40" s="2626"/>
      <c r="N40" s="2626"/>
      <c r="O40" s="2626"/>
      <c r="P40" s="2626"/>
      <c r="Q40" s="2626"/>
      <c r="R40" s="2626"/>
      <c r="S40" s="2626"/>
      <c r="T40" s="2626"/>
      <c r="U40" s="2626"/>
      <c r="V40" s="2626"/>
      <c r="W40" s="2626"/>
      <c r="X40" s="2626"/>
      <c r="Y40" s="2626"/>
      <c r="Z40" s="2626"/>
      <c r="AA40" s="2626"/>
      <c r="AB40" s="2626"/>
      <c r="AC40" s="2626"/>
      <c r="AD40" s="2627" t="s">
        <v>155</v>
      </c>
      <c r="AE40" s="2628"/>
      <c r="AF40" s="2629">
        <f>'FE-1770-II'!AF40</f>
        <v>0</v>
      </c>
      <c r="AG40" s="2630"/>
      <c r="AH40" s="2630"/>
      <c r="AI40" s="2630"/>
      <c r="AJ40" s="2630"/>
      <c r="AK40" s="2630"/>
      <c r="AL40" s="2630"/>
      <c r="AM40" s="2631"/>
    </row>
    <row r="41" spans="1:56" ht="5.25" customHeight="1">
      <c r="A41" s="35"/>
      <c r="B41" s="186"/>
      <c r="C41" s="186"/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68"/>
      <c r="X41" s="68"/>
      <c r="Y41" s="68"/>
      <c r="Z41" s="129"/>
      <c r="AA41" s="35"/>
      <c r="AB41" s="35"/>
      <c r="AC41" s="35"/>
      <c r="AD41" s="35"/>
      <c r="AE41" s="35"/>
      <c r="AF41" s="35"/>
      <c r="AG41" s="35"/>
      <c r="AH41" s="35"/>
      <c r="AI41" s="35"/>
      <c r="AJ41" s="35"/>
      <c r="AK41" s="35"/>
      <c r="AL41" s="35"/>
      <c r="AM41" s="35"/>
    </row>
    <row r="42" spans="1:56" ht="12.75" customHeight="1">
      <c r="A42" s="35"/>
      <c r="B42" s="1139"/>
      <c r="C42" s="1139"/>
      <c r="D42" s="179"/>
      <c r="E42" s="180"/>
      <c r="F42" s="180"/>
      <c r="G42" s="180"/>
      <c r="H42" s="180"/>
      <c r="I42" s="180"/>
      <c r="J42" s="180"/>
      <c r="K42" s="180"/>
      <c r="L42" s="180"/>
      <c r="M42" s="180"/>
      <c r="N42" s="180"/>
      <c r="O42" s="35"/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2632" t="s">
        <v>249</v>
      </c>
      <c r="AB42" s="2632"/>
      <c r="AC42" s="2632"/>
      <c r="AD42" s="2632"/>
      <c r="AE42" s="2632"/>
      <c r="AF42" s="2632"/>
      <c r="AG42" s="2632"/>
      <c r="AH42" s="2632"/>
      <c r="AI42" s="2632"/>
      <c r="AJ42" s="2632"/>
      <c r="AK42" s="2632"/>
      <c r="AL42" s="2632"/>
      <c r="AM42" s="2632"/>
    </row>
    <row r="43" spans="1:56" s="64" customFormat="1" ht="6" customHeight="1">
      <c r="C43" s="102"/>
      <c r="D43" s="102"/>
      <c r="E43" s="102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205"/>
      <c r="AB43" s="205"/>
      <c r="AC43" s="205"/>
      <c r="AD43" s="205"/>
      <c r="AE43" s="205"/>
      <c r="AF43" s="205"/>
      <c r="AG43" s="205"/>
      <c r="AH43" s="205"/>
      <c r="AI43" s="205"/>
      <c r="AJ43" s="205"/>
      <c r="AK43" s="205"/>
      <c r="AL43" s="205"/>
      <c r="AM43" s="205"/>
      <c r="AN43" s="102"/>
      <c r="AO43" s="102"/>
      <c r="AP43" s="102"/>
      <c r="AQ43" s="102"/>
      <c r="AR43" s="102"/>
      <c r="AS43" s="102"/>
      <c r="AT43" s="102"/>
      <c r="AU43" s="102"/>
      <c r="AV43" s="102"/>
      <c r="AW43" s="102"/>
      <c r="AX43" s="102"/>
      <c r="AY43" s="102"/>
      <c r="AZ43" s="102"/>
      <c r="BA43" s="102"/>
      <c r="BB43" s="102"/>
      <c r="BC43" s="102"/>
      <c r="BD43" s="102"/>
    </row>
    <row r="44" spans="1:56" s="64" customFormat="1" ht="15" customHeight="1">
      <c r="B44" s="102"/>
      <c r="C44" s="187" t="s">
        <v>156</v>
      </c>
      <c r="D44" s="188" t="s">
        <v>69</v>
      </c>
      <c r="E44" s="2475" t="s">
        <v>157</v>
      </c>
      <c r="F44" s="2475"/>
      <c r="G44" s="52" t="s">
        <v>158</v>
      </c>
      <c r="H44" s="2475" t="s">
        <v>159</v>
      </c>
      <c r="I44" s="2475"/>
      <c r="J44" s="2475"/>
      <c r="K44" s="2475"/>
      <c r="L44" s="2475"/>
      <c r="M44" s="2475"/>
      <c r="N44" s="2475"/>
      <c r="O44" s="2475"/>
      <c r="P44" s="2475"/>
      <c r="Q44" s="2475"/>
      <c r="R44" s="2475"/>
      <c r="S44" s="2475"/>
      <c r="T44" s="2475"/>
      <c r="U44" s="1108"/>
      <c r="V44" s="1105"/>
      <c r="W44" s="1105"/>
      <c r="X44" s="1105"/>
      <c r="Y44" s="1107"/>
      <c r="Z44" s="60"/>
      <c r="AA44" s="1107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102"/>
      <c r="AS44" s="102"/>
      <c r="AT44" s="102"/>
      <c r="AU44" s="102"/>
      <c r="AV44" s="102"/>
      <c r="AW44" s="102"/>
      <c r="AX44" s="102"/>
      <c r="AY44" s="102"/>
      <c r="AZ44" s="102"/>
      <c r="BA44" s="102"/>
      <c r="BB44" s="102"/>
      <c r="BC44" s="102"/>
      <c r="BD44" s="102"/>
    </row>
    <row r="45" spans="1:56" s="64" customFormat="1" ht="15" customHeight="1">
      <c r="B45" s="102"/>
      <c r="C45" s="88"/>
      <c r="D45" s="188" t="s">
        <v>69</v>
      </c>
      <c r="E45" s="54" t="s">
        <v>239</v>
      </c>
      <c r="F45" s="127"/>
      <c r="G45" s="127"/>
      <c r="H45" s="127"/>
      <c r="I45" s="127"/>
      <c r="J45" s="127"/>
      <c r="K45" s="127"/>
      <c r="L45" s="127"/>
      <c r="M45" s="127"/>
      <c r="N45" s="127"/>
      <c r="O45" s="127"/>
      <c r="P45" s="127"/>
      <c r="Q45" s="127"/>
      <c r="R45" s="127"/>
      <c r="S45" s="127"/>
      <c r="T45" s="127"/>
      <c r="U45" s="127"/>
      <c r="V45" s="127"/>
      <c r="W45" s="127"/>
      <c r="X45" s="127"/>
      <c r="Y45" s="62"/>
      <c r="Z45" s="62"/>
      <c r="AA45" s="6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102"/>
      <c r="AT45" s="102"/>
      <c r="AU45" s="102"/>
      <c r="AV45" s="102"/>
      <c r="AW45" s="102"/>
      <c r="AX45" s="102"/>
      <c r="AY45" s="102"/>
      <c r="AZ45" s="102"/>
      <c r="BA45" s="102"/>
      <c r="BB45" s="102"/>
      <c r="BC45" s="102"/>
      <c r="BD45" s="102"/>
    </row>
    <row r="46" spans="1:56" s="64" customFormat="1" ht="12.75" customHeight="1">
      <c r="B46" s="102"/>
      <c r="C46" s="88"/>
      <c r="D46" s="188" t="s">
        <v>69</v>
      </c>
      <c r="E46" s="219" t="s">
        <v>218</v>
      </c>
      <c r="F46" s="127"/>
      <c r="G46" s="127"/>
      <c r="H46" s="127"/>
      <c r="I46" s="127"/>
      <c r="J46" s="127"/>
      <c r="K46" s="127"/>
      <c r="L46" s="127"/>
      <c r="M46" s="127"/>
      <c r="N46" s="127"/>
      <c r="O46" s="127"/>
      <c r="P46" s="127"/>
      <c r="Q46" s="127"/>
      <c r="R46" s="127"/>
      <c r="S46" s="127"/>
      <c r="T46" s="127"/>
      <c r="U46" s="127"/>
      <c r="V46" s="127"/>
      <c r="W46" s="127"/>
      <c r="X46" s="127"/>
      <c r="Y46" s="62"/>
      <c r="Z46" s="62"/>
      <c r="AA46" s="6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102"/>
      <c r="AU46" s="102"/>
      <c r="AV46" s="102"/>
      <c r="AW46" s="102"/>
      <c r="AX46" s="102"/>
      <c r="AY46" s="102"/>
      <c r="AZ46" s="102"/>
      <c r="BA46" s="102"/>
      <c r="BB46" s="102"/>
      <c r="BC46" s="102"/>
      <c r="BD46" s="102"/>
    </row>
    <row r="47" spans="1:56" s="64" customFormat="1" ht="12.75" customHeight="1">
      <c r="B47" s="102"/>
      <c r="C47" s="88"/>
      <c r="D47" s="188"/>
      <c r="E47" s="54" t="s">
        <v>354</v>
      </c>
      <c r="F47" s="127"/>
      <c r="G47" s="127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102"/>
      <c r="AV47" s="102"/>
      <c r="AW47" s="102"/>
      <c r="AX47" s="102"/>
      <c r="AY47" s="102"/>
      <c r="AZ47" s="102"/>
      <c r="BA47" s="102"/>
      <c r="BB47" s="102"/>
      <c r="BC47" s="102"/>
      <c r="BD47" s="102"/>
    </row>
    <row r="48" spans="1:56" s="64" customFormat="1" ht="16.5" customHeight="1"/>
    <row r="49" spans="1:56" s="64" customFormat="1" ht="18.75" customHeight="1">
      <c r="B49" s="2627" t="s">
        <v>182</v>
      </c>
      <c r="C49" s="2662"/>
      <c r="D49" s="2662"/>
      <c r="E49" s="2662"/>
      <c r="F49" s="2662"/>
      <c r="G49" s="2662"/>
      <c r="H49" s="2662"/>
      <c r="I49" s="2662"/>
      <c r="J49" s="2662"/>
      <c r="K49" s="2662"/>
      <c r="L49" s="2662"/>
      <c r="M49" s="2662"/>
      <c r="N49" s="2662"/>
      <c r="O49" s="2662"/>
      <c r="P49" s="2662"/>
      <c r="Q49" s="2662"/>
      <c r="R49" s="2662"/>
      <c r="S49" s="2662"/>
      <c r="T49" s="2662"/>
      <c r="U49" s="2662"/>
      <c r="V49" s="2662"/>
      <c r="W49" s="2662"/>
      <c r="X49" s="2662"/>
      <c r="Y49" s="2662"/>
      <c r="Z49" s="2628"/>
      <c r="AA49" s="3330" t="s">
        <v>186</v>
      </c>
      <c r="AB49" s="3331"/>
      <c r="AC49" s="3331"/>
      <c r="AD49" s="3331"/>
      <c r="AE49" s="1722">
        <f>'FE-1770-II'!AE49</f>
        <v>1</v>
      </c>
      <c r="AF49" s="63" t="s">
        <v>185</v>
      </c>
      <c r="AG49" s="1722">
        <f>'FE-1770-II'!AG49</f>
        <v>1</v>
      </c>
      <c r="AH49" s="48" t="s">
        <v>244</v>
      </c>
      <c r="AI49" s="48"/>
      <c r="AJ49" s="48"/>
      <c r="AL49" s="189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102"/>
      <c r="AX49" s="102"/>
      <c r="AY49" s="102"/>
      <c r="AZ49" s="102"/>
      <c r="BA49" s="102"/>
      <c r="BB49" s="102"/>
      <c r="BC49" s="102"/>
      <c r="BD49" s="102"/>
    </row>
    <row r="50" spans="1:56" s="64" customFormat="1" ht="12.75" customHeight="1">
      <c r="B50" s="102"/>
      <c r="C50" s="88"/>
      <c r="D50" s="188"/>
      <c r="E50" s="54"/>
      <c r="F50" s="127"/>
      <c r="G50" s="127"/>
      <c r="H50" s="127"/>
      <c r="I50" s="127"/>
      <c r="J50" s="127"/>
      <c r="K50" s="127"/>
      <c r="L50" s="127"/>
      <c r="M50" s="127"/>
      <c r="N50" s="127"/>
      <c r="O50" s="127"/>
      <c r="P50" s="127"/>
      <c r="Q50" s="127"/>
      <c r="R50" s="127"/>
      <c r="S50" s="127"/>
      <c r="T50" s="127"/>
      <c r="U50" s="127"/>
      <c r="V50" s="127"/>
      <c r="W50" s="127"/>
      <c r="X50" s="127"/>
      <c r="Y50" s="62"/>
      <c r="Z50" s="62"/>
      <c r="AA50" s="6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2"/>
      <c r="BA50" s="102"/>
      <c r="BB50" s="102"/>
      <c r="BC50" s="102"/>
      <c r="BD50" s="102"/>
    </row>
    <row r="51" spans="1:56" s="64" customFormat="1" ht="12.75" customHeight="1">
      <c r="A51" s="163"/>
      <c r="B51" s="102"/>
      <c r="C51" s="102"/>
      <c r="D51" s="102"/>
      <c r="E51" s="102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65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2"/>
      <c r="BA51" s="102"/>
      <c r="BB51" s="102"/>
      <c r="BC51" s="102"/>
      <c r="BD51" s="102"/>
    </row>
    <row r="52" spans="1:56" s="64" customFormat="1" ht="15" customHeight="1">
      <c r="B52" s="102"/>
      <c r="C52" s="102"/>
      <c r="D52" s="102"/>
      <c r="E52" s="102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2"/>
      <c r="BA52" s="102"/>
      <c r="BB52" s="102"/>
      <c r="BC52" s="102"/>
      <c r="BD52" s="102"/>
    </row>
    <row r="53" spans="1:56" s="64" customFormat="1" ht="15" customHeight="1">
      <c r="B53" s="102"/>
      <c r="C53" s="102"/>
      <c r="D53" s="102"/>
      <c r="E53" s="102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102"/>
      <c r="BB53" s="102"/>
      <c r="BC53" s="102"/>
      <c r="BD53" s="102"/>
    </row>
    <row r="54" spans="1:56" s="64" customFormat="1" ht="15" customHeight="1">
      <c r="B54" s="102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102"/>
      <c r="BC54" s="102"/>
      <c r="BD54" s="102"/>
    </row>
    <row r="55" spans="1:56" s="64" customFormat="1" ht="15" customHeight="1">
      <c r="B55" s="102"/>
      <c r="C55" s="102"/>
      <c r="D55" s="102"/>
      <c r="E55" s="102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102"/>
      <c r="BD55" s="102"/>
    </row>
    <row r="56" spans="1:56" s="64" customFormat="1" ht="15" customHeight="1">
      <c r="B56" s="102"/>
      <c r="C56" s="102"/>
      <c r="D56" s="102"/>
      <c r="E56" s="102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102"/>
    </row>
    <row r="57" spans="1:56" s="64" customFormat="1" ht="15" customHeight="1">
      <c r="B57" s="102"/>
      <c r="C57" s="102"/>
      <c r="D57" s="102"/>
      <c r="E57" s="102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</row>
    <row r="58" spans="1:56" s="64" customFormat="1" ht="15" customHeight="1">
      <c r="B58" s="102"/>
      <c r="C58" s="102"/>
      <c r="D58" s="102"/>
      <c r="E58" s="102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</row>
    <row r="59" spans="1:56" s="64" customFormat="1" ht="15" customHeight="1">
      <c r="B59" s="102"/>
      <c r="C59" s="102"/>
      <c r="D59" s="102"/>
      <c r="E59" s="102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</row>
    <row r="60" spans="1:56" s="64" customFormat="1" ht="15" customHeight="1">
      <c r="B60" s="102"/>
      <c r="C60" s="102"/>
      <c r="D60" s="102"/>
      <c r="E60" s="102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</row>
    <row r="61" spans="1:56" s="64" customFormat="1" ht="15" customHeight="1"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</row>
    <row r="62" spans="1:56" s="64" customFormat="1" ht="15" customHeight="1">
      <c r="B62" s="102"/>
      <c r="C62" s="102"/>
      <c r="D62" s="102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</row>
    <row r="63" spans="1:56" s="64" customFormat="1" ht="15" customHeight="1">
      <c r="B63" s="102"/>
      <c r="C63" s="102"/>
      <c r="D63" s="102"/>
      <c r="E63" s="102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</row>
    <row r="64" spans="1:56" s="64" customFormat="1" ht="15" customHeight="1"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</row>
    <row r="65" spans="2:56" s="64" customFormat="1" ht="15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</row>
    <row r="66" spans="2:56" s="64" customFormat="1" ht="1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</row>
    <row r="67" spans="2:56" s="64" customFormat="1" ht="1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X67" s="102"/>
      <c r="AY67" s="102"/>
      <c r="AZ67" s="102"/>
      <c r="BA67" s="102"/>
      <c r="BB67" s="102"/>
      <c r="BC67" s="102"/>
      <c r="BD67" s="102"/>
    </row>
    <row r="68" spans="2:56" s="64" customFormat="1" ht="1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X68" s="102"/>
      <c r="AY68" s="102"/>
      <c r="AZ68" s="102"/>
      <c r="BA68" s="102"/>
      <c r="BB68" s="102"/>
      <c r="BC68" s="102"/>
      <c r="BD68" s="102"/>
    </row>
    <row r="69" spans="2:56" s="64" customFormat="1" ht="1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X69" s="102"/>
      <c r="AY69" s="102"/>
      <c r="AZ69" s="102"/>
      <c r="BA69" s="102"/>
      <c r="BB69" s="102"/>
      <c r="BC69" s="102"/>
      <c r="BD69" s="102"/>
    </row>
    <row r="70" spans="2:56" s="64" customFormat="1" ht="15" customHeight="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X70" s="102"/>
      <c r="AY70" s="102"/>
      <c r="AZ70" s="102"/>
      <c r="BA70" s="102"/>
      <c r="BB70" s="102"/>
      <c r="BC70" s="102"/>
      <c r="BD70" s="102"/>
    </row>
    <row r="71" spans="2:56" s="64" customFormat="1" ht="15" customHeight="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X71" s="102"/>
      <c r="AY71" s="102"/>
      <c r="AZ71" s="102"/>
      <c r="BA71" s="102"/>
      <c r="BB71" s="102"/>
      <c r="BC71" s="102"/>
      <c r="BD71" s="102"/>
    </row>
    <row r="72" spans="2:56" s="64" customFormat="1" ht="15" customHeight="1"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X72" s="102"/>
      <c r="AY72" s="102"/>
      <c r="AZ72" s="102"/>
      <c r="BA72" s="102"/>
      <c r="BB72" s="102"/>
      <c r="BC72" s="102"/>
      <c r="BD72" s="102"/>
    </row>
    <row r="73" spans="2:56" s="64" customFormat="1" ht="15" customHeight="1"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X73" s="102"/>
      <c r="AY73" s="102"/>
      <c r="AZ73" s="102"/>
      <c r="BA73" s="102"/>
      <c r="BB73" s="102"/>
      <c r="BC73" s="102"/>
      <c r="BD73" s="102"/>
    </row>
    <row r="74" spans="2:56" s="64" customFormat="1" ht="15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2"/>
      <c r="BA74" s="102"/>
      <c r="BB74" s="102"/>
      <c r="BC74" s="102"/>
      <c r="BD74" s="102"/>
    </row>
    <row r="75" spans="2:56" s="64" customFormat="1" ht="1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  <c r="BD75" s="102"/>
    </row>
    <row r="76" spans="2:56" s="64" customFormat="1" ht="1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  <c r="BD76" s="102"/>
    </row>
    <row r="77" spans="2:56" s="64" customFormat="1" ht="1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</row>
    <row r="78" spans="2:56" s="64" customFormat="1" ht="1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</row>
    <row r="79" spans="2:56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</row>
    <row r="80" spans="2:56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</row>
    <row r="81" spans="2:56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</row>
    <row r="82" spans="2:56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</row>
    <row r="83" spans="2:56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</row>
    <row r="84" spans="2:56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</row>
    <row r="85" spans="2:56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</row>
    <row r="86" spans="2:56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</row>
    <row r="87" spans="2:56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</row>
    <row r="88" spans="2:56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</row>
    <row r="89" spans="2:56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</row>
    <row r="90" spans="2:56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</row>
    <row r="91" spans="2:56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</row>
    <row r="92" spans="2:56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</row>
    <row r="93" spans="2:56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</row>
    <row r="94" spans="2:56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</row>
    <row r="95" spans="2:56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</row>
    <row r="96" spans="2:56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</row>
    <row r="97" spans="2:56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</row>
    <row r="98" spans="2:56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</row>
    <row r="99" spans="2:56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</row>
    <row r="100" spans="2:56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</row>
    <row r="101" spans="2:56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</row>
    <row r="102" spans="2:56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</row>
    <row r="103" spans="2:56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</row>
    <row r="104" spans="2:56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</row>
    <row r="105" spans="2:56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</row>
    <row r="106" spans="2:56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</row>
    <row r="107" spans="2:56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</row>
    <row r="108" spans="2:56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</row>
    <row r="109" spans="2:56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</row>
    <row r="110" spans="2:56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</row>
    <row r="111" spans="2:56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</row>
    <row r="112" spans="2:56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</row>
    <row r="113" spans="2:56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</row>
    <row r="114" spans="2:56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</row>
    <row r="115" spans="2:56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</row>
    <row r="116" spans="2:56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</row>
    <row r="117" spans="2:56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</row>
    <row r="118" spans="2:56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</row>
    <row r="119" spans="2:56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</row>
    <row r="120" spans="2:56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</row>
    <row r="121" spans="2:56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  <c r="BD121" s="102"/>
    </row>
    <row r="122" spans="2:56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</row>
    <row r="123" spans="2:56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</row>
    <row r="124" spans="2:56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</row>
    <row r="125" spans="2:56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</row>
    <row r="126" spans="2:56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</row>
    <row r="127" spans="2:56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</row>
    <row r="128" spans="2:56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</row>
    <row r="129" spans="2:56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</row>
    <row r="130" spans="2:56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</row>
    <row r="131" spans="2:56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</row>
    <row r="132" spans="2:56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</row>
    <row r="133" spans="2:56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</row>
    <row r="134" spans="2:56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</row>
    <row r="135" spans="2:56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</row>
    <row r="136" spans="2:56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</row>
    <row r="137" spans="2:56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</row>
    <row r="138" spans="2:56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</row>
    <row r="139" spans="2:56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</row>
    <row r="140" spans="2:56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</row>
    <row r="141" spans="2:56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</row>
    <row r="142" spans="2:56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</row>
    <row r="143" spans="2:56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  <c r="BD143" s="102"/>
    </row>
    <row r="144" spans="2:56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  <c r="BD144" s="102"/>
    </row>
    <row r="145" spans="2:56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</row>
    <row r="146" spans="2:56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</row>
    <row r="147" spans="2:56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</row>
    <row r="148" spans="2:56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</row>
    <row r="149" spans="2:56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</row>
    <row r="150" spans="2:56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  <c r="BD150" s="102"/>
    </row>
    <row r="151" spans="2:56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  <c r="BD151" s="102"/>
    </row>
    <row r="152" spans="2:56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2"/>
      <c r="BA152" s="102"/>
      <c r="BB152" s="102"/>
      <c r="BC152" s="102"/>
      <c r="BD152" s="102"/>
    </row>
    <row r="153" spans="2:56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  <c r="BD153" s="102"/>
    </row>
    <row r="154" spans="2:56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2"/>
      <c r="BA154" s="102"/>
      <c r="BB154" s="102"/>
      <c r="BC154" s="102"/>
      <c r="BD154" s="102"/>
    </row>
    <row r="155" spans="2:56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2"/>
      <c r="BA155" s="102"/>
      <c r="BB155" s="102"/>
      <c r="BC155" s="102"/>
      <c r="BD155" s="102"/>
    </row>
    <row r="156" spans="2:56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2"/>
      <c r="BA156" s="102"/>
      <c r="BB156" s="102"/>
      <c r="BC156" s="102"/>
      <c r="BD156" s="102"/>
    </row>
    <row r="157" spans="2:56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  <c r="BD157" s="102"/>
    </row>
    <row r="158" spans="2:56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</row>
    <row r="159" spans="2:56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  <c r="BD159" s="102"/>
    </row>
    <row r="160" spans="2:56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2"/>
      <c r="BA160" s="102"/>
      <c r="BB160" s="102"/>
      <c r="BC160" s="102"/>
      <c r="BD160" s="102"/>
    </row>
    <row r="161" spans="2:56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2"/>
      <c r="BA161" s="102"/>
      <c r="BB161" s="102"/>
      <c r="BC161" s="102"/>
      <c r="BD161" s="102"/>
    </row>
    <row r="162" spans="2:56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  <c r="BD162" s="102"/>
    </row>
    <row r="163" spans="2:56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2"/>
      <c r="BA163" s="102"/>
      <c r="BB163" s="102"/>
      <c r="BC163" s="102"/>
      <c r="BD163" s="102"/>
    </row>
    <row r="164" spans="2:56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</row>
    <row r="165" spans="2:56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2"/>
      <c r="BA165" s="102"/>
      <c r="BB165" s="102"/>
      <c r="BC165" s="102"/>
      <c r="BD165" s="102"/>
    </row>
    <row r="166" spans="2:56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2"/>
      <c r="BA166" s="102"/>
      <c r="BB166" s="102"/>
      <c r="BC166" s="102"/>
      <c r="BD166" s="102"/>
    </row>
    <row r="167" spans="2:56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  <c r="BA167" s="102"/>
      <c r="BB167" s="102"/>
      <c r="BC167" s="102"/>
      <c r="BD167" s="102"/>
    </row>
    <row r="168" spans="2:56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2"/>
      <c r="BA168" s="102"/>
      <c r="BB168" s="102"/>
      <c r="BC168" s="102"/>
      <c r="BD168" s="102"/>
    </row>
    <row r="169" spans="2:56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2"/>
      <c r="BA169" s="102"/>
      <c r="BB169" s="102"/>
      <c r="BC169" s="102"/>
      <c r="BD169" s="102"/>
    </row>
    <row r="170" spans="2:56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2"/>
      <c r="BA170" s="102"/>
      <c r="BB170" s="102"/>
      <c r="BC170" s="102"/>
      <c r="BD170" s="102"/>
    </row>
    <row r="171" spans="2:56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  <c r="BD171" s="102"/>
    </row>
    <row r="172" spans="2:56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</row>
    <row r="173" spans="2:56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</row>
    <row r="174" spans="2:56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2"/>
      <c r="BA174" s="102"/>
      <c r="BB174" s="102"/>
      <c r="BC174" s="102"/>
      <c r="BD174" s="102"/>
    </row>
    <row r="175" spans="2:56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</row>
    <row r="176" spans="2:56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2"/>
      <c r="BA176" s="102"/>
      <c r="BB176" s="102"/>
      <c r="BC176" s="102"/>
      <c r="BD176" s="102"/>
    </row>
    <row r="177" spans="2:56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2"/>
      <c r="BA177" s="102"/>
      <c r="BB177" s="102"/>
      <c r="BC177" s="102"/>
      <c r="BD177" s="102"/>
    </row>
    <row r="178" spans="2:56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2"/>
      <c r="BA178" s="102"/>
      <c r="BB178" s="102"/>
      <c r="BC178" s="102"/>
      <c r="BD178" s="102"/>
    </row>
    <row r="179" spans="2:56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2"/>
      <c r="BA179" s="102"/>
      <c r="BB179" s="102"/>
      <c r="BC179" s="102"/>
      <c r="BD179" s="102"/>
    </row>
    <row r="180" spans="2:56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2"/>
      <c r="BA180" s="102"/>
      <c r="BB180" s="102"/>
      <c r="BC180" s="102"/>
      <c r="BD180" s="102"/>
    </row>
    <row r="181" spans="2:56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2"/>
      <c r="BA181" s="102"/>
      <c r="BB181" s="102"/>
      <c r="BC181" s="102"/>
      <c r="BD181" s="102"/>
    </row>
    <row r="182" spans="2:56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2"/>
      <c r="BA182" s="102"/>
      <c r="BB182" s="102"/>
      <c r="BC182" s="102"/>
      <c r="BD182" s="102"/>
    </row>
    <row r="183" spans="2:56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2"/>
      <c r="BA183" s="102"/>
      <c r="BB183" s="102"/>
      <c r="BC183" s="102"/>
      <c r="BD183" s="102"/>
    </row>
    <row r="184" spans="2:56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2"/>
      <c r="BA184" s="102"/>
      <c r="BB184" s="102"/>
      <c r="BC184" s="102"/>
      <c r="BD184" s="102"/>
    </row>
    <row r="185" spans="2:56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2"/>
      <c r="BA185" s="102"/>
      <c r="BB185" s="102"/>
      <c r="BC185" s="102"/>
      <c r="BD185" s="102"/>
    </row>
    <row r="186" spans="2:56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2"/>
      <c r="BA186" s="102"/>
      <c r="BB186" s="102"/>
      <c r="BC186" s="102"/>
      <c r="BD186" s="102"/>
    </row>
    <row r="187" spans="2:56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2"/>
      <c r="BA187" s="102"/>
      <c r="BB187" s="102"/>
      <c r="BC187" s="102"/>
      <c r="BD187" s="102"/>
    </row>
    <row r="188" spans="2:56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2"/>
      <c r="BA188" s="102"/>
      <c r="BB188" s="102"/>
      <c r="BC188" s="102"/>
      <c r="BD188" s="102"/>
    </row>
    <row r="189" spans="2:56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2"/>
      <c r="BA189" s="102"/>
      <c r="BB189" s="102"/>
      <c r="BC189" s="102"/>
      <c r="BD189" s="102"/>
    </row>
    <row r="190" spans="2:56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  <c r="BD190" s="102"/>
    </row>
    <row r="191" spans="2:56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</row>
    <row r="192" spans="2:56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  <c r="BD192" s="102"/>
    </row>
    <row r="193" spans="2:56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  <c r="BD193" s="102"/>
    </row>
    <row r="194" spans="2:56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  <c r="BD194" s="102"/>
    </row>
    <row r="195" spans="2:56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</row>
    <row r="196" spans="2:56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  <c r="BD196" s="102"/>
    </row>
    <row r="197" spans="2:56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</row>
    <row r="198" spans="2:56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</row>
    <row r="199" spans="2:56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  <c r="BD199" s="102"/>
    </row>
    <row r="200" spans="2:56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  <c r="BD200" s="102"/>
    </row>
    <row r="201" spans="2:56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  <c r="BD201" s="102"/>
    </row>
    <row r="202" spans="2:56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  <c r="BD202" s="102"/>
    </row>
    <row r="203" spans="2:56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  <c r="BD203" s="102"/>
    </row>
    <row r="204" spans="2:56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  <c r="BD204" s="102"/>
    </row>
    <row r="205" spans="2:56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  <c r="BD205" s="102"/>
    </row>
    <row r="206" spans="2:56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  <c r="BD206" s="102"/>
    </row>
    <row r="207" spans="2:56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  <c r="BD207" s="102"/>
    </row>
    <row r="208" spans="2:56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  <c r="BD208" s="102"/>
    </row>
    <row r="209" spans="2:56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  <c r="BD209" s="102"/>
    </row>
    <row r="210" spans="2:56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  <c r="BD210" s="102"/>
    </row>
    <row r="211" spans="2:56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  <c r="BD211" s="102"/>
    </row>
    <row r="212" spans="2:56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  <c r="BD212" s="102"/>
    </row>
    <row r="213" spans="2:56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  <c r="BD213" s="102"/>
    </row>
    <row r="214" spans="2:56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  <c r="BD214" s="102"/>
    </row>
    <row r="215" spans="2:56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  <c r="BD215" s="102"/>
    </row>
    <row r="216" spans="2:56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  <c r="BD216" s="102"/>
    </row>
    <row r="217" spans="2:56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  <c r="BD217" s="102"/>
    </row>
    <row r="218" spans="2:56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  <c r="BD218" s="102"/>
    </row>
    <row r="219" spans="2:56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</row>
    <row r="220" spans="2:56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</row>
    <row r="221" spans="2:56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</row>
    <row r="222" spans="2:56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  <c r="BD222" s="102"/>
    </row>
    <row r="223" spans="2:56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  <c r="BD223" s="102"/>
    </row>
    <row r="224" spans="2:56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  <c r="BD224" s="102"/>
    </row>
    <row r="225" spans="2:56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  <c r="BD225" s="102"/>
    </row>
    <row r="226" spans="2:56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  <c r="BD226" s="102"/>
    </row>
    <row r="227" spans="2:56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</row>
    <row r="228" spans="2:56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  <c r="BD228" s="102"/>
    </row>
    <row r="229" spans="2:56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</row>
    <row r="230" spans="2:56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</row>
    <row r="231" spans="2:56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</row>
    <row r="232" spans="2:56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  <c r="BD232" s="102"/>
    </row>
    <row r="233" spans="2:56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  <c r="BD233" s="102"/>
    </row>
    <row r="234" spans="2:56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</row>
    <row r="235" spans="2:56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/>
    </row>
    <row r="236" spans="2:56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/>
    </row>
    <row r="237" spans="2:56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  <c r="BD237" s="102"/>
    </row>
    <row r="238" spans="2:56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  <c r="BD238" s="102"/>
    </row>
    <row r="239" spans="2:56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  <c r="BD239" s="102"/>
    </row>
    <row r="240" spans="2:56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  <c r="BD240" s="102"/>
    </row>
    <row r="241" spans="2:56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  <c r="BD241" s="102"/>
    </row>
    <row r="242" spans="2:56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  <c r="BD242" s="102"/>
    </row>
    <row r="243" spans="2:56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</row>
    <row r="244" spans="2:56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</row>
    <row r="245" spans="2:56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</row>
    <row r="246" spans="2:56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  <c r="BD246" s="102"/>
    </row>
    <row r="247" spans="2:56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  <c r="BD247" s="102"/>
    </row>
    <row r="248" spans="2:56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  <c r="BD248" s="102"/>
    </row>
    <row r="249" spans="2:56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  <c r="BD249" s="102"/>
    </row>
    <row r="250" spans="2:56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  <c r="BD250" s="102"/>
    </row>
    <row r="251" spans="2:56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  <c r="BD251" s="102"/>
    </row>
    <row r="252" spans="2:56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  <c r="BD252" s="102"/>
    </row>
    <row r="253" spans="2:56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  <c r="BD253" s="102"/>
    </row>
    <row r="254" spans="2:56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  <c r="BD254" s="102"/>
    </row>
    <row r="255" spans="2:56" s="64" customFormat="1" ht="20.2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  <c r="BD255" s="102"/>
    </row>
    <row r="256" spans="2:56" s="64" customFormat="1" ht="20.2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  <c r="BD256" s="102"/>
    </row>
    <row r="257" spans="2:56" s="64" customFormat="1" ht="20.2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  <c r="BD257" s="102"/>
    </row>
    <row r="258" spans="2:56" s="64" customFormat="1" ht="20.2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  <c r="BD258" s="102"/>
    </row>
    <row r="259" spans="2:56" s="64" customFormat="1" ht="20.2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  <c r="BD259" s="102"/>
    </row>
    <row r="260" spans="2:56" s="64" customFormat="1" ht="20.2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  <c r="BD260" s="102"/>
    </row>
    <row r="261" spans="2:56" s="64" customFormat="1" ht="20.2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  <c r="BD261" s="102"/>
    </row>
    <row r="262" spans="2:56" s="64" customFormat="1" ht="20.2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  <c r="BD262" s="102"/>
    </row>
    <row r="263" spans="2:56" s="64" customFormat="1" ht="20.2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2"/>
      <c r="BA263" s="102"/>
      <c r="BB263" s="102"/>
      <c r="BC263" s="102"/>
      <c r="BD263" s="102"/>
    </row>
    <row r="264" spans="2:56" s="64" customFormat="1" ht="20.2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2"/>
      <c r="BA264" s="102"/>
      <c r="BB264" s="102"/>
      <c r="BC264" s="102"/>
      <c r="BD264" s="102"/>
    </row>
    <row r="265" spans="2:56" s="64" customFormat="1" ht="20.2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  <c r="BD265" s="102"/>
    </row>
    <row r="266" spans="2:56" s="64" customFormat="1" ht="20.2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  <c r="BD266" s="102"/>
    </row>
    <row r="267" spans="2:56" s="64" customFormat="1" ht="20.2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  <c r="BD267" s="102"/>
    </row>
    <row r="268" spans="2:56" s="64" customFormat="1" ht="20.2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2"/>
      <c r="BA268" s="102"/>
      <c r="BB268" s="102"/>
      <c r="BC268" s="102"/>
      <c r="BD268" s="102"/>
    </row>
    <row r="269" spans="2:56" s="64" customFormat="1" ht="20.2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2"/>
      <c r="BA269" s="102"/>
      <c r="BB269" s="102"/>
      <c r="BC269" s="102"/>
      <c r="BD269" s="102"/>
    </row>
    <row r="270" spans="2:56" s="64" customFormat="1" ht="20.2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2"/>
      <c r="BA270" s="102"/>
      <c r="BB270" s="102"/>
      <c r="BC270" s="102"/>
      <c r="BD270" s="102"/>
    </row>
    <row r="271" spans="2:56" s="64" customFormat="1" ht="20.2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2"/>
      <c r="BA271" s="102"/>
      <c r="BB271" s="102"/>
      <c r="BC271" s="102"/>
      <c r="BD271" s="102"/>
    </row>
    <row r="272" spans="2:56" s="64" customFormat="1" ht="20.2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2"/>
      <c r="BA272" s="102"/>
      <c r="BB272" s="102"/>
      <c r="BC272" s="102"/>
      <c r="BD272" s="102"/>
    </row>
    <row r="273" spans="2:56" s="64" customFormat="1" ht="20.2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2"/>
      <c r="BA273" s="102"/>
      <c r="BB273" s="102"/>
      <c r="BC273" s="102"/>
      <c r="BD273" s="102"/>
    </row>
    <row r="274" spans="2:56" s="64" customFormat="1" ht="20.2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2"/>
      <c r="BA274" s="102"/>
      <c r="BB274" s="102"/>
      <c r="BC274" s="102"/>
      <c r="BD274" s="102"/>
    </row>
    <row r="275" spans="2:56" s="64" customFormat="1" ht="20.2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2"/>
      <c r="BA275" s="102"/>
      <c r="BB275" s="102"/>
      <c r="BC275" s="102"/>
      <c r="BD275" s="102"/>
    </row>
    <row r="276" spans="2:56" s="64" customFormat="1" ht="20.2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2"/>
      <c r="BA276" s="102"/>
      <c r="BB276" s="102"/>
      <c r="BC276" s="102"/>
      <c r="BD276" s="102"/>
    </row>
    <row r="277" spans="2:56" s="64" customFormat="1" ht="20.2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2"/>
      <c r="BA277" s="102"/>
      <c r="BB277" s="102"/>
      <c r="BC277" s="102"/>
      <c r="BD277" s="102"/>
    </row>
    <row r="278" spans="2:56" s="64" customFormat="1" ht="20.2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2"/>
      <c r="BA278" s="102"/>
      <c r="BB278" s="102"/>
      <c r="BC278" s="102"/>
      <c r="BD278" s="102"/>
    </row>
    <row r="279" spans="2:56" s="64" customFormat="1" ht="20.2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2"/>
      <c r="BA279" s="102"/>
      <c r="BB279" s="102"/>
      <c r="BC279" s="102"/>
      <c r="BD279" s="102"/>
    </row>
    <row r="280" spans="2:56" s="64" customFormat="1" ht="20.2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2"/>
      <c r="BA280" s="102"/>
      <c r="BB280" s="102"/>
      <c r="BC280" s="102"/>
      <c r="BD280" s="102"/>
    </row>
    <row r="281" spans="2:56" s="64" customFormat="1" ht="20.2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2"/>
      <c r="BA281" s="102"/>
      <c r="BB281" s="102"/>
      <c r="BC281" s="102"/>
      <c r="BD281" s="102"/>
    </row>
    <row r="282" spans="2:56" s="64" customFormat="1" ht="20.2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2"/>
      <c r="BA282" s="102"/>
      <c r="BB282" s="102"/>
      <c r="BC282" s="102"/>
      <c r="BD282" s="102"/>
    </row>
    <row r="283" spans="2:56" s="64" customFormat="1" ht="20.2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2"/>
      <c r="BA283" s="102"/>
      <c r="BB283" s="102"/>
      <c r="BC283" s="102"/>
      <c r="BD283" s="102"/>
    </row>
    <row r="284" spans="2:56" s="64" customFormat="1" ht="20.2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2"/>
      <c r="BA284" s="102"/>
      <c r="BB284" s="102"/>
      <c r="BC284" s="102"/>
      <c r="BD284" s="102"/>
    </row>
    <row r="285" spans="2:56" s="64" customFormat="1" ht="20.2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2"/>
      <c r="BA285" s="102"/>
      <c r="BB285" s="102"/>
      <c r="BC285" s="102"/>
      <c r="BD285" s="102"/>
    </row>
    <row r="286" spans="2:56" s="64" customFormat="1" ht="20.2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2"/>
      <c r="BA286" s="102"/>
      <c r="BB286" s="102"/>
      <c r="BC286" s="102"/>
      <c r="BD286" s="102"/>
    </row>
    <row r="287" spans="2:56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2"/>
      <c r="BA287" s="102"/>
      <c r="BB287" s="102"/>
      <c r="BC287" s="102"/>
      <c r="BD287" s="102"/>
    </row>
    <row r="288" spans="2:56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2"/>
      <c r="BA288" s="102"/>
      <c r="BB288" s="102"/>
      <c r="BC288" s="102"/>
      <c r="BD288" s="102"/>
    </row>
    <row r="289" spans="2:56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2"/>
      <c r="BA289" s="102"/>
      <c r="BB289" s="102"/>
      <c r="BC289" s="102"/>
      <c r="BD289" s="102"/>
    </row>
    <row r="290" spans="2:56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2"/>
      <c r="BA290" s="102"/>
      <c r="BB290" s="102"/>
      <c r="BC290" s="102"/>
      <c r="BD290" s="102"/>
    </row>
    <row r="291" spans="2:56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2"/>
      <c r="BA291" s="102"/>
      <c r="BB291" s="102"/>
      <c r="BC291" s="102"/>
      <c r="BD291" s="102"/>
    </row>
    <row r="292" spans="2:56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2"/>
      <c r="BA292" s="102"/>
      <c r="BB292" s="102"/>
      <c r="BC292" s="102"/>
      <c r="BD292" s="102"/>
    </row>
    <row r="293" spans="2:56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2"/>
      <c r="BA293" s="102"/>
      <c r="BB293" s="102"/>
      <c r="BC293" s="102"/>
      <c r="BD293" s="102"/>
    </row>
    <row r="294" spans="2:56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2"/>
      <c r="BA294" s="102"/>
      <c r="BB294" s="102"/>
      <c r="BC294" s="102"/>
      <c r="BD294" s="102"/>
    </row>
    <row r="295" spans="2:56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2"/>
      <c r="BA295" s="102"/>
      <c r="BB295" s="102"/>
      <c r="BC295" s="102"/>
      <c r="BD295" s="102"/>
    </row>
    <row r="296" spans="2:56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2"/>
      <c r="BA296" s="102"/>
      <c r="BB296" s="102"/>
      <c r="BC296" s="102"/>
      <c r="BD296" s="102"/>
    </row>
    <row r="297" spans="2:56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2"/>
      <c r="BA297" s="102"/>
      <c r="BB297" s="102"/>
      <c r="BC297" s="102"/>
      <c r="BD297" s="102"/>
    </row>
    <row r="298" spans="2:56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2"/>
      <c r="BA298" s="102"/>
      <c r="BB298" s="102"/>
      <c r="BC298" s="102"/>
      <c r="BD298" s="102"/>
    </row>
    <row r="299" spans="2:56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2"/>
      <c r="BA299" s="102"/>
      <c r="BB299" s="102"/>
      <c r="BC299" s="102"/>
      <c r="BD299" s="102"/>
    </row>
    <row r="300" spans="2:56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2"/>
      <c r="BA300" s="102"/>
      <c r="BB300" s="102"/>
      <c r="BC300" s="102"/>
      <c r="BD300" s="102"/>
    </row>
    <row r="301" spans="2:56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  <c r="BD301" s="102"/>
    </row>
    <row r="302" spans="2:56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  <c r="BD302" s="102"/>
    </row>
    <row r="303" spans="2:56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2"/>
      <c r="BA303" s="102"/>
      <c r="BB303" s="102"/>
      <c r="BC303" s="102"/>
      <c r="BD303" s="102"/>
    </row>
    <row r="304" spans="2:56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2"/>
      <c r="BA304" s="102"/>
      <c r="BB304" s="102"/>
      <c r="BC304" s="102"/>
      <c r="BD304" s="102"/>
    </row>
    <row r="305" spans="2:56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2"/>
      <c r="BA305" s="102"/>
      <c r="BB305" s="102"/>
      <c r="BC305" s="102"/>
      <c r="BD305" s="102"/>
    </row>
    <row r="306" spans="2:56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2"/>
      <c r="BA306" s="102"/>
      <c r="BB306" s="102"/>
      <c r="BC306" s="102"/>
      <c r="BD306" s="102"/>
    </row>
    <row r="307" spans="2:56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2"/>
      <c r="BA307" s="102"/>
      <c r="BB307" s="102"/>
      <c r="BC307" s="102"/>
      <c r="BD307" s="102"/>
    </row>
    <row r="308" spans="2:56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2"/>
      <c r="BA308" s="102"/>
      <c r="BB308" s="102"/>
      <c r="BC308" s="102"/>
      <c r="BD308" s="102"/>
    </row>
    <row r="309" spans="2:56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2"/>
      <c r="BA309" s="102"/>
      <c r="BB309" s="102"/>
      <c r="BC309" s="102"/>
      <c r="BD309" s="102"/>
    </row>
    <row r="310" spans="2:56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2"/>
      <c r="BA310" s="102"/>
      <c r="BB310" s="102"/>
      <c r="BC310" s="102"/>
      <c r="BD310" s="102"/>
    </row>
    <row r="311" spans="2:56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2"/>
      <c r="BA311" s="102"/>
      <c r="BB311" s="102"/>
      <c r="BC311" s="102"/>
      <c r="BD311" s="102"/>
    </row>
    <row r="312" spans="2:56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2"/>
      <c r="BA312" s="102"/>
      <c r="BB312" s="102"/>
      <c r="BC312" s="102"/>
      <c r="BD312" s="102"/>
    </row>
    <row r="313" spans="2:56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2"/>
      <c r="BA313" s="102"/>
      <c r="BB313" s="102"/>
      <c r="BC313" s="102"/>
      <c r="BD313" s="102"/>
    </row>
    <row r="314" spans="2:56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2"/>
      <c r="BA314" s="102"/>
      <c r="BB314" s="102"/>
      <c r="BC314" s="102"/>
      <c r="BD314" s="102"/>
    </row>
    <row r="315" spans="2:56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2"/>
      <c r="BA315" s="102"/>
      <c r="BB315" s="102"/>
      <c r="BC315" s="102"/>
      <c r="BD315" s="102"/>
    </row>
    <row r="316" spans="2:56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2"/>
      <c r="BA316" s="102"/>
      <c r="BB316" s="102"/>
      <c r="BC316" s="102"/>
      <c r="BD316" s="102"/>
    </row>
    <row r="317" spans="2:56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2"/>
      <c r="BA317" s="102"/>
      <c r="BB317" s="102"/>
      <c r="BC317" s="102"/>
      <c r="BD317" s="102"/>
    </row>
    <row r="318" spans="2:56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2"/>
      <c r="BA318" s="102"/>
      <c r="BB318" s="102"/>
      <c r="BC318" s="102"/>
      <c r="BD318" s="102"/>
    </row>
    <row r="319" spans="2:56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2"/>
      <c r="BA319" s="102"/>
      <c r="BB319" s="102"/>
      <c r="BC319" s="102"/>
      <c r="BD319" s="102"/>
    </row>
    <row r="320" spans="2:56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2"/>
      <c r="BA320" s="102"/>
      <c r="BB320" s="102"/>
      <c r="BC320" s="102"/>
      <c r="BD320" s="102"/>
    </row>
    <row r="321" spans="2:56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2"/>
      <c r="BA321" s="102"/>
      <c r="BB321" s="102"/>
      <c r="BC321" s="102"/>
      <c r="BD321" s="102"/>
    </row>
    <row r="322" spans="2:56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2"/>
      <c r="BA322" s="102"/>
      <c r="BB322" s="102"/>
      <c r="BC322" s="102"/>
      <c r="BD322" s="102"/>
    </row>
    <row r="323" spans="2:56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2"/>
      <c r="BA323" s="102"/>
      <c r="BB323" s="102"/>
      <c r="BC323" s="102"/>
      <c r="BD323" s="102"/>
    </row>
    <row r="324" spans="2:56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2"/>
      <c r="BA324" s="102"/>
      <c r="BB324" s="102"/>
      <c r="BC324" s="102"/>
      <c r="BD324" s="102"/>
    </row>
    <row r="325" spans="2:56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2"/>
      <c r="BA325" s="102"/>
      <c r="BB325" s="102"/>
      <c r="BC325" s="102"/>
      <c r="BD325" s="102"/>
    </row>
    <row r="326" spans="2:56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2"/>
      <c r="BA326" s="102"/>
      <c r="BB326" s="102"/>
      <c r="BC326" s="102"/>
      <c r="BD326" s="102"/>
    </row>
    <row r="327" spans="2:56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2"/>
      <c r="BA327" s="102"/>
      <c r="BB327" s="102"/>
      <c r="BC327" s="102"/>
      <c r="BD327" s="102"/>
    </row>
    <row r="328" spans="2:56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2"/>
      <c r="BA328" s="102"/>
      <c r="BB328" s="102"/>
      <c r="BC328" s="102"/>
      <c r="BD328" s="102"/>
    </row>
    <row r="329" spans="2:56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2"/>
      <c r="BA329" s="102"/>
      <c r="BB329" s="102"/>
      <c r="BC329" s="102"/>
      <c r="BD329" s="102"/>
    </row>
    <row r="330" spans="2:56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2"/>
      <c r="BA330" s="102"/>
      <c r="BB330" s="102"/>
      <c r="BC330" s="102"/>
      <c r="BD330" s="102"/>
    </row>
    <row r="331" spans="2:56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2"/>
      <c r="BA331" s="102"/>
      <c r="BB331" s="102"/>
      <c r="BC331" s="102"/>
      <c r="BD331" s="102"/>
    </row>
    <row r="332" spans="2:56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2"/>
      <c r="BA332" s="102"/>
      <c r="BB332" s="102"/>
      <c r="BC332" s="102"/>
      <c r="BD332" s="102"/>
    </row>
    <row r="333" spans="2:56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2"/>
      <c r="BA333" s="102"/>
      <c r="BB333" s="102"/>
      <c r="BC333" s="102"/>
      <c r="BD333" s="102"/>
    </row>
    <row r="334" spans="2:56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2"/>
      <c r="BA334" s="102"/>
      <c r="BB334" s="102"/>
      <c r="BC334" s="102"/>
      <c r="BD334" s="102"/>
    </row>
    <row r="335" spans="2:56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2"/>
      <c r="BA335" s="102"/>
      <c r="BB335" s="102"/>
      <c r="BC335" s="102"/>
      <c r="BD335" s="102"/>
    </row>
    <row r="336" spans="2:56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2"/>
      <c r="BA336" s="102"/>
      <c r="BB336" s="102"/>
      <c r="BC336" s="102"/>
      <c r="BD336" s="102"/>
    </row>
    <row r="337" spans="2:56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  <c r="BD337" s="102"/>
    </row>
    <row r="338" spans="2:56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  <c r="BD338" s="102"/>
    </row>
    <row r="339" spans="2:56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2"/>
      <c r="BA339" s="102"/>
      <c r="BB339" s="102"/>
      <c r="BC339" s="102"/>
      <c r="BD339" s="102"/>
    </row>
    <row r="340" spans="2:56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2"/>
      <c r="BA340" s="102"/>
      <c r="BB340" s="102"/>
      <c r="BC340" s="102"/>
      <c r="BD340" s="102"/>
    </row>
    <row r="341" spans="2:56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2"/>
      <c r="BA341" s="102"/>
      <c r="BB341" s="102"/>
      <c r="BC341" s="102"/>
      <c r="BD341" s="102"/>
    </row>
    <row r="342" spans="2:56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2"/>
      <c r="BA342" s="102"/>
      <c r="BB342" s="102"/>
      <c r="BC342" s="102"/>
      <c r="BD342" s="102"/>
    </row>
    <row r="343" spans="2:56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2"/>
      <c r="BA343" s="102"/>
      <c r="BB343" s="102"/>
      <c r="BC343" s="102"/>
      <c r="BD343" s="102"/>
    </row>
    <row r="344" spans="2:56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2"/>
      <c r="BA344" s="102"/>
      <c r="BB344" s="102"/>
      <c r="BC344" s="102"/>
      <c r="BD344" s="102"/>
    </row>
    <row r="345" spans="2:56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2"/>
      <c r="BA345" s="102"/>
      <c r="BB345" s="102"/>
      <c r="BC345" s="102"/>
      <c r="BD345" s="102"/>
    </row>
    <row r="346" spans="2:56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2"/>
      <c r="BA346" s="102"/>
      <c r="BB346" s="102"/>
      <c r="BC346" s="102"/>
      <c r="BD346" s="102"/>
    </row>
    <row r="347" spans="2:56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2"/>
      <c r="BA347" s="102"/>
      <c r="BB347" s="102"/>
      <c r="BC347" s="102"/>
      <c r="BD347" s="102"/>
    </row>
    <row r="348" spans="2:56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2"/>
      <c r="BA348" s="102"/>
      <c r="BB348" s="102"/>
      <c r="BC348" s="102"/>
      <c r="BD348" s="102"/>
    </row>
    <row r="349" spans="2:56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2"/>
      <c r="BA349" s="102"/>
      <c r="BB349" s="102"/>
      <c r="BC349" s="102"/>
      <c r="BD349" s="102"/>
    </row>
    <row r="350" spans="2:56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2"/>
      <c r="BA350" s="102"/>
      <c r="BB350" s="102"/>
      <c r="BC350" s="102"/>
      <c r="BD350" s="102"/>
    </row>
    <row r="351" spans="2:56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2"/>
      <c r="BA351" s="102"/>
      <c r="BB351" s="102"/>
      <c r="BC351" s="102"/>
      <c r="BD351" s="102"/>
    </row>
    <row r="352" spans="2:56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2"/>
      <c r="BA352" s="102"/>
      <c r="BB352" s="102"/>
      <c r="BC352" s="102"/>
      <c r="BD352" s="102"/>
    </row>
    <row r="353" spans="2:56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2"/>
      <c r="BA353" s="102"/>
      <c r="BB353" s="102"/>
      <c r="BC353" s="102"/>
      <c r="BD353" s="102"/>
    </row>
    <row r="354" spans="2:56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2"/>
      <c r="BA354" s="102"/>
      <c r="BB354" s="102"/>
      <c r="BC354" s="102"/>
      <c r="BD354" s="102"/>
    </row>
    <row r="355" spans="2:56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2"/>
      <c r="BA355" s="102"/>
      <c r="BB355" s="102"/>
      <c r="BC355" s="102"/>
      <c r="BD355" s="102"/>
    </row>
    <row r="356" spans="2:56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2"/>
      <c r="BA356" s="102"/>
      <c r="BB356" s="102"/>
      <c r="BC356" s="102"/>
      <c r="BD356" s="102"/>
    </row>
    <row r="357" spans="2:56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2"/>
      <c r="BA357" s="102"/>
      <c r="BB357" s="102"/>
      <c r="BC357" s="102"/>
      <c r="BD357" s="102"/>
    </row>
    <row r="358" spans="2:56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2"/>
      <c r="BA358" s="102"/>
      <c r="BB358" s="102"/>
      <c r="BC358" s="102"/>
      <c r="BD358" s="102"/>
    </row>
    <row r="359" spans="2:56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2"/>
      <c r="BA359" s="102"/>
      <c r="BB359" s="102"/>
      <c r="BC359" s="102"/>
      <c r="BD359" s="102"/>
    </row>
    <row r="360" spans="2:56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2"/>
      <c r="BA360" s="102"/>
      <c r="BB360" s="102"/>
      <c r="BC360" s="102"/>
      <c r="BD360" s="102"/>
    </row>
    <row r="361" spans="2:56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2"/>
      <c r="BA361" s="102"/>
      <c r="BB361" s="102"/>
      <c r="BC361" s="102"/>
      <c r="BD361" s="102"/>
    </row>
    <row r="362" spans="2:56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2"/>
      <c r="BA362" s="102"/>
      <c r="BB362" s="102"/>
      <c r="BC362" s="102"/>
      <c r="BD362" s="102"/>
    </row>
    <row r="363" spans="2:56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2"/>
      <c r="BA363" s="102"/>
      <c r="BB363" s="102"/>
      <c r="BC363" s="102"/>
      <c r="BD363" s="102"/>
    </row>
    <row r="364" spans="2:56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2"/>
      <c r="BA364" s="102"/>
      <c r="BB364" s="102"/>
      <c r="BC364" s="102"/>
      <c r="BD364" s="102"/>
    </row>
    <row r="365" spans="2:56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2"/>
      <c r="BA365" s="102"/>
      <c r="BB365" s="102"/>
      <c r="BC365" s="102"/>
      <c r="BD365" s="102"/>
    </row>
    <row r="366" spans="2:56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2"/>
      <c r="BA366" s="102"/>
      <c r="BB366" s="102"/>
      <c r="BC366" s="102"/>
      <c r="BD366" s="102"/>
    </row>
    <row r="367" spans="2:56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2"/>
      <c r="BA367" s="102"/>
      <c r="BB367" s="102"/>
      <c r="BC367" s="102"/>
      <c r="BD367" s="102"/>
    </row>
    <row r="368" spans="2:56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2"/>
      <c r="BA368" s="102"/>
      <c r="BB368" s="102"/>
      <c r="BC368" s="102"/>
      <c r="BD368" s="102"/>
    </row>
    <row r="369" spans="2:56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2"/>
      <c r="BA369" s="102"/>
      <c r="BB369" s="102"/>
      <c r="BC369" s="102"/>
      <c r="BD369" s="102"/>
    </row>
    <row r="370" spans="2:56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2"/>
      <c r="BA370" s="102"/>
      <c r="BB370" s="102"/>
      <c r="BC370" s="102"/>
      <c r="BD370" s="102"/>
    </row>
    <row r="371" spans="2:56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2"/>
      <c r="BA371" s="102"/>
      <c r="BB371" s="102"/>
      <c r="BC371" s="102"/>
      <c r="BD371" s="102"/>
    </row>
    <row r="372" spans="2:56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2"/>
      <c r="BA372" s="102"/>
      <c r="BB372" s="102"/>
      <c r="BC372" s="102"/>
      <c r="BD372" s="102"/>
    </row>
    <row r="373" spans="2:56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2"/>
      <c r="BA373" s="102"/>
      <c r="BB373" s="102"/>
      <c r="BC373" s="102"/>
      <c r="BD373" s="102"/>
    </row>
    <row r="374" spans="2:56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2"/>
      <c r="BA374" s="102"/>
      <c r="BB374" s="102"/>
      <c r="BC374" s="102"/>
      <c r="BD374" s="102"/>
    </row>
    <row r="375" spans="2:56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2"/>
      <c r="BA375" s="102"/>
      <c r="BB375" s="102"/>
      <c r="BC375" s="102"/>
      <c r="BD375" s="102"/>
    </row>
    <row r="376" spans="2:56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2"/>
      <c r="BA376" s="102"/>
      <c r="BB376" s="102"/>
      <c r="BC376" s="102"/>
      <c r="BD376" s="102"/>
    </row>
    <row r="377" spans="2:56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2"/>
      <c r="BA377" s="102"/>
      <c r="BB377" s="102"/>
      <c r="BC377" s="102"/>
      <c r="BD377" s="102"/>
    </row>
    <row r="378" spans="2:56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2"/>
      <c r="BA378" s="102"/>
      <c r="BB378" s="102"/>
      <c r="BC378" s="102"/>
      <c r="BD378" s="102"/>
    </row>
    <row r="379" spans="2:56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2"/>
      <c r="BA379" s="102"/>
      <c r="BB379" s="102"/>
      <c r="BC379" s="102"/>
      <c r="BD379" s="102"/>
    </row>
    <row r="380" spans="2:56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2"/>
      <c r="BA380" s="102"/>
      <c r="BB380" s="102"/>
      <c r="BC380" s="102"/>
      <c r="BD380" s="102"/>
    </row>
    <row r="381" spans="2:56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2"/>
      <c r="BA381" s="102"/>
      <c r="BB381" s="102"/>
      <c r="BC381" s="102"/>
      <c r="BD381" s="102"/>
    </row>
    <row r="382" spans="2:56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2"/>
      <c r="BA382" s="102"/>
      <c r="BB382" s="102"/>
      <c r="BC382" s="102"/>
      <c r="BD382" s="102"/>
    </row>
    <row r="383" spans="2:56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2"/>
      <c r="BA383" s="102"/>
      <c r="BB383" s="102"/>
      <c r="BC383" s="102"/>
      <c r="BD383" s="102"/>
    </row>
    <row r="384" spans="2:56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2"/>
      <c r="BA384" s="102"/>
      <c r="BB384" s="102"/>
      <c r="BC384" s="102"/>
      <c r="BD384" s="102"/>
    </row>
    <row r="385" spans="2:56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2"/>
      <c r="BA385" s="102"/>
      <c r="BB385" s="102"/>
      <c r="BC385" s="102"/>
      <c r="BD385" s="102"/>
    </row>
    <row r="386" spans="2:56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2"/>
      <c r="BA386" s="102"/>
      <c r="BB386" s="102"/>
      <c r="BC386" s="102"/>
      <c r="BD386" s="102"/>
    </row>
    <row r="387" spans="2:56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2"/>
      <c r="BA387" s="102"/>
      <c r="BB387" s="102"/>
      <c r="BC387" s="102"/>
      <c r="BD387" s="102"/>
    </row>
    <row r="388" spans="2:56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2"/>
      <c r="BA388" s="102"/>
      <c r="BB388" s="102"/>
      <c r="BC388" s="102"/>
      <c r="BD388" s="102"/>
    </row>
    <row r="389" spans="2:56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2"/>
      <c r="BA389" s="102"/>
      <c r="BB389" s="102"/>
      <c r="BC389" s="102"/>
      <c r="BD389" s="102"/>
    </row>
    <row r="390" spans="2:56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2"/>
      <c r="BA390" s="102"/>
      <c r="BB390" s="102"/>
      <c r="BC390" s="102"/>
      <c r="BD390" s="102"/>
    </row>
    <row r="391" spans="2:56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2"/>
      <c r="BA391" s="102"/>
      <c r="BB391" s="102"/>
      <c r="BC391" s="102"/>
      <c r="BD391" s="102"/>
    </row>
    <row r="392" spans="2:56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2"/>
      <c r="BA392" s="102"/>
      <c r="BB392" s="102"/>
      <c r="BC392" s="102"/>
      <c r="BD392" s="102"/>
    </row>
    <row r="393" spans="2:56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2"/>
      <c r="BA393" s="102"/>
      <c r="BB393" s="102"/>
      <c r="BC393" s="102"/>
      <c r="BD393" s="102"/>
    </row>
    <row r="394" spans="2:56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2"/>
      <c r="BA394" s="102"/>
      <c r="BB394" s="102"/>
      <c r="BC394" s="102"/>
      <c r="BD394" s="102"/>
    </row>
    <row r="395" spans="2:56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2"/>
      <c r="BA395" s="102"/>
      <c r="BB395" s="102"/>
      <c r="BC395" s="102"/>
      <c r="BD395" s="102"/>
    </row>
    <row r="396" spans="2:56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2"/>
      <c r="BA396" s="102"/>
      <c r="BB396" s="102"/>
      <c r="BC396" s="102"/>
      <c r="BD396" s="102"/>
    </row>
    <row r="397" spans="2:56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2"/>
      <c r="BA397" s="102"/>
      <c r="BB397" s="102"/>
      <c r="BC397" s="102"/>
      <c r="BD397" s="102"/>
    </row>
    <row r="398" spans="2:56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2"/>
      <c r="BA398" s="102"/>
      <c r="BB398" s="102"/>
      <c r="BC398" s="102"/>
      <c r="BD398" s="102"/>
    </row>
    <row r="399" spans="2:56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2"/>
      <c r="BA399" s="102"/>
      <c r="BB399" s="102"/>
      <c r="BC399" s="102"/>
      <c r="BD399" s="102"/>
    </row>
    <row r="400" spans="2:56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2"/>
      <c r="BA400" s="102"/>
      <c r="BB400" s="102"/>
      <c r="BC400" s="102"/>
      <c r="BD400" s="102"/>
    </row>
    <row r="401" spans="2:56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2"/>
      <c r="BA401" s="102"/>
      <c r="BB401" s="102"/>
      <c r="BC401" s="102"/>
      <c r="BD401" s="102"/>
    </row>
    <row r="402" spans="2:56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2"/>
      <c r="BA402" s="102"/>
      <c r="BB402" s="102"/>
      <c r="BC402" s="102"/>
      <c r="BD402" s="102"/>
    </row>
    <row r="403" spans="2:56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2"/>
      <c r="BA403" s="102"/>
      <c r="BB403" s="102"/>
      <c r="BC403" s="102"/>
      <c r="BD403" s="102"/>
    </row>
    <row r="404" spans="2:56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2"/>
      <c r="BA404" s="102"/>
      <c r="BB404" s="102"/>
      <c r="BC404" s="102"/>
      <c r="BD404" s="102"/>
    </row>
    <row r="405" spans="2:56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2"/>
      <c r="BA405" s="102"/>
      <c r="BB405" s="102"/>
      <c r="BC405" s="102"/>
      <c r="BD405" s="102"/>
    </row>
    <row r="406" spans="2:56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2"/>
      <c r="BA406" s="102"/>
      <c r="BB406" s="102"/>
      <c r="BC406" s="102"/>
      <c r="BD406" s="102"/>
    </row>
    <row r="407" spans="2:56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2"/>
      <c r="BA407" s="102"/>
      <c r="BB407" s="102"/>
      <c r="BC407" s="102"/>
      <c r="BD407" s="102"/>
    </row>
    <row r="408" spans="2:56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2"/>
      <c r="BA408" s="102"/>
      <c r="BB408" s="102"/>
      <c r="BC408" s="102"/>
      <c r="BD408" s="102"/>
    </row>
  </sheetData>
  <mergeCells count="132">
    <mergeCell ref="C36:K36"/>
    <mergeCell ref="AF34:AM34"/>
    <mergeCell ref="V35:Y35"/>
    <mergeCell ref="C34:K34"/>
    <mergeCell ref="Z32:AE32"/>
    <mergeCell ref="AF37:AM37"/>
    <mergeCell ref="Z37:AE37"/>
    <mergeCell ref="V37:Y37"/>
    <mergeCell ref="R37:U37"/>
    <mergeCell ref="AF35:AM35"/>
    <mergeCell ref="V36:Y36"/>
    <mergeCell ref="Z36:AE36"/>
    <mergeCell ref="R35:U35"/>
    <mergeCell ref="R34:U34"/>
    <mergeCell ref="V34:Y34"/>
    <mergeCell ref="Z34:AE34"/>
    <mergeCell ref="C37:K37"/>
    <mergeCell ref="L32:Q32"/>
    <mergeCell ref="L33:Q33"/>
    <mergeCell ref="L34:Q34"/>
    <mergeCell ref="R33:U33"/>
    <mergeCell ref="C32:K32"/>
    <mergeCell ref="C33:K33"/>
    <mergeCell ref="R32:U32"/>
    <mergeCell ref="AF36:AM36"/>
    <mergeCell ref="R36:U36"/>
    <mergeCell ref="AF27:AM27"/>
    <mergeCell ref="AF33:AM33"/>
    <mergeCell ref="V32:Y32"/>
    <mergeCell ref="L27:Q27"/>
    <mergeCell ref="L28:Q28"/>
    <mergeCell ref="L29:Q29"/>
    <mergeCell ref="L30:Q30"/>
    <mergeCell ref="R30:U30"/>
    <mergeCell ref="Z33:AE33"/>
    <mergeCell ref="V30:Y30"/>
    <mergeCell ref="R29:U29"/>
    <mergeCell ref="Z28:AE28"/>
    <mergeCell ref="Z31:AE31"/>
    <mergeCell ref="V33:Y33"/>
    <mergeCell ref="L35:Q35"/>
    <mergeCell ref="L36:Q36"/>
    <mergeCell ref="Z35:AE35"/>
    <mergeCell ref="R28:U28"/>
    <mergeCell ref="AF40:AM40"/>
    <mergeCell ref="L39:Q39"/>
    <mergeCell ref="L38:Q38"/>
    <mergeCell ref="Z38:AE38"/>
    <mergeCell ref="R39:U39"/>
    <mergeCell ref="V38:Y38"/>
    <mergeCell ref="V39:Y39"/>
    <mergeCell ref="R38:U38"/>
    <mergeCell ref="Z39:AE39"/>
    <mergeCell ref="AF39:AM39"/>
    <mergeCell ref="AF38:AM38"/>
    <mergeCell ref="AG8:AH8"/>
    <mergeCell ref="AE8:AF8"/>
    <mergeCell ref="R23:U23"/>
    <mergeCell ref="AF24:AM24"/>
    <mergeCell ref="Z24:AE24"/>
    <mergeCell ref="R24:U24"/>
    <mergeCell ref="V24:Y24"/>
    <mergeCell ref="AF32:AM32"/>
    <mergeCell ref="AF31:AM31"/>
    <mergeCell ref="AF29:AM29"/>
    <mergeCell ref="AF30:AM30"/>
    <mergeCell ref="AB12:AE12"/>
    <mergeCell ref="AL8:AM8"/>
    <mergeCell ref="AF26:AM26"/>
    <mergeCell ref="V27:Y27"/>
    <mergeCell ref="V28:Y28"/>
    <mergeCell ref="Z27:AE27"/>
    <mergeCell ref="R27:U27"/>
    <mergeCell ref="AF28:AM28"/>
    <mergeCell ref="C31:K31"/>
    <mergeCell ref="R31:U31"/>
    <mergeCell ref="Z25:AE25"/>
    <mergeCell ref="Z26:AE26"/>
    <mergeCell ref="V29:Y29"/>
    <mergeCell ref="Z29:AE29"/>
    <mergeCell ref="Z30:AE30"/>
    <mergeCell ref="V31:Y31"/>
    <mergeCell ref="C28:K28"/>
    <mergeCell ref="C29:K29"/>
    <mergeCell ref="L37:Q37"/>
    <mergeCell ref="C3:H6"/>
    <mergeCell ref="I3:AC3"/>
    <mergeCell ref="B3:B7"/>
    <mergeCell ref="I4:AC5"/>
    <mergeCell ref="Z22:AE23"/>
    <mergeCell ref="L22:Q23"/>
    <mergeCell ref="B8:H8"/>
    <mergeCell ref="L6:AB9"/>
    <mergeCell ref="AD3:AD9"/>
    <mergeCell ref="B22:B23"/>
    <mergeCell ref="C22:K23"/>
    <mergeCell ref="E20:AM20"/>
    <mergeCell ref="AG12:AK12"/>
    <mergeCell ref="B9:H9"/>
    <mergeCell ref="AJ8:AK8"/>
    <mergeCell ref="R22:Y22"/>
    <mergeCell ref="V23:Y23"/>
    <mergeCell ref="AF22:AM23"/>
    <mergeCell ref="AG3:AH4"/>
    <mergeCell ref="AE3:AF4"/>
    <mergeCell ref="AI3:AJ4"/>
    <mergeCell ref="AK3:AL4"/>
    <mergeCell ref="C30:K30"/>
    <mergeCell ref="E12:O12"/>
    <mergeCell ref="AA49:AD49"/>
    <mergeCell ref="B49:Z49"/>
    <mergeCell ref="AD40:AE40"/>
    <mergeCell ref="E44:F44"/>
    <mergeCell ref="C40:AC40"/>
    <mergeCell ref="AA42:AM42"/>
    <mergeCell ref="H44:T44"/>
    <mergeCell ref="C24:K24"/>
    <mergeCell ref="L24:P24"/>
    <mergeCell ref="C25:K25"/>
    <mergeCell ref="C26:K26"/>
    <mergeCell ref="L25:Q25"/>
    <mergeCell ref="L26:Q26"/>
    <mergeCell ref="R25:U25"/>
    <mergeCell ref="V25:Y25"/>
    <mergeCell ref="R26:U26"/>
    <mergeCell ref="V26:Y26"/>
    <mergeCell ref="C39:K39"/>
    <mergeCell ref="C35:K35"/>
    <mergeCell ref="AF25:AM25"/>
    <mergeCell ref="L31:Q31"/>
    <mergeCell ref="C27:K27"/>
    <mergeCell ref="C38:K38"/>
  </mergeCells>
  <phoneticPr fontId="20" type="noConversion"/>
  <printOptions horizontalCentered="1"/>
  <pageMargins left="0.11811023622047245" right="0.11811023622047245" top="0.39370078740157483" bottom="0.19685039370078741" header="0" footer="0"/>
  <pageSetup paperSize="5" scale="75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rgb="FF92D050"/>
  </sheetPr>
  <dimension ref="A1:BE411"/>
  <sheetViews>
    <sheetView showGridLines="0" view="pageBreakPreview" workbookViewId="0">
      <selection activeCell="C3" sqref="C3:J5"/>
    </sheetView>
  </sheetViews>
  <sheetFormatPr defaultColWidth="9.140625" defaultRowHeight="12.75"/>
  <cols>
    <col min="1" max="1" width="3.7109375" style="64" customWidth="1"/>
    <col min="2" max="2" width="4" style="102" customWidth="1"/>
    <col min="3" max="3" width="3.28515625" style="102" customWidth="1"/>
    <col min="4" max="4" width="3.7109375" style="102" customWidth="1"/>
    <col min="5" max="5" width="3.28515625" style="102" customWidth="1"/>
    <col min="6" max="6" width="3" style="102" customWidth="1"/>
    <col min="7" max="7" width="2.85546875" style="102" customWidth="1"/>
    <col min="8" max="9" width="2.140625" style="102" customWidth="1"/>
    <col min="10" max="10" width="3.140625" style="102" customWidth="1"/>
    <col min="11" max="11" width="1.140625" style="102" customWidth="1"/>
    <col min="12" max="12" width="0.7109375" style="102" customWidth="1"/>
    <col min="13" max="40" width="3.7109375" style="102" customWidth="1"/>
    <col min="41" max="41" width="1.28515625" style="102" customWidth="1"/>
    <col min="42" max="95" width="2.85546875" style="102" customWidth="1"/>
    <col min="96" max="189" width="3.85546875" style="102" customWidth="1"/>
    <col min="190" max="16384" width="9.140625" style="102"/>
  </cols>
  <sheetData>
    <row r="1" spans="1:41" ht="12.75" customHeight="1">
      <c r="A1" s="103"/>
      <c r="B1" s="10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64"/>
      <c r="AN1" s="165"/>
    </row>
    <row r="2" spans="1:41" ht="5.25" customHeight="1">
      <c r="A2" s="106"/>
      <c r="B2" s="10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64"/>
      <c r="AN2" s="104"/>
    </row>
    <row r="3" spans="1:41" ht="15" customHeight="1">
      <c r="B3" s="2757" t="s">
        <v>0</v>
      </c>
      <c r="C3" s="2758" t="s">
        <v>236</v>
      </c>
      <c r="D3" s="2758"/>
      <c r="E3" s="2758"/>
      <c r="F3" s="2758"/>
      <c r="G3" s="2758"/>
      <c r="H3" s="2758"/>
      <c r="I3" s="2758"/>
      <c r="J3" s="2759"/>
      <c r="K3" s="2760" t="s">
        <v>160</v>
      </c>
      <c r="L3" s="2761"/>
      <c r="M3" s="2761"/>
      <c r="N3" s="2761"/>
      <c r="O3" s="2761"/>
      <c r="P3" s="2761"/>
      <c r="Q3" s="2761"/>
      <c r="R3" s="2761"/>
      <c r="S3" s="2761"/>
      <c r="T3" s="2761"/>
      <c r="U3" s="2761"/>
      <c r="V3" s="2761"/>
      <c r="W3" s="2761"/>
      <c r="X3" s="2761"/>
      <c r="Y3" s="2761"/>
      <c r="Z3" s="2761"/>
      <c r="AA3" s="2761"/>
      <c r="AB3" s="2761"/>
      <c r="AC3" s="2761"/>
      <c r="AD3" s="2762"/>
      <c r="AE3" s="2744" t="s">
        <v>3</v>
      </c>
      <c r="AF3" s="2745">
        <f>'FE-1770-III'!AF3</f>
        <v>0</v>
      </c>
      <c r="AG3" s="2745"/>
      <c r="AH3" s="2745">
        <f>'FE-1770-III'!AH3</f>
        <v>0</v>
      </c>
      <c r="AI3" s="2745"/>
      <c r="AJ3" s="2745">
        <f>'FE-1770-III'!AJ3</f>
        <v>0</v>
      </c>
      <c r="AK3" s="2745"/>
      <c r="AL3" s="2745">
        <f>'FE-1770-III'!AL3</f>
        <v>0</v>
      </c>
      <c r="AM3" s="2745"/>
      <c r="AN3" s="5"/>
    </row>
    <row r="4" spans="1:41" ht="11.25" customHeight="1">
      <c r="B4" s="2757"/>
      <c r="C4" s="2758"/>
      <c r="D4" s="2758"/>
      <c r="E4" s="2758"/>
      <c r="F4" s="2758"/>
      <c r="G4" s="2758"/>
      <c r="H4" s="2758"/>
      <c r="I4" s="2758"/>
      <c r="J4" s="2759"/>
      <c r="K4" s="2747" t="s">
        <v>2</v>
      </c>
      <c r="L4" s="2748"/>
      <c r="M4" s="2748"/>
      <c r="N4" s="2748"/>
      <c r="O4" s="2748"/>
      <c r="P4" s="2748"/>
      <c r="Q4" s="2748"/>
      <c r="R4" s="2748"/>
      <c r="S4" s="2748"/>
      <c r="T4" s="2748"/>
      <c r="U4" s="2748"/>
      <c r="V4" s="2748"/>
      <c r="W4" s="2748"/>
      <c r="X4" s="2748"/>
      <c r="Y4" s="2748"/>
      <c r="Z4" s="2748"/>
      <c r="AA4" s="2748"/>
      <c r="AB4" s="2748"/>
      <c r="AC4" s="2748"/>
      <c r="AD4" s="2749"/>
      <c r="AE4" s="2744"/>
      <c r="AF4" s="2745"/>
      <c r="AG4" s="2745"/>
      <c r="AH4" s="2745"/>
      <c r="AI4" s="2745"/>
      <c r="AJ4" s="2745"/>
      <c r="AK4" s="2745"/>
      <c r="AL4" s="2745"/>
      <c r="AM4" s="2745"/>
      <c r="AN4" s="5"/>
    </row>
    <row r="5" spans="1:41" ht="16.5" customHeight="1" thickBot="1">
      <c r="B5" s="2757"/>
      <c r="C5" s="2758"/>
      <c r="D5" s="2758"/>
      <c r="E5" s="2758"/>
      <c r="F5" s="2758"/>
      <c r="G5" s="2758"/>
      <c r="H5" s="2758"/>
      <c r="I5" s="2758"/>
      <c r="J5" s="2759"/>
      <c r="K5" s="2750"/>
      <c r="L5" s="2751"/>
      <c r="M5" s="2751"/>
      <c r="N5" s="2751"/>
      <c r="O5" s="2751"/>
      <c r="P5" s="2751"/>
      <c r="Q5" s="2751"/>
      <c r="R5" s="2751"/>
      <c r="S5" s="2751"/>
      <c r="T5" s="2751"/>
      <c r="U5" s="2751"/>
      <c r="V5" s="2751"/>
      <c r="W5" s="2751"/>
      <c r="X5" s="2751"/>
      <c r="Y5" s="2751"/>
      <c r="Z5" s="2751"/>
      <c r="AA5" s="2751"/>
      <c r="AB5" s="2751"/>
      <c r="AC5" s="2751"/>
      <c r="AD5" s="2752"/>
      <c r="AE5" s="2744"/>
      <c r="AJ5" s="107"/>
    </row>
    <row r="6" spans="1:41" ht="24" customHeight="1">
      <c r="B6" s="2757"/>
      <c r="C6" s="190"/>
      <c r="D6" s="191"/>
      <c r="E6" s="191"/>
      <c r="F6" s="191"/>
      <c r="G6" s="191"/>
      <c r="H6" s="191"/>
      <c r="I6" s="191"/>
      <c r="J6" s="192"/>
      <c r="L6" s="230"/>
      <c r="M6" s="235" t="s">
        <v>6</v>
      </c>
      <c r="N6" s="2753" t="s">
        <v>285</v>
      </c>
      <c r="O6" s="2753"/>
      <c r="P6" s="2753"/>
      <c r="Q6" s="2753"/>
      <c r="R6" s="2753"/>
      <c r="S6" s="2753"/>
      <c r="T6" s="2753"/>
      <c r="U6" s="2753"/>
      <c r="V6" s="2753"/>
      <c r="W6" s="2753"/>
      <c r="X6" s="2753"/>
      <c r="Y6" s="2753"/>
      <c r="Z6" s="2753"/>
      <c r="AA6" s="2753"/>
      <c r="AB6" s="2753"/>
      <c r="AC6" s="2753"/>
      <c r="AD6" s="522"/>
      <c r="AE6" s="2744"/>
      <c r="AF6" s="1423" t="str">
        <f>'FE-1770-III'!AF6</f>
        <v>0</v>
      </c>
      <c r="AG6" s="1423" t="str">
        <f>'FE-1770-III'!AG6</f>
        <v>1</v>
      </c>
      <c r="AH6" s="1423" t="str">
        <f>'FE-1770-III'!AH6</f>
        <v>0</v>
      </c>
      <c r="AI6" s="1423" t="str">
        <f>'FE-1770-III'!AI6</f>
        <v>0</v>
      </c>
      <c r="AJ6" s="1137" t="s">
        <v>7</v>
      </c>
      <c r="AK6" s="1423" t="str">
        <f>'FE-1770-III'!AK6</f>
        <v>0</v>
      </c>
      <c r="AL6" s="1423" t="str">
        <f>'FE-1770-III'!AL6</f>
        <v>1</v>
      </c>
      <c r="AM6" s="1423" t="str">
        <f>'FE-1770-III'!AM6</f>
        <v>0</v>
      </c>
      <c r="AN6" s="1423" t="str">
        <f>'FE-1770-III'!AN6</f>
        <v>0</v>
      </c>
    </row>
    <row r="7" spans="1:41" ht="17.25" customHeight="1">
      <c r="B7" s="2554" t="s">
        <v>302</v>
      </c>
      <c r="C7" s="2554"/>
      <c r="D7" s="2554"/>
      <c r="E7" s="2554"/>
      <c r="F7" s="2554"/>
      <c r="G7" s="2554"/>
      <c r="H7" s="2554"/>
      <c r="I7" s="2554"/>
      <c r="J7" s="2555"/>
      <c r="K7" s="231"/>
      <c r="L7" s="189"/>
      <c r="M7" s="1141" t="s">
        <v>6</v>
      </c>
      <c r="N7" s="2754" t="s">
        <v>167</v>
      </c>
      <c r="O7" s="2754"/>
      <c r="P7" s="2754"/>
      <c r="Q7" s="2754"/>
      <c r="R7" s="2754"/>
      <c r="S7" s="2754"/>
      <c r="T7" s="2754"/>
      <c r="U7" s="2754"/>
      <c r="V7" s="2754"/>
      <c r="W7" s="2754"/>
      <c r="X7" s="2754"/>
      <c r="Y7" s="2754"/>
      <c r="Z7" s="2754"/>
      <c r="AA7" s="2754"/>
      <c r="AB7" s="2754"/>
      <c r="AC7" s="2754"/>
      <c r="AD7" s="521"/>
      <c r="AE7" s="2744"/>
      <c r="AF7" s="2561" t="s">
        <v>4</v>
      </c>
      <c r="AG7" s="2561"/>
      <c r="AH7" s="2755" t="s">
        <v>5</v>
      </c>
      <c r="AI7" s="2756"/>
      <c r="AJ7" s="224"/>
      <c r="AK7" s="2755" t="s">
        <v>4</v>
      </c>
      <c r="AL7" s="2756"/>
      <c r="AM7" s="2755" t="s">
        <v>5</v>
      </c>
      <c r="AN7" s="2756"/>
    </row>
    <row r="8" spans="1:41" ht="24.75" customHeight="1">
      <c r="B8" s="3336" t="s">
        <v>8</v>
      </c>
      <c r="C8" s="3336"/>
      <c r="D8" s="3336"/>
      <c r="E8" s="3336"/>
      <c r="F8" s="3336"/>
      <c r="G8" s="3336"/>
      <c r="H8" s="3336"/>
      <c r="I8" s="3336"/>
      <c r="J8" s="3337"/>
      <c r="K8" s="231"/>
      <c r="L8" s="189"/>
      <c r="M8" s="1141" t="s">
        <v>6</v>
      </c>
      <c r="N8" s="2746" t="s">
        <v>339</v>
      </c>
      <c r="O8" s="2746"/>
      <c r="P8" s="2746"/>
      <c r="Q8" s="2746"/>
      <c r="R8" s="2746"/>
      <c r="S8" s="2746"/>
      <c r="T8" s="2746"/>
      <c r="U8" s="2746"/>
      <c r="V8" s="2746"/>
      <c r="W8" s="2746"/>
      <c r="X8" s="2746"/>
      <c r="Y8" s="2746"/>
      <c r="Z8" s="2746"/>
      <c r="AA8" s="2746"/>
      <c r="AB8" s="2746"/>
      <c r="AC8" s="2746"/>
      <c r="AD8" s="521"/>
      <c r="AE8" s="2744"/>
      <c r="AF8" s="1423" t="str">
        <f>'FE-1770-III'!AF8</f>
        <v/>
      </c>
      <c r="AG8" s="385" t="s">
        <v>9</v>
      </c>
      <c r="AH8" s="446"/>
      <c r="AI8" s="106"/>
      <c r="AJ8" s="104"/>
      <c r="AK8" s="792" t="str">
        <f>'FE-1770-III'!AK8</f>
        <v/>
      </c>
      <c r="AL8" s="385" t="s">
        <v>321</v>
      </c>
      <c r="AM8" s="446"/>
      <c r="AN8" s="446"/>
      <c r="AO8" s="104"/>
    </row>
    <row r="9" spans="1:41" ht="5.25" customHeight="1" thickBot="1">
      <c r="B9" s="112"/>
      <c r="C9" s="113"/>
      <c r="D9" s="12"/>
      <c r="E9" s="12"/>
      <c r="F9" s="12"/>
      <c r="G9" s="13"/>
      <c r="H9" s="193"/>
      <c r="I9" s="193"/>
      <c r="J9" s="194"/>
      <c r="K9" s="232"/>
      <c r="L9" s="233"/>
      <c r="M9" s="233"/>
      <c r="N9" s="233"/>
      <c r="O9" s="233"/>
      <c r="P9" s="233"/>
      <c r="Q9" s="233"/>
      <c r="R9" s="233"/>
      <c r="S9" s="233"/>
      <c r="T9" s="233"/>
      <c r="U9" s="233"/>
      <c r="V9" s="233"/>
      <c r="W9" s="233"/>
      <c r="X9" s="233"/>
      <c r="Y9" s="233"/>
      <c r="Z9" s="233"/>
      <c r="AA9" s="233"/>
      <c r="AB9" s="233"/>
      <c r="AC9" s="233"/>
      <c r="AD9" s="234"/>
      <c r="AE9" s="111"/>
      <c r="AJ9" s="10"/>
    </row>
    <row r="10" spans="1:41" ht="3.75" customHeight="1">
      <c r="B10" s="18"/>
      <c r="C10" s="114"/>
      <c r="D10" s="20"/>
      <c r="E10" s="20"/>
      <c r="F10" s="20"/>
      <c r="G10" s="21"/>
      <c r="H10" s="22"/>
      <c r="I10" s="22"/>
      <c r="J10" s="23"/>
      <c r="K10" s="24"/>
      <c r="L10" s="115"/>
      <c r="M10" s="115"/>
      <c r="N10" s="115"/>
      <c r="O10" s="115"/>
      <c r="P10" s="115"/>
      <c r="Q10" s="115"/>
      <c r="R10" s="115"/>
      <c r="S10" s="115"/>
      <c r="T10" s="115"/>
      <c r="U10" s="115"/>
      <c r="V10" s="114"/>
      <c r="W10" s="114"/>
      <c r="X10" s="115"/>
      <c r="Y10" s="115"/>
      <c r="Z10" s="115"/>
      <c r="AA10" s="115"/>
      <c r="AB10" s="26"/>
      <c r="AC10" s="116"/>
      <c r="AD10" s="114"/>
      <c r="AE10" s="18"/>
      <c r="AF10" s="114"/>
      <c r="AG10" s="114"/>
      <c r="AH10" s="114"/>
      <c r="AI10" s="114"/>
      <c r="AJ10" s="28"/>
      <c r="AK10" s="114"/>
      <c r="AL10" s="114"/>
      <c r="AM10" s="114"/>
      <c r="AN10" s="114"/>
    </row>
    <row r="11" spans="1:41" s="30" customFormat="1" ht="14.25" customHeight="1">
      <c r="A11" s="29"/>
      <c r="B11" s="167" t="s">
        <v>235</v>
      </c>
      <c r="C11" s="167"/>
      <c r="D11" s="167"/>
      <c r="E11" s="1141" t="s">
        <v>6</v>
      </c>
      <c r="F11" s="2378" t="s">
        <v>349</v>
      </c>
      <c r="G11" s="2378"/>
      <c r="H11" s="2378"/>
      <c r="I11" s="2378"/>
      <c r="J11" s="2378"/>
      <c r="K11" s="2378"/>
      <c r="L11" s="2378"/>
      <c r="M11" s="2378"/>
      <c r="N11" s="2378"/>
      <c r="O11" s="2378"/>
      <c r="P11" s="2378"/>
      <c r="Q11" s="1141" t="s">
        <v>6</v>
      </c>
      <c r="R11" s="32" t="s">
        <v>357</v>
      </c>
      <c r="V11" s="33"/>
      <c r="W11" s="33"/>
      <c r="X11" s="33"/>
      <c r="Y11" s="33"/>
      <c r="Z11" s="33"/>
      <c r="AA11" s="33"/>
      <c r="AB11" s="33"/>
      <c r="AC11" s="1141" t="s">
        <v>6</v>
      </c>
      <c r="AD11" s="2763" t="s">
        <v>74</v>
      </c>
      <c r="AE11" s="2763"/>
      <c r="AF11" s="2763"/>
      <c r="AG11" s="2763"/>
      <c r="AH11" s="2764"/>
      <c r="AI11" s="34"/>
      <c r="AJ11" s="3335" t="s">
        <v>223</v>
      </c>
      <c r="AK11" s="2763"/>
      <c r="AL11" s="2763"/>
      <c r="AM11" s="2763"/>
      <c r="AN11" s="2763"/>
      <c r="AO11" s="2763"/>
    </row>
    <row r="12" spans="1:41" ht="4.5" customHeight="1" thickBot="1">
      <c r="B12" s="64"/>
      <c r="D12" s="1106"/>
      <c r="E12" s="1106"/>
      <c r="F12" s="1106"/>
      <c r="G12" s="1106"/>
      <c r="H12" s="1106"/>
      <c r="I12" s="1106"/>
      <c r="J12" s="1106"/>
      <c r="K12" s="1106"/>
      <c r="L12" s="35"/>
      <c r="M12" s="64"/>
      <c r="N12" s="64"/>
      <c r="O12" s="64"/>
      <c r="P12" s="64"/>
      <c r="Q12" s="64"/>
      <c r="R12" s="117"/>
      <c r="S12" s="117"/>
      <c r="T12" s="117"/>
      <c r="U12" s="117"/>
      <c r="V12" s="117"/>
      <c r="W12" s="117"/>
      <c r="X12" s="117"/>
      <c r="Y12" s="117"/>
      <c r="Z12" s="117"/>
      <c r="AA12" s="117"/>
      <c r="AB12" s="16"/>
      <c r="AC12" s="118"/>
      <c r="AD12" s="64"/>
      <c r="AE12" s="17"/>
      <c r="AF12" s="37"/>
      <c r="AG12" s="10"/>
      <c r="AH12" s="10"/>
      <c r="AI12" s="10"/>
      <c r="AJ12" s="10"/>
      <c r="AK12" s="33"/>
      <c r="AL12" s="33"/>
      <c r="AM12" s="33"/>
      <c r="AN12" s="33"/>
    </row>
    <row r="13" spans="1:41" ht="3.75" customHeight="1">
      <c r="B13" s="304"/>
      <c r="C13" s="236"/>
      <c r="D13" s="236"/>
      <c r="E13" s="236"/>
      <c r="F13" s="305"/>
      <c r="G13" s="305"/>
      <c r="H13" s="305"/>
      <c r="I13" s="305"/>
      <c r="J13" s="305"/>
      <c r="K13" s="305"/>
      <c r="L13" s="114"/>
      <c r="M13" s="114"/>
      <c r="N13" s="114"/>
      <c r="O13" s="114"/>
      <c r="P13" s="114"/>
      <c r="Q13" s="114"/>
      <c r="R13" s="115"/>
      <c r="S13" s="115"/>
      <c r="T13" s="115"/>
      <c r="U13" s="115"/>
      <c r="V13" s="115"/>
      <c r="W13" s="115"/>
      <c r="X13" s="115"/>
      <c r="Y13" s="115"/>
      <c r="Z13" s="115"/>
      <c r="AA13" s="115"/>
      <c r="AB13" s="26"/>
      <c r="AC13" s="116"/>
      <c r="AD13" s="114"/>
      <c r="AE13" s="18"/>
      <c r="AF13" s="238"/>
      <c r="AG13" s="28"/>
      <c r="AH13" s="28"/>
      <c r="AI13" s="28"/>
      <c r="AJ13" s="28"/>
      <c r="AK13" s="28"/>
      <c r="AL13" s="28"/>
      <c r="AM13" s="28"/>
      <c r="AN13" s="239"/>
    </row>
    <row r="14" spans="1:41" ht="20.100000000000001" customHeight="1">
      <c r="B14" s="366" t="s">
        <v>12</v>
      </c>
      <c r="C14" s="127"/>
      <c r="D14" s="127"/>
      <c r="E14" s="127"/>
      <c r="F14" s="54"/>
      <c r="G14" s="54"/>
      <c r="H14" s="42" t="s">
        <v>13</v>
      </c>
      <c r="I14" s="42"/>
      <c r="J14" s="41"/>
      <c r="K14" s="8"/>
      <c r="L14" s="64"/>
      <c r="M14" s="1423" t="str">
        <f>'FE-1770-III'!M14</f>
        <v/>
      </c>
      <c r="N14" s="1423" t="str">
        <f>'FE-1770-III'!N14</f>
        <v/>
      </c>
      <c r="O14" s="1426"/>
      <c r="P14" s="1423" t="str">
        <f>'FE-1770-III'!P14</f>
        <v/>
      </c>
      <c r="Q14" s="1423" t="str">
        <f>'FE-1770-III'!Q14</f>
        <v/>
      </c>
      <c r="R14" s="1423" t="str">
        <f>'FE-1770-III'!R14</f>
        <v/>
      </c>
      <c r="S14" s="119"/>
      <c r="T14" s="1423" t="str">
        <f>'FE-1770-III'!T14</f>
        <v/>
      </c>
      <c r="U14" s="1423" t="str">
        <f>'FE-1770-III'!U14</f>
        <v/>
      </c>
      <c r="V14" s="1423" t="str">
        <f>'FE-1770-III'!V14</f>
        <v/>
      </c>
      <c r="W14" s="119"/>
      <c r="X14" s="1423" t="str">
        <f>'FE-1770-III'!X14</f>
        <v/>
      </c>
      <c r="Y14" s="119"/>
      <c r="Z14" s="1423" t="str">
        <f>'FE-1770-III'!Z14</f>
        <v/>
      </c>
      <c r="AA14" s="1423" t="str">
        <f>'FE-1770-III'!AA14</f>
        <v/>
      </c>
      <c r="AB14" s="1423" t="str">
        <f>'FE-1770-III'!AB14</f>
        <v/>
      </c>
      <c r="AC14" s="64"/>
      <c r="AD14" s="1423" t="str">
        <f>'FE-1770-III'!AD14</f>
        <v/>
      </c>
      <c r="AE14" s="1423" t="str">
        <f>'FE-1770-III'!AE14</f>
        <v/>
      </c>
      <c r="AF14" s="1423" t="str">
        <f>'FE-1770-III'!AF14</f>
        <v/>
      </c>
      <c r="AG14" s="119"/>
      <c r="AH14" s="119"/>
      <c r="AI14" s="119"/>
      <c r="AJ14" s="119"/>
      <c r="AK14" s="119"/>
      <c r="AL14" s="119"/>
      <c r="AM14" s="119"/>
      <c r="AN14" s="307"/>
    </row>
    <row r="15" spans="1:41" ht="3.75" customHeight="1">
      <c r="B15" s="367"/>
      <c r="C15" s="127"/>
      <c r="D15" s="127"/>
      <c r="E15" s="127"/>
      <c r="F15" s="54"/>
      <c r="G15" s="54"/>
      <c r="H15" s="45"/>
      <c r="I15" s="45"/>
      <c r="J15" s="35"/>
      <c r="K15" s="9"/>
      <c r="L15" s="64"/>
      <c r="M15" s="184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307"/>
    </row>
    <row r="16" spans="1:41" ht="20.100000000000001" customHeight="1">
      <c r="B16" s="366" t="s">
        <v>14</v>
      </c>
      <c r="C16" s="127"/>
      <c r="D16" s="127"/>
      <c r="E16" s="127"/>
      <c r="F16" s="54"/>
      <c r="G16" s="54"/>
      <c r="H16" s="45" t="s">
        <v>13</v>
      </c>
      <c r="I16" s="45"/>
      <c r="J16" s="35"/>
      <c r="K16" s="9"/>
      <c r="L16" s="64"/>
      <c r="M16" s="1707" t="str">
        <f>'FE-1770-III'!M16</f>
        <v/>
      </c>
      <c r="N16" s="1708"/>
      <c r="O16" s="1708"/>
      <c r="P16" s="1708"/>
      <c r="Q16" s="1708"/>
      <c r="R16" s="1708"/>
      <c r="S16" s="1708"/>
      <c r="T16" s="1708"/>
      <c r="U16" s="1708"/>
      <c r="V16" s="1708"/>
      <c r="W16" s="1708"/>
      <c r="X16" s="1708"/>
      <c r="Y16" s="1708"/>
      <c r="Z16" s="1708"/>
      <c r="AA16" s="1708"/>
      <c r="AB16" s="1708"/>
      <c r="AC16" s="1708"/>
      <c r="AD16" s="1708"/>
      <c r="AE16" s="1708"/>
      <c r="AF16" s="1708"/>
      <c r="AG16" s="1708"/>
      <c r="AH16" s="1708"/>
      <c r="AI16" s="1708"/>
      <c r="AJ16" s="1708"/>
      <c r="AK16" s="1708"/>
      <c r="AL16" s="1708"/>
      <c r="AM16" s="1708"/>
      <c r="AN16" s="307"/>
    </row>
    <row r="17" spans="1:52" ht="3.75" customHeight="1" thickBot="1">
      <c r="B17" s="309"/>
      <c r="C17" s="310"/>
      <c r="D17" s="310"/>
      <c r="E17" s="310"/>
      <c r="F17" s="311"/>
      <c r="G17" s="312"/>
      <c r="H17" s="312"/>
      <c r="I17" s="312"/>
      <c r="J17" s="312"/>
      <c r="K17" s="313"/>
      <c r="L17" s="314"/>
      <c r="M17" s="313"/>
      <c r="N17" s="113"/>
      <c r="O17" s="113"/>
      <c r="P17" s="113"/>
      <c r="Q17" s="113"/>
      <c r="R17" s="315"/>
      <c r="S17" s="113"/>
      <c r="T17" s="113"/>
      <c r="U17" s="113"/>
      <c r="V17" s="113"/>
      <c r="W17" s="113"/>
      <c r="X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316"/>
    </row>
    <row r="18" spans="1:52" ht="10.5" customHeight="1">
      <c r="G18" s="35"/>
      <c r="P18" s="104"/>
      <c r="Q18" s="104"/>
      <c r="R18" s="1234"/>
      <c r="S18" s="104"/>
      <c r="T18" s="104"/>
      <c r="U18" s="104"/>
      <c r="V18" s="104"/>
      <c r="W18" s="104"/>
      <c r="X18" s="104"/>
      <c r="Y18" s="104"/>
      <c r="Z18" s="104"/>
      <c r="AA18" s="104"/>
      <c r="AB18" s="104"/>
      <c r="AC18" s="106"/>
      <c r="AD18" s="106"/>
      <c r="AE18" s="106"/>
      <c r="AF18" s="106"/>
      <c r="AG18" s="106"/>
      <c r="AH18" s="106"/>
      <c r="AI18" s="106"/>
      <c r="AJ18" s="106"/>
      <c r="AK18" s="106"/>
      <c r="AL18" s="106"/>
      <c r="AM18" s="106"/>
      <c r="AN18" s="64"/>
    </row>
    <row r="19" spans="1:52" s="402" customFormat="1" ht="14.25" customHeight="1">
      <c r="A19" s="47"/>
      <c r="B19" s="55" t="s">
        <v>150</v>
      </c>
      <c r="F19" s="2539" t="s">
        <v>305</v>
      </c>
      <c r="G19" s="2539"/>
      <c r="H19" s="2539"/>
      <c r="I19" s="2539"/>
      <c r="J19" s="2539"/>
      <c r="K19" s="2539"/>
      <c r="L19" s="2539"/>
      <c r="M19" s="2539"/>
      <c r="N19" s="2539"/>
      <c r="O19" s="2539"/>
      <c r="P19" s="2539"/>
      <c r="Q19" s="2539"/>
      <c r="R19" s="2539"/>
      <c r="S19" s="2539"/>
      <c r="T19" s="2539"/>
      <c r="U19" s="2539"/>
      <c r="V19" s="2539"/>
      <c r="W19" s="2539"/>
      <c r="X19" s="2539"/>
      <c r="Y19" s="2539"/>
      <c r="Z19" s="2539"/>
      <c r="AA19" s="2539"/>
      <c r="AB19" s="2539"/>
      <c r="AC19" s="2539"/>
      <c r="AD19" s="2539"/>
      <c r="AE19" s="2539"/>
      <c r="AF19" s="2539"/>
      <c r="AG19" s="2539"/>
      <c r="AH19" s="2539"/>
      <c r="AI19" s="2539"/>
      <c r="AJ19" s="2539"/>
      <c r="AK19" s="2539"/>
      <c r="AL19" s="2539"/>
      <c r="AM19" s="2539"/>
      <c r="AN19" s="2539"/>
      <c r="AO19" s="185"/>
      <c r="AP19" s="185"/>
      <c r="AQ19" s="185"/>
      <c r="AR19" s="185"/>
      <c r="AS19" s="185"/>
      <c r="AT19" s="185"/>
      <c r="AU19" s="185"/>
      <c r="AV19" s="185"/>
      <c r="AW19" s="185"/>
    </row>
    <row r="20" spans="1:52" s="64" customFormat="1" ht="9" customHeight="1">
      <c r="A20" s="47"/>
      <c r="B20" s="2767"/>
      <c r="C20" s="2767"/>
      <c r="D20" s="169"/>
      <c r="E20" s="169"/>
      <c r="F20" s="169"/>
      <c r="G20" s="169"/>
      <c r="H20" s="169"/>
      <c r="I20" s="169"/>
      <c r="J20" s="169"/>
      <c r="K20" s="169"/>
      <c r="L20" s="169"/>
      <c r="M20" s="169"/>
      <c r="N20" s="169"/>
      <c r="O20" s="169"/>
      <c r="P20" s="169"/>
      <c r="Q20" s="169"/>
      <c r="R20" s="169"/>
      <c r="S20" s="169"/>
      <c r="T20" s="169"/>
      <c r="U20" s="169"/>
      <c r="V20" s="169"/>
      <c r="W20" s="169"/>
      <c r="X20" s="169"/>
      <c r="Y20" s="169"/>
      <c r="Z20" s="169"/>
      <c r="AA20" s="169"/>
      <c r="AB20" s="169"/>
      <c r="AC20" s="169"/>
      <c r="AD20" s="169"/>
      <c r="AE20" s="169"/>
      <c r="AF20" s="169"/>
      <c r="AG20" s="169"/>
      <c r="AH20" s="169"/>
      <c r="AI20" s="169"/>
      <c r="AJ20" s="169"/>
      <c r="AK20" s="169"/>
      <c r="AL20" s="169"/>
      <c r="AM20" s="169"/>
      <c r="AN20" s="169"/>
      <c r="AO20" s="169"/>
      <c r="AP20" s="169"/>
      <c r="AQ20" s="169"/>
      <c r="AR20" s="169"/>
      <c r="AS20" s="169"/>
      <c r="AT20" s="169"/>
      <c r="AU20" s="169"/>
      <c r="AV20" s="169"/>
      <c r="AW20" s="169"/>
      <c r="AX20" s="169"/>
      <c r="AY20" s="169"/>
      <c r="AZ20" s="169"/>
    </row>
    <row r="21" spans="1:52" s="64" customFormat="1" ht="24.75" customHeight="1">
      <c r="A21" s="47"/>
      <c r="B21" s="1131" t="s">
        <v>151</v>
      </c>
      <c r="C21" s="2579" t="s">
        <v>141</v>
      </c>
      <c r="D21" s="2580"/>
      <c r="E21" s="2580"/>
      <c r="F21" s="2580"/>
      <c r="G21" s="2580"/>
      <c r="H21" s="2580"/>
      <c r="I21" s="2580"/>
      <c r="J21" s="2580"/>
      <c r="K21" s="2580"/>
      <c r="L21" s="2580"/>
      <c r="M21" s="2580"/>
      <c r="N21" s="2580"/>
      <c r="O21" s="2580"/>
      <c r="P21" s="2580"/>
      <c r="Q21" s="2580"/>
      <c r="R21" s="2580"/>
      <c r="S21" s="370"/>
      <c r="T21" s="2580" t="s">
        <v>286</v>
      </c>
      <c r="U21" s="2580"/>
      <c r="V21" s="2580"/>
      <c r="W21" s="2580"/>
      <c r="X21" s="2580"/>
      <c r="Y21" s="2580"/>
      <c r="Z21" s="2580"/>
      <c r="AA21" s="2580"/>
      <c r="AB21" s="2580"/>
      <c r="AC21" s="2580"/>
      <c r="AD21" s="2580"/>
      <c r="AE21" s="2579" t="s">
        <v>250</v>
      </c>
      <c r="AF21" s="2580"/>
      <c r="AG21" s="2580"/>
      <c r="AH21" s="2580"/>
      <c r="AI21" s="2580"/>
      <c r="AJ21" s="2580"/>
      <c r="AK21" s="2580"/>
      <c r="AL21" s="2580"/>
      <c r="AM21" s="2580"/>
      <c r="AN21" s="2581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</row>
    <row r="22" spans="1:52" s="64" customFormat="1" ht="11.25" customHeight="1">
      <c r="A22" s="47"/>
      <c r="B22" s="1127" t="s">
        <v>128</v>
      </c>
      <c r="C22" s="2651" t="s">
        <v>129</v>
      </c>
      <c r="D22" s="2608"/>
      <c r="E22" s="2608"/>
      <c r="F22" s="2608"/>
      <c r="G22" s="2608"/>
      <c r="H22" s="2608"/>
      <c r="I22" s="2608"/>
      <c r="J22" s="2608"/>
      <c r="K22" s="2608"/>
      <c r="L22" s="2608"/>
      <c r="M22" s="2608"/>
      <c r="N22" s="2608"/>
      <c r="O22" s="2608"/>
      <c r="P22" s="2608"/>
      <c r="Q22" s="2608"/>
      <c r="R22" s="2608"/>
      <c r="S22" s="2653"/>
      <c r="T22" s="2608" t="s">
        <v>130</v>
      </c>
      <c r="U22" s="2608"/>
      <c r="V22" s="2608"/>
      <c r="W22" s="2608"/>
      <c r="X22" s="2608"/>
      <c r="Y22" s="2608"/>
      <c r="Z22" s="2608"/>
      <c r="AA22" s="2608"/>
      <c r="AB22" s="2608"/>
      <c r="AC22" s="2608"/>
      <c r="AD22" s="2608"/>
      <c r="AE22" s="2768" t="s">
        <v>131</v>
      </c>
      <c r="AF22" s="2769"/>
      <c r="AG22" s="2769"/>
      <c r="AH22" s="2769"/>
      <c r="AI22" s="2769"/>
      <c r="AJ22" s="2769"/>
      <c r="AK22" s="2769"/>
      <c r="AL22" s="2769"/>
      <c r="AM22" s="2769"/>
      <c r="AN22" s="2770"/>
      <c r="AO22" s="169"/>
      <c r="AP22" s="169"/>
      <c r="AQ22" s="169"/>
      <c r="AR22" s="169"/>
      <c r="AS22" s="169"/>
      <c r="AT22" s="169"/>
      <c r="AU22" s="169"/>
      <c r="AV22" s="169"/>
      <c r="AW22" s="169"/>
      <c r="AX22" s="169"/>
      <c r="AY22" s="169"/>
      <c r="AZ22" s="169"/>
    </row>
    <row r="23" spans="1:52" ht="30" customHeight="1">
      <c r="A23" s="69"/>
      <c r="B23" s="1723" t="s">
        <v>18</v>
      </c>
      <c r="C23" s="2789" t="s">
        <v>312</v>
      </c>
      <c r="D23" s="2789"/>
      <c r="E23" s="2789"/>
      <c r="F23" s="2789"/>
      <c r="G23" s="2789"/>
      <c r="H23" s="2789"/>
      <c r="I23" s="2789"/>
      <c r="J23" s="2789"/>
      <c r="K23" s="2789"/>
      <c r="L23" s="2789"/>
      <c r="M23" s="2789"/>
      <c r="N23" s="2789"/>
      <c r="O23" s="2789"/>
      <c r="P23" s="2789"/>
      <c r="Q23" s="2789"/>
      <c r="R23" s="2789"/>
      <c r="S23" s="2789"/>
      <c r="T23" s="2772">
        <f>'FE-1770-III'!T23</f>
        <v>0</v>
      </c>
      <c r="U23" s="2772"/>
      <c r="V23" s="2772"/>
      <c r="W23" s="2772"/>
      <c r="X23" s="2772"/>
      <c r="Y23" s="2772"/>
      <c r="Z23" s="2772"/>
      <c r="AA23" s="2772"/>
      <c r="AB23" s="2772"/>
      <c r="AC23" s="2772"/>
      <c r="AD23" s="2772"/>
      <c r="AE23" s="2772">
        <f>'FE-1770-III'!AE23</f>
        <v>0</v>
      </c>
      <c r="AF23" s="2772"/>
      <c r="AG23" s="2772"/>
      <c r="AH23" s="2772"/>
      <c r="AI23" s="2772"/>
      <c r="AJ23" s="2772"/>
      <c r="AK23" s="2772"/>
      <c r="AL23" s="2772"/>
      <c r="AM23" s="2772"/>
      <c r="AN23" s="2772"/>
    </row>
    <row r="24" spans="1:52" ht="30" customHeight="1">
      <c r="A24" s="69"/>
      <c r="B24" s="1723" t="s">
        <v>19</v>
      </c>
      <c r="C24" s="2789" t="s">
        <v>313</v>
      </c>
      <c r="D24" s="2789"/>
      <c r="E24" s="2789"/>
      <c r="F24" s="2789"/>
      <c r="G24" s="2789"/>
      <c r="H24" s="2789"/>
      <c r="I24" s="2789"/>
      <c r="J24" s="2789"/>
      <c r="K24" s="2789"/>
      <c r="L24" s="2789"/>
      <c r="M24" s="2789"/>
      <c r="N24" s="2789"/>
      <c r="O24" s="2789"/>
      <c r="P24" s="2789"/>
      <c r="Q24" s="2789"/>
      <c r="R24" s="2789"/>
      <c r="S24" s="2789"/>
      <c r="T24" s="2566">
        <f>'FE-1770-III'!T24</f>
        <v>0</v>
      </c>
      <c r="U24" s="2566"/>
      <c r="V24" s="2566"/>
      <c r="W24" s="2566"/>
      <c r="X24" s="2566"/>
      <c r="Y24" s="2566"/>
      <c r="Z24" s="2566"/>
      <c r="AA24" s="2566"/>
      <c r="AB24" s="2566"/>
      <c r="AC24" s="2566"/>
      <c r="AD24" s="2566"/>
      <c r="AE24" s="2566">
        <f>'FE-1770-III'!AE24</f>
        <v>0</v>
      </c>
      <c r="AF24" s="2566"/>
      <c r="AG24" s="2566"/>
      <c r="AH24" s="2566"/>
      <c r="AI24" s="2566"/>
      <c r="AJ24" s="2566"/>
      <c r="AK24" s="2566"/>
      <c r="AL24" s="2566"/>
      <c r="AM24" s="2566"/>
      <c r="AN24" s="2566"/>
    </row>
    <row r="25" spans="1:52" ht="30" customHeight="1">
      <c r="A25" s="69"/>
      <c r="B25" s="1723" t="s">
        <v>20</v>
      </c>
      <c r="C25" s="2776" t="s">
        <v>161</v>
      </c>
      <c r="D25" s="2777"/>
      <c r="E25" s="2777"/>
      <c r="F25" s="2777"/>
      <c r="G25" s="2777"/>
      <c r="H25" s="2777"/>
      <c r="I25" s="2777"/>
      <c r="J25" s="2777"/>
      <c r="K25" s="2777"/>
      <c r="L25" s="2777"/>
      <c r="M25" s="2777"/>
      <c r="N25" s="2777"/>
      <c r="O25" s="2777"/>
      <c r="P25" s="2777"/>
      <c r="Q25" s="2777"/>
      <c r="R25" s="2777"/>
      <c r="S25" s="2778"/>
      <c r="T25" s="2566">
        <f>'FE-1770-III'!T25</f>
        <v>0</v>
      </c>
      <c r="U25" s="2566"/>
      <c r="V25" s="2566"/>
      <c r="W25" s="2566"/>
      <c r="X25" s="2566"/>
      <c r="Y25" s="2566"/>
      <c r="Z25" s="2566"/>
      <c r="AA25" s="2566"/>
      <c r="AB25" s="2566"/>
      <c r="AC25" s="2566"/>
      <c r="AD25" s="2566"/>
      <c r="AE25" s="2566">
        <f>'FE-1770-III'!AE25</f>
        <v>0</v>
      </c>
      <c r="AF25" s="2566"/>
      <c r="AG25" s="2566"/>
      <c r="AH25" s="2566"/>
      <c r="AI25" s="2566"/>
      <c r="AJ25" s="2566"/>
      <c r="AK25" s="2566"/>
      <c r="AL25" s="2566"/>
      <c r="AM25" s="2566"/>
      <c r="AN25" s="2566"/>
    </row>
    <row r="26" spans="1:52" ht="30" customHeight="1">
      <c r="A26" s="69"/>
      <c r="B26" s="1724" t="s">
        <v>21</v>
      </c>
      <c r="C26" s="2776" t="s">
        <v>162</v>
      </c>
      <c r="D26" s="2777"/>
      <c r="E26" s="2777"/>
      <c r="F26" s="2777"/>
      <c r="G26" s="2777"/>
      <c r="H26" s="2777"/>
      <c r="I26" s="2777"/>
      <c r="J26" s="2777"/>
      <c r="K26" s="2777"/>
      <c r="L26" s="2777"/>
      <c r="M26" s="2777"/>
      <c r="N26" s="2777"/>
      <c r="O26" s="2777"/>
      <c r="P26" s="2777"/>
      <c r="Q26" s="2777"/>
      <c r="R26" s="2777"/>
      <c r="S26" s="2778"/>
      <c r="T26" s="2566">
        <f>'FE-1770-III'!T26</f>
        <v>0</v>
      </c>
      <c r="U26" s="2566"/>
      <c r="V26" s="2566"/>
      <c r="W26" s="2566"/>
      <c r="X26" s="2566"/>
      <c r="Y26" s="2566"/>
      <c r="Z26" s="2566"/>
      <c r="AA26" s="2566"/>
      <c r="AB26" s="2566"/>
      <c r="AC26" s="2566"/>
      <c r="AD26" s="2566"/>
      <c r="AE26" s="2566">
        <f>'FE-1770-III'!AE26</f>
        <v>0</v>
      </c>
      <c r="AF26" s="2566"/>
      <c r="AG26" s="2566"/>
      <c r="AH26" s="2566"/>
      <c r="AI26" s="2566"/>
      <c r="AJ26" s="2566"/>
      <c r="AK26" s="2566"/>
      <c r="AL26" s="2566"/>
      <c r="AM26" s="2566"/>
      <c r="AN26" s="2566"/>
    </row>
    <row r="27" spans="1:52" ht="30" customHeight="1">
      <c r="A27" s="69"/>
      <c r="B27" s="1723" t="s">
        <v>22</v>
      </c>
      <c r="C27" s="2776" t="s">
        <v>289</v>
      </c>
      <c r="D27" s="2777"/>
      <c r="E27" s="2777"/>
      <c r="F27" s="2777"/>
      <c r="G27" s="2777"/>
      <c r="H27" s="2777"/>
      <c r="I27" s="2777"/>
      <c r="J27" s="2777"/>
      <c r="K27" s="2777"/>
      <c r="L27" s="2777"/>
      <c r="M27" s="2777"/>
      <c r="N27" s="2777"/>
      <c r="O27" s="2777"/>
      <c r="P27" s="2777"/>
      <c r="Q27" s="2777"/>
      <c r="R27" s="2777"/>
      <c r="S27" s="2778"/>
      <c r="T27" s="2566">
        <f>'FE-1770-III'!T27</f>
        <v>0</v>
      </c>
      <c r="U27" s="2566"/>
      <c r="V27" s="2566"/>
      <c r="W27" s="2566"/>
      <c r="X27" s="2566"/>
      <c r="Y27" s="2566"/>
      <c r="Z27" s="2566"/>
      <c r="AA27" s="2566"/>
      <c r="AB27" s="2566"/>
      <c r="AC27" s="2566"/>
      <c r="AD27" s="2566"/>
      <c r="AE27" s="2566">
        <f>'FE-1770-III'!AE27</f>
        <v>0</v>
      </c>
      <c r="AF27" s="2566"/>
      <c r="AG27" s="2566"/>
      <c r="AH27" s="2566"/>
      <c r="AI27" s="2566"/>
      <c r="AJ27" s="2566"/>
      <c r="AK27" s="2566"/>
      <c r="AL27" s="2566"/>
      <c r="AM27" s="2566"/>
      <c r="AN27" s="2566"/>
    </row>
    <row r="28" spans="1:52" ht="30" customHeight="1">
      <c r="A28" s="69"/>
      <c r="B28" s="1723" t="s">
        <v>24</v>
      </c>
      <c r="C28" s="2776" t="s">
        <v>163</v>
      </c>
      <c r="D28" s="2777"/>
      <c r="E28" s="2777"/>
      <c r="F28" s="2777"/>
      <c r="G28" s="2777"/>
      <c r="H28" s="2777"/>
      <c r="I28" s="2777"/>
      <c r="J28" s="2777"/>
      <c r="K28" s="2777"/>
      <c r="L28" s="2777"/>
      <c r="M28" s="2777"/>
      <c r="N28" s="2777"/>
      <c r="O28" s="2777"/>
      <c r="P28" s="2777"/>
      <c r="Q28" s="2777"/>
      <c r="R28" s="2777"/>
      <c r="S28" s="2778"/>
      <c r="T28" s="2566">
        <f>'FE-1770-III'!T28</f>
        <v>0</v>
      </c>
      <c r="U28" s="2566"/>
      <c r="V28" s="2566"/>
      <c r="W28" s="2566"/>
      <c r="X28" s="2566"/>
      <c r="Y28" s="2566"/>
      <c r="Z28" s="2566"/>
      <c r="AA28" s="2566"/>
      <c r="AB28" s="2566"/>
      <c r="AC28" s="2566"/>
      <c r="AD28" s="2566"/>
      <c r="AE28" s="2566">
        <f>'FE-1770-III'!AE28</f>
        <v>0</v>
      </c>
      <c r="AF28" s="2566"/>
      <c r="AG28" s="2566"/>
      <c r="AH28" s="2566"/>
      <c r="AI28" s="2566"/>
      <c r="AJ28" s="2566"/>
      <c r="AK28" s="2566"/>
      <c r="AL28" s="2566"/>
      <c r="AM28" s="2566"/>
      <c r="AN28" s="2566"/>
    </row>
    <row r="29" spans="1:52" ht="30" customHeight="1">
      <c r="A29" s="144"/>
      <c r="B29" s="1723" t="s">
        <v>25</v>
      </c>
      <c r="C29" s="2776" t="s">
        <v>251</v>
      </c>
      <c r="D29" s="2777"/>
      <c r="E29" s="2777"/>
      <c r="F29" s="2777"/>
      <c r="G29" s="2777"/>
      <c r="H29" s="2777"/>
      <c r="I29" s="2777"/>
      <c r="J29" s="2777"/>
      <c r="K29" s="2777"/>
      <c r="L29" s="2777"/>
      <c r="M29" s="2777"/>
      <c r="N29" s="2777"/>
      <c r="O29" s="2777"/>
      <c r="P29" s="2777"/>
      <c r="Q29" s="2777"/>
      <c r="R29" s="2777"/>
      <c r="S29" s="2778"/>
      <c r="T29" s="2566">
        <f>'FE-1770-III'!T29</f>
        <v>0</v>
      </c>
      <c r="U29" s="2566"/>
      <c r="V29" s="2566"/>
      <c r="W29" s="2566"/>
      <c r="X29" s="2566"/>
      <c r="Y29" s="2566"/>
      <c r="Z29" s="2566"/>
      <c r="AA29" s="2566"/>
      <c r="AB29" s="2566"/>
      <c r="AC29" s="2566"/>
      <c r="AD29" s="2566"/>
      <c r="AE29" s="2566">
        <f>'FE-1770-III'!AE29</f>
        <v>0</v>
      </c>
      <c r="AF29" s="2566"/>
      <c r="AG29" s="2566"/>
      <c r="AH29" s="2566"/>
      <c r="AI29" s="2566"/>
      <c r="AJ29" s="2566"/>
      <c r="AK29" s="2566"/>
      <c r="AL29" s="2566"/>
      <c r="AM29" s="2566"/>
      <c r="AN29" s="2566"/>
    </row>
    <row r="30" spans="1:52" ht="30" customHeight="1">
      <c r="A30" s="144"/>
      <c r="B30" s="1724" t="s">
        <v>27</v>
      </c>
      <c r="C30" s="2776" t="s">
        <v>164</v>
      </c>
      <c r="D30" s="2777"/>
      <c r="E30" s="2777"/>
      <c r="F30" s="2777"/>
      <c r="G30" s="2777"/>
      <c r="H30" s="2777"/>
      <c r="I30" s="2777"/>
      <c r="J30" s="2777"/>
      <c r="K30" s="2777"/>
      <c r="L30" s="2777"/>
      <c r="M30" s="2777"/>
      <c r="N30" s="2777"/>
      <c r="O30" s="2777"/>
      <c r="P30" s="2777"/>
      <c r="Q30" s="2777"/>
      <c r="R30" s="2777"/>
      <c r="S30" s="2778"/>
      <c r="T30" s="2566">
        <f>'FE-1770-III'!T30</f>
        <v>0</v>
      </c>
      <c r="U30" s="2566"/>
      <c r="V30" s="2566"/>
      <c r="W30" s="2566"/>
      <c r="X30" s="2566"/>
      <c r="Y30" s="2566"/>
      <c r="Z30" s="2566"/>
      <c r="AA30" s="2566"/>
      <c r="AB30" s="2566"/>
      <c r="AC30" s="2566"/>
      <c r="AD30" s="2566"/>
      <c r="AE30" s="2566">
        <f>'FE-1770-III'!AE30</f>
        <v>0</v>
      </c>
      <c r="AF30" s="2566"/>
      <c r="AG30" s="2566"/>
      <c r="AH30" s="2566"/>
      <c r="AI30" s="2566"/>
      <c r="AJ30" s="2566"/>
      <c r="AK30" s="2566"/>
      <c r="AL30" s="2566"/>
      <c r="AM30" s="2566"/>
      <c r="AN30" s="2566"/>
    </row>
    <row r="31" spans="1:52" ht="30" customHeight="1">
      <c r="A31" s="47"/>
      <c r="B31" s="1723" t="s">
        <v>28</v>
      </c>
      <c r="C31" s="2776" t="s">
        <v>252</v>
      </c>
      <c r="D31" s="2777"/>
      <c r="E31" s="2777"/>
      <c r="F31" s="2777"/>
      <c r="G31" s="2777"/>
      <c r="H31" s="2777"/>
      <c r="I31" s="2777"/>
      <c r="J31" s="2777"/>
      <c r="K31" s="2777"/>
      <c r="L31" s="2777"/>
      <c r="M31" s="2777"/>
      <c r="N31" s="2777"/>
      <c r="O31" s="2777"/>
      <c r="P31" s="2777"/>
      <c r="Q31" s="2777"/>
      <c r="R31" s="2777"/>
      <c r="S31" s="2778"/>
      <c r="T31" s="2566">
        <f>'FE-1770-III'!T31</f>
        <v>0</v>
      </c>
      <c r="U31" s="2566"/>
      <c r="V31" s="2566"/>
      <c r="W31" s="2566"/>
      <c r="X31" s="2566"/>
      <c r="Y31" s="2566"/>
      <c r="Z31" s="2566"/>
      <c r="AA31" s="2566"/>
      <c r="AB31" s="2566"/>
      <c r="AC31" s="2566"/>
      <c r="AD31" s="2566"/>
      <c r="AE31" s="2566">
        <f>'FE-1770-III'!AE31</f>
        <v>0</v>
      </c>
      <c r="AF31" s="2566"/>
      <c r="AG31" s="2566"/>
      <c r="AH31" s="2566"/>
      <c r="AI31" s="2566"/>
      <c r="AJ31" s="2566"/>
      <c r="AK31" s="2566"/>
      <c r="AL31" s="2566"/>
      <c r="AM31" s="2566"/>
      <c r="AN31" s="2566"/>
    </row>
    <row r="32" spans="1:52" ht="30" customHeight="1">
      <c r="A32" s="47"/>
      <c r="B32" s="1723" t="s">
        <v>29</v>
      </c>
      <c r="C32" s="2776" t="s">
        <v>165</v>
      </c>
      <c r="D32" s="2777"/>
      <c r="E32" s="2777"/>
      <c r="F32" s="2777"/>
      <c r="G32" s="2777"/>
      <c r="H32" s="2777"/>
      <c r="I32" s="2777"/>
      <c r="J32" s="2777"/>
      <c r="K32" s="2777"/>
      <c r="L32" s="2777"/>
      <c r="M32" s="2777"/>
      <c r="N32" s="2777"/>
      <c r="O32" s="2777"/>
      <c r="P32" s="2777"/>
      <c r="Q32" s="2777"/>
      <c r="R32" s="2777"/>
      <c r="S32" s="2778"/>
      <c r="T32" s="2566">
        <f>'FE-1770-III'!T32</f>
        <v>0</v>
      </c>
      <c r="U32" s="2566"/>
      <c r="V32" s="2566"/>
      <c r="W32" s="2566"/>
      <c r="X32" s="2566"/>
      <c r="Y32" s="2566"/>
      <c r="Z32" s="2566"/>
      <c r="AA32" s="2566"/>
      <c r="AB32" s="2566"/>
      <c r="AC32" s="2566"/>
      <c r="AD32" s="2566"/>
      <c r="AE32" s="2566">
        <f>'FE-1770-III'!AE32</f>
        <v>0</v>
      </c>
      <c r="AF32" s="2566"/>
      <c r="AG32" s="2566"/>
      <c r="AH32" s="2566"/>
      <c r="AI32" s="2566"/>
      <c r="AJ32" s="2566"/>
      <c r="AK32" s="2566"/>
      <c r="AL32" s="2566"/>
      <c r="AM32" s="2566"/>
      <c r="AN32" s="2566"/>
    </row>
    <row r="33" spans="1:40" ht="30" customHeight="1">
      <c r="A33" s="47"/>
      <c r="B33" s="1723" t="s">
        <v>31</v>
      </c>
      <c r="C33" s="2779" t="s">
        <v>314</v>
      </c>
      <c r="D33" s="2780"/>
      <c r="E33" s="2780"/>
      <c r="F33" s="2780"/>
      <c r="G33" s="2780"/>
      <c r="H33" s="2780"/>
      <c r="I33" s="2780"/>
      <c r="J33" s="2780"/>
      <c r="K33" s="2780"/>
      <c r="L33" s="2780"/>
      <c r="M33" s="2780"/>
      <c r="N33" s="2780"/>
      <c r="O33" s="2780"/>
      <c r="P33" s="2780"/>
      <c r="Q33" s="2780"/>
      <c r="R33" s="2780"/>
      <c r="S33" s="2781"/>
      <c r="T33" s="2566">
        <f>'FE-1770-III'!T33</f>
        <v>0</v>
      </c>
      <c r="U33" s="2566"/>
      <c r="V33" s="2566"/>
      <c r="W33" s="2566"/>
      <c r="X33" s="2566"/>
      <c r="Y33" s="2566"/>
      <c r="Z33" s="2566"/>
      <c r="AA33" s="2566"/>
      <c r="AB33" s="2566"/>
      <c r="AC33" s="2566"/>
      <c r="AD33" s="2566"/>
      <c r="AE33" s="2566">
        <f>'FE-1770-III'!AE33</f>
        <v>0</v>
      </c>
      <c r="AF33" s="2566"/>
      <c r="AG33" s="2566"/>
      <c r="AH33" s="2566"/>
      <c r="AI33" s="2566"/>
      <c r="AJ33" s="2566"/>
      <c r="AK33" s="2566"/>
      <c r="AL33" s="2566"/>
      <c r="AM33" s="2566"/>
      <c r="AN33" s="2566"/>
    </row>
    <row r="34" spans="1:40" ht="30" customHeight="1">
      <c r="A34" s="47"/>
      <c r="B34" s="1723" t="s">
        <v>33</v>
      </c>
      <c r="C34" s="2776" t="s">
        <v>287</v>
      </c>
      <c r="D34" s="2777"/>
      <c r="E34" s="2777"/>
      <c r="F34" s="2777"/>
      <c r="G34" s="2777"/>
      <c r="H34" s="2777"/>
      <c r="I34" s="2777"/>
      <c r="J34" s="2777"/>
      <c r="K34" s="2777"/>
      <c r="L34" s="2777"/>
      <c r="M34" s="2777"/>
      <c r="N34" s="2777"/>
      <c r="O34" s="2777"/>
      <c r="P34" s="2777"/>
      <c r="Q34" s="2777"/>
      <c r="R34" s="2777"/>
      <c r="S34" s="2778"/>
      <c r="T34" s="2566">
        <f>'FE-1770-III'!T34</f>
        <v>0</v>
      </c>
      <c r="U34" s="2566"/>
      <c r="V34" s="2566"/>
      <c r="W34" s="2566"/>
      <c r="X34" s="2566"/>
      <c r="Y34" s="2566"/>
      <c r="Z34" s="2566"/>
      <c r="AA34" s="2566"/>
      <c r="AB34" s="2566"/>
      <c r="AC34" s="2566"/>
      <c r="AD34" s="2566"/>
      <c r="AE34" s="2566">
        <f>'FE-1770-III'!AE34</f>
        <v>0</v>
      </c>
      <c r="AF34" s="2566"/>
      <c r="AG34" s="2566"/>
      <c r="AH34" s="2566"/>
      <c r="AI34" s="2566"/>
      <c r="AJ34" s="2566"/>
      <c r="AK34" s="2566"/>
      <c r="AL34" s="2566"/>
      <c r="AM34" s="2566"/>
      <c r="AN34" s="2566"/>
    </row>
    <row r="35" spans="1:40" ht="30" customHeight="1">
      <c r="A35" s="47"/>
      <c r="B35" s="1723" t="s">
        <v>34</v>
      </c>
      <c r="C35" s="2779" t="s">
        <v>288</v>
      </c>
      <c r="D35" s="2780"/>
      <c r="E35" s="2780"/>
      <c r="F35" s="2780"/>
      <c r="G35" s="2780"/>
      <c r="H35" s="2780"/>
      <c r="I35" s="2780"/>
      <c r="J35" s="2780"/>
      <c r="K35" s="2780"/>
      <c r="L35" s="2780"/>
      <c r="M35" s="2780"/>
      <c r="N35" s="2780"/>
      <c r="O35" s="2780"/>
      <c r="P35" s="2780"/>
      <c r="Q35" s="2780"/>
      <c r="R35" s="2780"/>
      <c r="S35" s="2781"/>
      <c r="T35" s="2782"/>
      <c r="U35" s="2782"/>
      <c r="V35" s="2782"/>
      <c r="W35" s="2782"/>
      <c r="X35" s="2782"/>
      <c r="Y35" s="2782"/>
      <c r="Z35" s="2782"/>
      <c r="AA35" s="2782"/>
      <c r="AB35" s="2782"/>
      <c r="AC35" s="2782"/>
      <c r="AD35" s="2782"/>
      <c r="AE35" s="2782"/>
      <c r="AF35" s="2782"/>
      <c r="AG35" s="2782"/>
      <c r="AH35" s="2782"/>
      <c r="AI35" s="2782"/>
      <c r="AJ35" s="2782"/>
      <c r="AK35" s="2782"/>
      <c r="AL35" s="2782"/>
      <c r="AM35" s="2782"/>
      <c r="AN35" s="2782"/>
    </row>
    <row r="36" spans="1:40" ht="30" customHeight="1">
      <c r="A36" s="69"/>
      <c r="B36" s="1723" t="s">
        <v>35</v>
      </c>
      <c r="C36" s="2776" t="s">
        <v>220</v>
      </c>
      <c r="D36" s="2777"/>
      <c r="E36" s="2777"/>
      <c r="F36" s="2777"/>
      <c r="G36" s="2777"/>
      <c r="H36" s="2777"/>
      <c r="I36" s="2777"/>
      <c r="J36" s="2777"/>
      <c r="K36" s="2777"/>
      <c r="L36" s="2777"/>
      <c r="M36" s="2777"/>
      <c r="N36" s="2777"/>
      <c r="O36" s="2777"/>
      <c r="P36" s="2777"/>
      <c r="Q36" s="2777"/>
      <c r="R36" s="2777"/>
      <c r="S36" s="2778"/>
      <c r="T36" s="2772">
        <f>'FE-1770-III'!T36</f>
        <v>0</v>
      </c>
      <c r="U36" s="2772"/>
      <c r="V36" s="2772"/>
      <c r="W36" s="2772"/>
      <c r="X36" s="2772"/>
      <c r="Y36" s="2772"/>
      <c r="Z36" s="2772"/>
      <c r="AA36" s="2772"/>
      <c r="AB36" s="2772"/>
      <c r="AC36" s="2772"/>
      <c r="AD36" s="2772"/>
      <c r="AE36" s="2772">
        <f>'FE-1770-III'!AE36</f>
        <v>0</v>
      </c>
      <c r="AF36" s="2772"/>
      <c r="AG36" s="2772"/>
      <c r="AH36" s="2772"/>
      <c r="AI36" s="2772"/>
      <c r="AJ36" s="2772"/>
      <c r="AK36" s="2772"/>
      <c r="AL36" s="2772"/>
      <c r="AM36" s="2772"/>
      <c r="AN36" s="2772"/>
    </row>
    <row r="37" spans="1:40" ht="30" customHeight="1">
      <c r="A37" s="69"/>
      <c r="B37" s="1724" t="s">
        <v>37</v>
      </c>
      <c r="C37" s="3338" t="s">
        <v>341</v>
      </c>
      <c r="D37" s="3339"/>
      <c r="E37" s="3339"/>
      <c r="F37" s="3339"/>
      <c r="G37" s="3339"/>
      <c r="H37" s="3339"/>
      <c r="I37" s="3339"/>
      <c r="J37" s="3339"/>
      <c r="K37" s="3339"/>
      <c r="L37" s="3339"/>
      <c r="M37" s="3339"/>
      <c r="N37" s="3339"/>
      <c r="O37" s="3339"/>
      <c r="P37" s="3339"/>
      <c r="Q37" s="3339"/>
      <c r="R37" s="3339"/>
      <c r="S37" s="3340"/>
      <c r="T37" s="2772">
        <f>'FE-1770-III'!T37</f>
        <v>0</v>
      </c>
      <c r="U37" s="2772"/>
      <c r="V37" s="2772"/>
      <c r="W37" s="2772"/>
      <c r="X37" s="2772"/>
      <c r="Y37" s="2772"/>
      <c r="Z37" s="2772"/>
      <c r="AA37" s="2772"/>
      <c r="AB37" s="2772"/>
      <c r="AC37" s="2772"/>
      <c r="AD37" s="2772"/>
      <c r="AE37" s="2772">
        <f>'FE-1770-III'!AE37</f>
        <v>0</v>
      </c>
      <c r="AF37" s="2772"/>
      <c r="AG37" s="2772"/>
      <c r="AH37" s="2772"/>
      <c r="AI37" s="2772"/>
      <c r="AJ37" s="2772"/>
      <c r="AK37" s="2772"/>
      <c r="AL37" s="2772"/>
      <c r="AM37" s="2772"/>
      <c r="AN37" s="2772"/>
    </row>
    <row r="38" spans="1:40" ht="30" customHeight="1">
      <c r="A38" s="69"/>
      <c r="B38" s="1723" t="s">
        <v>38</v>
      </c>
      <c r="C38" s="2789" t="s">
        <v>290</v>
      </c>
      <c r="D38" s="2789"/>
      <c r="E38" s="2789"/>
      <c r="F38" s="2789"/>
      <c r="G38" s="2789"/>
      <c r="H38" s="2789"/>
      <c r="I38" s="2789"/>
      <c r="J38" s="2789"/>
      <c r="K38" s="2789"/>
      <c r="L38" s="2789"/>
      <c r="M38" s="2789"/>
      <c r="N38" s="2789"/>
      <c r="O38" s="2789"/>
      <c r="P38" s="2789"/>
      <c r="Q38" s="2789"/>
      <c r="R38" s="2789"/>
      <c r="S38" s="2789"/>
      <c r="T38" s="2772">
        <f>'FE-1770-III'!T38</f>
        <v>0</v>
      </c>
      <c r="U38" s="2772"/>
      <c r="V38" s="2772"/>
      <c r="W38" s="2772"/>
      <c r="X38" s="2772"/>
      <c r="Y38" s="2772"/>
      <c r="Z38" s="2772"/>
      <c r="AA38" s="2772"/>
      <c r="AB38" s="2772"/>
      <c r="AC38" s="2772"/>
      <c r="AD38" s="2772"/>
      <c r="AE38" s="2772">
        <f>'FE-1770-III'!AE38</f>
        <v>0</v>
      </c>
      <c r="AF38" s="2772"/>
      <c r="AG38" s="2772"/>
      <c r="AH38" s="2772"/>
      <c r="AI38" s="2772"/>
      <c r="AJ38" s="2772"/>
      <c r="AK38" s="2772"/>
      <c r="AL38" s="2772"/>
      <c r="AM38" s="2772"/>
      <c r="AN38" s="2772"/>
    </row>
    <row r="39" spans="1:40" ht="30" customHeight="1">
      <c r="A39" s="69"/>
      <c r="B39" s="1723" t="s">
        <v>43</v>
      </c>
      <c r="C39" s="2789" t="s">
        <v>334</v>
      </c>
      <c r="D39" s="2789"/>
      <c r="E39" s="2789"/>
      <c r="F39" s="2789"/>
      <c r="G39" s="2789"/>
      <c r="H39" s="2789"/>
      <c r="I39" s="2789"/>
      <c r="J39" s="2789"/>
      <c r="K39" s="2789"/>
      <c r="L39" s="2789"/>
      <c r="M39" s="2789"/>
      <c r="N39" s="2789"/>
      <c r="O39" s="2789"/>
      <c r="P39" s="2789"/>
      <c r="Q39" s="2789"/>
      <c r="R39" s="2789"/>
      <c r="S39" s="2789"/>
      <c r="T39" s="2792"/>
      <c r="U39" s="2793"/>
      <c r="V39" s="2793"/>
      <c r="W39" s="2793"/>
      <c r="X39" s="2793"/>
      <c r="Y39" s="2793"/>
      <c r="Z39" s="2793"/>
      <c r="AA39" s="2793"/>
      <c r="AB39" s="2793"/>
      <c r="AC39" s="2793"/>
      <c r="AD39" s="2794"/>
      <c r="AE39" s="2566">
        <f>'FE-1770-III'!AE39</f>
        <v>0</v>
      </c>
      <c r="AF39" s="2566"/>
      <c r="AG39" s="2566"/>
      <c r="AH39" s="2566"/>
      <c r="AI39" s="2566"/>
      <c r="AJ39" s="2566"/>
      <c r="AK39" s="2566"/>
      <c r="AL39" s="2566"/>
      <c r="AM39" s="2566"/>
      <c r="AN39" s="2566"/>
    </row>
    <row r="40" spans="1:40" ht="9.9499999999999993" customHeight="1">
      <c r="A40" s="69"/>
      <c r="B40" s="1123"/>
      <c r="C40" s="384"/>
      <c r="D40" s="384"/>
      <c r="E40" s="384"/>
      <c r="F40" s="384"/>
      <c r="G40" s="384"/>
      <c r="H40" s="384"/>
      <c r="I40" s="384"/>
      <c r="J40" s="384"/>
      <c r="K40" s="384"/>
      <c r="L40" s="384"/>
      <c r="M40" s="384"/>
      <c r="N40" s="384"/>
      <c r="O40" s="384"/>
      <c r="P40" s="384"/>
      <c r="Q40" s="384"/>
      <c r="R40" s="384"/>
      <c r="S40" s="384"/>
      <c r="T40" s="1136"/>
      <c r="U40" s="389"/>
      <c r="V40" s="389"/>
      <c r="W40" s="389"/>
      <c r="X40" s="389"/>
      <c r="Y40" s="389"/>
      <c r="Z40" s="389"/>
      <c r="AA40" s="389"/>
      <c r="AB40" s="391"/>
      <c r="AC40" s="392"/>
      <c r="AD40" s="390"/>
      <c r="AE40" s="1138"/>
      <c r="AF40" s="1138"/>
      <c r="AG40" s="1138"/>
      <c r="AH40" s="1138"/>
      <c r="AI40" s="1138"/>
      <c r="AJ40" s="1138"/>
      <c r="AK40" s="1138"/>
      <c r="AL40" s="1138"/>
      <c r="AM40" s="1138"/>
      <c r="AN40" s="1138"/>
    </row>
    <row r="41" spans="1:40" ht="4.5" customHeight="1"/>
    <row r="42" spans="1:40" ht="21.75" customHeight="1">
      <c r="A42" s="160"/>
      <c r="B42" s="133" t="s">
        <v>166</v>
      </c>
      <c r="C42" s="65"/>
      <c r="D42" s="172"/>
      <c r="E42" s="1235"/>
      <c r="F42" s="195" t="s">
        <v>167</v>
      </c>
      <c r="H42" s="137"/>
      <c r="I42" s="137"/>
      <c r="J42" s="137"/>
      <c r="K42" s="137"/>
      <c r="L42" s="137"/>
      <c r="M42" s="137"/>
      <c r="N42" s="137"/>
      <c r="O42" s="137"/>
      <c r="P42" s="137"/>
      <c r="Q42" s="137"/>
      <c r="R42" s="137"/>
      <c r="S42" s="137"/>
      <c r="T42" s="137"/>
      <c r="U42" s="1235"/>
      <c r="V42" s="1235"/>
      <c r="W42" s="1235"/>
      <c r="X42" s="1235"/>
      <c r="Y42" s="1235"/>
      <c r="Z42" s="1235"/>
      <c r="AA42" s="1235"/>
      <c r="AB42" s="137"/>
      <c r="AC42" s="1235"/>
      <c r="AD42" s="1235"/>
      <c r="AE42" s="1235"/>
      <c r="AF42" s="1235"/>
      <c r="AG42" s="1235"/>
      <c r="AH42" s="1235"/>
      <c r="AI42" s="1235"/>
      <c r="AJ42" s="1235"/>
      <c r="AK42" s="35"/>
      <c r="AL42" s="35"/>
      <c r="AM42" s="35"/>
      <c r="AN42" s="35"/>
    </row>
    <row r="43" spans="1:40" ht="1.5" customHeight="1">
      <c r="A43" s="160"/>
      <c r="B43" s="47"/>
      <c r="C43" s="65"/>
      <c r="D43" s="172"/>
      <c r="E43" s="1235"/>
      <c r="F43" s="195"/>
      <c r="G43" s="196"/>
      <c r="H43" s="137"/>
      <c r="I43" s="137"/>
      <c r="J43" s="137"/>
      <c r="K43" s="137"/>
      <c r="L43" s="137"/>
      <c r="M43" s="137"/>
      <c r="N43" s="137"/>
      <c r="O43" s="137"/>
      <c r="P43" s="137"/>
      <c r="Q43" s="137"/>
      <c r="R43" s="137"/>
      <c r="S43" s="137"/>
      <c r="T43" s="137"/>
      <c r="U43" s="1235"/>
      <c r="V43" s="1235"/>
      <c r="W43" s="1235"/>
      <c r="X43" s="1235"/>
      <c r="Y43" s="1235"/>
      <c r="Z43" s="1235"/>
      <c r="AA43" s="1235"/>
      <c r="AB43" s="137"/>
      <c r="AC43" s="1235"/>
      <c r="AD43" s="1235"/>
      <c r="AE43" s="1235"/>
      <c r="AF43" s="1235"/>
      <c r="AG43" s="1235"/>
      <c r="AH43" s="1235"/>
      <c r="AI43" s="1235"/>
      <c r="AJ43" s="1235"/>
      <c r="AK43" s="35"/>
      <c r="AL43" s="35"/>
      <c r="AM43" s="35"/>
      <c r="AN43" s="35"/>
    </row>
    <row r="44" spans="1:40" ht="25.5" customHeight="1">
      <c r="A44" s="65"/>
      <c r="B44" s="1135" t="s">
        <v>151</v>
      </c>
      <c r="C44" s="2579" t="s">
        <v>315</v>
      </c>
      <c r="D44" s="2580"/>
      <c r="E44" s="2580"/>
      <c r="F44" s="2580"/>
      <c r="G44" s="2580"/>
      <c r="H44" s="2580"/>
      <c r="I44" s="2580"/>
      <c r="J44" s="2580"/>
      <c r="K44" s="2580"/>
      <c r="L44" s="2580"/>
      <c r="M44" s="2580"/>
      <c r="N44" s="2580"/>
      <c r="O44" s="2580"/>
      <c r="P44" s="2580"/>
      <c r="Q44" s="2580"/>
      <c r="R44" s="2580"/>
      <c r="S44" s="2580"/>
      <c r="T44" s="2580"/>
      <c r="U44" s="2580"/>
      <c r="V44" s="2580"/>
      <c r="W44" s="2580"/>
      <c r="X44" s="2580"/>
      <c r="Y44" s="2580"/>
      <c r="Z44" s="2580"/>
      <c r="AA44" s="2580"/>
      <c r="AB44" s="2580"/>
      <c r="AC44" s="2580"/>
      <c r="AD44" s="2581"/>
      <c r="AE44" s="2580" t="s">
        <v>225</v>
      </c>
      <c r="AF44" s="2790"/>
      <c r="AG44" s="2790"/>
      <c r="AH44" s="2790"/>
      <c r="AI44" s="2790"/>
      <c r="AJ44" s="2790"/>
      <c r="AK44" s="2790"/>
      <c r="AL44" s="2790"/>
      <c r="AM44" s="2790"/>
      <c r="AN44" s="2791"/>
    </row>
    <row r="45" spans="1:40" ht="10.5" customHeight="1">
      <c r="A45" s="65"/>
      <c r="B45" s="1127" t="s">
        <v>128</v>
      </c>
      <c r="C45" s="2651" t="s">
        <v>129</v>
      </c>
      <c r="D45" s="2608"/>
      <c r="E45" s="2608"/>
      <c r="F45" s="2608"/>
      <c r="G45" s="2608"/>
      <c r="H45" s="2608"/>
      <c r="I45" s="2608"/>
      <c r="J45" s="2608"/>
      <c r="K45" s="2608"/>
      <c r="L45" s="2608"/>
      <c r="M45" s="2608"/>
      <c r="N45" s="2608"/>
      <c r="O45" s="2608"/>
      <c r="P45" s="2608"/>
      <c r="Q45" s="2608"/>
      <c r="R45" s="2608"/>
      <c r="S45" s="2608"/>
      <c r="T45" s="2608"/>
      <c r="U45" s="2608"/>
      <c r="V45" s="2608"/>
      <c r="W45" s="2608"/>
      <c r="X45" s="2608"/>
      <c r="Y45" s="2608"/>
      <c r="Z45" s="2608"/>
      <c r="AA45" s="2608"/>
      <c r="AB45" s="2608"/>
      <c r="AC45" s="2608"/>
      <c r="AD45" s="2653"/>
      <c r="AE45" s="2609" t="s">
        <v>130</v>
      </c>
      <c r="AF45" s="2609"/>
      <c r="AG45" s="2609"/>
      <c r="AH45" s="2609"/>
      <c r="AI45" s="2609"/>
      <c r="AJ45" s="2609"/>
      <c r="AK45" s="2609"/>
      <c r="AL45" s="2609"/>
      <c r="AM45" s="2609"/>
      <c r="AN45" s="2610"/>
    </row>
    <row r="46" spans="1:40" ht="29.25" customHeight="1">
      <c r="A46" s="65"/>
      <c r="B46" s="1723" t="s">
        <v>18</v>
      </c>
      <c r="C46" s="2721" t="s">
        <v>168</v>
      </c>
      <c r="D46" s="2722"/>
      <c r="E46" s="2722"/>
      <c r="F46" s="2722"/>
      <c r="G46" s="2722"/>
      <c r="H46" s="2722"/>
      <c r="I46" s="2722"/>
      <c r="J46" s="2722"/>
      <c r="K46" s="2722"/>
      <c r="L46" s="2722"/>
      <c r="M46" s="2722"/>
      <c r="N46" s="2722"/>
      <c r="O46" s="2722"/>
      <c r="P46" s="2722"/>
      <c r="Q46" s="2722"/>
      <c r="R46" s="2722"/>
      <c r="S46" s="2722"/>
      <c r="T46" s="2722"/>
      <c r="U46" s="2722"/>
      <c r="V46" s="2722"/>
      <c r="W46" s="2722"/>
      <c r="X46" s="2722"/>
      <c r="Y46" s="2722"/>
      <c r="Z46" s="2722"/>
      <c r="AA46" s="2722"/>
      <c r="AB46" s="2722"/>
      <c r="AC46" s="2722"/>
      <c r="AD46" s="2723"/>
      <c r="AE46" s="2566">
        <f>'FE-1770-III'!AE46</f>
        <v>0</v>
      </c>
      <c r="AF46" s="2566"/>
      <c r="AG46" s="2566"/>
      <c r="AH46" s="2566"/>
      <c r="AI46" s="2566"/>
      <c r="AJ46" s="2566"/>
      <c r="AK46" s="2566"/>
      <c r="AL46" s="2566"/>
      <c r="AM46" s="2566"/>
      <c r="AN46" s="2566"/>
    </row>
    <row r="47" spans="1:40" ht="30" customHeight="1">
      <c r="A47" s="160"/>
      <c r="B47" s="1723" t="s">
        <v>19</v>
      </c>
      <c r="C47" s="2721" t="s">
        <v>169</v>
      </c>
      <c r="D47" s="2722"/>
      <c r="E47" s="2722"/>
      <c r="F47" s="2722"/>
      <c r="G47" s="2722"/>
      <c r="H47" s="2722"/>
      <c r="I47" s="2722"/>
      <c r="J47" s="2722"/>
      <c r="K47" s="2722"/>
      <c r="L47" s="2722"/>
      <c r="M47" s="2722"/>
      <c r="N47" s="2722"/>
      <c r="O47" s="2722"/>
      <c r="P47" s="2722"/>
      <c r="Q47" s="2722"/>
      <c r="R47" s="2722"/>
      <c r="S47" s="2722"/>
      <c r="T47" s="2722"/>
      <c r="U47" s="2722"/>
      <c r="V47" s="2722"/>
      <c r="W47" s="2722"/>
      <c r="X47" s="2722"/>
      <c r="Y47" s="2722"/>
      <c r="Z47" s="2722"/>
      <c r="AA47" s="2722"/>
      <c r="AB47" s="2722"/>
      <c r="AC47" s="2722"/>
      <c r="AD47" s="2723"/>
      <c r="AE47" s="2566">
        <f>'FE-1770-III'!AE47</f>
        <v>0</v>
      </c>
      <c r="AF47" s="2566"/>
      <c r="AG47" s="2566"/>
      <c r="AH47" s="2566"/>
      <c r="AI47" s="2566"/>
      <c r="AJ47" s="2566"/>
      <c r="AK47" s="2566"/>
      <c r="AL47" s="2566"/>
      <c r="AM47" s="2566"/>
      <c r="AN47" s="2566"/>
    </row>
    <row r="48" spans="1:40" ht="28.5" customHeight="1">
      <c r="A48" s="102"/>
      <c r="B48" s="1723" t="s">
        <v>20</v>
      </c>
      <c r="C48" s="2724" t="s">
        <v>291</v>
      </c>
      <c r="D48" s="2725"/>
      <c r="E48" s="2725"/>
      <c r="F48" s="2725"/>
      <c r="G48" s="2725"/>
      <c r="H48" s="2725"/>
      <c r="I48" s="2725"/>
      <c r="J48" s="2725"/>
      <c r="K48" s="2725"/>
      <c r="L48" s="2725"/>
      <c r="M48" s="2725"/>
      <c r="N48" s="2725"/>
      <c r="O48" s="2725"/>
      <c r="P48" s="2725"/>
      <c r="Q48" s="2725"/>
      <c r="R48" s="2725"/>
      <c r="S48" s="2725"/>
      <c r="T48" s="2725"/>
      <c r="U48" s="2725"/>
      <c r="V48" s="2725"/>
      <c r="W48" s="2725"/>
      <c r="X48" s="2725"/>
      <c r="Y48" s="2725"/>
      <c r="Z48" s="2725"/>
      <c r="AA48" s="2725"/>
      <c r="AB48" s="2725"/>
      <c r="AC48" s="2725"/>
      <c r="AD48" s="2726"/>
      <c r="AE48" s="2566">
        <f>'FE-1770-III'!AE48</f>
        <v>0</v>
      </c>
      <c r="AF48" s="2566"/>
      <c r="AG48" s="2566"/>
      <c r="AH48" s="2566"/>
      <c r="AI48" s="2566"/>
      <c r="AJ48" s="2566"/>
      <c r="AK48" s="2566"/>
      <c r="AL48" s="2566"/>
      <c r="AM48" s="2566"/>
      <c r="AN48" s="2566"/>
    </row>
    <row r="49" spans="1:57" ht="28.5" customHeight="1">
      <c r="B49" s="1724" t="s">
        <v>21</v>
      </c>
      <c r="C49" s="2724" t="s">
        <v>170</v>
      </c>
      <c r="D49" s="2725"/>
      <c r="E49" s="2725"/>
      <c r="F49" s="2725"/>
      <c r="G49" s="2725"/>
      <c r="H49" s="2725"/>
      <c r="I49" s="2725"/>
      <c r="J49" s="2725"/>
      <c r="K49" s="2725"/>
      <c r="L49" s="2725"/>
      <c r="M49" s="2725"/>
      <c r="N49" s="2725"/>
      <c r="O49" s="2725"/>
      <c r="P49" s="2725"/>
      <c r="Q49" s="2725"/>
      <c r="R49" s="2725"/>
      <c r="S49" s="2725"/>
      <c r="T49" s="2725"/>
      <c r="U49" s="2725"/>
      <c r="V49" s="2725"/>
      <c r="W49" s="2725"/>
      <c r="X49" s="2725"/>
      <c r="Y49" s="2725"/>
      <c r="Z49" s="2725"/>
      <c r="AA49" s="2725"/>
      <c r="AB49" s="2725"/>
      <c r="AC49" s="2725"/>
      <c r="AD49" s="2726"/>
      <c r="AE49" s="2566">
        <f>'FE-1770-III'!AE49</f>
        <v>0</v>
      </c>
      <c r="AF49" s="2566"/>
      <c r="AG49" s="2566"/>
      <c r="AH49" s="2566"/>
      <c r="AI49" s="2566"/>
      <c r="AJ49" s="2566"/>
      <c r="AK49" s="2566"/>
      <c r="AL49" s="2566"/>
      <c r="AM49" s="2566"/>
      <c r="AN49" s="2566"/>
    </row>
    <row r="50" spans="1:57" ht="28.5" customHeight="1">
      <c r="B50" s="1724" t="s">
        <v>22</v>
      </c>
      <c r="C50" s="2724" t="s">
        <v>306</v>
      </c>
      <c r="D50" s="2725"/>
      <c r="E50" s="2725"/>
      <c r="F50" s="2725"/>
      <c r="G50" s="2725"/>
      <c r="H50" s="2725"/>
      <c r="I50" s="2725"/>
      <c r="J50" s="2725"/>
      <c r="K50" s="2725"/>
      <c r="L50" s="2725"/>
      <c r="M50" s="2725"/>
      <c r="N50" s="2725"/>
      <c r="O50" s="2725"/>
      <c r="P50" s="2725"/>
      <c r="Q50" s="2725"/>
      <c r="R50" s="2725"/>
      <c r="S50" s="2725"/>
      <c r="T50" s="2725"/>
      <c r="U50" s="2725"/>
      <c r="V50" s="2725"/>
      <c r="W50" s="2725"/>
      <c r="X50" s="2725"/>
      <c r="Y50" s="2725"/>
      <c r="Z50" s="2725"/>
      <c r="AA50" s="2725"/>
      <c r="AB50" s="2725"/>
      <c r="AC50" s="2725"/>
      <c r="AD50" s="2726"/>
      <c r="AE50" s="2566">
        <f>'FE-1770-III'!AE50</f>
        <v>0</v>
      </c>
      <c r="AF50" s="2566"/>
      <c r="AG50" s="2566"/>
      <c r="AH50" s="2566"/>
      <c r="AI50" s="2566"/>
      <c r="AJ50" s="2566"/>
      <c r="AK50" s="2566"/>
      <c r="AL50" s="2566"/>
      <c r="AM50" s="2566"/>
      <c r="AN50" s="2566"/>
    </row>
    <row r="51" spans="1:57" s="64" customFormat="1" ht="27" customHeight="1">
      <c r="B51" s="1723" t="s">
        <v>24</v>
      </c>
      <c r="C51" s="2724" t="s">
        <v>171</v>
      </c>
      <c r="D51" s="2725"/>
      <c r="E51" s="2725"/>
      <c r="F51" s="2725"/>
      <c r="G51" s="2725"/>
      <c r="H51" s="2725"/>
      <c r="I51" s="2725"/>
      <c r="J51" s="2725"/>
      <c r="K51" s="2725"/>
      <c r="L51" s="2725"/>
      <c r="M51" s="2725"/>
      <c r="N51" s="2725"/>
      <c r="O51" s="2725"/>
      <c r="P51" s="2725"/>
      <c r="Q51" s="2725"/>
      <c r="R51" s="2725"/>
      <c r="S51" s="2725"/>
      <c r="T51" s="2725"/>
      <c r="U51" s="2725"/>
      <c r="V51" s="2725"/>
      <c r="W51" s="2725"/>
      <c r="X51" s="2725"/>
      <c r="Y51" s="2725"/>
      <c r="Z51" s="2725"/>
      <c r="AA51" s="2725"/>
      <c r="AB51" s="2725"/>
      <c r="AC51" s="2725"/>
      <c r="AD51" s="2726"/>
      <c r="AE51" s="2566">
        <f>'FE-1770-III'!AE51</f>
        <v>0</v>
      </c>
      <c r="AF51" s="2566"/>
      <c r="AG51" s="2566"/>
      <c r="AH51" s="2566"/>
      <c r="AI51" s="2566"/>
      <c r="AJ51" s="2566"/>
      <c r="AK51" s="2566"/>
      <c r="AL51" s="2566"/>
      <c r="AM51" s="2566"/>
      <c r="AN51" s="2566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102"/>
      <c r="AZ51" s="102"/>
      <c r="BA51" s="102"/>
      <c r="BB51" s="102"/>
      <c r="BC51" s="102"/>
      <c r="BD51" s="102"/>
      <c r="BE51" s="102"/>
    </row>
    <row r="52" spans="1:57" s="64" customFormat="1" ht="24.75" customHeight="1">
      <c r="B52" s="2816" t="s">
        <v>138</v>
      </c>
      <c r="C52" s="2817"/>
      <c r="D52" s="2817"/>
      <c r="E52" s="2817"/>
      <c r="F52" s="2817"/>
      <c r="G52" s="2817"/>
      <c r="H52" s="2817"/>
      <c r="I52" s="2817"/>
      <c r="J52" s="2817"/>
      <c r="K52" s="2817"/>
      <c r="L52" s="2817"/>
      <c r="M52" s="2817"/>
      <c r="N52" s="2817"/>
      <c r="O52" s="2817"/>
      <c r="P52" s="2817"/>
      <c r="Q52" s="2817"/>
      <c r="R52" s="2817"/>
      <c r="S52" s="2817"/>
      <c r="T52" s="2817"/>
      <c r="U52" s="2817"/>
      <c r="V52" s="2817"/>
      <c r="W52" s="2817"/>
      <c r="X52" s="2817"/>
      <c r="Y52" s="2817"/>
      <c r="Z52" s="2817"/>
      <c r="AA52" s="2817"/>
      <c r="AB52" s="2818"/>
      <c r="AC52" s="2627" t="s">
        <v>139</v>
      </c>
      <c r="AD52" s="2628"/>
      <c r="AE52" s="2629">
        <f>'FE-1770-III'!AE52</f>
        <v>0</v>
      </c>
      <c r="AF52" s="2630"/>
      <c r="AG52" s="2630"/>
      <c r="AH52" s="2630"/>
      <c r="AI52" s="2630"/>
      <c r="AJ52" s="2630"/>
      <c r="AK52" s="2630"/>
      <c r="AL52" s="2630"/>
      <c r="AM52" s="2630"/>
      <c r="AN52" s="2631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102"/>
      <c r="BA52" s="102"/>
      <c r="BB52" s="102"/>
      <c r="BC52" s="102"/>
      <c r="BD52" s="102"/>
      <c r="BE52" s="102"/>
    </row>
    <row r="53" spans="1:57" s="64" customFormat="1" ht="9.9499999999999993" customHeight="1">
      <c r="B53" s="1133"/>
      <c r="C53" s="1133"/>
      <c r="D53" s="1133"/>
      <c r="E53" s="1133"/>
      <c r="F53" s="1133"/>
      <c r="G53" s="1133"/>
      <c r="H53" s="1133"/>
      <c r="I53" s="1133"/>
      <c r="J53" s="1133"/>
      <c r="K53" s="1133"/>
      <c r="L53" s="1133"/>
      <c r="M53" s="1133"/>
      <c r="N53" s="1133"/>
      <c r="O53" s="1133"/>
      <c r="P53" s="1133"/>
      <c r="Q53" s="1133"/>
      <c r="R53" s="1133"/>
      <c r="S53" s="1133"/>
      <c r="T53" s="1133"/>
      <c r="U53" s="1133"/>
      <c r="V53" s="1133"/>
      <c r="W53" s="1133"/>
      <c r="X53" s="1133"/>
      <c r="Y53" s="1133"/>
      <c r="Z53" s="1133"/>
      <c r="AA53" s="1133"/>
      <c r="AB53" s="1133"/>
      <c r="AC53" s="1104"/>
      <c r="AD53" s="1104"/>
      <c r="AE53" s="1138"/>
      <c r="AF53" s="1138"/>
      <c r="AG53" s="1138"/>
      <c r="AH53" s="1138"/>
      <c r="AI53" s="1138"/>
      <c r="AJ53" s="1138"/>
      <c r="AK53" s="1138"/>
      <c r="AL53" s="1138"/>
      <c r="AM53" s="1138"/>
      <c r="AN53" s="1138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102"/>
      <c r="BB53" s="102"/>
      <c r="BC53" s="102"/>
      <c r="BD53" s="102"/>
      <c r="BE53" s="102"/>
    </row>
    <row r="54" spans="1:57" s="64" customFormat="1" ht="6" customHeight="1">
      <c r="B54"/>
      <c r="C54" s="102"/>
      <c r="D54" s="102"/>
      <c r="E54" s="102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102"/>
      <c r="BC54" s="102"/>
      <c r="BD54" s="102"/>
      <c r="BE54" s="102"/>
    </row>
    <row r="55" spans="1:57" ht="16.5" customHeight="1">
      <c r="A55" s="390"/>
      <c r="B55" s="446" t="s">
        <v>140</v>
      </c>
      <c r="C55" s="510"/>
      <c r="D55" s="511"/>
      <c r="E55" s="512"/>
      <c r="F55" s="262" t="s">
        <v>339</v>
      </c>
      <c r="G55" s="104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2"/>
      <c r="V55" s="512"/>
      <c r="W55" s="512"/>
      <c r="X55" s="512"/>
      <c r="Y55" s="512"/>
      <c r="Z55" s="512"/>
      <c r="AA55" s="512"/>
      <c r="AB55" s="513"/>
      <c r="AC55" s="512"/>
      <c r="AD55" s="512"/>
      <c r="AE55" s="1235"/>
      <c r="AF55" s="1235"/>
      <c r="AG55" s="1235"/>
      <c r="AH55" s="1235"/>
      <c r="AI55" s="1235"/>
      <c r="AJ55" s="1235"/>
      <c r="AK55" s="35"/>
      <c r="AL55" s="35"/>
      <c r="AM55" s="35"/>
      <c r="AN55" s="35"/>
    </row>
    <row r="56" spans="1:57" ht="6" customHeight="1">
      <c r="A56" s="390"/>
      <c r="B56" s="446"/>
      <c r="C56" s="510"/>
      <c r="D56" s="511"/>
      <c r="E56" s="512"/>
      <c r="F56" s="262"/>
      <c r="G56" s="512"/>
      <c r="H56" s="512"/>
      <c r="I56" s="512"/>
      <c r="J56" s="512"/>
      <c r="K56" s="512"/>
      <c r="L56" s="512"/>
      <c r="M56" s="512"/>
      <c r="N56" s="512"/>
      <c r="O56" s="512"/>
      <c r="P56" s="512"/>
      <c r="Q56" s="512"/>
      <c r="R56" s="512"/>
      <c r="S56" s="512"/>
      <c r="T56" s="512"/>
      <c r="U56" s="512"/>
      <c r="V56" s="512"/>
      <c r="W56" s="512"/>
      <c r="X56" s="512"/>
      <c r="Y56" s="512"/>
      <c r="Z56" s="512"/>
      <c r="AA56" s="512"/>
      <c r="AB56" s="513"/>
      <c r="AC56" s="512"/>
      <c r="AD56" s="512"/>
      <c r="AE56" s="1235"/>
      <c r="AF56" s="1235"/>
      <c r="AG56" s="1235"/>
      <c r="AH56" s="1235"/>
      <c r="AI56" s="1235"/>
      <c r="AJ56" s="1235"/>
      <c r="AK56" s="35"/>
      <c r="AL56" s="35"/>
      <c r="AM56" s="35"/>
      <c r="AN56" s="35"/>
    </row>
    <row r="57" spans="1:57" ht="10.5" customHeight="1">
      <c r="A57" s="390"/>
      <c r="B57" s="514"/>
      <c r="C57" s="2798" t="s">
        <v>340</v>
      </c>
      <c r="D57" s="2798"/>
      <c r="E57" s="2798"/>
      <c r="F57" s="2798"/>
      <c r="G57" s="2798"/>
      <c r="H57" s="2798"/>
      <c r="I57" s="2798"/>
      <c r="J57" s="2798"/>
      <c r="K57" s="2798"/>
      <c r="L57" s="2798"/>
      <c r="M57" s="2798"/>
      <c r="N57" s="2798"/>
      <c r="O57" s="2798"/>
      <c r="P57" s="2798"/>
      <c r="Q57" s="2798"/>
      <c r="R57" s="2798"/>
      <c r="S57" s="2798"/>
      <c r="T57" s="2798"/>
      <c r="U57" s="2798"/>
      <c r="V57" s="2798"/>
      <c r="W57" s="2798"/>
      <c r="X57" s="2798"/>
      <c r="Y57" s="2798"/>
      <c r="Z57" s="2798"/>
      <c r="AA57" s="2798"/>
      <c r="AB57" s="2798"/>
      <c r="AC57" s="2798"/>
      <c r="AD57" s="2799"/>
      <c r="AE57" s="2804" t="s">
        <v>172</v>
      </c>
      <c r="AF57" s="2805"/>
      <c r="AG57" s="2805"/>
      <c r="AH57" s="2805"/>
      <c r="AI57" s="2805"/>
      <c r="AJ57" s="2805"/>
      <c r="AK57" s="2805"/>
      <c r="AL57" s="2805"/>
      <c r="AM57" s="2805"/>
      <c r="AN57" s="2806"/>
    </row>
    <row r="58" spans="1:57" ht="4.5" customHeight="1">
      <c r="A58" s="390"/>
      <c r="B58" s="515"/>
      <c r="C58" s="2800"/>
      <c r="D58" s="2800"/>
      <c r="E58" s="2800"/>
      <c r="F58" s="2800"/>
      <c r="G58" s="2800"/>
      <c r="H58" s="2800"/>
      <c r="I58" s="2800"/>
      <c r="J58" s="2800"/>
      <c r="K58" s="2800"/>
      <c r="L58" s="2800"/>
      <c r="M58" s="2800"/>
      <c r="N58" s="2800"/>
      <c r="O58" s="2800"/>
      <c r="P58" s="2800"/>
      <c r="Q58" s="2800"/>
      <c r="R58" s="2800"/>
      <c r="S58" s="2800"/>
      <c r="T58" s="2800"/>
      <c r="U58" s="2800"/>
      <c r="V58" s="2800"/>
      <c r="W58" s="2800"/>
      <c r="X58" s="2800"/>
      <c r="Y58" s="2800"/>
      <c r="Z58" s="2800"/>
      <c r="AA58" s="2800"/>
      <c r="AB58" s="2800"/>
      <c r="AC58" s="2800"/>
      <c r="AD58" s="2801"/>
      <c r="AE58" s="2807"/>
      <c r="AF58" s="2808"/>
      <c r="AG58" s="2808"/>
      <c r="AH58" s="2808"/>
      <c r="AI58" s="2808"/>
      <c r="AJ58" s="2808"/>
      <c r="AK58" s="2808"/>
      <c r="AL58" s="2808"/>
      <c r="AM58" s="2808"/>
      <c r="AN58" s="2809"/>
    </row>
    <row r="59" spans="1:57" ht="23.25" customHeight="1">
      <c r="A59" s="390"/>
      <c r="B59" s="516"/>
      <c r="C59" s="2800"/>
      <c r="D59" s="2800"/>
      <c r="E59" s="2800"/>
      <c r="F59" s="2800"/>
      <c r="G59" s="2800"/>
      <c r="H59" s="2800"/>
      <c r="I59" s="2800"/>
      <c r="J59" s="2800"/>
      <c r="K59" s="2800"/>
      <c r="L59" s="2800"/>
      <c r="M59" s="2800"/>
      <c r="N59" s="2800"/>
      <c r="O59" s="2800"/>
      <c r="P59" s="2800"/>
      <c r="Q59" s="2800"/>
      <c r="R59" s="2800"/>
      <c r="S59" s="2800"/>
      <c r="T59" s="2800"/>
      <c r="U59" s="2800"/>
      <c r="V59" s="2800"/>
      <c r="W59" s="2800"/>
      <c r="X59" s="2800"/>
      <c r="Y59" s="2800"/>
      <c r="Z59" s="2800"/>
      <c r="AA59" s="2800"/>
      <c r="AB59" s="2800"/>
      <c r="AC59" s="2800"/>
      <c r="AD59" s="2801"/>
      <c r="AE59" s="2810">
        <f>'FE-1770-III'!AE59</f>
        <v>0</v>
      </c>
      <c r="AF59" s="2811"/>
      <c r="AG59" s="2811"/>
      <c r="AH59" s="2811"/>
      <c r="AI59" s="2811"/>
      <c r="AJ59" s="2811"/>
      <c r="AK59" s="2811"/>
      <c r="AL59" s="2811"/>
      <c r="AM59" s="2811"/>
      <c r="AN59" s="2812"/>
    </row>
    <row r="60" spans="1:57" ht="7.5" customHeight="1">
      <c r="A60" s="517"/>
      <c r="B60" s="518"/>
      <c r="C60" s="2802"/>
      <c r="D60" s="2802"/>
      <c r="E60" s="2802"/>
      <c r="F60" s="2802"/>
      <c r="G60" s="2802"/>
      <c r="H60" s="2802"/>
      <c r="I60" s="2802"/>
      <c r="J60" s="2802"/>
      <c r="K60" s="2802"/>
      <c r="L60" s="2802"/>
      <c r="M60" s="2802"/>
      <c r="N60" s="2802"/>
      <c r="O60" s="2802"/>
      <c r="P60" s="2802"/>
      <c r="Q60" s="2802"/>
      <c r="R60" s="2802"/>
      <c r="S60" s="2802"/>
      <c r="T60" s="2802"/>
      <c r="U60" s="2802"/>
      <c r="V60" s="2802"/>
      <c r="W60" s="2802"/>
      <c r="X60" s="2802"/>
      <c r="Y60" s="2802"/>
      <c r="Z60" s="2802"/>
      <c r="AA60" s="2802"/>
      <c r="AB60" s="2802"/>
      <c r="AC60" s="2802"/>
      <c r="AD60" s="2803"/>
      <c r="AE60" s="2813"/>
      <c r="AF60" s="2814"/>
      <c r="AG60" s="2814"/>
      <c r="AH60" s="2814"/>
      <c r="AI60" s="2814"/>
      <c r="AJ60" s="2814"/>
      <c r="AK60" s="2814"/>
      <c r="AL60" s="2814"/>
      <c r="AM60" s="2814"/>
      <c r="AN60" s="2815"/>
    </row>
    <row r="61" spans="1:57" ht="12.95" customHeight="1">
      <c r="A61" s="160"/>
      <c r="B61" s="64"/>
      <c r="C61" s="65"/>
      <c r="D61" s="172"/>
      <c r="E61" s="1235"/>
      <c r="F61" s="64"/>
      <c r="G61" s="196"/>
      <c r="H61" s="137"/>
      <c r="I61" s="137"/>
      <c r="J61" s="137"/>
      <c r="K61" s="137"/>
      <c r="L61" s="137"/>
      <c r="M61" s="137"/>
      <c r="N61" s="137"/>
      <c r="O61" s="137"/>
      <c r="P61" s="137"/>
      <c r="Q61" s="137"/>
      <c r="R61" s="137"/>
      <c r="S61" s="137"/>
      <c r="T61" s="137"/>
      <c r="U61" s="1235"/>
      <c r="V61" s="1235"/>
      <c r="W61" s="1235"/>
      <c r="X61" s="1235"/>
      <c r="Y61" s="1235"/>
      <c r="Z61" s="1235"/>
      <c r="AA61" s="1235"/>
      <c r="AB61" s="137"/>
      <c r="AC61" s="1235"/>
      <c r="AD61" s="1235"/>
      <c r="AE61" s="1138"/>
      <c r="AF61" s="1138"/>
      <c r="AG61" s="1138"/>
      <c r="AH61" s="1138"/>
      <c r="AI61" s="1138"/>
      <c r="AJ61" s="1138"/>
      <c r="AK61" s="1138"/>
      <c r="AL61" s="1138"/>
      <c r="AM61" s="1138"/>
      <c r="AN61" s="1138"/>
    </row>
    <row r="62" spans="1:57" s="64" customFormat="1" ht="15" customHeight="1">
      <c r="B62" s="380"/>
      <c r="C62" s="380"/>
      <c r="D62" s="380"/>
      <c r="E62" s="102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</row>
    <row r="63" spans="1:57" s="64" customFormat="1" ht="12.75" customHeight="1">
      <c r="A63" s="103"/>
      <c r="B63" s="104"/>
      <c r="C63" s="102"/>
      <c r="D63" s="102"/>
      <c r="E63" s="102"/>
      <c r="F63" s="102"/>
      <c r="G63" s="102"/>
      <c r="H63" s="102"/>
      <c r="I63" s="102"/>
      <c r="J63" s="102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F63" s="102"/>
      <c r="AG63" s="102"/>
      <c r="AH63" s="102"/>
      <c r="AI63" s="102"/>
      <c r="AJ63" s="102"/>
      <c r="AK63" s="102"/>
      <c r="AL63" s="102"/>
      <c r="AM63" s="102"/>
      <c r="AN63" s="165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</row>
    <row r="64" spans="1:57" s="64" customFormat="1" ht="15" customHeight="1"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</row>
    <row r="65" spans="2:57" s="64" customFormat="1" ht="15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</row>
    <row r="66" spans="2:57" s="64" customFormat="1" ht="1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</row>
    <row r="67" spans="2:57" s="64" customFormat="1" ht="1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X67" s="102"/>
      <c r="AY67" s="102"/>
      <c r="AZ67" s="102"/>
      <c r="BA67" s="102"/>
      <c r="BB67" s="102"/>
      <c r="BC67" s="102"/>
      <c r="BD67" s="102"/>
      <c r="BE67" s="102"/>
    </row>
    <row r="68" spans="2:57" s="64" customFormat="1" ht="1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X68" s="102"/>
      <c r="AY68" s="102"/>
      <c r="AZ68" s="102"/>
      <c r="BA68" s="102"/>
      <c r="BB68" s="102"/>
      <c r="BC68" s="102"/>
      <c r="BD68" s="102"/>
      <c r="BE68" s="102"/>
    </row>
    <row r="69" spans="2:57" s="64" customFormat="1" ht="1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X69" s="102"/>
      <c r="AY69" s="102"/>
      <c r="AZ69" s="102"/>
      <c r="BA69" s="102"/>
      <c r="BB69" s="102"/>
      <c r="BC69" s="102"/>
      <c r="BD69" s="102"/>
      <c r="BE69" s="102"/>
    </row>
    <row r="70" spans="2:57" s="64" customFormat="1" ht="15" customHeight="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X70" s="102"/>
      <c r="AY70" s="102"/>
      <c r="AZ70" s="102"/>
      <c r="BA70" s="102"/>
      <c r="BB70" s="102"/>
      <c r="BC70" s="102"/>
      <c r="BD70" s="102"/>
      <c r="BE70" s="102"/>
    </row>
    <row r="71" spans="2:57" s="64" customFormat="1" ht="15" customHeight="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X71" s="102"/>
      <c r="AY71" s="102"/>
      <c r="AZ71" s="102"/>
      <c r="BA71" s="102"/>
      <c r="BB71" s="102"/>
      <c r="BC71" s="102"/>
      <c r="BD71" s="102"/>
      <c r="BE71" s="102"/>
    </row>
    <row r="72" spans="2:57" s="64" customFormat="1" ht="15" customHeight="1"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X72" s="102"/>
      <c r="AY72" s="102"/>
      <c r="AZ72" s="102"/>
      <c r="BA72" s="102"/>
      <c r="BB72" s="102"/>
      <c r="BC72" s="102"/>
      <c r="BD72" s="102"/>
      <c r="BE72" s="102"/>
    </row>
    <row r="73" spans="2:57" s="64" customFormat="1" ht="15" customHeight="1"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X73" s="102"/>
      <c r="AY73" s="102"/>
      <c r="AZ73" s="102"/>
      <c r="BA73" s="102"/>
      <c r="BB73" s="102"/>
      <c r="BC73" s="102"/>
      <c r="BD73" s="102"/>
      <c r="BE73" s="102"/>
    </row>
    <row r="74" spans="2:57" s="64" customFormat="1" ht="15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X74" s="102"/>
      <c r="AY74" s="102"/>
      <c r="AZ74" s="102"/>
      <c r="BA74" s="102"/>
      <c r="BB74" s="102"/>
      <c r="BC74" s="102"/>
      <c r="BD74" s="102"/>
      <c r="BE74" s="102"/>
    </row>
    <row r="75" spans="2:57" s="64" customFormat="1" ht="1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X75" s="102"/>
      <c r="AY75" s="102"/>
      <c r="AZ75" s="102"/>
      <c r="BA75" s="102"/>
      <c r="BB75" s="102"/>
      <c r="BC75" s="102"/>
      <c r="BD75" s="102"/>
      <c r="BE75" s="102"/>
    </row>
    <row r="76" spans="2:57" s="64" customFormat="1" ht="1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X76" s="102"/>
      <c r="AY76" s="102"/>
      <c r="AZ76" s="102"/>
      <c r="BA76" s="102"/>
      <c r="BB76" s="102"/>
      <c r="BC76" s="102"/>
      <c r="BD76" s="102"/>
      <c r="BE76" s="102"/>
    </row>
    <row r="77" spans="2:57" s="64" customFormat="1" ht="1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X77" s="102"/>
      <c r="AY77" s="102"/>
      <c r="AZ77" s="102"/>
      <c r="BA77" s="102"/>
      <c r="BB77" s="102"/>
      <c r="BC77" s="102"/>
      <c r="BD77" s="102"/>
      <c r="BE77" s="102"/>
    </row>
    <row r="78" spans="2:57" s="64" customFormat="1" ht="1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X78" s="102"/>
      <c r="AY78" s="102"/>
      <c r="AZ78" s="102"/>
      <c r="BA78" s="102"/>
      <c r="BB78" s="102"/>
      <c r="BC78" s="102"/>
      <c r="BD78" s="102"/>
      <c r="BE78" s="102"/>
    </row>
    <row r="79" spans="2:57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</row>
    <row r="80" spans="2:57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  <c r="BE80" s="102"/>
    </row>
    <row r="81" spans="2:57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X81" s="102"/>
      <c r="AY81" s="102"/>
      <c r="AZ81" s="102"/>
      <c r="BA81" s="102"/>
      <c r="BB81" s="102"/>
      <c r="BC81" s="102"/>
      <c r="BD81" s="102"/>
      <c r="BE81" s="102"/>
    </row>
    <row r="82" spans="2:57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X82" s="102"/>
      <c r="AY82" s="102"/>
      <c r="AZ82" s="102"/>
      <c r="BA82" s="102"/>
      <c r="BB82" s="102"/>
      <c r="BC82" s="102"/>
      <c r="BD82" s="102"/>
      <c r="BE82" s="102"/>
    </row>
    <row r="83" spans="2:57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X83" s="102"/>
      <c r="AY83" s="102"/>
      <c r="AZ83" s="102"/>
      <c r="BA83" s="102"/>
      <c r="BB83" s="102"/>
      <c r="BC83" s="102"/>
      <c r="BD83" s="102"/>
      <c r="BE83" s="102"/>
    </row>
    <row r="84" spans="2:57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X84" s="102"/>
      <c r="AY84" s="102"/>
      <c r="AZ84" s="102"/>
      <c r="BA84" s="102"/>
      <c r="BB84" s="102"/>
      <c r="BC84" s="102"/>
      <c r="BD84" s="102"/>
      <c r="BE84" s="102"/>
    </row>
    <row r="85" spans="2:57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X85" s="102"/>
      <c r="AY85" s="102"/>
      <c r="AZ85" s="102"/>
      <c r="BA85" s="102"/>
      <c r="BB85" s="102"/>
      <c r="BC85" s="102"/>
      <c r="BD85" s="102"/>
      <c r="BE85" s="102"/>
    </row>
    <row r="86" spans="2:57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</row>
    <row r="87" spans="2:57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X87" s="102"/>
      <c r="AY87" s="102"/>
      <c r="AZ87" s="102"/>
      <c r="BA87" s="102"/>
      <c r="BB87" s="102"/>
      <c r="BC87" s="102"/>
      <c r="BD87" s="102"/>
      <c r="BE87" s="102"/>
    </row>
    <row r="88" spans="2:57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X88" s="102"/>
      <c r="AY88" s="102"/>
      <c r="AZ88" s="102"/>
      <c r="BA88" s="102"/>
      <c r="BB88" s="102"/>
      <c r="BC88" s="102"/>
      <c r="BD88" s="102"/>
      <c r="BE88" s="102"/>
    </row>
    <row r="89" spans="2:57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X89" s="102"/>
      <c r="AY89" s="102"/>
      <c r="AZ89" s="102"/>
      <c r="BA89" s="102"/>
      <c r="BB89" s="102"/>
      <c r="BC89" s="102"/>
      <c r="BD89" s="102"/>
      <c r="BE89" s="102"/>
    </row>
    <row r="90" spans="2:57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X90" s="102"/>
      <c r="AY90" s="102"/>
      <c r="AZ90" s="102"/>
      <c r="BA90" s="102"/>
      <c r="BB90" s="102"/>
      <c r="BC90" s="102"/>
      <c r="BD90" s="102"/>
      <c r="BE90" s="102"/>
    </row>
    <row r="91" spans="2:57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X91" s="102"/>
      <c r="AY91" s="102"/>
      <c r="AZ91" s="102"/>
      <c r="BA91" s="102"/>
      <c r="BB91" s="102"/>
      <c r="BC91" s="102"/>
      <c r="BD91" s="102"/>
      <c r="BE91" s="102"/>
    </row>
    <row r="92" spans="2:57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X92" s="102"/>
      <c r="AY92" s="102"/>
      <c r="AZ92" s="102"/>
      <c r="BA92" s="102"/>
      <c r="BB92" s="102"/>
      <c r="BC92" s="102"/>
      <c r="BD92" s="102"/>
      <c r="BE92" s="102"/>
    </row>
    <row r="93" spans="2:57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X93" s="102"/>
      <c r="AY93" s="102"/>
      <c r="AZ93" s="102"/>
      <c r="BA93" s="102"/>
      <c r="BB93" s="102"/>
      <c r="BC93" s="102"/>
      <c r="BD93" s="102"/>
      <c r="BE93" s="102"/>
    </row>
    <row r="94" spans="2:57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X94" s="102"/>
      <c r="AY94" s="102"/>
      <c r="AZ94" s="102"/>
      <c r="BA94" s="102"/>
      <c r="BB94" s="102"/>
      <c r="BC94" s="102"/>
      <c r="BD94" s="102"/>
      <c r="BE94" s="102"/>
    </row>
    <row r="95" spans="2:57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X95" s="102"/>
      <c r="AY95" s="102"/>
      <c r="AZ95" s="102"/>
      <c r="BA95" s="102"/>
      <c r="BB95" s="102"/>
      <c r="BC95" s="102"/>
      <c r="BD95" s="102"/>
      <c r="BE95" s="102"/>
    </row>
    <row r="96" spans="2:57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X96" s="102"/>
      <c r="AY96" s="102"/>
      <c r="AZ96" s="102"/>
      <c r="BA96" s="102"/>
      <c r="BB96" s="102"/>
      <c r="BC96" s="102"/>
      <c r="BD96" s="102"/>
      <c r="BE96" s="102"/>
    </row>
    <row r="97" spans="2:57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X97" s="102"/>
      <c r="AY97" s="102"/>
      <c r="AZ97" s="102"/>
      <c r="BA97" s="102"/>
      <c r="BB97" s="102"/>
      <c r="BC97" s="102"/>
      <c r="BD97" s="102"/>
      <c r="BE97" s="102"/>
    </row>
    <row r="98" spans="2:57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X98" s="102"/>
      <c r="AY98" s="102"/>
      <c r="AZ98" s="102"/>
      <c r="BA98" s="102"/>
      <c r="BB98" s="102"/>
      <c r="BC98" s="102"/>
      <c r="BD98" s="102"/>
      <c r="BE98" s="102"/>
    </row>
    <row r="99" spans="2:57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X99" s="102"/>
      <c r="AY99" s="102"/>
      <c r="AZ99" s="102"/>
      <c r="BA99" s="102"/>
      <c r="BB99" s="102"/>
      <c r="BC99" s="102"/>
      <c r="BD99" s="102"/>
      <c r="BE99" s="102"/>
    </row>
    <row r="100" spans="2:57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X100" s="102"/>
      <c r="AY100" s="102"/>
      <c r="AZ100" s="102"/>
      <c r="BA100" s="102"/>
      <c r="BB100" s="102"/>
      <c r="BC100" s="102"/>
      <c r="BD100" s="102"/>
      <c r="BE100" s="102"/>
    </row>
    <row r="101" spans="2:57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X101" s="102"/>
      <c r="AY101" s="102"/>
      <c r="AZ101" s="102"/>
      <c r="BA101" s="102"/>
      <c r="BB101" s="102"/>
      <c r="BC101" s="102"/>
      <c r="BD101" s="102"/>
      <c r="BE101" s="102"/>
    </row>
    <row r="102" spans="2:57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X102" s="102"/>
      <c r="AY102" s="102"/>
      <c r="AZ102" s="102"/>
      <c r="BA102" s="102"/>
      <c r="BB102" s="102"/>
      <c r="BC102" s="102"/>
      <c r="BD102" s="102"/>
      <c r="BE102" s="102"/>
    </row>
    <row r="103" spans="2:57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X103" s="102"/>
      <c r="AY103" s="102"/>
      <c r="AZ103" s="102"/>
      <c r="BA103" s="102"/>
      <c r="BB103" s="102"/>
      <c r="BC103" s="102"/>
      <c r="BD103" s="102"/>
      <c r="BE103" s="102"/>
    </row>
    <row r="104" spans="2:57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X104" s="102"/>
      <c r="AY104" s="102"/>
      <c r="AZ104" s="102"/>
      <c r="BA104" s="102"/>
      <c r="BB104" s="102"/>
      <c r="BC104" s="102"/>
      <c r="BD104" s="102"/>
      <c r="BE104" s="102"/>
    </row>
    <row r="105" spans="2:57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X105" s="102"/>
      <c r="AY105" s="102"/>
      <c r="AZ105" s="102"/>
      <c r="BA105" s="102"/>
      <c r="BB105" s="102"/>
      <c r="BC105" s="102"/>
      <c r="BD105" s="102"/>
      <c r="BE105" s="102"/>
    </row>
    <row r="106" spans="2:57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X106" s="102"/>
      <c r="AY106" s="102"/>
      <c r="AZ106" s="102"/>
      <c r="BA106" s="102"/>
      <c r="BB106" s="102"/>
      <c r="BC106" s="102"/>
      <c r="BD106" s="102"/>
      <c r="BE106" s="102"/>
    </row>
    <row r="107" spans="2:57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X107" s="102"/>
      <c r="AY107" s="102"/>
      <c r="AZ107" s="102"/>
      <c r="BA107" s="102"/>
      <c r="BB107" s="102"/>
      <c r="BC107" s="102"/>
      <c r="BD107" s="102"/>
      <c r="BE107" s="102"/>
    </row>
    <row r="108" spans="2:57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X108" s="102"/>
      <c r="AY108" s="102"/>
      <c r="AZ108" s="102"/>
      <c r="BA108" s="102"/>
      <c r="BB108" s="102"/>
      <c r="BC108" s="102"/>
      <c r="BD108" s="102"/>
      <c r="BE108" s="102"/>
    </row>
    <row r="109" spans="2:57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X109" s="102"/>
      <c r="AY109" s="102"/>
      <c r="AZ109" s="102"/>
      <c r="BA109" s="102"/>
      <c r="BB109" s="102"/>
      <c r="BC109" s="102"/>
      <c r="BD109" s="102"/>
      <c r="BE109" s="102"/>
    </row>
    <row r="110" spans="2:57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X110" s="102"/>
      <c r="AY110" s="102"/>
      <c r="AZ110" s="102"/>
      <c r="BA110" s="102"/>
      <c r="BB110" s="102"/>
      <c r="BC110" s="102"/>
      <c r="BD110" s="102"/>
      <c r="BE110" s="102"/>
    </row>
    <row r="111" spans="2:57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X111" s="102"/>
      <c r="AY111" s="102"/>
      <c r="AZ111" s="102"/>
      <c r="BA111" s="102"/>
      <c r="BB111" s="102"/>
      <c r="BC111" s="102"/>
      <c r="BD111" s="102"/>
      <c r="BE111" s="102"/>
    </row>
    <row r="112" spans="2:57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X112" s="102"/>
      <c r="AY112" s="102"/>
      <c r="AZ112" s="102"/>
      <c r="BA112" s="102"/>
      <c r="BB112" s="102"/>
      <c r="BC112" s="102"/>
      <c r="BD112" s="102"/>
      <c r="BE112" s="102"/>
    </row>
    <row r="113" spans="2:57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X113" s="102"/>
      <c r="AY113" s="102"/>
      <c r="AZ113" s="102"/>
      <c r="BA113" s="102"/>
      <c r="BB113" s="102"/>
      <c r="BC113" s="102"/>
      <c r="BD113" s="102"/>
      <c r="BE113" s="102"/>
    </row>
    <row r="114" spans="2:57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X114" s="102"/>
      <c r="AY114" s="102"/>
      <c r="AZ114" s="102"/>
      <c r="BA114" s="102"/>
      <c r="BB114" s="102"/>
      <c r="BC114" s="102"/>
      <c r="BD114" s="102"/>
      <c r="BE114" s="102"/>
    </row>
    <row r="115" spans="2:57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X115" s="102"/>
      <c r="AY115" s="102"/>
      <c r="AZ115" s="102"/>
      <c r="BA115" s="102"/>
      <c r="BB115" s="102"/>
      <c r="BC115" s="102"/>
      <c r="BD115" s="102"/>
      <c r="BE115" s="102"/>
    </row>
    <row r="116" spans="2:57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X116" s="102"/>
      <c r="AY116" s="102"/>
      <c r="AZ116" s="102"/>
      <c r="BA116" s="102"/>
      <c r="BB116" s="102"/>
      <c r="BC116" s="102"/>
      <c r="BD116" s="102"/>
      <c r="BE116" s="102"/>
    </row>
    <row r="117" spans="2:57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X117" s="102"/>
      <c r="AY117" s="102"/>
      <c r="AZ117" s="102"/>
      <c r="BA117" s="102"/>
      <c r="BB117" s="102"/>
      <c r="BC117" s="102"/>
      <c r="BD117" s="102"/>
      <c r="BE117" s="102"/>
    </row>
    <row r="118" spans="2:57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X118" s="102"/>
      <c r="AY118" s="102"/>
      <c r="AZ118" s="102"/>
      <c r="BA118" s="102"/>
      <c r="BB118" s="102"/>
      <c r="BC118" s="102"/>
      <c r="BD118" s="102"/>
      <c r="BE118" s="102"/>
    </row>
    <row r="119" spans="2:57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X119" s="102"/>
      <c r="AY119" s="102"/>
      <c r="AZ119" s="102"/>
      <c r="BA119" s="102"/>
      <c r="BB119" s="102"/>
      <c r="BC119" s="102"/>
      <c r="BD119" s="102"/>
      <c r="BE119" s="102"/>
    </row>
    <row r="120" spans="2:57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X120" s="102"/>
      <c r="AY120" s="102"/>
      <c r="AZ120" s="102"/>
      <c r="BA120" s="102"/>
      <c r="BB120" s="102"/>
      <c r="BC120" s="102"/>
      <c r="BD120" s="102"/>
      <c r="BE120" s="102"/>
    </row>
    <row r="121" spans="2:57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X121" s="102"/>
      <c r="AY121" s="102"/>
      <c r="AZ121" s="102"/>
      <c r="BA121" s="102"/>
      <c r="BB121" s="102"/>
      <c r="BC121" s="102"/>
      <c r="BD121" s="102"/>
      <c r="BE121" s="102"/>
    </row>
    <row r="122" spans="2:57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</row>
    <row r="123" spans="2:57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102"/>
      <c r="AY123" s="102"/>
      <c r="AZ123" s="102"/>
      <c r="BA123" s="102"/>
      <c r="BB123" s="102"/>
      <c r="BC123" s="102"/>
      <c r="BD123" s="102"/>
      <c r="BE123" s="102"/>
    </row>
    <row r="124" spans="2:57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102"/>
      <c r="AZ124" s="102"/>
      <c r="BA124" s="102"/>
      <c r="BB124" s="102"/>
      <c r="BC124" s="102"/>
      <c r="BD124" s="102"/>
      <c r="BE124" s="102"/>
    </row>
    <row r="125" spans="2:57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102"/>
      <c r="BA125" s="102"/>
      <c r="BB125" s="102"/>
      <c r="BC125" s="102"/>
      <c r="BD125" s="102"/>
      <c r="BE125" s="102"/>
    </row>
    <row r="126" spans="2:57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102"/>
      <c r="BB126" s="102"/>
      <c r="BC126" s="102"/>
      <c r="BD126" s="102"/>
      <c r="BE126" s="102"/>
    </row>
    <row r="127" spans="2:57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102"/>
      <c r="BC127" s="102"/>
      <c r="BD127" s="102"/>
      <c r="BE127" s="102"/>
    </row>
    <row r="128" spans="2:57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102"/>
      <c r="BD128" s="102"/>
      <c r="BE128" s="102"/>
    </row>
    <row r="129" spans="2:57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102"/>
      <c r="BE129" s="102"/>
    </row>
    <row r="130" spans="2:57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102"/>
    </row>
    <row r="131" spans="2:57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</row>
    <row r="132" spans="2:57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</row>
    <row r="133" spans="2:57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</row>
    <row r="134" spans="2:57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</row>
    <row r="135" spans="2:57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</row>
    <row r="136" spans="2:57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</row>
    <row r="137" spans="2:57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</row>
    <row r="138" spans="2:57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</row>
    <row r="139" spans="2:57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</row>
    <row r="140" spans="2:57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X140" s="102"/>
      <c r="AY140" s="102"/>
      <c r="AZ140" s="102"/>
      <c r="BA140" s="102"/>
      <c r="BB140" s="102"/>
      <c r="BC140" s="102"/>
      <c r="BD140" s="102"/>
      <c r="BE140" s="102"/>
    </row>
    <row r="141" spans="2:57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X141" s="102"/>
      <c r="AY141" s="102"/>
      <c r="AZ141" s="102"/>
      <c r="BA141" s="102"/>
      <c r="BB141" s="102"/>
      <c r="BC141" s="102"/>
      <c r="BD141" s="102"/>
      <c r="BE141" s="102"/>
    </row>
    <row r="142" spans="2:57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X142" s="102"/>
      <c r="AY142" s="102"/>
      <c r="AZ142" s="102"/>
      <c r="BA142" s="102"/>
      <c r="BB142" s="102"/>
      <c r="BC142" s="102"/>
      <c r="BD142" s="102"/>
      <c r="BE142" s="102"/>
    </row>
    <row r="143" spans="2:57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X143" s="102"/>
      <c r="AY143" s="102"/>
      <c r="AZ143" s="102"/>
      <c r="BA143" s="102"/>
      <c r="BB143" s="102"/>
      <c r="BC143" s="102"/>
      <c r="BD143" s="102"/>
      <c r="BE143" s="102"/>
    </row>
    <row r="144" spans="2:57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X144" s="102"/>
      <c r="AY144" s="102"/>
      <c r="AZ144" s="102"/>
      <c r="BA144" s="102"/>
      <c r="BB144" s="102"/>
      <c r="BC144" s="102"/>
      <c r="BD144" s="102"/>
      <c r="BE144" s="102"/>
    </row>
    <row r="145" spans="2:57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X145" s="102"/>
      <c r="AY145" s="102"/>
      <c r="AZ145" s="102"/>
      <c r="BA145" s="102"/>
      <c r="BB145" s="102"/>
      <c r="BC145" s="102"/>
      <c r="BD145" s="102"/>
      <c r="BE145" s="102"/>
    </row>
    <row r="146" spans="2:57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X146" s="102"/>
      <c r="AY146" s="102"/>
      <c r="AZ146" s="102"/>
      <c r="BA146" s="102"/>
      <c r="BB146" s="102"/>
      <c r="BC146" s="102"/>
      <c r="BD146" s="102"/>
      <c r="BE146" s="102"/>
    </row>
    <row r="147" spans="2:57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X147" s="102"/>
      <c r="AY147" s="102"/>
      <c r="AZ147" s="102"/>
      <c r="BA147" s="102"/>
      <c r="BB147" s="102"/>
      <c r="BC147" s="102"/>
      <c r="BD147" s="102"/>
      <c r="BE147" s="102"/>
    </row>
    <row r="148" spans="2:57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X148" s="102"/>
      <c r="AY148" s="102"/>
      <c r="AZ148" s="102"/>
      <c r="BA148" s="102"/>
      <c r="BB148" s="102"/>
      <c r="BC148" s="102"/>
      <c r="BD148" s="102"/>
      <c r="BE148" s="102"/>
    </row>
    <row r="149" spans="2:57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X149" s="102"/>
      <c r="AY149" s="102"/>
      <c r="AZ149" s="102"/>
      <c r="BA149" s="102"/>
      <c r="BB149" s="102"/>
      <c r="BC149" s="102"/>
      <c r="BD149" s="102"/>
      <c r="BE149" s="102"/>
    </row>
    <row r="150" spans="2:57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X150" s="102"/>
      <c r="AY150" s="102"/>
      <c r="AZ150" s="102"/>
      <c r="BA150" s="102"/>
      <c r="BB150" s="102"/>
      <c r="BC150" s="102"/>
      <c r="BD150" s="102"/>
      <c r="BE150" s="102"/>
    </row>
    <row r="151" spans="2:57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X151" s="102"/>
      <c r="AY151" s="102"/>
      <c r="AZ151" s="102"/>
      <c r="BA151" s="102"/>
      <c r="BB151" s="102"/>
      <c r="BC151" s="102"/>
      <c r="BD151" s="102"/>
      <c r="BE151" s="102"/>
    </row>
    <row r="152" spans="2:57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X152" s="102"/>
      <c r="AY152" s="102"/>
      <c r="AZ152" s="102"/>
      <c r="BA152" s="102"/>
      <c r="BB152" s="102"/>
      <c r="BC152" s="102"/>
      <c r="BD152" s="102"/>
      <c r="BE152" s="102"/>
    </row>
    <row r="153" spans="2:57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X153" s="102"/>
      <c r="AY153" s="102"/>
      <c r="AZ153" s="102"/>
      <c r="BA153" s="102"/>
      <c r="BB153" s="102"/>
      <c r="BC153" s="102"/>
      <c r="BD153" s="102"/>
      <c r="BE153" s="102"/>
    </row>
    <row r="154" spans="2:57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X154" s="102"/>
      <c r="AY154" s="102"/>
      <c r="AZ154" s="102"/>
      <c r="BA154" s="102"/>
      <c r="BB154" s="102"/>
      <c r="BC154" s="102"/>
      <c r="BD154" s="102"/>
      <c r="BE154" s="102"/>
    </row>
    <row r="155" spans="2:57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X155" s="102"/>
      <c r="AY155" s="102"/>
      <c r="AZ155" s="102"/>
      <c r="BA155" s="102"/>
      <c r="BB155" s="102"/>
      <c r="BC155" s="102"/>
      <c r="BD155" s="102"/>
      <c r="BE155" s="102"/>
    </row>
    <row r="156" spans="2:57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X156" s="102"/>
      <c r="AY156" s="102"/>
      <c r="AZ156" s="102"/>
      <c r="BA156" s="102"/>
      <c r="BB156" s="102"/>
      <c r="BC156" s="102"/>
      <c r="BD156" s="102"/>
      <c r="BE156" s="102"/>
    </row>
    <row r="157" spans="2:57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X157" s="102"/>
      <c r="AY157" s="102"/>
      <c r="AZ157" s="102"/>
      <c r="BA157" s="102"/>
      <c r="BB157" s="102"/>
      <c r="BC157" s="102"/>
      <c r="BD157" s="102"/>
      <c r="BE157" s="102"/>
    </row>
    <row r="158" spans="2:57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  <c r="BE158" s="102"/>
    </row>
    <row r="159" spans="2:57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X159" s="102"/>
      <c r="AY159" s="102"/>
      <c r="AZ159" s="102"/>
      <c r="BA159" s="102"/>
      <c r="BB159" s="102"/>
      <c r="BC159" s="102"/>
      <c r="BD159" s="102"/>
      <c r="BE159" s="102"/>
    </row>
    <row r="160" spans="2:57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X160" s="102"/>
      <c r="AY160" s="102"/>
      <c r="AZ160" s="102"/>
      <c r="BA160" s="102"/>
      <c r="BB160" s="102"/>
      <c r="BC160" s="102"/>
      <c r="BD160" s="102"/>
      <c r="BE160" s="102"/>
    </row>
    <row r="161" spans="2:57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X161" s="102"/>
      <c r="AY161" s="102"/>
      <c r="AZ161" s="102"/>
      <c r="BA161" s="102"/>
      <c r="BB161" s="102"/>
      <c r="BC161" s="102"/>
      <c r="BD161" s="102"/>
      <c r="BE161" s="102"/>
    </row>
    <row r="162" spans="2:57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X162" s="102"/>
      <c r="AY162" s="102"/>
      <c r="AZ162" s="102"/>
      <c r="BA162" s="102"/>
      <c r="BB162" s="102"/>
      <c r="BC162" s="102"/>
      <c r="BD162" s="102"/>
      <c r="BE162" s="102"/>
    </row>
    <row r="163" spans="2:57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X163" s="102"/>
      <c r="AY163" s="102"/>
      <c r="AZ163" s="102"/>
      <c r="BA163" s="102"/>
      <c r="BB163" s="102"/>
      <c r="BC163" s="102"/>
      <c r="BD163" s="102"/>
      <c r="BE163" s="102"/>
    </row>
    <row r="164" spans="2:57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X164" s="102"/>
      <c r="AY164" s="102"/>
      <c r="AZ164" s="102"/>
      <c r="BA164" s="102"/>
      <c r="BB164" s="102"/>
      <c r="BC164" s="102"/>
      <c r="BD164" s="102"/>
      <c r="BE164" s="102"/>
    </row>
    <row r="165" spans="2:57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X165" s="102"/>
      <c r="AY165" s="102"/>
      <c r="AZ165" s="102"/>
      <c r="BA165" s="102"/>
      <c r="BB165" s="102"/>
      <c r="BC165" s="102"/>
      <c r="BD165" s="102"/>
      <c r="BE165" s="102"/>
    </row>
    <row r="166" spans="2:57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X166" s="102"/>
      <c r="AY166" s="102"/>
      <c r="AZ166" s="102"/>
      <c r="BA166" s="102"/>
      <c r="BB166" s="102"/>
      <c r="BC166" s="102"/>
      <c r="BD166" s="102"/>
      <c r="BE166" s="102"/>
    </row>
    <row r="167" spans="2:57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X167" s="102"/>
      <c r="AY167" s="102"/>
      <c r="AZ167" s="102"/>
      <c r="BA167" s="102"/>
      <c r="BB167" s="102"/>
      <c r="BC167" s="102"/>
      <c r="BD167" s="102"/>
      <c r="BE167" s="102"/>
    </row>
    <row r="168" spans="2:57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X168" s="102"/>
      <c r="AY168" s="102"/>
      <c r="AZ168" s="102"/>
      <c r="BA168" s="102"/>
      <c r="BB168" s="102"/>
      <c r="BC168" s="102"/>
      <c r="BD168" s="102"/>
      <c r="BE168" s="102"/>
    </row>
    <row r="169" spans="2:57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X169" s="102"/>
      <c r="AY169" s="102"/>
      <c r="AZ169" s="102"/>
      <c r="BA169" s="102"/>
      <c r="BB169" s="102"/>
      <c r="BC169" s="102"/>
      <c r="BD169" s="102"/>
      <c r="BE169" s="102"/>
    </row>
    <row r="170" spans="2:57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X170" s="102"/>
      <c r="AY170" s="102"/>
      <c r="AZ170" s="102"/>
      <c r="BA170" s="102"/>
      <c r="BB170" s="102"/>
      <c r="BC170" s="102"/>
      <c r="BD170" s="102"/>
      <c r="BE170" s="102"/>
    </row>
    <row r="171" spans="2:57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X171" s="102"/>
      <c r="AY171" s="102"/>
      <c r="AZ171" s="102"/>
      <c r="BA171" s="102"/>
      <c r="BB171" s="102"/>
      <c r="BC171" s="102"/>
      <c r="BD171" s="102"/>
      <c r="BE171" s="102"/>
    </row>
    <row r="172" spans="2:57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X172" s="102"/>
      <c r="AY172" s="102"/>
      <c r="AZ172" s="102"/>
      <c r="BA172" s="102"/>
      <c r="BB172" s="102"/>
      <c r="BC172" s="102"/>
      <c r="BD172" s="102"/>
      <c r="BE172" s="102"/>
    </row>
    <row r="173" spans="2:57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X173" s="102"/>
      <c r="AY173" s="102"/>
      <c r="AZ173" s="102"/>
      <c r="BA173" s="102"/>
      <c r="BB173" s="102"/>
      <c r="BC173" s="102"/>
      <c r="BD173" s="102"/>
      <c r="BE173" s="102"/>
    </row>
    <row r="174" spans="2:57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X174" s="102"/>
      <c r="AY174" s="102"/>
      <c r="AZ174" s="102"/>
      <c r="BA174" s="102"/>
      <c r="BB174" s="102"/>
      <c r="BC174" s="102"/>
      <c r="BD174" s="102"/>
      <c r="BE174" s="102"/>
    </row>
    <row r="175" spans="2:57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X175" s="102"/>
      <c r="AY175" s="102"/>
      <c r="AZ175" s="102"/>
      <c r="BA175" s="102"/>
      <c r="BB175" s="102"/>
      <c r="BC175" s="102"/>
      <c r="BD175" s="102"/>
      <c r="BE175" s="102"/>
    </row>
    <row r="176" spans="2:57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X176" s="102"/>
      <c r="AY176" s="102"/>
      <c r="AZ176" s="102"/>
      <c r="BA176" s="102"/>
      <c r="BB176" s="102"/>
      <c r="BC176" s="102"/>
      <c r="BD176" s="102"/>
      <c r="BE176" s="102"/>
    </row>
    <row r="177" spans="2:57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X177" s="102"/>
      <c r="AY177" s="102"/>
      <c r="AZ177" s="102"/>
      <c r="BA177" s="102"/>
      <c r="BB177" s="102"/>
      <c r="BC177" s="102"/>
      <c r="BD177" s="102"/>
      <c r="BE177" s="102"/>
    </row>
    <row r="178" spans="2:57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X178" s="102"/>
      <c r="AY178" s="102"/>
      <c r="AZ178" s="102"/>
      <c r="BA178" s="102"/>
      <c r="BB178" s="102"/>
      <c r="BC178" s="102"/>
      <c r="BD178" s="102"/>
      <c r="BE178" s="102"/>
    </row>
    <row r="179" spans="2:57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X179" s="102"/>
      <c r="AY179" s="102"/>
      <c r="AZ179" s="102"/>
      <c r="BA179" s="102"/>
      <c r="BB179" s="102"/>
      <c r="BC179" s="102"/>
      <c r="BD179" s="102"/>
      <c r="BE179" s="102"/>
    </row>
    <row r="180" spans="2:57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X180" s="102"/>
      <c r="AY180" s="102"/>
      <c r="AZ180" s="102"/>
      <c r="BA180" s="102"/>
      <c r="BB180" s="102"/>
      <c r="BC180" s="102"/>
      <c r="BD180" s="102"/>
      <c r="BE180" s="102"/>
    </row>
    <row r="181" spans="2:57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X181" s="102"/>
      <c r="AY181" s="102"/>
      <c r="AZ181" s="102"/>
      <c r="BA181" s="102"/>
      <c r="BB181" s="102"/>
      <c r="BC181" s="102"/>
      <c r="BD181" s="102"/>
      <c r="BE181" s="102"/>
    </row>
    <row r="182" spans="2:57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X182" s="102"/>
      <c r="AY182" s="102"/>
      <c r="AZ182" s="102"/>
      <c r="BA182" s="102"/>
      <c r="BB182" s="102"/>
      <c r="BC182" s="102"/>
      <c r="BD182" s="102"/>
      <c r="BE182" s="102"/>
    </row>
    <row r="183" spans="2:57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X183" s="102"/>
      <c r="AY183" s="102"/>
      <c r="AZ183" s="102"/>
      <c r="BA183" s="102"/>
      <c r="BB183" s="102"/>
      <c r="BC183" s="102"/>
      <c r="BD183" s="102"/>
      <c r="BE183" s="102"/>
    </row>
    <row r="184" spans="2:57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X184" s="102"/>
      <c r="AY184" s="102"/>
      <c r="AZ184" s="102"/>
      <c r="BA184" s="102"/>
      <c r="BB184" s="102"/>
      <c r="BC184" s="102"/>
      <c r="BD184" s="102"/>
      <c r="BE184" s="102"/>
    </row>
    <row r="185" spans="2:57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X185" s="102"/>
      <c r="AY185" s="102"/>
      <c r="AZ185" s="102"/>
      <c r="BA185" s="102"/>
      <c r="BB185" s="102"/>
      <c r="BC185" s="102"/>
      <c r="BD185" s="102"/>
      <c r="BE185" s="102"/>
    </row>
    <row r="186" spans="2:57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X186" s="102"/>
      <c r="AY186" s="102"/>
      <c r="AZ186" s="102"/>
      <c r="BA186" s="102"/>
      <c r="BB186" s="102"/>
      <c r="BC186" s="102"/>
      <c r="BD186" s="102"/>
      <c r="BE186" s="102"/>
    </row>
    <row r="187" spans="2:57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X187" s="102"/>
      <c r="AY187" s="102"/>
      <c r="AZ187" s="102"/>
      <c r="BA187" s="102"/>
      <c r="BB187" s="102"/>
      <c r="BC187" s="102"/>
      <c r="BD187" s="102"/>
      <c r="BE187" s="102"/>
    </row>
    <row r="188" spans="2:57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X188" s="102"/>
      <c r="AY188" s="102"/>
      <c r="AZ188" s="102"/>
      <c r="BA188" s="102"/>
      <c r="BB188" s="102"/>
      <c r="BC188" s="102"/>
      <c r="BD188" s="102"/>
      <c r="BE188" s="102"/>
    </row>
    <row r="189" spans="2:57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X189" s="102"/>
      <c r="AY189" s="102"/>
      <c r="AZ189" s="102"/>
      <c r="BA189" s="102"/>
      <c r="BB189" s="102"/>
      <c r="BC189" s="102"/>
      <c r="BD189" s="102"/>
      <c r="BE189" s="102"/>
    </row>
    <row r="190" spans="2:57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X190" s="102"/>
      <c r="AY190" s="102"/>
      <c r="AZ190" s="102"/>
      <c r="BA190" s="102"/>
      <c r="BB190" s="102"/>
      <c r="BC190" s="102"/>
      <c r="BD190" s="102"/>
      <c r="BE190" s="102"/>
    </row>
    <row r="191" spans="2:57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X191" s="102"/>
      <c r="AY191" s="102"/>
      <c r="AZ191" s="102"/>
      <c r="BA191" s="102"/>
      <c r="BB191" s="102"/>
      <c r="BC191" s="102"/>
      <c r="BD191" s="102"/>
      <c r="BE191" s="102"/>
    </row>
    <row r="192" spans="2:57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X192" s="102"/>
      <c r="AY192" s="102"/>
      <c r="AZ192" s="102"/>
      <c r="BA192" s="102"/>
      <c r="BB192" s="102"/>
      <c r="BC192" s="102"/>
      <c r="BD192" s="102"/>
      <c r="BE192" s="102"/>
    </row>
    <row r="193" spans="2:57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X193" s="102"/>
      <c r="AY193" s="102"/>
      <c r="AZ193" s="102"/>
      <c r="BA193" s="102"/>
      <c r="BB193" s="102"/>
      <c r="BC193" s="102"/>
      <c r="BD193" s="102"/>
      <c r="BE193" s="102"/>
    </row>
    <row r="194" spans="2:57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X194" s="102"/>
      <c r="AY194" s="102"/>
      <c r="AZ194" s="102"/>
      <c r="BA194" s="102"/>
      <c r="BB194" s="102"/>
      <c r="BC194" s="102"/>
      <c r="BD194" s="102"/>
      <c r="BE194" s="102"/>
    </row>
    <row r="195" spans="2:57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X195" s="102"/>
      <c r="AY195" s="102"/>
      <c r="AZ195" s="102"/>
      <c r="BA195" s="102"/>
      <c r="BB195" s="102"/>
      <c r="BC195" s="102"/>
      <c r="BD195" s="102"/>
      <c r="BE195" s="102"/>
    </row>
    <row r="196" spans="2:57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X196" s="102"/>
      <c r="AY196" s="102"/>
      <c r="AZ196" s="102"/>
      <c r="BA196" s="102"/>
      <c r="BB196" s="102"/>
      <c r="BC196" s="102"/>
      <c r="BD196" s="102"/>
      <c r="BE196" s="102"/>
    </row>
    <row r="197" spans="2:57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X197" s="102"/>
      <c r="AY197" s="102"/>
      <c r="AZ197" s="102"/>
      <c r="BA197" s="102"/>
      <c r="BB197" s="102"/>
      <c r="BC197" s="102"/>
      <c r="BD197" s="102"/>
      <c r="BE197" s="102"/>
    </row>
    <row r="198" spans="2:57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X198" s="102"/>
      <c r="AY198" s="102"/>
      <c r="AZ198" s="102"/>
      <c r="BA198" s="102"/>
      <c r="BB198" s="102"/>
      <c r="BC198" s="102"/>
      <c r="BD198" s="102"/>
      <c r="BE198" s="102"/>
    </row>
    <row r="199" spans="2:57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X199" s="102"/>
      <c r="AY199" s="102"/>
      <c r="AZ199" s="102"/>
      <c r="BA199" s="102"/>
      <c r="BB199" s="102"/>
      <c r="BC199" s="102"/>
      <c r="BD199" s="102"/>
      <c r="BE199" s="102"/>
    </row>
    <row r="200" spans="2:57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X200" s="102"/>
      <c r="AY200" s="102"/>
      <c r="AZ200" s="102"/>
      <c r="BA200" s="102"/>
      <c r="BB200" s="102"/>
      <c r="BC200" s="102"/>
      <c r="BD200" s="102"/>
      <c r="BE200" s="102"/>
    </row>
    <row r="201" spans="2:57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X201" s="102"/>
      <c r="AY201" s="102"/>
      <c r="AZ201" s="102"/>
      <c r="BA201" s="102"/>
      <c r="BB201" s="102"/>
      <c r="BC201" s="102"/>
      <c r="BD201" s="102"/>
      <c r="BE201" s="102"/>
    </row>
    <row r="202" spans="2:57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X202" s="102"/>
      <c r="AY202" s="102"/>
      <c r="AZ202" s="102"/>
      <c r="BA202" s="102"/>
      <c r="BB202" s="102"/>
      <c r="BC202" s="102"/>
      <c r="BD202" s="102"/>
      <c r="BE202" s="102"/>
    </row>
    <row r="203" spans="2:57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X203" s="102"/>
      <c r="AY203" s="102"/>
      <c r="AZ203" s="102"/>
      <c r="BA203" s="102"/>
      <c r="BB203" s="102"/>
      <c r="BC203" s="102"/>
      <c r="BD203" s="102"/>
      <c r="BE203" s="102"/>
    </row>
    <row r="204" spans="2:57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X204" s="102"/>
      <c r="AY204" s="102"/>
      <c r="AZ204" s="102"/>
      <c r="BA204" s="102"/>
      <c r="BB204" s="102"/>
      <c r="BC204" s="102"/>
      <c r="BD204" s="102"/>
      <c r="BE204" s="102"/>
    </row>
    <row r="205" spans="2:57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X205" s="102"/>
      <c r="AY205" s="102"/>
      <c r="AZ205" s="102"/>
      <c r="BA205" s="102"/>
      <c r="BB205" s="102"/>
      <c r="BC205" s="102"/>
      <c r="BD205" s="102"/>
      <c r="BE205" s="102"/>
    </row>
    <row r="206" spans="2:57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X206" s="102"/>
      <c r="AY206" s="102"/>
      <c r="AZ206" s="102"/>
      <c r="BA206" s="102"/>
      <c r="BB206" s="102"/>
      <c r="BC206" s="102"/>
      <c r="BD206" s="102"/>
      <c r="BE206" s="102"/>
    </row>
    <row r="207" spans="2:57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X207" s="102"/>
      <c r="AY207" s="102"/>
      <c r="AZ207" s="102"/>
      <c r="BA207" s="102"/>
      <c r="BB207" s="102"/>
      <c r="BC207" s="102"/>
      <c r="BD207" s="102"/>
      <c r="BE207" s="102"/>
    </row>
    <row r="208" spans="2:57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X208" s="102"/>
      <c r="AY208" s="102"/>
      <c r="AZ208" s="102"/>
      <c r="BA208" s="102"/>
      <c r="BB208" s="102"/>
      <c r="BC208" s="102"/>
      <c r="BD208" s="102"/>
      <c r="BE208" s="102"/>
    </row>
    <row r="209" spans="2:57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X209" s="102"/>
      <c r="AY209" s="102"/>
      <c r="AZ209" s="102"/>
      <c r="BA209" s="102"/>
      <c r="BB209" s="102"/>
      <c r="BC209" s="102"/>
      <c r="BD209" s="102"/>
      <c r="BE209" s="102"/>
    </row>
    <row r="210" spans="2:57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X210" s="102"/>
      <c r="AY210" s="102"/>
      <c r="AZ210" s="102"/>
      <c r="BA210" s="102"/>
      <c r="BB210" s="102"/>
      <c r="BC210" s="102"/>
      <c r="BD210" s="102"/>
      <c r="BE210" s="102"/>
    </row>
    <row r="211" spans="2:57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X211" s="102"/>
      <c r="AY211" s="102"/>
      <c r="AZ211" s="102"/>
      <c r="BA211" s="102"/>
      <c r="BB211" s="102"/>
      <c r="BC211" s="102"/>
      <c r="BD211" s="102"/>
      <c r="BE211" s="102"/>
    </row>
    <row r="212" spans="2:57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X212" s="102"/>
      <c r="AY212" s="102"/>
      <c r="AZ212" s="102"/>
      <c r="BA212" s="102"/>
      <c r="BB212" s="102"/>
      <c r="BC212" s="102"/>
      <c r="BD212" s="102"/>
      <c r="BE212" s="102"/>
    </row>
    <row r="213" spans="2:57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X213" s="102"/>
      <c r="AY213" s="102"/>
      <c r="AZ213" s="102"/>
      <c r="BA213" s="102"/>
      <c r="BB213" s="102"/>
      <c r="BC213" s="102"/>
      <c r="BD213" s="102"/>
      <c r="BE213" s="102"/>
    </row>
    <row r="214" spans="2:57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X214" s="102"/>
      <c r="AY214" s="102"/>
      <c r="AZ214" s="102"/>
      <c r="BA214" s="102"/>
      <c r="BB214" s="102"/>
      <c r="BC214" s="102"/>
      <c r="BD214" s="102"/>
      <c r="BE214" s="102"/>
    </row>
    <row r="215" spans="2:57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X215" s="102"/>
      <c r="AY215" s="102"/>
      <c r="AZ215" s="102"/>
      <c r="BA215" s="102"/>
      <c r="BB215" s="102"/>
      <c r="BC215" s="102"/>
      <c r="BD215" s="102"/>
      <c r="BE215" s="102"/>
    </row>
    <row r="216" spans="2:57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X216" s="102"/>
      <c r="AY216" s="102"/>
      <c r="AZ216" s="102"/>
      <c r="BA216" s="102"/>
      <c r="BB216" s="102"/>
      <c r="BC216" s="102"/>
      <c r="BD216" s="102"/>
      <c r="BE216" s="102"/>
    </row>
    <row r="217" spans="2:57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X217" s="102"/>
      <c r="AY217" s="102"/>
      <c r="AZ217" s="102"/>
      <c r="BA217" s="102"/>
      <c r="BB217" s="102"/>
      <c r="BC217" s="102"/>
      <c r="BD217" s="102"/>
      <c r="BE217" s="102"/>
    </row>
    <row r="218" spans="2:57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X218" s="102"/>
      <c r="AY218" s="102"/>
      <c r="AZ218" s="102"/>
      <c r="BA218" s="102"/>
      <c r="BB218" s="102"/>
      <c r="BC218" s="102"/>
      <c r="BD218" s="102"/>
      <c r="BE218" s="102"/>
    </row>
    <row r="219" spans="2:57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X219" s="102"/>
      <c r="AY219" s="102"/>
      <c r="AZ219" s="102"/>
      <c r="BA219" s="102"/>
      <c r="BB219" s="102"/>
      <c r="BC219" s="102"/>
      <c r="BD219" s="102"/>
      <c r="BE219" s="102"/>
    </row>
    <row r="220" spans="2:57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X220" s="102"/>
      <c r="AY220" s="102"/>
      <c r="AZ220" s="102"/>
      <c r="BA220" s="102"/>
      <c r="BB220" s="102"/>
      <c r="BC220" s="102"/>
      <c r="BD220" s="102"/>
      <c r="BE220" s="102"/>
    </row>
    <row r="221" spans="2:57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X221" s="102"/>
      <c r="AY221" s="102"/>
      <c r="AZ221" s="102"/>
      <c r="BA221" s="102"/>
      <c r="BB221" s="102"/>
      <c r="BC221" s="102"/>
      <c r="BD221" s="102"/>
      <c r="BE221" s="102"/>
    </row>
    <row r="222" spans="2:57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X222" s="102"/>
      <c r="AY222" s="102"/>
      <c r="AZ222" s="102"/>
      <c r="BA222" s="102"/>
      <c r="BB222" s="102"/>
      <c r="BC222" s="102"/>
      <c r="BD222" s="102"/>
      <c r="BE222" s="102"/>
    </row>
    <row r="223" spans="2:57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X223" s="102"/>
      <c r="AY223" s="102"/>
      <c r="AZ223" s="102"/>
      <c r="BA223" s="102"/>
      <c r="BB223" s="102"/>
      <c r="BC223" s="102"/>
      <c r="BD223" s="102"/>
      <c r="BE223" s="102"/>
    </row>
    <row r="224" spans="2:57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X224" s="102"/>
      <c r="AY224" s="102"/>
      <c r="AZ224" s="102"/>
      <c r="BA224" s="102"/>
      <c r="BB224" s="102"/>
      <c r="BC224" s="102"/>
      <c r="BD224" s="102"/>
      <c r="BE224" s="102"/>
    </row>
    <row r="225" spans="2:57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X225" s="102"/>
      <c r="AY225" s="102"/>
      <c r="AZ225" s="102"/>
      <c r="BA225" s="102"/>
      <c r="BB225" s="102"/>
      <c r="BC225" s="102"/>
      <c r="BD225" s="102"/>
      <c r="BE225" s="102"/>
    </row>
    <row r="226" spans="2:57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X226" s="102"/>
      <c r="AY226" s="102"/>
      <c r="AZ226" s="102"/>
      <c r="BA226" s="102"/>
      <c r="BB226" s="102"/>
      <c r="BC226" s="102"/>
      <c r="BD226" s="102"/>
      <c r="BE226" s="102"/>
    </row>
    <row r="227" spans="2:57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X227" s="102"/>
      <c r="AY227" s="102"/>
      <c r="AZ227" s="102"/>
      <c r="BA227" s="102"/>
      <c r="BB227" s="102"/>
      <c r="BC227" s="102"/>
      <c r="BD227" s="102"/>
      <c r="BE227" s="102"/>
    </row>
    <row r="228" spans="2:57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X228" s="102"/>
      <c r="AY228" s="102"/>
      <c r="AZ228" s="102"/>
      <c r="BA228" s="102"/>
      <c r="BB228" s="102"/>
      <c r="BC228" s="102"/>
      <c r="BD228" s="102"/>
      <c r="BE228" s="102"/>
    </row>
    <row r="229" spans="2:57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X229" s="102"/>
      <c r="AY229" s="102"/>
      <c r="AZ229" s="102"/>
      <c r="BA229" s="102"/>
      <c r="BB229" s="102"/>
      <c r="BC229" s="102"/>
      <c r="BD229" s="102"/>
      <c r="BE229" s="102"/>
    </row>
    <row r="230" spans="2:57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X230" s="102"/>
      <c r="AY230" s="102"/>
      <c r="AZ230" s="102"/>
      <c r="BA230" s="102"/>
      <c r="BB230" s="102"/>
      <c r="BC230" s="102"/>
      <c r="BD230" s="102"/>
      <c r="BE230" s="102"/>
    </row>
    <row r="231" spans="2:57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X231" s="102"/>
      <c r="AY231" s="102"/>
      <c r="AZ231" s="102"/>
      <c r="BA231" s="102"/>
      <c r="BB231" s="102"/>
      <c r="BC231" s="102"/>
      <c r="BD231" s="102"/>
      <c r="BE231" s="102"/>
    </row>
    <row r="232" spans="2:57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X232" s="102"/>
      <c r="AY232" s="102"/>
      <c r="AZ232" s="102"/>
      <c r="BA232" s="102"/>
      <c r="BB232" s="102"/>
      <c r="BC232" s="102"/>
      <c r="BD232" s="102"/>
      <c r="BE232" s="102"/>
    </row>
    <row r="233" spans="2:57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X233" s="102"/>
      <c r="AY233" s="102"/>
      <c r="AZ233" s="102"/>
      <c r="BA233" s="102"/>
      <c r="BB233" s="102"/>
      <c r="BC233" s="102"/>
      <c r="BD233" s="102"/>
      <c r="BE233" s="102"/>
    </row>
    <row r="234" spans="2:57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X234" s="102"/>
      <c r="AY234" s="102"/>
      <c r="AZ234" s="102"/>
      <c r="BA234" s="102"/>
      <c r="BB234" s="102"/>
      <c r="BC234" s="102"/>
      <c r="BD234" s="102"/>
      <c r="BE234" s="102"/>
    </row>
    <row r="235" spans="2:57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X235" s="102"/>
      <c r="AY235" s="102"/>
      <c r="AZ235" s="102"/>
      <c r="BA235" s="102"/>
      <c r="BB235" s="102"/>
      <c r="BC235" s="102"/>
      <c r="BD235" s="102"/>
      <c r="BE235" s="102"/>
    </row>
    <row r="236" spans="2:57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X236" s="102"/>
      <c r="AY236" s="102"/>
      <c r="AZ236" s="102"/>
      <c r="BA236" s="102"/>
      <c r="BB236" s="102"/>
      <c r="BC236" s="102"/>
      <c r="BD236" s="102"/>
      <c r="BE236" s="102"/>
    </row>
    <row r="237" spans="2:57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X237" s="102"/>
      <c r="AY237" s="102"/>
      <c r="AZ237" s="102"/>
      <c r="BA237" s="102"/>
      <c r="BB237" s="102"/>
      <c r="BC237" s="102"/>
      <c r="BD237" s="102"/>
      <c r="BE237" s="102"/>
    </row>
    <row r="238" spans="2:57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X238" s="102"/>
      <c r="AY238" s="102"/>
      <c r="AZ238" s="102"/>
      <c r="BA238" s="102"/>
      <c r="BB238" s="102"/>
      <c r="BC238" s="102"/>
      <c r="BD238" s="102"/>
      <c r="BE238" s="102"/>
    </row>
    <row r="239" spans="2:57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X239" s="102"/>
      <c r="AY239" s="102"/>
      <c r="AZ239" s="102"/>
      <c r="BA239" s="102"/>
      <c r="BB239" s="102"/>
      <c r="BC239" s="102"/>
      <c r="BD239" s="102"/>
      <c r="BE239" s="102"/>
    </row>
    <row r="240" spans="2:57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X240" s="102"/>
      <c r="AY240" s="102"/>
      <c r="AZ240" s="102"/>
      <c r="BA240" s="102"/>
      <c r="BB240" s="102"/>
      <c r="BC240" s="102"/>
      <c r="BD240" s="102"/>
      <c r="BE240" s="102"/>
    </row>
    <row r="241" spans="2:57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X241" s="102"/>
      <c r="AY241" s="102"/>
      <c r="AZ241" s="102"/>
      <c r="BA241" s="102"/>
      <c r="BB241" s="102"/>
      <c r="BC241" s="102"/>
      <c r="BD241" s="102"/>
      <c r="BE241" s="102"/>
    </row>
    <row r="242" spans="2:57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X242" s="102"/>
      <c r="AY242" s="102"/>
      <c r="AZ242" s="102"/>
      <c r="BA242" s="102"/>
      <c r="BB242" s="102"/>
      <c r="BC242" s="102"/>
      <c r="BD242" s="102"/>
      <c r="BE242" s="102"/>
    </row>
    <row r="243" spans="2:57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X243" s="102"/>
      <c r="AY243" s="102"/>
      <c r="AZ243" s="102"/>
      <c r="BA243" s="102"/>
      <c r="BB243" s="102"/>
      <c r="BC243" s="102"/>
      <c r="BD243" s="102"/>
      <c r="BE243" s="102"/>
    </row>
    <row r="244" spans="2:57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X244" s="102"/>
      <c r="AY244" s="102"/>
      <c r="AZ244" s="102"/>
      <c r="BA244" s="102"/>
      <c r="BB244" s="102"/>
      <c r="BC244" s="102"/>
      <c r="BD244" s="102"/>
      <c r="BE244" s="102"/>
    </row>
    <row r="245" spans="2:57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X245" s="102"/>
      <c r="AY245" s="102"/>
      <c r="AZ245" s="102"/>
      <c r="BA245" s="102"/>
      <c r="BB245" s="102"/>
      <c r="BC245" s="102"/>
      <c r="BD245" s="102"/>
      <c r="BE245" s="102"/>
    </row>
    <row r="246" spans="2:57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X246" s="102"/>
      <c r="AY246" s="102"/>
      <c r="AZ246" s="102"/>
      <c r="BA246" s="102"/>
      <c r="BB246" s="102"/>
      <c r="BC246" s="102"/>
      <c r="BD246" s="102"/>
      <c r="BE246" s="102"/>
    </row>
    <row r="247" spans="2:57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X247" s="102"/>
      <c r="AY247" s="102"/>
      <c r="AZ247" s="102"/>
      <c r="BA247" s="102"/>
      <c r="BB247" s="102"/>
      <c r="BC247" s="102"/>
      <c r="BD247" s="102"/>
      <c r="BE247" s="102"/>
    </row>
    <row r="248" spans="2:57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X248" s="102"/>
      <c r="AY248" s="102"/>
      <c r="AZ248" s="102"/>
      <c r="BA248" s="102"/>
      <c r="BB248" s="102"/>
      <c r="BC248" s="102"/>
      <c r="BD248" s="102"/>
      <c r="BE248" s="102"/>
    </row>
    <row r="249" spans="2:57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X249" s="102"/>
      <c r="AY249" s="102"/>
      <c r="AZ249" s="102"/>
      <c r="BA249" s="102"/>
      <c r="BB249" s="102"/>
      <c r="BC249" s="102"/>
      <c r="BD249" s="102"/>
      <c r="BE249" s="102"/>
    </row>
    <row r="250" spans="2:57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X250" s="102"/>
      <c r="AY250" s="102"/>
      <c r="AZ250" s="102"/>
      <c r="BA250" s="102"/>
      <c r="BB250" s="102"/>
      <c r="BC250" s="102"/>
      <c r="BD250" s="102"/>
      <c r="BE250" s="102"/>
    </row>
    <row r="251" spans="2:57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X251" s="102"/>
      <c r="AY251" s="102"/>
      <c r="AZ251" s="102"/>
      <c r="BA251" s="102"/>
      <c r="BB251" s="102"/>
      <c r="BC251" s="102"/>
      <c r="BD251" s="102"/>
      <c r="BE251" s="102"/>
    </row>
    <row r="252" spans="2:57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X252" s="102"/>
      <c r="AY252" s="102"/>
      <c r="AZ252" s="102"/>
      <c r="BA252" s="102"/>
      <c r="BB252" s="102"/>
      <c r="BC252" s="102"/>
      <c r="BD252" s="102"/>
      <c r="BE252" s="102"/>
    </row>
    <row r="253" spans="2:57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X253" s="102"/>
      <c r="AY253" s="102"/>
      <c r="AZ253" s="102"/>
      <c r="BA253" s="102"/>
      <c r="BB253" s="102"/>
      <c r="BC253" s="102"/>
      <c r="BD253" s="102"/>
      <c r="BE253" s="102"/>
    </row>
    <row r="254" spans="2:57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X254" s="102"/>
      <c r="AY254" s="102"/>
      <c r="AZ254" s="102"/>
      <c r="BA254" s="102"/>
      <c r="BB254" s="102"/>
      <c r="BC254" s="102"/>
      <c r="BD254" s="102"/>
      <c r="BE254" s="102"/>
    </row>
    <row r="255" spans="2:57" s="64" customFormat="1" ht="1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X255" s="102"/>
      <c r="AY255" s="102"/>
      <c r="AZ255" s="102"/>
      <c r="BA255" s="102"/>
      <c r="BB255" s="102"/>
      <c r="BC255" s="102"/>
      <c r="BD255" s="102"/>
      <c r="BE255" s="102"/>
    </row>
    <row r="256" spans="2:57" s="64" customFormat="1" ht="1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X256" s="102"/>
      <c r="AY256" s="102"/>
      <c r="AZ256" s="102"/>
      <c r="BA256" s="102"/>
      <c r="BB256" s="102"/>
      <c r="BC256" s="102"/>
      <c r="BD256" s="102"/>
      <c r="BE256" s="102"/>
    </row>
    <row r="257" spans="2:57" s="64" customFormat="1" ht="1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X257" s="102"/>
      <c r="AY257" s="102"/>
      <c r="AZ257" s="102"/>
      <c r="BA257" s="102"/>
      <c r="BB257" s="102"/>
      <c r="BC257" s="102"/>
      <c r="BD257" s="102"/>
      <c r="BE257" s="102"/>
    </row>
    <row r="258" spans="2:57" s="64" customFormat="1" ht="20.2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X258" s="102"/>
      <c r="AY258" s="102"/>
      <c r="AZ258" s="102"/>
      <c r="BA258" s="102"/>
      <c r="BB258" s="102"/>
      <c r="BC258" s="102"/>
      <c r="BD258" s="102"/>
      <c r="BE258" s="102"/>
    </row>
    <row r="259" spans="2:57" s="64" customFormat="1" ht="20.2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X259" s="102"/>
      <c r="AY259" s="102"/>
      <c r="AZ259" s="102"/>
      <c r="BA259" s="102"/>
      <c r="BB259" s="102"/>
      <c r="BC259" s="102"/>
      <c r="BD259" s="102"/>
      <c r="BE259" s="102"/>
    </row>
    <row r="260" spans="2:57" s="64" customFormat="1" ht="20.2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X260" s="102"/>
      <c r="AY260" s="102"/>
      <c r="AZ260" s="102"/>
      <c r="BA260" s="102"/>
      <c r="BB260" s="102"/>
      <c r="BC260" s="102"/>
      <c r="BD260" s="102"/>
      <c r="BE260" s="102"/>
    </row>
    <row r="261" spans="2:57" s="64" customFormat="1" ht="20.2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X261" s="102"/>
      <c r="AY261" s="102"/>
      <c r="AZ261" s="102"/>
      <c r="BA261" s="102"/>
      <c r="BB261" s="102"/>
      <c r="BC261" s="102"/>
      <c r="BD261" s="102"/>
      <c r="BE261" s="102"/>
    </row>
    <row r="262" spans="2:57" s="64" customFormat="1" ht="20.2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X262" s="102"/>
      <c r="AY262" s="102"/>
      <c r="AZ262" s="102"/>
      <c r="BA262" s="102"/>
      <c r="BB262" s="102"/>
      <c r="BC262" s="102"/>
      <c r="BD262" s="102"/>
      <c r="BE262" s="102"/>
    </row>
    <row r="263" spans="2:57" s="64" customFormat="1" ht="20.2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X263" s="102"/>
      <c r="AY263" s="102"/>
      <c r="AZ263" s="102"/>
      <c r="BA263" s="102"/>
      <c r="BB263" s="102"/>
      <c r="BC263" s="102"/>
      <c r="BD263" s="102"/>
      <c r="BE263" s="102"/>
    </row>
    <row r="264" spans="2:57" s="64" customFormat="1" ht="20.2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X264" s="102"/>
      <c r="AY264" s="102"/>
      <c r="AZ264" s="102"/>
      <c r="BA264" s="102"/>
      <c r="BB264" s="102"/>
      <c r="BC264" s="102"/>
      <c r="BD264" s="102"/>
      <c r="BE264" s="102"/>
    </row>
    <row r="265" spans="2:57" s="64" customFormat="1" ht="20.2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X265" s="102"/>
      <c r="AY265" s="102"/>
      <c r="AZ265" s="102"/>
      <c r="BA265" s="102"/>
      <c r="BB265" s="102"/>
      <c r="BC265" s="102"/>
      <c r="BD265" s="102"/>
      <c r="BE265" s="102"/>
    </row>
    <row r="266" spans="2:57" s="64" customFormat="1" ht="20.2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X266" s="102"/>
      <c r="AY266" s="102"/>
      <c r="AZ266" s="102"/>
      <c r="BA266" s="102"/>
      <c r="BB266" s="102"/>
      <c r="BC266" s="102"/>
      <c r="BD266" s="102"/>
      <c r="BE266" s="102"/>
    </row>
    <row r="267" spans="2:57" s="64" customFormat="1" ht="20.2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X267" s="102"/>
      <c r="AY267" s="102"/>
      <c r="AZ267" s="102"/>
      <c r="BA267" s="102"/>
      <c r="BB267" s="102"/>
      <c r="BC267" s="102"/>
      <c r="BD267" s="102"/>
      <c r="BE267" s="102"/>
    </row>
    <row r="268" spans="2:57" s="64" customFormat="1" ht="20.2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X268" s="102"/>
      <c r="AY268" s="102"/>
      <c r="AZ268" s="102"/>
      <c r="BA268" s="102"/>
      <c r="BB268" s="102"/>
      <c r="BC268" s="102"/>
      <c r="BD268" s="102"/>
      <c r="BE268" s="102"/>
    </row>
    <row r="269" spans="2:57" s="64" customFormat="1" ht="20.2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X269" s="102"/>
      <c r="AY269" s="102"/>
      <c r="AZ269" s="102"/>
      <c r="BA269" s="102"/>
      <c r="BB269" s="102"/>
      <c r="BC269" s="102"/>
      <c r="BD269" s="102"/>
      <c r="BE269" s="102"/>
    </row>
    <row r="270" spans="2:57" s="64" customFormat="1" ht="20.2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X270" s="102"/>
      <c r="AY270" s="102"/>
      <c r="AZ270" s="102"/>
      <c r="BA270" s="102"/>
      <c r="BB270" s="102"/>
      <c r="BC270" s="102"/>
      <c r="BD270" s="102"/>
      <c r="BE270" s="102"/>
    </row>
    <row r="271" spans="2:57" s="64" customFormat="1" ht="20.2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X271" s="102"/>
      <c r="AY271" s="102"/>
      <c r="AZ271" s="102"/>
      <c r="BA271" s="102"/>
      <c r="BB271" s="102"/>
      <c r="BC271" s="102"/>
      <c r="BD271" s="102"/>
      <c r="BE271" s="102"/>
    </row>
    <row r="272" spans="2:57" s="64" customFormat="1" ht="20.2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X272" s="102"/>
      <c r="AY272" s="102"/>
      <c r="AZ272" s="102"/>
      <c r="BA272" s="102"/>
      <c r="BB272" s="102"/>
      <c r="BC272" s="102"/>
      <c r="BD272" s="102"/>
      <c r="BE272" s="102"/>
    </row>
    <row r="273" spans="2:57" s="64" customFormat="1" ht="20.2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X273" s="102"/>
      <c r="AY273" s="102"/>
      <c r="AZ273" s="102"/>
      <c r="BA273" s="102"/>
      <c r="BB273" s="102"/>
      <c r="BC273" s="102"/>
      <c r="BD273" s="102"/>
      <c r="BE273" s="102"/>
    </row>
    <row r="274" spans="2:57" s="64" customFormat="1" ht="20.2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X274" s="102"/>
      <c r="AY274" s="102"/>
      <c r="AZ274" s="102"/>
      <c r="BA274" s="102"/>
      <c r="BB274" s="102"/>
      <c r="BC274" s="102"/>
      <c r="BD274" s="102"/>
      <c r="BE274" s="102"/>
    </row>
    <row r="275" spans="2:57" s="64" customFormat="1" ht="20.2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X275" s="102"/>
      <c r="AY275" s="102"/>
      <c r="AZ275" s="102"/>
      <c r="BA275" s="102"/>
      <c r="BB275" s="102"/>
      <c r="BC275" s="102"/>
      <c r="BD275" s="102"/>
      <c r="BE275" s="102"/>
    </row>
    <row r="276" spans="2:57" s="64" customFormat="1" ht="20.2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X276" s="102"/>
      <c r="AY276" s="102"/>
      <c r="AZ276" s="102"/>
      <c r="BA276" s="102"/>
      <c r="BB276" s="102"/>
      <c r="BC276" s="102"/>
      <c r="BD276" s="102"/>
      <c r="BE276" s="102"/>
    </row>
    <row r="277" spans="2:57" s="64" customFormat="1" ht="20.2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X277" s="102"/>
      <c r="AY277" s="102"/>
      <c r="AZ277" s="102"/>
      <c r="BA277" s="102"/>
      <c r="BB277" s="102"/>
      <c r="BC277" s="102"/>
      <c r="BD277" s="102"/>
      <c r="BE277" s="102"/>
    </row>
    <row r="278" spans="2:57" s="64" customFormat="1" ht="20.2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X278" s="102"/>
      <c r="AY278" s="102"/>
      <c r="AZ278" s="102"/>
      <c r="BA278" s="102"/>
      <c r="BB278" s="102"/>
      <c r="BC278" s="102"/>
      <c r="BD278" s="102"/>
      <c r="BE278" s="102"/>
    </row>
    <row r="279" spans="2:57" s="64" customFormat="1" ht="20.2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X279" s="102"/>
      <c r="AY279" s="102"/>
      <c r="AZ279" s="102"/>
      <c r="BA279" s="102"/>
      <c r="BB279" s="102"/>
      <c r="BC279" s="102"/>
      <c r="BD279" s="102"/>
      <c r="BE279" s="102"/>
    </row>
    <row r="280" spans="2:57" s="64" customFormat="1" ht="20.2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X280" s="102"/>
      <c r="AY280" s="102"/>
      <c r="AZ280" s="102"/>
      <c r="BA280" s="102"/>
      <c r="BB280" s="102"/>
      <c r="BC280" s="102"/>
      <c r="BD280" s="102"/>
      <c r="BE280" s="102"/>
    </row>
    <row r="281" spans="2:57" s="64" customFormat="1" ht="20.2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X281" s="102"/>
      <c r="AY281" s="102"/>
      <c r="AZ281" s="102"/>
      <c r="BA281" s="102"/>
      <c r="BB281" s="102"/>
      <c r="BC281" s="102"/>
      <c r="BD281" s="102"/>
      <c r="BE281" s="102"/>
    </row>
    <row r="282" spans="2:57" s="64" customFormat="1" ht="20.2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X282" s="102"/>
      <c r="AY282" s="102"/>
      <c r="AZ282" s="102"/>
      <c r="BA282" s="102"/>
      <c r="BB282" s="102"/>
      <c r="BC282" s="102"/>
      <c r="BD282" s="102"/>
      <c r="BE282" s="102"/>
    </row>
    <row r="283" spans="2:57" s="64" customFormat="1" ht="20.2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X283" s="102"/>
      <c r="AY283" s="102"/>
      <c r="AZ283" s="102"/>
      <c r="BA283" s="102"/>
      <c r="BB283" s="102"/>
      <c r="BC283" s="102"/>
      <c r="BD283" s="102"/>
      <c r="BE283" s="102"/>
    </row>
    <row r="284" spans="2:57" s="64" customFormat="1" ht="20.2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X284" s="102"/>
      <c r="AY284" s="102"/>
      <c r="AZ284" s="102"/>
      <c r="BA284" s="102"/>
      <c r="BB284" s="102"/>
      <c r="BC284" s="102"/>
      <c r="BD284" s="102"/>
      <c r="BE284" s="102"/>
    </row>
    <row r="285" spans="2:57" s="64" customFormat="1" ht="20.2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X285" s="102"/>
      <c r="AY285" s="102"/>
      <c r="AZ285" s="102"/>
      <c r="BA285" s="102"/>
      <c r="BB285" s="102"/>
      <c r="BC285" s="102"/>
      <c r="BD285" s="102"/>
      <c r="BE285" s="102"/>
    </row>
    <row r="286" spans="2:57" s="64" customFormat="1" ht="20.2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X286" s="102"/>
      <c r="AY286" s="102"/>
      <c r="AZ286" s="102"/>
      <c r="BA286" s="102"/>
      <c r="BB286" s="102"/>
      <c r="BC286" s="102"/>
      <c r="BD286" s="102"/>
      <c r="BE286" s="102"/>
    </row>
    <row r="287" spans="2:57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X287" s="102"/>
      <c r="AY287" s="102"/>
      <c r="AZ287" s="102"/>
      <c r="BA287" s="102"/>
      <c r="BB287" s="102"/>
      <c r="BC287" s="102"/>
      <c r="BD287" s="102"/>
      <c r="BE287" s="102"/>
    </row>
    <row r="288" spans="2:57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X288" s="102"/>
      <c r="AY288" s="102"/>
      <c r="AZ288" s="102"/>
      <c r="BA288" s="102"/>
      <c r="BB288" s="102"/>
      <c r="BC288" s="102"/>
      <c r="BD288" s="102"/>
      <c r="BE288" s="102"/>
    </row>
    <row r="289" spans="2:57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X289" s="102"/>
      <c r="AY289" s="102"/>
      <c r="AZ289" s="102"/>
      <c r="BA289" s="102"/>
      <c r="BB289" s="102"/>
      <c r="BC289" s="102"/>
      <c r="BD289" s="102"/>
      <c r="BE289" s="102"/>
    </row>
    <row r="290" spans="2:57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X290" s="102"/>
      <c r="AY290" s="102"/>
      <c r="AZ290" s="102"/>
      <c r="BA290" s="102"/>
      <c r="BB290" s="102"/>
      <c r="BC290" s="102"/>
      <c r="BD290" s="102"/>
      <c r="BE290" s="102"/>
    </row>
    <row r="291" spans="2:57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X291" s="102"/>
      <c r="AY291" s="102"/>
      <c r="AZ291" s="102"/>
      <c r="BA291" s="102"/>
      <c r="BB291" s="102"/>
      <c r="BC291" s="102"/>
      <c r="BD291" s="102"/>
      <c r="BE291" s="102"/>
    </row>
    <row r="292" spans="2:57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X292" s="102"/>
      <c r="AY292" s="102"/>
      <c r="AZ292" s="102"/>
      <c r="BA292" s="102"/>
      <c r="BB292" s="102"/>
      <c r="BC292" s="102"/>
      <c r="BD292" s="102"/>
      <c r="BE292" s="102"/>
    </row>
    <row r="293" spans="2:57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X293" s="102"/>
      <c r="AY293" s="102"/>
      <c r="AZ293" s="102"/>
      <c r="BA293" s="102"/>
      <c r="BB293" s="102"/>
      <c r="BC293" s="102"/>
      <c r="BD293" s="102"/>
      <c r="BE293" s="102"/>
    </row>
    <row r="294" spans="2:57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X294" s="102"/>
      <c r="AY294" s="102"/>
      <c r="AZ294" s="102"/>
      <c r="BA294" s="102"/>
      <c r="BB294" s="102"/>
      <c r="BC294" s="102"/>
      <c r="BD294" s="102"/>
      <c r="BE294" s="102"/>
    </row>
    <row r="295" spans="2:57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X295" s="102"/>
      <c r="AY295" s="102"/>
      <c r="AZ295" s="102"/>
      <c r="BA295" s="102"/>
      <c r="BB295" s="102"/>
      <c r="BC295" s="102"/>
      <c r="BD295" s="102"/>
      <c r="BE295" s="102"/>
    </row>
    <row r="296" spans="2:57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X296" s="102"/>
      <c r="AY296" s="102"/>
      <c r="AZ296" s="102"/>
      <c r="BA296" s="102"/>
      <c r="BB296" s="102"/>
      <c r="BC296" s="102"/>
      <c r="BD296" s="102"/>
      <c r="BE296" s="102"/>
    </row>
    <row r="297" spans="2:57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X297" s="102"/>
      <c r="AY297" s="102"/>
      <c r="AZ297" s="102"/>
      <c r="BA297" s="102"/>
      <c r="BB297" s="102"/>
      <c r="BC297" s="102"/>
      <c r="BD297" s="102"/>
      <c r="BE297" s="102"/>
    </row>
    <row r="298" spans="2:57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X298" s="102"/>
      <c r="AY298" s="102"/>
      <c r="AZ298" s="102"/>
      <c r="BA298" s="102"/>
      <c r="BB298" s="102"/>
      <c r="BC298" s="102"/>
      <c r="BD298" s="102"/>
      <c r="BE298" s="102"/>
    </row>
    <row r="299" spans="2:57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X299" s="102"/>
      <c r="AY299" s="102"/>
      <c r="AZ299" s="102"/>
      <c r="BA299" s="102"/>
      <c r="BB299" s="102"/>
      <c r="BC299" s="102"/>
      <c r="BD299" s="102"/>
      <c r="BE299" s="102"/>
    </row>
    <row r="300" spans="2:57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X300" s="102"/>
      <c r="AY300" s="102"/>
      <c r="AZ300" s="102"/>
      <c r="BA300" s="102"/>
      <c r="BB300" s="102"/>
      <c r="BC300" s="102"/>
      <c r="BD300" s="102"/>
      <c r="BE300" s="102"/>
    </row>
    <row r="301" spans="2:57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X301" s="102"/>
      <c r="AY301" s="102"/>
      <c r="AZ301" s="102"/>
      <c r="BA301" s="102"/>
      <c r="BB301" s="102"/>
      <c r="BC301" s="102"/>
      <c r="BD301" s="102"/>
      <c r="BE301" s="102"/>
    </row>
    <row r="302" spans="2:57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X302" s="102"/>
      <c r="AY302" s="102"/>
      <c r="AZ302" s="102"/>
      <c r="BA302" s="102"/>
      <c r="BB302" s="102"/>
      <c r="BC302" s="102"/>
      <c r="BD302" s="102"/>
      <c r="BE302" s="102"/>
    </row>
    <row r="303" spans="2:57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X303" s="102"/>
      <c r="AY303" s="102"/>
      <c r="AZ303" s="102"/>
      <c r="BA303" s="102"/>
      <c r="BB303" s="102"/>
      <c r="BC303" s="102"/>
      <c r="BD303" s="102"/>
      <c r="BE303" s="102"/>
    </row>
    <row r="304" spans="2:57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X304" s="102"/>
      <c r="AY304" s="102"/>
      <c r="AZ304" s="102"/>
      <c r="BA304" s="102"/>
      <c r="BB304" s="102"/>
      <c r="BC304" s="102"/>
      <c r="BD304" s="102"/>
      <c r="BE304" s="102"/>
    </row>
    <row r="305" spans="2:57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X305" s="102"/>
      <c r="AY305" s="102"/>
      <c r="AZ305" s="102"/>
      <c r="BA305" s="102"/>
      <c r="BB305" s="102"/>
      <c r="BC305" s="102"/>
      <c r="BD305" s="102"/>
      <c r="BE305" s="102"/>
    </row>
    <row r="306" spans="2:57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X306" s="102"/>
      <c r="AY306" s="102"/>
      <c r="AZ306" s="102"/>
      <c r="BA306" s="102"/>
      <c r="BB306" s="102"/>
      <c r="BC306" s="102"/>
      <c r="BD306" s="102"/>
      <c r="BE306" s="102"/>
    </row>
    <row r="307" spans="2:57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X307" s="102"/>
      <c r="AY307" s="102"/>
      <c r="AZ307" s="102"/>
      <c r="BA307" s="102"/>
      <c r="BB307" s="102"/>
      <c r="BC307" s="102"/>
      <c r="BD307" s="102"/>
      <c r="BE307" s="102"/>
    </row>
    <row r="308" spans="2:57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X308" s="102"/>
      <c r="AY308" s="102"/>
      <c r="AZ308" s="102"/>
      <c r="BA308" s="102"/>
      <c r="BB308" s="102"/>
      <c r="BC308" s="102"/>
      <c r="BD308" s="102"/>
      <c r="BE308" s="102"/>
    </row>
    <row r="309" spans="2:57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X309" s="102"/>
      <c r="AY309" s="102"/>
      <c r="AZ309" s="102"/>
      <c r="BA309" s="102"/>
      <c r="BB309" s="102"/>
      <c r="BC309" s="102"/>
      <c r="BD309" s="102"/>
      <c r="BE309" s="102"/>
    </row>
    <row r="310" spans="2:57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X310" s="102"/>
      <c r="AY310" s="102"/>
      <c r="AZ310" s="102"/>
      <c r="BA310" s="102"/>
      <c r="BB310" s="102"/>
      <c r="BC310" s="102"/>
      <c r="BD310" s="102"/>
      <c r="BE310" s="102"/>
    </row>
    <row r="311" spans="2:57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X311" s="102"/>
      <c r="AY311" s="102"/>
      <c r="AZ311" s="102"/>
      <c r="BA311" s="102"/>
      <c r="BB311" s="102"/>
      <c r="BC311" s="102"/>
      <c r="BD311" s="102"/>
      <c r="BE311" s="102"/>
    </row>
    <row r="312" spans="2:57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X312" s="102"/>
      <c r="AY312" s="102"/>
      <c r="AZ312" s="102"/>
      <c r="BA312" s="102"/>
      <c r="BB312" s="102"/>
      <c r="BC312" s="102"/>
      <c r="BD312" s="102"/>
      <c r="BE312" s="102"/>
    </row>
    <row r="313" spans="2:57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X313" s="102"/>
      <c r="AY313" s="102"/>
      <c r="AZ313" s="102"/>
      <c r="BA313" s="102"/>
      <c r="BB313" s="102"/>
      <c r="BC313" s="102"/>
      <c r="BD313" s="102"/>
      <c r="BE313" s="102"/>
    </row>
    <row r="314" spans="2:57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X314" s="102"/>
      <c r="AY314" s="102"/>
      <c r="AZ314" s="102"/>
      <c r="BA314" s="102"/>
      <c r="BB314" s="102"/>
      <c r="BC314" s="102"/>
      <c r="BD314" s="102"/>
      <c r="BE314" s="102"/>
    </row>
    <row r="315" spans="2:57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X315" s="102"/>
      <c r="AY315" s="102"/>
      <c r="AZ315" s="102"/>
      <c r="BA315" s="102"/>
      <c r="BB315" s="102"/>
      <c r="BC315" s="102"/>
      <c r="BD315" s="102"/>
      <c r="BE315" s="102"/>
    </row>
    <row r="316" spans="2:57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X316" s="102"/>
      <c r="AY316" s="102"/>
      <c r="AZ316" s="102"/>
      <c r="BA316" s="102"/>
      <c r="BB316" s="102"/>
      <c r="BC316" s="102"/>
      <c r="BD316" s="102"/>
      <c r="BE316" s="102"/>
    </row>
    <row r="317" spans="2:57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X317" s="102"/>
      <c r="AY317" s="102"/>
      <c r="AZ317" s="102"/>
      <c r="BA317" s="102"/>
      <c r="BB317" s="102"/>
      <c r="BC317" s="102"/>
      <c r="BD317" s="102"/>
      <c r="BE317" s="102"/>
    </row>
    <row r="318" spans="2:57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X318" s="102"/>
      <c r="AY318" s="102"/>
      <c r="AZ318" s="102"/>
      <c r="BA318" s="102"/>
      <c r="BB318" s="102"/>
      <c r="BC318" s="102"/>
      <c r="BD318" s="102"/>
      <c r="BE318" s="102"/>
    </row>
    <row r="319" spans="2:57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X319" s="102"/>
      <c r="AY319" s="102"/>
      <c r="AZ319" s="102"/>
      <c r="BA319" s="102"/>
      <c r="BB319" s="102"/>
      <c r="BC319" s="102"/>
      <c r="BD319" s="102"/>
      <c r="BE319" s="102"/>
    </row>
    <row r="320" spans="2:57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X320" s="102"/>
      <c r="AY320" s="102"/>
      <c r="AZ320" s="102"/>
      <c r="BA320" s="102"/>
      <c r="BB320" s="102"/>
      <c r="BC320" s="102"/>
      <c r="BD320" s="102"/>
      <c r="BE320" s="102"/>
    </row>
    <row r="321" spans="2:57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X321" s="102"/>
      <c r="AY321" s="102"/>
      <c r="AZ321" s="102"/>
      <c r="BA321" s="102"/>
      <c r="BB321" s="102"/>
      <c r="BC321" s="102"/>
      <c r="BD321" s="102"/>
      <c r="BE321" s="102"/>
    </row>
    <row r="322" spans="2:57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X322" s="102"/>
      <c r="AY322" s="102"/>
      <c r="AZ322" s="102"/>
      <c r="BA322" s="102"/>
      <c r="BB322" s="102"/>
      <c r="BC322" s="102"/>
      <c r="BD322" s="102"/>
      <c r="BE322" s="102"/>
    </row>
    <row r="323" spans="2:57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X323" s="102"/>
      <c r="AY323" s="102"/>
      <c r="AZ323" s="102"/>
      <c r="BA323" s="102"/>
      <c r="BB323" s="102"/>
      <c r="BC323" s="102"/>
      <c r="BD323" s="102"/>
      <c r="BE323" s="102"/>
    </row>
    <row r="324" spans="2:57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X324" s="102"/>
      <c r="AY324" s="102"/>
      <c r="AZ324" s="102"/>
      <c r="BA324" s="102"/>
      <c r="BB324" s="102"/>
      <c r="BC324" s="102"/>
      <c r="BD324" s="102"/>
      <c r="BE324" s="102"/>
    </row>
    <row r="325" spans="2:57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X325" s="102"/>
      <c r="AY325" s="102"/>
      <c r="AZ325" s="102"/>
      <c r="BA325" s="102"/>
      <c r="BB325" s="102"/>
      <c r="BC325" s="102"/>
      <c r="BD325" s="102"/>
      <c r="BE325" s="102"/>
    </row>
    <row r="326" spans="2:57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X326" s="102"/>
      <c r="AY326" s="102"/>
      <c r="AZ326" s="102"/>
      <c r="BA326" s="102"/>
      <c r="BB326" s="102"/>
      <c r="BC326" s="102"/>
      <c r="BD326" s="102"/>
      <c r="BE326" s="102"/>
    </row>
    <row r="327" spans="2:57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X327" s="102"/>
      <c r="AY327" s="102"/>
      <c r="AZ327" s="102"/>
      <c r="BA327" s="102"/>
      <c r="BB327" s="102"/>
      <c r="BC327" s="102"/>
      <c r="BD327" s="102"/>
      <c r="BE327" s="102"/>
    </row>
    <row r="328" spans="2:57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X328" s="102"/>
      <c r="AY328" s="102"/>
      <c r="AZ328" s="102"/>
      <c r="BA328" s="102"/>
      <c r="BB328" s="102"/>
      <c r="BC328" s="102"/>
      <c r="BD328" s="102"/>
      <c r="BE328" s="102"/>
    </row>
    <row r="329" spans="2:57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X329" s="102"/>
      <c r="AY329" s="102"/>
      <c r="AZ329" s="102"/>
      <c r="BA329" s="102"/>
      <c r="BB329" s="102"/>
      <c r="BC329" s="102"/>
      <c r="BD329" s="102"/>
      <c r="BE329" s="102"/>
    </row>
    <row r="330" spans="2:57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X330" s="102"/>
      <c r="AY330" s="102"/>
      <c r="AZ330" s="102"/>
      <c r="BA330" s="102"/>
      <c r="BB330" s="102"/>
      <c r="BC330" s="102"/>
      <c r="BD330" s="102"/>
      <c r="BE330" s="102"/>
    </row>
    <row r="331" spans="2:57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X331" s="102"/>
      <c r="AY331" s="102"/>
      <c r="AZ331" s="102"/>
      <c r="BA331" s="102"/>
      <c r="BB331" s="102"/>
      <c r="BC331" s="102"/>
      <c r="BD331" s="102"/>
      <c r="BE331" s="102"/>
    </row>
    <row r="332" spans="2:57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X332" s="102"/>
      <c r="AY332" s="102"/>
      <c r="AZ332" s="102"/>
      <c r="BA332" s="102"/>
      <c r="BB332" s="102"/>
      <c r="BC332" s="102"/>
      <c r="BD332" s="102"/>
      <c r="BE332" s="102"/>
    </row>
    <row r="333" spans="2:57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X333" s="102"/>
      <c r="AY333" s="102"/>
      <c r="AZ333" s="102"/>
      <c r="BA333" s="102"/>
      <c r="BB333" s="102"/>
      <c r="BC333" s="102"/>
      <c r="BD333" s="102"/>
      <c r="BE333" s="102"/>
    </row>
    <row r="334" spans="2:57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X334" s="102"/>
      <c r="AY334" s="102"/>
      <c r="AZ334" s="102"/>
      <c r="BA334" s="102"/>
      <c r="BB334" s="102"/>
      <c r="BC334" s="102"/>
      <c r="BD334" s="102"/>
      <c r="BE334" s="102"/>
    </row>
    <row r="335" spans="2:57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X335" s="102"/>
      <c r="AY335" s="102"/>
      <c r="AZ335" s="102"/>
      <c r="BA335" s="102"/>
      <c r="BB335" s="102"/>
      <c r="BC335" s="102"/>
      <c r="BD335" s="102"/>
      <c r="BE335" s="102"/>
    </row>
    <row r="336" spans="2:57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X336" s="102"/>
      <c r="AY336" s="102"/>
      <c r="AZ336" s="102"/>
      <c r="BA336" s="102"/>
      <c r="BB336" s="102"/>
      <c r="BC336" s="102"/>
      <c r="BD336" s="102"/>
      <c r="BE336" s="102"/>
    </row>
    <row r="337" spans="2:57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X337" s="102"/>
      <c r="AY337" s="102"/>
      <c r="AZ337" s="102"/>
      <c r="BA337" s="102"/>
      <c r="BB337" s="102"/>
      <c r="BC337" s="102"/>
      <c r="BD337" s="102"/>
      <c r="BE337" s="102"/>
    </row>
    <row r="338" spans="2:57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X338" s="102"/>
      <c r="AY338" s="102"/>
      <c r="AZ338" s="102"/>
      <c r="BA338" s="102"/>
      <c r="BB338" s="102"/>
      <c r="BC338" s="102"/>
      <c r="BD338" s="102"/>
      <c r="BE338" s="102"/>
    </row>
    <row r="339" spans="2:57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X339" s="102"/>
      <c r="AY339" s="102"/>
      <c r="AZ339" s="102"/>
      <c r="BA339" s="102"/>
      <c r="BB339" s="102"/>
      <c r="BC339" s="102"/>
      <c r="BD339" s="102"/>
      <c r="BE339" s="102"/>
    </row>
    <row r="340" spans="2:57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X340" s="102"/>
      <c r="AY340" s="102"/>
      <c r="AZ340" s="102"/>
      <c r="BA340" s="102"/>
      <c r="BB340" s="102"/>
      <c r="BC340" s="102"/>
      <c r="BD340" s="102"/>
      <c r="BE340" s="102"/>
    </row>
    <row r="341" spans="2:57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X341" s="102"/>
      <c r="AY341" s="102"/>
      <c r="AZ341" s="102"/>
      <c r="BA341" s="102"/>
      <c r="BB341" s="102"/>
      <c r="BC341" s="102"/>
      <c r="BD341" s="102"/>
      <c r="BE341" s="102"/>
    </row>
    <row r="342" spans="2:57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X342" s="102"/>
      <c r="AY342" s="102"/>
      <c r="AZ342" s="102"/>
      <c r="BA342" s="102"/>
      <c r="BB342" s="102"/>
      <c r="BC342" s="102"/>
      <c r="BD342" s="102"/>
      <c r="BE342" s="102"/>
    </row>
    <row r="343" spans="2:57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X343" s="102"/>
      <c r="AY343" s="102"/>
      <c r="AZ343" s="102"/>
      <c r="BA343" s="102"/>
      <c r="BB343" s="102"/>
      <c r="BC343" s="102"/>
      <c r="BD343" s="102"/>
      <c r="BE343" s="102"/>
    </row>
    <row r="344" spans="2:57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X344" s="102"/>
      <c r="AY344" s="102"/>
      <c r="AZ344" s="102"/>
      <c r="BA344" s="102"/>
      <c r="BB344" s="102"/>
      <c r="BC344" s="102"/>
      <c r="BD344" s="102"/>
      <c r="BE344" s="102"/>
    </row>
    <row r="345" spans="2:57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X345" s="102"/>
      <c r="AY345" s="102"/>
      <c r="AZ345" s="102"/>
      <c r="BA345" s="102"/>
      <c r="BB345" s="102"/>
      <c r="BC345" s="102"/>
      <c r="BD345" s="102"/>
      <c r="BE345" s="102"/>
    </row>
    <row r="346" spans="2:57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X346" s="102"/>
      <c r="AY346" s="102"/>
      <c r="AZ346" s="102"/>
      <c r="BA346" s="102"/>
      <c r="BB346" s="102"/>
      <c r="BC346" s="102"/>
      <c r="BD346" s="102"/>
      <c r="BE346" s="102"/>
    </row>
    <row r="347" spans="2:57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X347" s="102"/>
      <c r="AY347" s="102"/>
      <c r="AZ347" s="102"/>
      <c r="BA347" s="102"/>
      <c r="BB347" s="102"/>
      <c r="BC347" s="102"/>
      <c r="BD347" s="102"/>
      <c r="BE347" s="102"/>
    </row>
    <row r="348" spans="2:57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X348" s="102"/>
      <c r="AY348" s="102"/>
      <c r="AZ348" s="102"/>
      <c r="BA348" s="102"/>
      <c r="BB348" s="102"/>
      <c r="BC348" s="102"/>
      <c r="BD348" s="102"/>
      <c r="BE348" s="102"/>
    </row>
    <row r="349" spans="2:57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X349" s="102"/>
      <c r="AY349" s="102"/>
      <c r="AZ349" s="102"/>
      <c r="BA349" s="102"/>
      <c r="BB349" s="102"/>
      <c r="BC349" s="102"/>
      <c r="BD349" s="102"/>
      <c r="BE349" s="102"/>
    </row>
    <row r="350" spans="2:57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X350" s="102"/>
      <c r="AY350" s="102"/>
      <c r="AZ350" s="102"/>
      <c r="BA350" s="102"/>
      <c r="BB350" s="102"/>
      <c r="BC350" s="102"/>
      <c r="BD350" s="102"/>
      <c r="BE350" s="102"/>
    </row>
    <row r="351" spans="2:57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X351" s="102"/>
      <c r="AY351" s="102"/>
      <c r="AZ351" s="102"/>
      <c r="BA351" s="102"/>
      <c r="BB351" s="102"/>
      <c r="BC351" s="102"/>
      <c r="BD351" s="102"/>
      <c r="BE351" s="102"/>
    </row>
    <row r="352" spans="2:57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X352" s="102"/>
      <c r="AY352" s="102"/>
      <c r="AZ352" s="102"/>
      <c r="BA352" s="102"/>
      <c r="BB352" s="102"/>
      <c r="BC352" s="102"/>
      <c r="BD352" s="102"/>
      <c r="BE352" s="102"/>
    </row>
    <row r="353" spans="2:57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X353" s="102"/>
      <c r="AY353" s="102"/>
      <c r="AZ353" s="102"/>
      <c r="BA353" s="102"/>
      <c r="BB353" s="102"/>
      <c r="BC353" s="102"/>
      <c r="BD353" s="102"/>
      <c r="BE353" s="102"/>
    </row>
    <row r="354" spans="2:57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X354" s="102"/>
      <c r="AY354" s="102"/>
      <c r="AZ354" s="102"/>
      <c r="BA354" s="102"/>
      <c r="BB354" s="102"/>
      <c r="BC354" s="102"/>
      <c r="BD354" s="102"/>
      <c r="BE354" s="102"/>
    </row>
    <row r="355" spans="2:57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X355" s="102"/>
      <c r="AY355" s="102"/>
      <c r="AZ355" s="102"/>
      <c r="BA355" s="102"/>
      <c r="BB355" s="102"/>
      <c r="BC355" s="102"/>
      <c r="BD355" s="102"/>
      <c r="BE355" s="102"/>
    </row>
    <row r="356" spans="2:57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X356" s="102"/>
      <c r="AY356" s="102"/>
      <c r="AZ356" s="102"/>
      <c r="BA356" s="102"/>
      <c r="BB356" s="102"/>
      <c r="BC356" s="102"/>
      <c r="BD356" s="102"/>
      <c r="BE356" s="102"/>
    </row>
    <row r="357" spans="2:57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X357" s="102"/>
      <c r="AY357" s="102"/>
      <c r="AZ357" s="102"/>
      <c r="BA357" s="102"/>
      <c r="BB357" s="102"/>
      <c r="BC357" s="102"/>
      <c r="BD357" s="102"/>
      <c r="BE357" s="102"/>
    </row>
    <row r="358" spans="2:57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X358" s="102"/>
      <c r="AY358" s="102"/>
      <c r="AZ358" s="102"/>
      <c r="BA358" s="102"/>
      <c r="BB358" s="102"/>
      <c r="BC358" s="102"/>
      <c r="BD358" s="102"/>
      <c r="BE358" s="102"/>
    </row>
    <row r="359" spans="2:57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X359" s="102"/>
      <c r="AY359" s="102"/>
      <c r="AZ359" s="102"/>
      <c r="BA359" s="102"/>
      <c r="BB359" s="102"/>
      <c r="BC359" s="102"/>
      <c r="BD359" s="102"/>
      <c r="BE359" s="102"/>
    </row>
    <row r="360" spans="2:57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X360" s="102"/>
      <c r="AY360" s="102"/>
      <c r="AZ360" s="102"/>
      <c r="BA360" s="102"/>
      <c r="BB360" s="102"/>
      <c r="BC360" s="102"/>
      <c r="BD360" s="102"/>
      <c r="BE360" s="102"/>
    </row>
    <row r="361" spans="2:57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X361" s="102"/>
      <c r="AY361" s="102"/>
      <c r="AZ361" s="102"/>
      <c r="BA361" s="102"/>
      <c r="BB361" s="102"/>
      <c r="BC361" s="102"/>
      <c r="BD361" s="102"/>
      <c r="BE361" s="102"/>
    </row>
    <row r="362" spans="2:57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X362" s="102"/>
      <c r="AY362" s="102"/>
      <c r="AZ362" s="102"/>
      <c r="BA362" s="102"/>
      <c r="BB362" s="102"/>
      <c r="BC362" s="102"/>
      <c r="BD362" s="102"/>
      <c r="BE362" s="102"/>
    </row>
    <row r="363" spans="2:57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X363" s="102"/>
      <c r="AY363" s="102"/>
      <c r="AZ363" s="102"/>
      <c r="BA363" s="102"/>
      <c r="BB363" s="102"/>
      <c r="BC363" s="102"/>
      <c r="BD363" s="102"/>
      <c r="BE363" s="102"/>
    </row>
    <row r="364" spans="2:57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X364" s="102"/>
      <c r="AY364" s="102"/>
      <c r="AZ364" s="102"/>
      <c r="BA364" s="102"/>
      <c r="BB364" s="102"/>
      <c r="BC364" s="102"/>
      <c r="BD364" s="102"/>
      <c r="BE364" s="102"/>
    </row>
    <row r="365" spans="2:57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X365" s="102"/>
      <c r="AY365" s="102"/>
      <c r="AZ365" s="102"/>
      <c r="BA365" s="102"/>
      <c r="BB365" s="102"/>
      <c r="BC365" s="102"/>
      <c r="BD365" s="102"/>
      <c r="BE365" s="102"/>
    </row>
    <row r="366" spans="2:57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X366" s="102"/>
      <c r="AY366" s="102"/>
      <c r="AZ366" s="102"/>
      <c r="BA366" s="102"/>
      <c r="BB366" s="102"/>
      <c r="BC366" s="102"/>
      <c r="BD366" s="102"/>
      <c r="BE366" s="102"/>
    </row>
    <row r="367" spans="2:57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X367" s="102"/>
      <c r="AY367" s="102"/>
      <c r="AZ367" s="102"/>
      <c r="BA367" s="102"/>
      <c r="BB367" s="102"/>
      <c r="BC367" s="102"/>
      <c r="BD367" s="102"/>
      <c r="BE367" s="102"/>
    </row>
    <row r="368" spans="2:57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X368" s="102"/>
      <c r="AY368" s="102"/>
      <c r="AZ368" s="102"/>
      <c r="BA368" s="102"/>
      <c r="BB368" s="102"/>
      <c r="BC368" s="102"/>
      <c r="BD368" s="102"/>
      <c r="BE368" s="102"/>
    </row>
    <row r="369" spans="2:57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X369" s="102"/>
      <c r="AY369" s="102"/>
      <c r="AZ369" s="102"/>
      <c r="BA369" s="102"/>
      <c r="BB369" s="102"/>
      <c r="BC369" s="102"/>
      <c r="BD369" s="102"/>
      <c r="BE369" s="102"/>
    </row>
    <row r="370" spans="2:57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X370" s="102"/>
      <c r="AY370" s="102"/>
      <c r="AZ370" s="102"/>
      <c r="BA370" s="102"/>
      <c r="BB370" s="102"/>
      <c r="BC370" s="102"/>
      <c r="BD370" s="102"/>
      <c r="BE370" s="102"/>
    </row>
    <row r="371" spans="2:57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X371" s="102"/>
      <c r="AY371" s="102"/>
      <c r="AZ371" s="102"/>
      <c r="BA371" s="102"/>
      <c r="BB371" s="102"/>
      <c r="BC371" s="102"/>
      <c r="BD371" s="102"/>
      <c r="BE371" s="102"/>
    </row>
    <row r="372" spans="2:57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X372" s="102"/>
      <c r="AY372" s="102"/>
      <c r="AZ372" s="102"/>
      <c r="BA372" s="102"/>
      <c r="BB372" s="102"/>
      <c r="BC372" s="102"/>
      <c r="BD372" s="102"/>
      <c r="BE372" s="102"/>
    </row>
    <row r="373" spans="2:57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X373" s="102"/>
      <c r="AY373" s="102"/>
      <c r="AZ373" s="102"/>
      <c r="BA373" s="102"/>
      <c r="BB373" s="102"/>
      <c r="BC373" s="102"/>
      <c r="BD373" s="102"/>
      <c r="BE373" s="102"/>
    </row>
    <row r="374" spans="2:57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X374" s="102"/>
      <c r="AY374" s="102"/>
      <c r="AZ374" s="102"/>
      <c r="BA374" s="102"/>
      <c r="BB374" s="102"/>
      <c r="BC374" s="102"/>
      <c r="BD374" s="102"/>
      <c r="BE374" s="102"/>
    </row>
    <row r="375" spans="2:57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X375" s="102"/>
      <c r="AY375" s="102"/>
      <c r="AZ375" s="102"/>
      <c r="BA375" s="102"/>
      <c r="BB375" s="102"/>
      <c r="BC375" s="102"/>
      <c r="BD375" s="102"/>
      <c r="BE375" s="102"/>
    </row>
    <row r="376" spans="2:57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X376" s="102"/>
      <c r="AY376" s="102"/>
      <c r="AZ376" s="102"/>
      <c r="BA376" s="102"/>
      <c r="BB376" s="102"/>
      <c r="BC376" s="102"/>
      <c r="BD376" s="102"/>
      <c r="BE376" s="102"/>
    </row>
    <row r="377" spans="2:57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X377" s="102"/>
      <c r="AY377" s="102"/>
      <c r="AZ377" s="102"/>
      <c r="BA377" s="102"/>
      <c r="BB377" s="102"/>
      <c r="BC377" s="102"/>
      <c r="BD377" s="102"/>
      <c r="BE377" s="102"/>
    </row>
    <row r="378" spans="2:57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X378" s="102"/>
      <c r="AY378" s="102"/>
      <c r="AZ378" s="102"/>
      <c r="BA378" s="102"/>
      <c r="BB378" s="102"/>
      <c r="BC378" s="102"/>
      <c r="BD378" s="102"/>
      <c r="BE378" s="102"/>
    </row>
    <row r="379" spans="2:57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X379" s="102"/>
      <c r="AY379" s="102"/>
      <c r="AZ379" s="102"/>
      <c r="BA379" s="102"/>
      <c r="BB379" s="102"/>
      <c r="BC379" s="102"/>
      <c r="BD379" s="102"/>
      <c r="BE379" s="102"/>
    </row>
    <row r="380" spans="2:57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X380" s="102"/>
      <c r="AY380" s="102"/>
      <c r="AZ380" s="102"/>
      <c r="BA380" s="102"/>
      <c r="BB380" s="102"/>
      <c r="BC380" s="102"/>
      <c r="BD380" s="102"/>
      <c r="BE380" s="102"/>
    </row>
    <row r="381" spans="2:57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X381" s="102"/>
      <c r="AY381" s="102"/>
      <c r="AZ381" s="102"/>
      <c r="BA381" s="102"/>
      <c r="BB381" s="102"/>
      <c r="BC381" s="102"/>
      <c r="BD381" s="102"/>
      <c r="BE381" s="102"/>
    </row>
    <row r="382" spans="2:57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X382" s="102"/>
      <c r="AY382" s="102"/>
      <c r="AZ382" s="102"/>
      <c r="BA382" s="102"/>
      <c r="BB382" s="102"/>
      <c r="BC382" s="102"/>
      <c r="BD382" s="102"/>
      <c r="BE382" s="102"/>
    </row>
    <row r="383" spans="2:57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X383" s="102"/>
      <c r="AY383" s="102"/>
      <c r="AZ383" s="102"/>
      <c r="BA383" s="102"/>
      <c r="BB383" s="102"/>
      <c r="BC383" s="102"/>
      <c r="BD383" s="102"/>
      <c r="BE383" s="102"/>
    </row>
    <row r="384" spans="2:57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X384" s="102"/>
      <c r="AY384" s="102"/>
      <c r="AZ384" s="102"/>
      <c r="BA384" s="102"/>
      <c r="BB384" s="102"/>
      <c r="BC384" s="102"/>
      <c r="BD384" s="102"/>
      <c r="BE384" s="102"/>
    </row>
    <row r="385" spans="2:57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X385" s="102"/>
      <c r="AY385" s="102"/>
      <c r="AZ385" s="102"/>
      <c r="BA385" s="102"/>
      <c r="BB385" s="102"/>
      <c r="BC385" s="102"/>
      <c r="BD385" s="102"/>
      <c r="BE385" s="102"/>
    </row>
    <row r="386" spans="2:57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X386" s="102"/>
      <c r="AY386" s="102"/>
      <c r="AZ386" s="102"/>
      <c r="BA386" s="102"/>
      <c r="BB386" s="102"/>
      <c r="BC386" s="102"/>
      <c r="BD386" s="102"/>
      <c r="BE386" s="102"/>
    </row>
    <row r="387" spans="2:57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X387" s="102"/>
      <c r="AY387" s="102"/>
      <c r="AZ387" s="102"/>
      <c r="BA387" s="102"/>
      <c r="BB387" s="102"/>
      <c r="BC387" s="102"/>
      <c r="BD387" s="102"/>
      <c r="BE387" s="102"/>
    </row>
    <row r="388" spans="2:57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X388" s="102"/>
      <c r="AY388" s="102"/>
      <c r="AZ388" s="102"/>
      <c r="BA388" s="102"/>
      <c r="BB388" s="102"/>
      <c r="BC388" s="102"/>
      <c r="BD388" s="102"/>
      <c r="BE388" s="102"/>
    </row>
    <row r="389" spans="2:57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X389" s="102"/>
      <c r="AY389" s="102"/>
      <c r="AZ389" s="102"/>
      <c r="BA389" s="102"/>
      <c r="BB389" s="102"/>
      <c r="BC389" s="102"/>
      <c r="BD389" s="102"/>
      <c r="BE389" s="102"/>
    </row>
    <row r="390" spans="2:57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X390" s="102"/>
      <c r="AY390" s="102"/>
      <c r="AZ390" s="102"/>
      <c r="BA390" s="102"/>
      <c r="BB390" s="102"/>
      <c r="BC390" s="102"/>
      <c r="BD390" s="102"/>
      <c r="BE390" s="102"/>
    </row>
    <row r="391" spans="2:57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X391" s="102"/>
      <c r="AY391" s="102"/>
      <c r="AZ391" s="102"/>
      <c r="BA391" s="102"/>
      <c r="BB391" s="102"/>
      <c r="BC391" s="102"/>
      <c r="BD391" s="102"/>
      <c r="BE391" s="102"/>
    </row>
    <row r="392" spans="2:57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X392" s="102"/>
      <c r="AY392" s="102"/>
      <c r="AZ392" s="102"/>
      <c r="BA392" s="102"/>
      <c r="BB392" s="102"/>
      <c r="BC392" s="102"/>
      <c r="BD392" s="102"/>
      <c r="BE392" s="102"/>
    </row>
    <row r="393" spans="2:57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X393" s="102"/>
      <c r="AY393" s="102"/>
      <c r="AZ393" s="102"/>
      <c r="BA393" s="102"/>
      <c r="BB393" s="102"/>
      <c r="BC393" s="102"/>
      <c r="BD393" s="102"/>
      <c r="BE393" s="102"/>
    </row>
    <row r="394" spans="2:57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X394" s="102"/>
      <c r="AY394" s="102"/>
      <c r="AZ394" s="102"/>
      <c r="BA394" s="102"/>
      <c r="BB394" s="102"/>
      <c r="BC394" s="102"/>
      <c r="BD394" s="102"/>
      <c r="BE394" s="102"/>
    </row>
    <row r="395" spans="2:57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X395" s="102"/>
      <c r="AY395" s="102"/>
      <c r="AZ395" s="102"/>
      <c r="BA395" s="102"/>
      <c r="BB395" s="102"/>
      <c r="BC395" s="102"/>
      <c r="BD395" s="102"/>
      <c r="BE395" s="102"/>
    </row>
    <row r="396" spans="2:57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X396" s="102"/>
      <c r="AY396" s="102"/>
      <c r="AZ396" s="102"/>
      <c r="BA396" s="102"/>
      <c r="BB396" s="102"/>
      <c r="BC396" s="102"/>
      <c r="BD396" s="102"/>
      <c r="BE396" s="102"/>
    </row>
    <row r="397" spans="2:57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X397" s="102"/>
      <c r="AY397" s="102"/>
      <c r="AZ397" s="102"/>
      <c r="BA397" s="102"/>
      <c r="BB397" s="102"/>
      <c r="BC397" s="102"/>
      <c r="BD397" s="102"/>
      <c r="BE397" s="102"/>
    </row>
    <row r="398" spans="2:57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X398" s="102"/>
      <c r="AY398" s="102"/>
      <c r="AZ398" s="102"/>
      <c r="BA398" s="102"/>
      <c r="BB398" s="102"/>
      <c r="BC398" s="102"/>
      <c r="BD398" s="102"/>
      <c r="BE398" s="102"/>
    </row>
    <row r="399" spans="2:57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X399" s="102"/>
      <c r="AY399" s="102"/>
      <c r="AZ399" s="102"/>
      <c r="BA399" s="102"/>
      <c r="BB399" s="102"/>
      <c r="BC399" s="102"/>
      <c r="BD399" s="102"/>
      <c r="BE399" s="102"/>
    </row>
    <row r="400" spans="2:57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X400" s="102"/>
      <c r="AY400" s="102"/>
      <c r="AZ400" s="102"/>
      <c r="BA400" s="102"/>
      <c r="BB400" s="102"/>
      <c r="BC400" s="102"/>
      <c r="BD400" s="102"/>
      <c r="BE400" s="102"/>
    </row>
    <row r="401" spans="2:57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X401" s="102"/>
      <c r="AY401" s="102"/>
      <c r="AZ401" s="102"/>
      <c r="BA401" s="102"/>
      <c r="BB401" s="102"/>
      <c r="BC401" s="102"/>
      <c r="BD401" s="102"/>
      <c r="BE401" s="102"/>
    </row>
    <row r="402" spans="2:57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X402" s="102"/>
      <c r="AY402" s="102"/>
      <c r="AZ402" s="102"/>
      <c r="BA402" s="102"/>
      <c r="BB402" s="102"/>
      <c r="BC402" s="102"/>
      <c r="BD402" s="102"/>
      <c r="BE402" s="102"/>
    </row>
    <row r="403" spans="2:57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X403" s="102"/>
      <c r="AY403" s="102"/>
      <c r="AZ403" s="102"/>
      <c r="BA403" s="102"/>
      <c r="BB403" s="102"/>
      <c r="BC403" s="102"/>
      <c r="BD403" s="102"/>
      <c r="BE403" s="102"/>
    </row>
    <row r="404" spans="2:57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X404" s="102"/>
      <c r="AY404" s="102"/>
      <c r="AZ404" s="102"/>
      <c r="BA404" s="102"/>
      <c r="BB404" s="102"/>
      <c r="BC404" s="102"/>
      <c r="BD404" s="102"/>
      <c r="BE404" s="102"/>
    </row>
    <row r="405" spans="2:57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X405" s="102"/>
      <c r="AY405" s="102"/>
      <c r="AZ405" s="102"/>
      <c r="BA405" s="102"/>
      <c r="BB405" s="102"/>
      <c r="BC405" s="102"/>
      <c r="BD405" s="102"/>
      <c r="BE405" s="102"/>
    </row>
    <row r="406" spans="2:57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X406" s="102"/>
      <c r="AY406" s="102"/>
      <c r="AZ406" s="102"/>
      <c r="BA406" s="102"/>
      <c r="BB406" s="102"/>
      <c r="BC406" s="102"/>
      <c r="BD406" s="102"/>
      <c r="BE406" s="102"/>
    </row>
    <row r="407" spans="2:57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X407" s="102"/>
      <c r="AY407" s="102"/>
      <c r="AZ407" s="102"/>
      <c r="BA407" s="102"/>
      <c r="BB407" s="102"/>
      <c r="BC407" s="102"/>
      <c r="BD407" s="102"/>
      <c r="BE407" s="102"/>
    </row>
    <row r="408" spans="2:57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X408" s="102"/>
      <c r="AY408" s="102"/>
      <c r="AZ408" s="102"/>
      <c r="BA408" s="102"/>
      <c r="BB408" s="102"/>
      <c r="BC408" s="102"/>
      <c r="BD408" s="102"/>
      <c r="BE408" s="102"/>
    </row>
    <row r="409" spans="2:57" s="64" customFormat="1" ht="20.25" customHeight="1"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  <c r="AE409" s="102"/>
      <c r="AF409" s="102"/>
      <c r="AG409" s="102"/>
      <c r="AH409" s="102"/>
      <c r="AI409" s="102"/>
      <c r="AJ409" s="102"/>
      <c r="AK409" s="102"/>
      <c r="AL409" s="102"/>
      <c r="AM409" s="102"/>
      <c r="AN409" s="102"/>
      <c r="AO409" s="102"/>
      <c r="AP409" s="102"/>
      <c r="AQ409" s="102"/>
      <c r="AR409" s="102"/>
      <c r="AS409" s="102"/>
      <c r="AT409" s="102"/>
      <c r="AU409" s="102"/>
      <c r="AV409" s="102"/>
      <c r="AW409" s="102"/>
      <c r="AX409" s="102"/>
      <c r="AY409" s="102"/>
      <c r="AZ409" s="102"/>
      <c r="BA409" s="102"/>
      <c r="BB409" s="102"/>
      <c r="BC409" s="102"/>
      <c r="BD409" s="102"/>
      <c r="BE409" s="102"/>
    </row>
    <row r="410" spans="2:57" s="64" customFormat="1" ht="20.25" customHeight="1"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  <c r="AD410" s="102"/>
      <c r="AE410" s="102"/>
      <c r="AF410" s="102"/>
      <c r="AG410" s="102"/>
      <c r="AH410" s="102"/>
      <c r="AI410" s="102"/>
      <c r="AJ410" s="102"/>
      <c r="AK410" s="102"/>
      <c r="AL410" s="102"/>
      <c r="AM410" s="102"/>
      <c r="AN410" s="102"/>
      <c r="AO410" s="102"/>
      <c r="AP410" s="102"/>
      <c r="AQ410" s="102"/>
      <c r="AR410" s="102"/>
      <c r="AS410" s="102"/>
      <c r="AT410" s="102"/>
      <c r="AU410" s="102"/>
      <c r="AV410" s="102"/>
      <c r="AW410" s="102"/>
      <c r="AX410" s="102"/>
      <c r="AY410" s="102"/>
      <c r="AZ410" s="102"/>
      <c r="BA410" s="102"/>
      <c r="BB410" s="102"/>
      <c r="BC410" s="102"/>
      <c r="BD410" s="102"/>
      <c r="BE410" s="102"/>
    </row>
    <row r="411" spans="2:57" s="64" customFormat="1" ht="20.25" customHeight="1"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  <c r="AC411" s="102"/>
      <c r="AD411" s="102"/>
      <c r="AE411" s="102"/>
      <c r="AF411" s="102"/>
      <c r="AG411" s="102"/>
      <c r="AH411" s="102"/>
      <c r="AI411" s="102"/>
      <c r="AJ411" s="102"/>
      <c r="AK411" s="102"/>
      <c r="AL411" s="102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02"/>
      <c r="AW411" s="102"/>
      <c r="AX411" s="102"/>
      <c r="AY411" s="102"/>
      <c r="AZ411" s="102"/>
      <c r="BA411" s="102"/>
      <c r="BB411" s="102"/>
      <c r="BC411" s="102"/>
      <c r="BD411" s="102"/>
      <c r="BE411" s="102"/>
    </row>
  </sheetData>
  <mergeCells count="102">
    <mergeCell ref="C35:S35"/>
    <mergeCell ref="C36:S36"/>
    <mergeCell ref="C37:S37"/>
    <mergeCell ref="T39:AD39"/>
    <mergeCell ref="C46:AD46"/>
    <mergeCell ref="C47:AD47"/>
    <mergeCell ref="C49:AD49"/>
    <mergeCell ref="C51:AD51"/>
    <mergeCell ref="AE22:AN22"/>
    <mergeCell ref="AE32:AN32"/>
    <mergeCell ref="AE24:AN24"/>
    <mergeCell ref="T25:AD25"/>
    <mergeCell ref="AE25:AN25"/>
    <mergeCell ref="AE26:AN26"/>
    <mergeCell ref="T27:AD27"/>
    <mergeCell ref="AE27:AN27"/>
    <mergeCell ref="AE33:AN33"/>
    <mergeCell ref="T37:AD37"/>
    <mergeCell ref="AE37:AN37"/>
    <mergeCell ref="T35:AD35"/>
    <mergeCell ref="AE34:AN34"/>
    <mergeCell ref="AE30:AN30"/>
    <mergeCell ref="AE31:AN31"/>
    <mergeCell ref="T34:AD34"/>
    <mergeCell ref="C57:AD60"/>
    <mergeCell ref="C38:S38"/>
    <mergeCell ref="AE44:AN44"/>
    <mergeCell ref="AE45:AN45"/>
    <mergeCell ref="C39:S39"/>
    <mergeCell ref="AE39:AN39"/>
    <mergeCell ref="C45:AD45"/>
    <mergeCell ref="AE46:AN46"/>
    <mergeCell ref="AE59:AN60"/>
    <mergeCell ref="AE57:AN58"/>
    <mergeCell ref="C50:AD50"/>
    <mergeCell ref="B52:AB52"/>
    <mergeCell ref="T38:AD38"/>
    <mergeCell ref="AC52:AD52"/>
    <mergeCell ref="C48:AD48"/>
    <mergeCell ref="C44:AD44"/>
    <mergeCell ref="AE38:AN38"/>
    <mergeCell ref="AE52:AN52"/>
    <mergeCell ref="AE47:AN47"/>
    <mergeCell ref="AE48:AN48"/>
    <mergeCell ref="AE49:AN49"/>
    <mergeCell ref="AE51:AN51"/>
    <mergeCell ref="AE50:AN50"/>
    <mergeCell ref="T23:AD23"/>
    <mergeCell ref="AE23:AN23"/>
    <mergeCell ref="T24:AD24"/>
    <mergeCell ref="C23:S23"/>
    <mergeCell ref="C24:S24"/>
    <mergeCell ref="T31:AD31"/>
    <mergeCell ref="T32:AD32"/>
    <mergeCell ref="T28:AD28"/>
    <mergeCell ref="T33:AD33"/>
    <mergeCell ref="C25:S25"/>
    <mergeCell ref="C26:S26"/>
    <mergeCell ref="C27:S27"/>
    <mergeCell ref="C28:S28"/>
    <mergeCell ref="C29:S29"/>
    <mergeCell ref="C30:S30"/>
    <mergeCell ref="C31:S31"/>
    <mergeCell ref="C32:S32"/>
    <mergeCell ref="C33:S33"/>
    <mergeCell ref="B3:B6"/>
    <mergeCell ref="C3:J5"/>
    <mergeCell ref="B8:J8"/>
    <mergeCell ref="B7:J7"/>
    <mergeCell ref="B20:C20"/>
    <mergeCell ref="F11:P11"/>
    <mergeCell ref="C21:R21"/>
    <mergeCell ref="T21:AD21"/>
    <mergeCell ref="C22:S22"/>
    <mergeCell ref="N7:AC7"/>
    <mergeCell ref="N8:AC8"/>
    <mergeCell ref="N6:AC6"/>
    <mergeCell ref="AD11:AH11"/>
    <mergeCell ref="AE36:AN36"/>
    <mergeCell ref="T36:AD36"/>
    <mergeCell ref="AE35:AN35"/>
    <mergeCell ref="AJ3:AK4"/>
    <mergeCell ref="AL3:AM4"/>
    <mergeCell ref="AM7:AN7"/>
    <mergeCell ref="AF7:AG7"/>
    <mergeCell ref="AH7:AI7"/>
    <mergeCell ref="AK7:AL7"/>
    <mergeCell ref="AE29:AN29"/>
    <mergeCell ref="T22:AD22"/>
    <mergeCell ref="AE21:AN21"/>
    <mergeCell ref="F19:AN19"/>
    <mergeCell ref="AH3:AI4"/>
    <mergeCell ref="AF3:AG4"/>
    <mergeCell ref="K4:AD5"/>
    <mergeCell ref="K3:AD3"/>
    <mergeCell ref="C34:S34"/>
    <mergeCell ref="T29:AD29"/>
    <mergeCell ref="T30:AD30"/>
    <mergeCell ref="T26:AD26"/>
    <mergeCell ref="AE3:AE8"/>
    <mergeCell ref="AE28:AN28"/>
    <mergeCell ref="AJ11:AO11"/>
  </mergeCells>
  <phoneticPr fontId="20" type="noConversion"/>
  <printOptions horizontalCentered="1"/>
  <pageMargins left="0.11811023622047245" right="0.11811023622047245" top="0.39370078740157483" bottom="0.19685039370078741" header="0" footer="0"/>
  <pageSetup paperSize="5" scale="76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rgb="FF92D050"/>
  </sheetPr>
  <dimension ref="A1:BN418"/>
  <sheetViews>
    <sheetView showGridLines="0" view="pageBreakPreview" topLeftCell="A49" workbookViewId="0">
      <selection activeCell="AN56" sqref="AN56:AV56"/>
    </sheetView>
  </sheetViews>
  <sheetFormatPr defaultColWidth="9.140625" defaultRowHeight="12.75"/>
  <cols>
    <col min="1" max="1" width="3.7109375" style="64" customWidth="1"/>
    <col min="2" max="2" width="3.7109375" style="102" customWidth="1"/>
    <col min="3" max="3" width="3.85546875" style="102" customWidth="1"/>
    <col min="4" max="13" width="2.140625" style="102" hidden="1" customWidth="1"/>
    <col min="14" max="14" width="4" style="102" customWidth="1"/>
    <col min="15" max="15" width="5.140625" style="102" customWidth="1"/>
    <col min="16" max="16" width="2.42578125" style="102" customWidth="1"/>
    <col min="17" max="17" width="2.28515625" style="102" customWidth="1"/>
    <col min="18" max="18" width="8" style="102" customWidth="1"/>
    <col min="19" max="19" width="0.5703125" style="102" customWidth="1"/>
    <col min="20" max="20" width="1.42578125" style="102" customWidth="1"/>
    <col min="21" max="47" width="3.7109375" style="102" customWidth="1"/>
    <col min="48" max="48" width="0.42578125" style="102" customWidth="1"/>
    <col min="49" max="49" width="3.7109375" style="102" customWidth="1"/>
    <col min="50" max="50" width="2.85546875" style="64" customWidth="1"/>
    <col min="51" max="52" width="2.85546875" style="102" customWidth="1"/>
    <col min="53" max="53" width="4" style="102" hidden="1" customWidth="1"/>
    <col min="54" max="54" width="18.140625" style="102" hidden="1" customWidth="1"/>
    <col min="55" max="104" width="2.85546875" style="102" customWidth="1"/>
    <col min="105" max="198" width="3.85546875" style="102" customWidth="1"/>
    <col min="199" max="16384" width="9.140625" style="102"/>
  </cols>
  <sheetData>
    <row r="1" spans="1:50" ht="9.9499999999999993" customHeight="1">
      <c r="A1" s="103"/>
      <c r="B1" s="10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64"/>
      <c r="AV1" s="208"/>
      <c r="AW1" s="207"/>
      <c r="AX1" s="106"/>
    </row>
    <row r="2" spans="1:50" ht="5.25" customHeight="1">
      <c r="A2" s="106"/>
      <c r="B2" s="2834" t="s">
        <v>0</v>
      </c>
      <c r="C2" s="2834"/>
      <c r="D2" s="1140"/>
      <c r="E2" s="1140"/>
      <c r="F2" s="1140"/>
      <c r="G2" s="1140"/>
      <c r="H2" s="1140"/>
      <c r="I2" s="1140"/>
      <c r="J2" s="1140"/>
      <c r="K2" s="1140"/>
      <c r="L2" s="1140"/>
      <c r="M2" s="1140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64"/>
      <c r="AW2" s="104"/>
    </row>
    <row r="3" spans="1:50" ht="15" customHeight="1">
      <c r="B3" s="2834"/>
      <c r="C3" s="2834"/>
      <c r="D3" s="1140"/>
      <c r="E3" s="1140"/>
      <c r="F3" s="1140"/>
      <c r="G3" s="1140"/>
      <c r="H3" s="1140"/>
      <c r="I3" s="1140"/>
      <c r="J3" s="1140"/>
      <c r="K3" s="1140"/>
      <c r="L3" s="1140"/>
      <c r="M3" s="1140"/>
      <c r="N3" s="2835" t="s">
        <v>173</v>
      </c>
      <c r="O3" s="2835"/>
      <c r="P3" s="2835"/>
      <c r="Q3" s="2835"/>
      <c r="R3" s="2836"/>
      <c r="S3" s="2760" t="s">
        <v>174</v>
      </c>
      <c r="T3" s="2761"/>
      <c r="U3" s="2761"/>
      <c r="V3" s="2761"/>
      <c r="W3" s="2761"/>
      <c r="X3" s="2761"/>
      <c r="Y3" s="2761"/>
      <c r="Z3" s="2761"/>
      <c r="AA3" s="2761"/>
      <c r="AB3" s="2761"/>
      <c r="AC3" s="2761"/>
      <c r="AD3" s="2761"/>
      <c r="AE3" s="2761"/>
      <c r="AF3" s="2761"/>
      <c r="AG3" s="2761"/>
      <c r="AH3" s="2761"/>
      <c r="AI3" s="2761"/>
      <c r="AJ3" s="2761"/>
      <c r="AK3" s="2762"/>
      <c r="AL3" s="2840" t="s">
        <v>3</v>
      </c>
      <c r="AM3" s="2745">
        <f>'FE-1770-IV'!AM3</f>
        <v>0</v>
      </c>
      <c r="AN3" s="2745"/>
      <c r="AO3" s="2745">
        <f>'FE-1770-IV'!AO3</f>
        <v>0</v>
      </c>
      <c r="AP3" s="2745"/>
      <c r="AQ3" s="2745">
        <f>'FE-1770-IV'!AQ3</f>
        <v>0</v>
      </c>
      <c r="AR3" s="2745"/>
      <c r="AS3" s="2745">
        <f>'FE-1770-IV'!AS3</f>
        <v>0</v>
      </c>
      <c r="AT3" s="2745"/>
      <c r="AU3" s="107"/>
      <c r="AV3" s="107"/>
      <c r="AW3" s="5"/>
    </row>
    <row r="4" spans="1:50" ht="14.25" customHeight="1">
      <c r="B4" s="2834"/>
      <c r="C4" s="2834"/>
      <c r="D4" s="1140"/>
      <c r="E4" s="1140"/>
      <c r="F4" s="1140"/>
      <c r="G4" s="1140"/>
      <c r="H4" s="1140"/>
      <c r="I4" s="1140"/>
      <c r="J4" s="1140"/>
      <c r="K4" s="1140"/>
      <c r="L4" s="1140"/>
      <c r="M4" s="1140"/>
      <c r="N4" s="2835"/>
      <c r="O4" s="2835"/>
      <c r="P4" s="2835"/>
      <c r="Q4" s="2835"/>
      <c r="R4" s="2836"/>
      <c r="S4" s="180" t="s">
        <v>259</v>
      </c>
      <c r="T4" s="162"/>
      <c r="U4" s="162"/>
      <c r="V4" s="162"/>
      <c r="W4" s="162"/>
      <c r="X4" s="162"/>
      <c r="Y4" s="162"/>
      <c r="Z4" s="162"/>
      <c r="AA4" s="162"/>
      <c r="AB4" s="162"/>
      <c r="AC4" s="162"/>
      <c r="AD4" s="162"/>
      <c r="AE4" s="162"/>
      <c r="AF4" s="162"/>
      <c r="AG4" s="162"/>
      <c r="AH4" s="162"/>
      <c r="AI4" s="162"/>
      <c r="AJ4" s="162"/>
      <c r="AK4" s="382"/>
      <c r="AL4" s="2840"/>
      <c r="AM4" s="2745"/>
      <c r="AN4" s="2745"/>
      <c r="AO4" s="2745"/>
      <c r="AP4" s="2745"/>
      <c r="AQ4" s="2745"/>
      <c r="AR4" s="2745"/>
      <c r="AS4" s="2745"/>
      <c r="AT4" s="2745"/>
      <c r="AU4" s="107"/>
      <c r="AV4" s="107"/>
      <c r="AW4" s="5"/>
    </row>
    <row r="5" spans="1:50" ht="13.5" customHeight="1" thickBot="1">
      <c r="B5" s="2834"/>
      <c r="C5" s="2834"/>
      <c r="D5" s="1140"/>
      <c r="E5" s="1140"/>
      <c r="F5" s="1140"/>
      <c r="G5" s="1140"/>
      <c r="H5" s="1140"/>
      <c r="I5" s="1140"/>
      <c r="J5" s="1140"/>
      <c r="K5" s="1140"/>
      <c r="L5" s="1140"/>
      <c r="M5" s="1140"/>
      <c r="N5" s="2835"/>
      <c r="O5" s="2835"/>
      <c r="P5" s="2835"/>
      <c r="Q5" s="2835"/>
      <c r="R5" s="2836"/>
      <c r="S5" s="168"/>
      <c r="T5" s="197"/>
      <c r="U5" s="197"/>
      <c r="V5" s="197"/>
      <c r="W5" s="197"/>
      <c r="X5" s="197"/>
      <c r="Y5" s="197"/>
      <c r="Z5" s="197"/>
      <c r="AA5" s="197"/>
      <c r="AB5" s="197"/>
      <c r="AC5" s="197"/>
      <c r="AD5" s="197"/>
      <c r="AE5" s="197"/>
      <c r="AF5" s="197"/>
      <c r="AG5" s="197"/>
      <c r="AH5" s="197"/>
      <c r="AI5" s="197"/>
      <c r="AJ5" s="197"/>
      <c r="AK5" s="198"/>
      <c r="AL5" s="2840"/>
      <c r="AV5" s="108"/>
      <c r="AW5" s="109"/>
    </row>
    <row r="6" spans="1:50" ht="21" customHeight="1">
      <c r="B6" s="2834"/>
      <c r="C6" s="2834"/>
      <c r="D6" s="1140"/>
      <c r="E6" s="1140"/>
      <c r="F6" s="1140"/>
      <c r="G6" s="1140"/>
      <c r="H6" s="1140"/>
      <c r="I6" s="1140"/>
      <c r="J6" s="1140"/>
      <c r="K6" s="1140"/>
      <c r="L6" s="1140"/>
      <c r="M6" s="1140"/>
      <c r="N6" s="181"/>
      <c r="O6" s="181"/>
      <c r="P6" s="181"/>
      <c r="Q6" s="181"/>
      <c r="R6" s="182"/>
      <c r="U6" s="1141" t="s">
        <v>6</v>
      </c>
      <c r="V6" s="2832" t="s">
        <v>292</v>
      </c>
      <c r="W6" s="2832"/>
      <c r="X6" s="2832"/>
      <c r="Y6" s="2832"/>
      <c r="Z6" s="2832"/>
      <c r="AA6" s="2832"/>
      <c r="AB6" s="2832"/>
      <c r="AC6" s="2832"/>
      <c r="AD6" s="2832"/>
      <c r="AE6" s="2832"/>
      <c r="AF6" s="2832"/>
      <c r="AG6" s="2832"/>
      <c r="AH6" s="2832"/>
      <c r="AI6" s="2832"/>
      <c r="AJ6" s="227"/>
      <c r="AK6" s="228"/>
      <c r="AL6" s="2840"/>
      <c r="AM6" s="1423" t="str">
        <f>'FE-1770-IV'!AM6</f>
        <v>0</v>
      </c>
      <c r="AN6" s="1423" t="str">
        <f>'FE-1770-IV'!AN6</f>
        <v>1</v>
      </c>
      <c r="AO6" s="1423" t="str">
        <f>'FE-1770-IV'!AO6</f>
        <v>0</v>
      </c>
      <c r="AP6" s="1423" t="str">
        <f>'FE-1770-IV'!AP6</f>
        <v>0</v>
      </c>
      <c r="AQ6" s="1137" t="s">
        <v>7</v>
      </c>
      <c r="AR6" s="1423" t="str">
        <f>'FE-1770-IV'!AR6</f>
        <v>0</v>
      </c>
      <c r="AS6" s="1423" t="str">
        <f>'FE-1770-IV'!AS6</f>
        <v>1</v>
      </c>
      <c r="AT6" s="1423" t="str">
        <f>'FE-1770-IV'!AT6</f>
        <v>0</v>
      </c>
      <c r="AU6" s="1423" t="str">
        <f>'FE-1770-IV'!AU6</f>
        <v>0</v>
      </c>
      <c r="AV6" s="110"/>
      <c r="AW6" s="110"/>
    </row>
    <row r="7" spans="1:50" ht="9.75" customHeight="1">
      <c r="B7" s="2554" t="s">
        <v>302</v>
      </c>
      <c r="C7" s="2554"/>
      <c r="D7" s="2554"/>
      <c r="E7" s="2554"/>
      <c r="F7" s="2554"/>
      <c r="G7" s="2554"/>
      <c r="H7" s="2554"/>
      <c r="I7" s="2554"/>
      <c r="J7" s="2554"/>
      <c r="K7" s="2554"/>
      <c r="L7" s="2554"/>
      <c r="M7" s="2554"/>
      <c r="N7" s="2554"/>
      <c r="O7" s="2554"/>
      <c r="P7" s="2554"/>
      <c r="Q7" s="2554"/>
      <c r="R7" s="2555"/>
      <c r="U7" s="2833" t="s">
        <v>6</v>
      </c>
      <c r="V7" s="2574" t="s">
        <v>293</v>
      </c>
      <c r="W7" s="2574"/>
      <c r="X7" s="2574"/>
      <c r="Y7" s="2574"/>
      <c r="Z7" s="2574"/>
      <c r="AA7" s="2574"/>
      <c r="AB7" s="2574"/>
      <c r="AC7" s="2574"/>
      <c r="AD7" s="2574"/>
      <c r="AE7" s="2574"/>
      <c r="AF7" s="2574"/>
      <c r="AG7" s="2574"/>
      <c r="AH7" s="2574"/>
      <c r="AI7" s="2574"/>
      <c r="AJ7" s="2574"/>
      <c r="AK7" s="229"/>
      <c r="AL7" s="2840"/>
      <c r="AM7" s="2561" t="s">
        <v>4</v>
      </c>
      <c r="AN7" s="2561"/>
      <c r="AO7" s="2755" t="s">
        <v>5</v>
      </c>
      <c r="AP7" s="2755"/>
      <c r="AQ7" s="226"/>
      <c r="AR7" s="2755" t="s">
        <v>4</v>
      </c>
      <c r="AS7" s="2755"/>
      <c r="AT7" s="2755" t="s">
        <v>5</v>
      </c>
      <c r="AU7" s="2755"/>
    </row>
    <row r="8" spans="1:50" ht="7.5" customHeight="1">
      <c r="B8" s="2531" t="s">
        <v>8</v>
      </c>
      <c r="C8" s="2531"/>
      <c r="D8" s="2531"/>
      <c r="E8" s="2531"/>
      <c r="F8" s="2531"/>
      <c r="G8" s="2531"/>
      <c r="H8" s="2531"/>
      <c r="I8" s="2531"/>
      <c r="J8" s="2531"/>
      <c r="K8" s="2531"/>
      <c r="L8" s="2531"/>
      <c r="M8" s="2531"/>
      <c r="N8" s="2531"/>
      <c r="O8" s="2531"/>
      <c r="P8" s="2531"/>
      <c r="Q8" s="2531"/>
      <c r="R8" s="2532"/>
      <c r="S8" s="199"/>
      <c r="U8" s="2833"/>
      <c r="V8" s="2574"/>
      <c r="W8" s="2574"/>
      <c r="X8" s="2574"/>
      <c r="Y8" s="2574"/>
      <c r="Z8" s="2574"/>
      <c r="AA8" s="2574"/>
      <c r="AB8" s="2574"/>
      <c r="AC8" s="2574"/>
      <c r="AD8" s="2574"/>
      <c r="AE8" s="2574"/>
      <c r="AF8" s="2574"/>
      <c r="AG8" s="2574"/>
      <c r="AH8" s="2574"/>
      <c r="AI8" s="2574"/>
      <c r="AJ8" s="2574"/>
      <c r="AK8" s="229"/>
      <c r="AL8" s="2840"/>
      <c r="AO8" s="46"/>
      <c r="AR8" s="160"/>
      <c r="AS8" s="100"/>
      <c r="AT8" s="47"/>
      <c r="AU8" s="47"/>
      <c r="AV8" s="47"/>
      <c r="AW8" s="47"/>
    </row>
    <row r="9" spans="1:50" ht="15" customHeight="1">
      <c r="B9" s="1123"/>
      <c r="C9" s="1123"/>
      <c r="D9" s="1123"/>
      <c r="E9" s="1123"/>
      <c r="F9" s="1123"/>
      <c r="G9" s="1123"/>
      <c r="H9" s="1123"/>
      <c r="I9" s="1123"/>
      <c r="J9" s="1123"/>
      <c r="K9" s="1123"/>
      <c r="L9" s="1123"/>
      <c r="M9" s="1123"/>
      <c r="N9" s="1123"/>
      <c r="O9" s="1123"/>
      <c r="P9" s="1123"/>
      <c r="Q9" s="1123"/>
      <c r="R9" s="1124"/>
      <c r="S9" s="199"/>
      <c r="T9" s="1141"/>
      <c r="U9" s="1141" t="s">
        <v>6</v>
      </c>
      <c r="V9" s="2574" t="s">
        <v>294</v>
      </c>
      <c r="W9" s="2574"/>
      <c r="X9" s="2574"/>
      <c r="Y9" s="2574"/>
      <c r="Z9" s="2574"/>
      <c r="AA9" s="2574"/>
      <c r="AB9" s="2574"/>
      <c r="AC9" s="2574"/>
      <c r="AD9" s="2574"/>
      <c r="AE9" s="2574"/>
      <c r="AF9" s="2574"/>
      <c r="AG9" s="2574"/>
      <c r="AH9" s="2574"/>
      <c r="AI9" s="2574"/>
      <c r="AJ9" s="2574"/>
      <c r="AK9" s="2842"/>
      <c r="AL9" s="2840"/>
      <c r="AM9" s="792" t="str">
        <f>'FE-1770-IV'!AM9</f>
        <v/>
      </c>
      <c r="AN9" s="385" t="s">
        <v>9</v>
      </c>
      <c r="AO9" s="446"/>
      <c r="AP9" s="104"/>
      <c r="AQ9" s="792" t="str">
        <f>'FE-1770-IV'!AQ9</f>
        <v/>
      </c>
      <c r="AR9" s="385" t="s">
        <v>321</v>
      </c>
      <c r="AS9" s="498"/>
      <c r="AT9" s="446"/>
      <c r="AU9" s="446"/>
      <c r="AV9" s="47"/>
      <c r="AW9" s="47"/>
    </row>
    <row r="10" spans="1:50" ht="3.75" customHeight="1" thickBot="1">
      <c r="B10" s="183"/>
      <c r="C10" s="113"/>
      <c r="D10" s="113"/>
      <c r="E10" s="113"/>
      <c r="F10" s="113"/>
      <c r="G10" s="113"/>
      <c r="H10" s="113"/>
      <c r="I10" s="113"/>
      <c r="J10" s="113"/>
      <c r="K10" s="113"/>
      <c r="L10" s="113"/>
      <c r="M10" s="113"/>
      <c r="N10" s="12"/>
      <c r="O10" s="12"/>
      <c r="P10" s="12"/>
      <c r="Q10" s="13"/>
      <c r="R10" s="14"/>
      <c r="S10" s="200"/>
      <c r="T10" s="197"/>
      <c r="U10" s="197"/>
      <c r="V10" s="197"/>
      <c r="W10" s="197"/>
      <c r="X10" s="197"/>
      <c r="Y10" s="197"/>
      <c r="Z10" s="197"/>
      <c r="AA10" s="197"/>
      <c r="AB10" s="197"/>
      <c r="AC10" s="197"/>
      <c r="AD10" s="197"/>
      <c r="AE10" s="197"/>
      <c r="AF10" s="197"/>
      <c r="AG10" s="197"/>
      <c r="AH10" s="197"/>
      <c r="AI10" s="197"/>
      <c r="AJ10" s="197"/>
      <c r="AK10" s="198"/>
      <c r="AL10" s="2841"/>
      <c r="AM10" s="104"/>
      <c r="AN10" s="104"/>
      <c r="AO10" s="104"/>
      <c r="AP10" s="104"/>
      <c r="AQ10" s="420"/>
      <c r="AR10" s="104"/>
      <c r="AS10" s="104"/>
      <c r="AT10" s="104"/>
      <c r="AU10" s="104"/>
    </row>
    <row r="11" spans="1:50" ht="4.5" customHeight="1">
      <c r="B11" s="18"/>
      <c r="C11" s="114"/>
      <c r="D11" s="114"/>
      <c r="E11" s="114"/>
      <c r="F11" s="114"/>
      <c r="G11" s="114"/>
      <c r="H11" s="114"/>
      <c r="I11" s="114"/>
      <c r="J11" s="114"/>
      <c r="K11" s="114"/>
      <c r="L11" s="114"/>
      <c r="M11" s="114"/>
      <c r="N11" s="20"/>
      <c r="O11" s="20"/>
      <c r="P11" s="20"/>
      <c r="Q11" s="21"/>
      <c r="R11" s="22"/>
      <c r="S11" s="23"/>
      <c r="T11" s="115"/>
      <c r="U11" s="115"/>
      <c r="V11" s="115"/>
      <c r="W11" s="115"/>
      <c r="X11" s="115"/>
      <c r="Y11" s="115"/>
      <c r="Z11" s="115"/>
      <c r="AA11" s="115"/>
      <c r="AB11" s="114"/>
      <c r="AC11" s="114"/>
      <c r="AD11" s="115"/>
      <c r="AE11" s="115"/>
      <c r="AF11" s="115"/>
      <c r="AG11" s="115"/>
      <c r="AH11" s="26"/>
      <c r="AI11" s="116"/>
      <c r="AJ11" s="116"/>
      <c r="AK11" s="114"/>
      <c r="AL11" s="18"/>
      <c r="AM11" s="114"/>
      <c r="AN11" s="114"/>
      <c r="AO11" s="114"/>
      <c r="AP11" s="114"/>
      <c r="AQ11" s="28"/>
      <c r="AR11" s="114"/>
      <c r="AS11" s="114"/>
      <c r="AT11" s="114"/>
      <c r="AU11" s="114"/>
      <c r="AV11" s="114"/>
      <c r="AW11" s="64"/>
    </row>
    <row r="12" spans="1:50" s="30" customFormat="1" ht="12" customHeight="1">
      <c r="A12" s="29"/>
      <c r="B12" s="376" t="s">
        <v>240</v>
      </c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1141" t="s">
        <v>6</v>
      </c>
      <c r="O12" s="32" t="s">
        <v>349</v>
      </c>
      <c r="Q12" s="32"/>
      <c r="R12" s="32"/>
      <c r="S12" s="32"/>
      <c r="T12" s="32"/>
      <c r="U12" s="32"/>
      <c r="V12" s="32"/>
      <c r="W12" s="32"/>
      <c r="X12" s="32"/>
      <c r="Y12" s="1141" t="s">
        <v>6</v>
      </c>
      <c r="Z12" s="32" t="s">
        <v>357</v>
      </c>
      <c r="AB12" s="32"/>
      <c r="AC12" s="32"/>
      <c r="AD12" s="32"/>
      <c r="AE12" s="32"/>
      <c r="AF12" s="32"/>
      <c r="AG12" s="32"/>
      <c r="AH12" s="32"/>
      <c r="AI12" s="32"/>
      <c r="AJ12" s="1141" t="s">
        <v>6</v>
      </c>
      <c r="AK12" s="1103" t="s">
        <v>74</v>
      </c>
      <c r="AL12" s="1103"/>
      <c r="AM12" s="1103"/>
      <c r="AN12" s="222"/>
      <c r="AO12" s="1110"/>
      <c r="AP12" s="89"/>
      <c r="AQ12" s="2536" t="s">
        <v>223</v>
      </c>
      <c r="AR12" s="2537"/>
      <c r="AS12" s="2537"/>
      <c r="AT12" s="2537"/>
      <c r="AU12" s="2537"/>
      <c r="AV12" s="2537"/>
      <c r="AW12" s="2537"/>
      <c r="AX12" s="29"/>
    </row>
    <row r="13" spans="1:50" ht="4.5" customHeight="1" thickBot="1">
      <c r="B13" s="64"/>
      <c r="C13" s="206"/>
      <c r="D13" s="206"/>
      <c r="E13" s="206"/>
      <c r="F13" s="206"/>
      <c r="G13" s="206"/>
      <c r="H13" s="206"/>
      <c r="I13" s="206"/>
      <c r="J13" s="206"/>
      <c r="K13" s="206"/>
      <c r="L13" s="206"/>
      <c r="M13" s="206"/>
      <c r="N13" s="54"/>
      <c r="O13" s="54"/>
      <c r="P13" s="54"/>
      <c r="Q13" s="54"/>
      <c r="R13" s="54"/>
      <c r="S13" s="54"/>
      <c r="T13" s="206"/>
      <c r="U13" s="206"/>
      <c r="V13" s="206"/>
      <c r="W13" s="206"/>
      <c r="X13" s="371"/>
      <c r="Y13" s="371"/>
      <c r="Z13" s="371"/>
      <c r="AA13" s="371"/>
      <c r="AB13" s="371"/>
      <c r="AC13" s="371"/>
      <c r="AD13" s="371"/>
      <c r="AE13" s="371"/>
      <c r="AF13" s="371"/>
      <c r="AG13" s="371"/>
      <c r="AH13" s="79"/>
      <c r="AI13" s="372"/>
      <c r="AJ13" s="372"/>
      <c r="AK13" s="206"/>
      <c r="AL13" s="17"/>
      <c r="AM13" s="37"/>
      <c r="AN13" s="373"/>
      <c r="AO13" s="373"/>
      <c r="AP13" s="373"/>
      <c r="AQ13" s="373"/>
      <c r="AR13" s="32"/>
      <c r="AS13" s="32"/>
      <c r="AT13" s="32"/>
      <c r="AU13" s="32"/>
      <c r="AV13" s="33"/>
      <c r="AW13" s="33"/>
    </row>
    <row r="14" spans="1:50" ht="3.75" customHeight="1">
      <c r="B14" s="304"/>
      <c r="C14" s="236"/>
      <c r="D14" s="236"/>
      <c r="E14" s="236"/>
      <c r="F14" s="236"/>
      <c r="G14" s="236"/>
      <c r="H14" s="236"/>
      <c r="I14" s="236"/>
      <c r="J14" s="236"/>
      <c r="K14" s="236"/>
      <c r="L14" s="236"/>
      <c r="M14" s="236"/>
      <c r="N14" s="236"/>
      <c r="O14" s="236"/>
      <c r="P14" s="305"/>
      <c r="Q14" s="305"/>
      <c r="R14" s="305"/>
      <c r="S14" s="305"/>
      <c r="T14" s="114"/>
      <c r="U14" s="114"/>
      <c r="V14" s="114"/>
      <c r="W14" s="114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26"/>
      <c r="AI14" s="116"/>
      <c r="AJ14" s="116"/>
      <c r="AK14" s="114"/>
      <c r="AL14" s="18"/>
      <c r="AM14" s="238"/>
      <c r="AN14" s="28"/>
      <c r="AO14" s="28"/>
      <c r="AP14" s="28"/>
      <c r="AQ14" s="28"/>
      <c r="AR14" s="28"/>
      <c r="AS14" s="28"/>
      <c r="AT14" s="28"/>
      <c r="AU14" s="28"/>
      <c r="AV14" s="239"/>
      <c r="AW14" s="10"/>
    </row>
    <row r="15" spans="1:50" ht="20.100000000000001" customHeight="1">
      <c r="B15" s="366" t="s">
        <v>12</v>
      </c>
      <c r="C15" s="127"/>
      <c r="D15" s="127"/>
      <c r="E15" s="127"/>
      <c r="F15" s="127"/>
      <c r="G15" s="127"/>
      <c r="H15" s="127"/>
      <c r="I15" s="127"/>
      <c r="J15" s="127"/>
      <c r="K15" s="127"/>
      <c r="L15" s="127"/>
      <c r="M15" s="127"/>
      <c r="N15" s="127"/>
      <c r="O15" s="127"/>
      <c r="P15" s="54"/>
      <c r="Q15" s="54"/>
      <c r="R15" s="42" t="s">
        <v>13</v>
      </c>
      <c r="S15" s="64"/>
      <c r="T15" s="64"/>
      <c r="U15" s="1423" t="str">
        <f>'FE-1770-IV'!U15</f>
        <v/>
      </c>
      <c r="V15" s="1423" t="str">
        <f>'FE-1770-IV'!V15</f>
        <v/>
      </c>
      <c r="W15" s="1426"/>
      <c r="X15" s="1423" t="str">
        <f>'FE-1770-IV'!X15</f>
        <v/>
      </c>
      <c r="Y15" s="1423" t="str">
        <f>'FE-1770-IV'!Y15</f>
        <v/>
      </c>
      <c r="Z15" s="1423" t="str">
        <f>'FE-1770-IV'!Z15</f>
        <v/>
      </c>
      <c r="AA15" s="119"/>
      <c r="AB15" s="1423" t="str">
        <f>'FE-1770-IV'!AB15</f>
        <v/>
      </c>
      <c r="AC15" s="1423" t="str">
        <f>'FE-1770-IV'!AC15</f>
        <v/>
      </c>
      <c r="AD15" s="1423" t="str">
        <f>'FE-1770-IV'!AD15</f>
        <v/>
      </c>
      <c r="AE15" s="119"/>
      <c r="AF15" s="1423" t="str">
        <f>'FE-1770-IV'!AF15</f>
        <v/>
      </c>
      <c r="AG15" s="119"/>
      <c r="AH15" s="1423" t="str">
        <f>'FE-1770-IV'!AH15</f>
        <v/>
      </c>
      <c r="AI15" s="1423" t="str">
        <f>'FE-1770-IV'!AI15</f>
        <v/>
      </c>
      <c r="AJ15" s="1423" t="str">
        <f>'FE-1770-IV'!AJ15</f>
        <v/>
      </c>
      <c r="AK15" s="119"/>
      <c r="AL15" s="1423" t="str">
        <f>'FE-1770-IV'!AL15</f>
        <v/>
      </c>
      <c r="AM15" s="1423" t="str">
        <f>'FE-1770-IV'!AM15</f>
        <v/>
      </c>
      <c r="AN15" s="1423" t="str">
        <f>'FE-1770-IV'!AN15</f>
        <v/>
      </c>
      <c r="AO15" s="119"/>
      <c r="AP15" s="119"/>
      <c r="AQ15" s="119" t="s">
        <v>381</v>
      </c>
      <c r="AR15" s="119"/>
      <c r="AS15" s="119"/>
      <c r="AT15" s="119"/>
      <c r="AU15" s="119"/>
      <c r="AV15" s="308"/>
      <c r="AW15" s="64"/>
    </row>
    <row r="16" spans="1:50" ht="3.75" customHeight="1">
      <c r="B16" s="367"/>
      <c r="C16" s="127"/>
      <c r="D16" s="127"/>
      <c r="E16" s="127"/>
      <c r="F16" s="127"/>
      <c r="G16" s="127"/>
      <c r="H16" s="127"/>
      <c r="I16" s="127"/>
      <c r="J16" s="127"/>
      <c r="K16" s="127"/>
      <c r="L16" s="127"/>
      <c r="M16" s="127"/>
      <c r="N16" s="127"/>
      <c r="O16" s="127"/>
      <c r="P16" s="54"/>
      <c r="Q16" s="54"/>
      <c r="R16" s="54"/>
      <c r="S16" s="35"/>
      <c r="T16" s="184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308"/>
      <c r="AW16" s="64"/>
    </row>
    <row r="17" spans="1:61" ht="20.100000000000001" customHeight="1">
      <c r="B17" s="366" t="s">
        <v>14</v>
      </c>
      <c r="C17" s="127"/>
      <c r="D17" s="127"/>
      <c r="E17" s="127"/>
      <c r="F17" s="127"/>
      <c r="G17" s="127"/>
      <c r="H17" s="127"/>
      <c r="I17" s="127"/>
      <c r="J17" s="127"/>
      <c r="K17" s="127"/>
      <c r="L17" s="127"/>
      <c r="M17" s="127"/>
      <c r="N17" s="127"/>
      <c r="O17" s="127"/>
      <c r="P17" s="54"/>
      <c r="Q17" s="54"/>
      <c r="R17" s="45" t="s">
        <v>13</v>
      </c>
      <c r="S17" s="64"/>
      <c r="T17" s="64"/>
      <c r="U17" s="1707" t="str">
        <f>'FE-1770-IV'!U17</f>
        <v/>
      </c>
      <c r="V17" s="1708"/>
      <c r="W17" s="1708"/>
      <c r="X17" s="1708"/>
      <c r="Y17" s="1708"/>
      <c r="Z17" s="1708"/>
      <c r="AA17" s="1708"/>
      <c r="AB17" s="1708"/>
      <c r="AC17" s="1708"/>
      <c r="AD17" s="1708"/>
      <c r="AE17" s="1708"/>
      <c r="AF17" s="1708"/>
      <c r="AG17" s="1708"/>
      <c r="AH17" s="1708"/>
      <c r="AI17" s="1708"/>
      <c r="AJ17" s="1708"/>
      <c r="AK17" s="1708"/>
      <c r="AL17" s="1708"/>
      <c r="AM17" s="1708"/>
      <c r="AN17" s="1708"/>
      <c r="AO17" s="1708"/>
      <c r="AP17" s="1708"/>
      <c r="AQ17" s="1708"/>
      <c r="AR17" s="1708"/>
      <c r="AS17" s="1708"/>
      <c r="AT17" s="1708"/>
      <c r="AU17" s="119"/>
      <c r="AV17" s="308"/>
      <c r="AW17" s="64"/>
    </row>
    <row r="18" spans="1:61" ht="4.5" customHeight="1" thickBot="1">
      <c r="B18" s="309"/>
      <c r="C18" s="310"/>
      <c r="D18" s="310"/>
      <c r="E18" s="310"/>
      <c r="F18" s="310"/>
      <c r="G18" s="310"/>
      <c r="H18" s="310"/>
      <c r="I18" s="310"/>
      <c r="J18" s="310"/>
      <c r="K18" s="310"/>
      <c r="L18" s="310"/>
      <c r="M18" s="310"/>
      <c r="N18" s="310"/>
      <c r="O18" s="310"/>
      <c r="P18" s="311"/>
      <c r="Q18" s="312"/>
      <c r="R18" s="312"/>
      <c r="S18" s="312"/>
      <c r="T18" s="313"/>
      <c r="U18" s="113"/>
      <c r="V18" s="113"/>
      <c r="W18" s="113"/>
      <c r="X18" s="315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  <c r="AU18" s="113"/>
      <c r="AV18" s="316"/>
      <c r="AW18" s="64"/>
    </row>
    <row r="19" spans="1:61" ht="8.25" customHeight="1">
      <c r="Q19" s="35"/>
      <c r="V19" s="104"/>
      <c r="W19" s="104"/>
      <c r="X19" s="1234"/>
      <c r="Y19" s="104"/>
      <c r="Z19" s="104"/>
      <c r="AA19" s="104"/>
      <c r="AB19" s="104"/>
      <c r="AC19" s="104"/>
      <c r="AD19" s="104"/>
      <c r="AE19" s="104"/>
      <c r="AF19" s="104"/>
      <c r="AG19" s="104"/>
      <c r="AH19" s="104"/>
      <c r="AI19" s="120"/>
      <c r="AJ19" s="106"/>
      <c r="AK19" s="106"/>
      <c r="AL19" s="106"/>
      <c r="AM19" s="106"/>
      <c r="AN19" s="106"/>
      <c r="AO19" s="106"/>
      <c r="AP19" s="106"/>
      <c r="AQ19" s="106"/>
      <c r="AR19" s="106"/>
      <c r="AS19" s="106"/>
      <c r="AT19" s="106"/>
      <c r="AU19" s="106"/>
      <c r="AV19" s="106"/>
      <c r="AW19" s="64"/>
    </row>
    <row r="20" spans="1:61" s="402" customFormat="1" ht="16.5" customHeight="1">
      <c r="A20" s="47"/>
      <c r="B20" s="201" t="s">
        <v>150</v>
      </c>
      <c r="C20" s="201"/>
      <c r="D20" s="201"/>
      <c r="E20" s="201"/>
      <c r="F20" s="201"/>
      <c r="G20" s="201"/>
      <c r="H20" s="201"/>
      <c r="I20" s="201"/>
      <c r="J20" s="201"/>
      <c r="K20" s="201"/>
      <c r="L20" s="201"/>
      <c r="M20" s="201"/>
      <c r="N20" s="201"/>
      <c r="O20" s="201"/>
      <c r="P20" s="2843" t="s">
        <v>292</v>
      </c>
      <c r="Q20" s="2843"/>
      <c r="R20" s="2843"/>
      <c r="S20" s="2843"/>
      <c r="T20" s="2843"/>
      <c r="U20" s="2843"/>
      <c r="V20" s="2843"/>
      <c r="W20" s="2843"/>
      <c r="X20" s="2843"/>
      <c r="Y20" s="2843"/>
      <c r="Z20" s="2843"/>
      <c r="AA20" s="2843"/>
      <c r="AB20" s="2843"/>
      <c r="AC20" s="2843"/>
      <c r="AD20" s="2843"/>
      <c r="AE20" s="2843"/>
      <c r="AF20" s="2843"/>
      <c r="AG20" s="2843"/>
      <c r="AH20" s="2843"/>
      <c r="AI20" s="2843"/>
      <c r="AJ20" s="2843"/>
      <c r="AK20" s="2843"/>
      <c r="AL20" s="2843"/>
      <c r="AM20" s="2843"/>
      <c r="AN20" s="2843"/>
      <c r="AO20" s="2843"/>
      <c r="AP20" s="2843"/>
      <c r="AQ20" s="2843"/>
      <c r="AR20" s="2843"/>
      <c r="AS20" s="2843"/>
      <c r="AT20" s="2843"/>
      <c r="AU20" s="2843"/>
      <c r="AV20" s="2843"/>
      <c r="AW20" s="2843"/>
      <c r="AX20" s="185"/>
      <c r="AY20" s="185"/>
      <c r="AZ20" s="185"/>
      <c r="BA20" s="185"/>
      <c r="BB20" s="185"/>
      <c r="BC20" s="185"/>
      <c r="BD20" s="185"/>
      <c r="BE20" s="185"/>
      <c r="BF20" s="185"/>
    </row>
    <row r="21" spans="1:61" s="64" customFormat="1" ht="7.5" customHeight="1">
      <c r="A21" s="47"/>
      <c r="B21" s="2767"/>
      <c r="C21" s="2767"/>
      <c r="D21" s="1139"/>
      <c r="E21" s="1139"/>
      <c r="F21" s="1139"/>
      <c r="G21" s="1139"/>
      <c r="H21" s="1139"/>
      <c r="I21" s="1139"/>
      <c r="J21" s="1139"/>
      <c r="K21" s="1139"/>
      <c r="L21" s="1139"/>
      <c r="M21" s="1139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  <c r="AA21" s="169"/>
      <c r="AB21" s="169"/>
      <c r="AC21" s="169"/>
      <c r="AD21" s="169"/>
      <c r="AE21" s="169"/>
      <c r="AF21" s="169"/>
      <c r="AG21" s="169"/>
      <c r="AH21" s="169"/>
      <c r="AI21" s="169"/>
      <c r="AJ21" s="169"/>
      <c r="AK21" s="169"/>
      <c r="AL21" s="169"/>
      <c r="AM21" s="169"/>
      <c r="AN21" s="169"/>
      <c r="AO21" s="169"/>
      <c r="AP21" s="169"/>
      <c r="AQ21" s="169"/>
      <c r="AR21" s="169"/>
      <c r="AS21" s="169"/>
      <c r="AT21" s="169"/>
      <c r="AU21" s="169"/>
      <c r="AV21" s="169"/>
      <c r="AW21" s="169"/>
      <c r="AX21" s="169"/>
      <c r="AY21" s="169"/>
      <c r="AZ21" s="169"/>
      <c r="BA21" s="169"/>
      <c r="BB21" s="169"/>
      <c r="BC21" s="169"/>
      <c r="BD21" s="169"/>
      <c r="BE21" s="169"/>
      <c r="BF21" s="169"/>
      <c r="BG21" s="169"/>
      <c r="BH21" s="169"/>
      <c r="BI21" s="169"/>
    </row>
    <row r="22" spans="1:61" s="64" customFormat="1" ht="32.25" customHeight="1">
      <c r="A22" s="47"/>
      <c r="B22" s="2642" t="s">
        <v>123</v>
      </c>
      <c r="C22" s="2643"/>
      <c r="D22" s="1129"/>
      <c r="E22" s="1129"/>
      <c r="F22" s="1129"/>
      <c r="G22" s="1129"/>
      <c r="H22" s="1129"/>
      <c r="I22" s="1129"/>
      <c r="J22" s="1129"/>
      <c r="K22" s="1129"/>
      <c r="L22" s="1129"/>
      <c r="M22" s="1129"/>
      <c r="N22" s="2844" t="s">
        <v>316</v>
      </c>
      <c r="O22" s="2845"/>
      <c r="P22" s="2846" t="s">
        <v>333</v>
      </c>
      <c r="Q22" s="2847"/>
      <c r="R22" s="2847"/>
      <c r="S22" s="2847"/>
      <c r="T22" s="2847"/>
      <c r="U22" s="2847"/>
      <c r="V22" s="2847"/>
      <c r="W22" s="2847"/>
      <c r="X22" s="2848"/>
      <c r="Y22" s="2790" t="s">
        <v>175</v>
      </c>
      <c r="Z22" s="2643"/>
      <c r="AA22" s="2643"/>
      <c r="AB22" s="2643"/>
      <c r="AC22" s="2643"/>
      <c r="AD22" s="2643"/>
      <c r="AE22" s="2849" t="s">
        <v>176</v>
      </c>
      <c r="AF22" s="2643"/>
      <c r="AG22" s="2643"/>
      <c r="AH22" s="2643"/>
      <c r="AI22" s="2643"/>
      <c r="AJ22" s="2643"/>
      <c r="AK22" s="2643"/>
      <c r="AL22" s="2643"/>
      <c r="AM22" s="2647"/>
      <c r="AN22" s="2644" t="s">
        <v>177</v>
      </c>
      <c r="AO22" s="2645"/>
      <c r="AP22" s="2645"/>
      <c r="AQ22" s="2645"/>
      <c r="AR22" s="2645"/>
      <c r="AS22" s="2645"/>
      <c r="AT22" s="2645"/>
      <c r="AU22" s="2645"/>
      <c r="AV22" s="2646"/>
      <c r="AW22" s="202"/>
      <c r="AX22" s="169"/>
      <c r="AY22" s="169"/>
      <c r="AZ22" s="169"/>
      <c r="BA22" s="169"/>
      <c r="BB22" s="169"/>
      <c r="BC22" s="169"/>
      <c r="BD22" s="169"/>
      <c r="BE22" s="169"/>
      <c r="BF22" s="169"/>
      <c r="BG22" s="169"/>
      <c r="BH22" s="169"/>
      <c r="BI22" s="169"/>
    </row>
    <row r="23" spans="1:61" s="64" customFormat="1" ht="14.25" customHeight="1">
      <c r="A23" s="47"/>
      <c r="B23" s="2651" t="s">
        <v>128</v>
      </c>
      <c r="C23" s="2652"/>
      <c r="D23" s="1130"/>
      <c r="E23" s="1130"/>
      <c r="F23" s="1130"/>
      <c r="G23" s="1130"/>
      <c r="H23" s="1130"/>
      <c r="I23" s="1130"/>
      <c r="J23" s="1130"/>
      <c r="K23" s="1130"/>
      <c r="L23" s="1130"/>
      <c r="M23" s="1130"/>
      <c r="N23" s="2851" t="s">
        <v>129</v>
      </c>
      <c r="O23" s="2852"/>
      <c r="P23" s="2851" t="s">
        <v>130</v>
      </c>
      <c r="Q23" s="2853"/>
      <c r="R23" s="2853"/>
      <c r="S23" s="2853"/>
      <c r="T23" s="2853"/>
      <c r="U23" s="2853"/>
      <c r="V23" s="2853"/>
      <c r="W23" s="2853"/>
      <c r="X23" s="2854"/>
      <c r="Y23" s="2608" t="s">
        <v>131</v>
      </c>
      <c r="Z23" s="2652"/>
      <c r="AA23" s="2652"/>
      <c r="AB23" s="2652"/>
      <c r="AC23" s="2652"/>
      <c r="AD23" s="2652"/>
      <c r="AE23" s="2651" t="s">
        <v>132</v>
      </c>
      <c r="AF23" s="2652"/>
      <c r="AG23" s="2652"/>
      <c r="AH23" s="2652"/>
      <c r="AI23" s="2652"/>
      <c r="AJ23" s="2652"/>
      <c r="AK23" s="2652"/>
      <c r="AL23" s="2652"/>
      <c r="AM23" s="2855"/>
      <c r="AN23" s="2651" t="s">
        <v>153</v>
      </c>
      <c r="AO23" s="2608"/>
      <c r="AP23" s="2608"/>
      <c r="AQ23" s="2608"/>
      <c r="AR23" s="2608"/>
      <c r="AS23" s="2608"/>
      <c r="AT23" s="2608"/>
      <c r="AU23" s="2608"/>
      <c r="AV23" s="2653"/>
      <c r="AW23" s="137"/>
      <c r="AX23" s="169"/>
      <c r="AY23" s="169"/>
      <c r="AZ23" s="169"/>
      <c r="BA23" s="169"/>
      <c r="BB23" s="169"/>
      <c r="BC23" s="169"/>
      <c r="BD23" s="169"/>
      <c r="BE23" s="169"/>
      <c r="BF23" s="169"/>
      <c r="BG23" s="169"/>
      <c r="BH23" s="169"/>
      <c r="BI23" s="169"/>
    </row>
    <row r="24" spans="1:61" ht="26.1" customHeight="1">
      <c r="A24" s="69"/>
      <c r="B24" s="2624">
        <v>1</v>
      </c>
      <c r="C24" s="2624"/>
      <c r="D24" s="1690"/>
      <c r="E24" s="1690"/>
      <c r="F24" s="1690"/>
      <c r="G24" s="1690"/>
      <c r="H24" s="1690"/>
      <c r="I24" s="1690"/>
      <c r="J24" s="1690"/>
      <c r="K24" s="1690"/>
      <c r="L24" s="1690"/>
      <c r="M24" s="1690"/>
      <c r="N24" s="2850" t="str">
        <f ca="1">'FE-1770-IV'!N24</f>
        <v/>
      </c>
      <c r="O24" s="2850"/>
      <c r="P24" s="3343" t="str">
        <f ca="1">IF(N24=$BA$24,$BB$24,IF(N24=$BA$25,$BB$25,IF(N24=$BA$26,$BB$26,IF(N24=$BA$27,$BB$27,IF(N24=$BA$28,$BB$28,IF(N24=$BA$29,$BB$29,IF(N24=$BA$30,$BB$30,IF(N24=$BA$31,$BB$31,IF(N24=$BA$32,$BB$32,IF(N24=$BA$33,$BB$33,IF(N24=$BA$34,$BB$34,IF(N24=$BA$35,$BB$35,IF(N24=$BA$36,$BB$36,IF(N24=$BA$37,$BB$37,IF(N24=$BA$38,$BB$38,IF(N24=$BA$39,$BB$39,IF(N24=$BA$40,$BB$40,IF(N24=$BA$41,$BB$41,IF(N24=$BA$42,$BB$42,IF(N24=$BA$43,$BB$43,IF(N24=$BA$44,$BB$44,IF(N24=$BA$45,$BB$45,IF(N24=$BA$46,$BB$46,IF(N24=$BA$47,$BB$47,IF(N24=$BA$48,$BB$48,IF(N24=$BA$49,$BB$49,IF(N24=$BA$50,$BB$50,IF(N24=$BA$51,$BB$51,IF(N24=$BA$52,$BB$52,IF(N24=$BA$53,$BB$53,""))))))))))))))))))))))))))))))</f>
        <v/>
      </c>
      <c r="Q24" s="3343"/>
      <c r="R24" s="3343"/>
      <c r="S24" s="3343"/>
      <c r="T24" s="3343"/>
      <c r="U24" s="3343"/>
      <c r="V24" s="3343"/>
      <c r="W24" s="3343"/>
      <c r="X24" s="3343"/>
      <c r="Y24" s="3344" t="str">
        <f>IF('FE-1770-IV'!Y24="","",'FE-1770-IV'!Y24)</f>
        <v/>
      </c>
      <c r="Z24" s="3344"/>
      <c r="AA24" s="3344"/>
      <c r="AB24" s="3344"/>
      <c r="AC24" s="3344"/>
      <c r="AD24" s="3344"/>
      <c r="AE24" s="2401" t="str">
        <f ca="1">'FE-1770-IV'!AE24</f>
        <v/>
      </c>
      <c r="AF24" s="2401"/>
      <c r="AG24" s="2401"/>
      <c r="AH24" s="2401"/>
      <c r="AI24" s="2401"/>
      <c r="AJ24" s="2401"/>
      <c r="AK24" s="2401"/>
      <c r="AL24" s="2401"/>
      <c r="AM24" s="2401"/>
      <c r="AN24" s="2827" t="str">
        <f>IF(dateofdeparture&gt;0,"Saya telah meninggalkan","")</f>
        <v/>
      </c>
      <c r="AO24" s="2827"/>
      <c r="AP24" s="2827"/>
      <c r="AQ24" s="2827"/>
      <c r="AR24" s="2827"/>
      <c r="AS24" s="2827"/>
      <c r="AT24" s="2827"/>
      <c r="AU24" s="2827"/>
      <c r="AV24" s="2827"/>
      <c r="AW24" s="64"/>
      <c r="BA24" s="1687" t="s">
        <v>843</v>
      </c>
      <c r="BB24" s="102" t="s">
        <v>1401</v>
      </c>
    </row>
    <row r="25" spans="1:61" ht="26.1" customHeight="1">
      <c r="A25" s="69"/>
      <c r="B25" s="2624">
        <v>2</v>
      </c>
      <c r="C25" s="2624"/>
      <c r="D25" s="1690"/>
      <c r="E25" s="1690"/>
      <c r="F25" s="1690"/>
      <c r="G25" s="1690"/>
      <c r="H25" s="1690"/>
      <c r="I25" s="1690"/>
      <c r="J25" s="1690"/>
      <c r="K25" s="1690"/>
      <c r="L25" s="1690"/>
      <c r="M25" s="1690"/>
      <c r="N25" s="2850" t="str">
        <f ca="1">'FE-1770-IV'!N25</f>
        <v/>
      </c>
      <c r="O25" s="2850"/>
      <c r="P25" s="3343" t="str">
        <f t="shared" ref="P25:P28" ca="1" si="0">IF(N25=$BA$24,$BB$24,IF(N25=$BA$25,$BB$25,IF(N25=$BA$26,$BB$26,IF(N25=$BA$27,$BB$27,IF(N25=$BA$28,$BB$28,IF(N25=$BA$29,$BB$29,IF(N25=$BA$30,$BB$30,IF(N25=$BA$31,$BB$31,IF(N25=$BA$32,$BB$32,IF(N25=$BA$33,$BB$33,IF(N25=$BA$34,$BB$34,IF(N25=$BA$35,$BB$35,IF(N25=$BA$36,$BB$36,IF(N25=$BA$37,$BB$37,IF(N25=$BA$38,$BB$38,IF(N25=$BA$39,$BB$39,IF(N25=$BA$40,$BB$40,IF(N25=$BA$41,$BB$41,IF(N25=$BA$42,$BB$42,IF(N25=$BA$43,$BB$43,IF(N25=$BA$44,$BB$44,IF(N25=$BA$45,$BB$45,IF(N25=$BA$46,$BB$46,IF(N25=$BA$47,$BB$47,IF(N25=$BA$48,$BB$48,IF(N25=$BA$49,$BB$49,IF(N25=$BA$50,$BB$50,IF(N25=$BA$51,$BB$51,IF(N25=$BA$52,$BB$52,IF(N25=$BA$53,$BB$53,""))))))))))))))))))))))))))))))</f>
        <v/>
      </c>
      <c r="Q25" s="3343"/>
      <c r="R25" s="3343"/>
      <c r="S25" s="3343"/>
      <c r="T25" s="3343"/>
      <c r="U25" s="3343"/>
      <c r="V25" s="3343"/>
      <c r="W25" s="3343"/>
      <c r="X25" s="3343"/>
      <c r="Y25" s="3344" t="str">
        <f>IF('FE-1770-IV'!Y25="","",'FE-1770-IV'!Y25)</f>
        <v/>
      </c>
      <c r="Z25" s="3344"/>
      <c r="AA25" s="3344"/>
      <c r="AB25" s="3344"/>
      <c r="AC25" s="3344"/>
      <c r="AD25" s="3344"/>
      <c r="AE25" s="2401" t="str">
        <f ca="1">'FE-1770-IV'!AE25</f>
        <v/>
      </c>
      <c r="AF25" s="2401"/>
      <c r="AG25" s="2401"/>
      <c r="AH25" s="2401"/>
      <c r="AI25" s="2401"/>
      <c r="AJ25" s="2401"/>
      <c r="AK25" s="2401"/>
      <c r="AL25" s="2401"/>
      <c r="AM25" s="2401"/>
      <c r="AN25" s="2828" t="str">
        <f>IF(AND(dateofdeparture&gt;0,'GENERAL INFO'!F42="X"),"Indonesia. Fotokopi EPO",IF(AND(dateofdeparture&gt;0,'GENERAL INFO'!J42="X"),"Indonesia. Fotokopi ERP",""))</f>
        <v/>
      </c>
      <c r="AO25" s="3341"/>
      <c r="AP25" s="3341"/>
      <c r="AQ25" s="3341"/>
      <c r="AR25" s="3341"/>
      <c r="AS25" s="3341"/>
      <c r="AT25" s="3341"/>
      <c r="AU25" s="3341"/>
      <c r="AV25" s="3342"/>
      <c r="AW25" s="64"/>
      <c r="BA25" s="1687" t="s">
        <v>846</v>
      </c>
      <c r="BB25" s="102" t="s">
        <v>1402</v>
      </c>
    </row>
    <row r="26" spans="1:61" ht="26.1" customHeight="1">
      <c r="A26" s="69"/>
      <c r="B26" s="2624">
        <v>3</v>
      </c>
      <c r="C26" s="2624"/>
      <c r="D26" s="1690"/>
      <c r="E26" s="1690"/>
      <c r="F26" s="1690"/>
      <c r="G26" s="1690"/>
      <c r="H26" s="1690"/>
      <c r="I26" s="1690"/>
      <c r="J26" s="1690"/>
      <c r="K26" s="1690"/>
      <c r="L26" s="1690"/>
      <c r="M26" s="1690"/>
      <c r="N26" s="2850" t="str">
        <f ca="1">'FE-1770-IV'!N26</f>
        <v/>
      </c>
      <c r="O26" s="2850"/>
      <c r="P26" s="3343" t="str">
        <f t="shared" ca="1" si="0"/>
        <v/>
      </c>
      <c r="Q26" s="3343"/>
      <c r="R26" s="3343"/>
      <c r="S26" s="3343"/>
      <c r="T26" s="3343"/>
      <c r="U26" s="3343"/>
      <c r="V26" s="3343"/>
      <c r="W26" s="3343"/>
      <c r="X26" s="3343"/>
      <c r="Y26" s="3344" t="str">
        <f>IF('FE-1770-IV'!Y26="","",'FE-1770-IV'!Y26)</f>
        <v/>
      </c>
      <c r="Z26" s="3344"/>
      <c r="AA26" s="3344"/>
      <c r="AB26" s="3344"/>
      <c r="AC26" s="3344"/>
      <c r="AD26" s="3344"/>
      <c r="AE26" s="2401" t="str">
        <f ca="1">'FE-1770-IV'!AE26</f>
        <v/>
      </c>
      <c r="AF26" s="2401"/>
      <c r="AG26" s="2401"/>
      <c r="AH26" s="2401"/>
      <c r="AI26" s="2401"/>
      <c r="AJ26" s="2401"/>
      <c r="AK26" s="2401"/>
      <c r="AL26" s="2401"/>
      <c r="AM26" s="2401"/>
      <c r="AN26" s="2828" t="str">
        <f>IF(AND(dateofdeparture&gt;0,'GENERAL INFO'!F42="X"),"saya terlampir",IF(AND(dateofdeparture&gt;0,'GENERAL INFO'!J42="X"),"tidak kembali saya",""))</f>
        <v/>
      </c>
      <c r="AO26" s="3341"/>
      <c r="AP26" s="3341"/>
      <c r="AQ26" s="3341"/>
      <c r="AR26" s="3341"/>
      <c r="AS26" s="3341"/>
      <c r="AT26" s="3341"/>
      <c r="AU26" s="3341"/>
      <c r="AV26" s="3342"/>
      <c r="AW26" s="64"/>
      <c r="BA26" s="1687" t="s">
        <v>849</v>
      </c>
      <c r="BB26" s="102" t="s">
        <v>848</v>
      </c>
    </row>
    <row r="27" spans="1:61" ht="26.1" customHeight="1">
      <c r="A27" s="69"/>
      <c r="B27" s="2624">
        <v>4</v>
      </c>
      <c r="C27" s="2624"/>
      <c r="D27" s="1690"/>
      <c r="E27" s="1690"/>
      <c r="F27" s="1690"/>
      <c r="G27" s="1690"/>
      <c r="H27" s="1690"/>
      <c r="I27" s="1690"/>
      <c r="J27" s="1690"/>
      <c r="K27" s="1690"/>
      <c r="L27" s="1690"/>
      <c r="M27" s="1690"/>
      <c r="N27" s="2850" t="str">
        <f ca="1">'FE-1770-IV'!N27</f>
        <v/>
      </c>
      <c r="O27" s="2850"/>
      <c r="P27" s="3343" t="str">
        <f t="shared" ca="1" si="0"/>
        <v/>
      </c>
      <c r="Q27" s="3343"/>
      <c r="R27" s="3343"/>
      <c r="S27" s="3343"/>
      <c r="T27" s="3343"/>
      <c r="U27" s="3343"/>
      <c r="V27" s="3343"/>
      <c r="W27" s="3343"/>
      <c r="X27" s="3343"/>
      <c r="Y27" s="3344" t="str">
        <f>IF('FE-1770-IV'!Y27="","",'FE-1770-IV'!Y27)</f>
        <v/>
      </c>
      <c r="Z27" s="3344"/>
      <c r="AA27" s="3344"/>
      <c r="AB27" s="3344"/>
      <c r="AC27" s="3344"/>
      <c r="AD27" s="3344"/>
      <c r="AE27" s="2401" t="str">
        <f ca="1">'FE-1770-IV'!AE27</f>
        <v/>
      </c>
      <c r="AF27" s="2401"/>
      <c r="AG27" s="2401"/>
      <c r="AH27" s="2401"/>
      <c r="AI27" s="2401"/>
      <c r="AJ27" s="2401"/>
      <c r="AK27" s="2401"/>
      <c r="AL27" s="2401"/>
      <c r="AM27" s="2401"/>
      <c r="AN27" s="2828" t="str">
        <f>IF(AND(dateofdeparture&gt;0,'GENERAL INFO'!F42="X"),"",IF(AND(dateofdeparture&gt;0,'GENERAL INFO'!J42="X"),"terlampir",""))</f>
        <v/>
      </c>
      <c r="AO27" s="3341"/>
      <c r="AP27" s="3341"/>
      <c r="AQ27" s="3341"/>
      <c r="AR27" s="3341"/>
      <c r="AS27" s="3341"/>
      <c r="AT27" s="3341"/>
      <c r="AU27" s="3341"/>
      <c r="AV27" s="3342"/>
      <c r="AW27" s="64"/>
      <c r="BA27" s="1687" t="s">
        <v>851</v>
      </c>
      <c r="BB27" s="102" t="s">
        <v>1403</v>
      </c>
    </row>
    <row r="28" spans="1:61" ht="26.1" customHeight="1">
      <c r="A28" s="69"/>
      <c r="B28" s="2624">
        <v>5</v>
      </c>
      <c r="C28" s="2624"/>
      <c r="D28" s="1690"/>
      <c r="E28" s="1690"/>
      <c r="F28" s="1690"/>
      <c r="G28" s="1690"/>
      <c r="H28" s="1690"/>
      <c r="I28" s="1690"/>
      <c r="J28" s="1690"/>
      <c r="K28" s="1690"/>
      <c r="L28" s="1690"/>
      <c r="M28" s="1690"/>
      <c r="N28" s="2850" t="str">
        <f ca="1">'FE-1770-IV'!N28</f>
        <v/>
      </c>
      <c r="O28" s="2850"/>
      <c r="P28" s="3343" t="str">
        <f t="shared" ca="1" si="0"/>
        <v/>
      </c>
      <c r="Q28" s="3343"/>
      <c r="R28" s="3343"/>
      <c r="S28" s="3343"/>
      <c r="T28" s="3343"/>
      <c r="U28" s="3343"/>
      <c r="V28" s="3343"/>
      <c r="W28" s="3343"/>
      <c r="X28" s="3343"/>
      <c r="Y28" s="3344" t="str">
        <f>IF('FE-1770-IV'!Y28="","",'FE-1770-IV'!Y28)</f>
        <v/>
      </c>
      <c r="Z28" s="3344"/>
      <c r="AA28" s="3344"/>
      <c r="AB28" s="3344"/>
      <c r="AC28" s="3344"/>
      <c r="AD28" s="3344"/>
      <c r="AE28" s="2401" t="str">
        <f ca="1">'FE-1770-IV'!AE28</f>
        <v/>
      </c>
      <c r="AF28" s="2401"/>
      <c r="AG28" s="2401"/>
      <c r="AH28" s="2401"/>
      <c r="AI28" s="2401"/>
      <c r="AJ28" s="2401"/>
      <c r="AK28" s="2401"/>
      <c r="AL28" s="2401"/>
      <c r="AM28" s="2401"/>
      <c r="AN28" s="2828"/>
      <c r="AO28" s="3341"/>
      <c r="AP28" s="3341"/>
      <c r="AQ28" s="3341"/>
      <c r="AR28" s="3341"/>
      <c r="AS28" s="3341"/>
      <c r="AT28" s="3341"/>
      <c r="AU28" s="3341"/>
      <c r="AV28" s="3342"/>
      <c r="AW28" s="64"/>
      <c r="BA28" s="1687" t="s">
        <v>854</v>
      </c>
      <c r="BB28" s="102" t="s">
        <v>1404</v>
      </c>
    </row>
    <row r="29" spans="1:61" ht="26.1" customHeight="1">
      <c r="A29" s="69"/>
      <c r="B29" s="2624">
        <v>6</v>
      </c>
      <c r="C29" s="2624"/>
      <c r="D29" s="1690"/>
      <c r="E29" s="1690"/>
      <c r="F29" s="1690"/>
      <c r="G29" s="1690"/>
      <c r="H29" s="1690"/>
      <c r="I29" s="1690"/>
      <c r="J29" s="1690"/>
      <c r="K29" s="1690"/>
      <c r="L29" s="1690"/>
      <c r="M29" s="1690"/>
      <c r="N29" s="2499" t="str">
        <f ca="1">'FE-1770-IV'!N29</f>
        <v/>
      </c>
      <c r="O29" s="2850"/>
      <c r="P29" s="3343" t="str">
        <f ca="1">IF(N29=$BA$24,$BB$24,IF(N29=$BA$25,$BB$25,IF(N29=$BA$26,$BB$26,IF(N29=$BA$27,$BB$27,IF(N29=$BA$28,$BB$28,IF(N29=$BA$29,$BB$29,IF(N29=$BA$30,$BB$30,IF(N29=$BA$31,$BB$31,IF(N29=$BA$32,$BB$32,IF(N29=$BA$33,$BB$33,IF(N29=$BA$34,$BB$34,IF(N29=$BA$35,$BB$35,IF(N29=$BA$36,$BB$36,IF(N29=$BA$37,$BB$37,IF(N29=$BA$38,$BB$38,IF(N29=$BA$39,$BB$39,IF(N29=$BA$40,$BB$40,IF(N29=$BA$41,$BB$41,IF(N29=$BA$42,$BB$42,IF(N29=$BA$43,$BB$43,IF(N29=$BA$44,$BB$44,IF(N29=$BA$45,$BB$45,IF(N29=$BA$46,$BB$46,IF(N29=$BA$47,$BB$47,IF(N29=$BA$48,$BB$48,IF(N29=$BA$49,$BB$49,IF(N29=$BA$50,$BB$50,IF(N29=$BA$51,$BB$51,IF(N29=$BA$52,$BB$52,IF(N29=$BA$53,$BB$53,""))))))))))))))))))))))))))))))</f>
        <v/>
      </c>
      <c r="Q29" s="3343"/>
      <c r="R29" s="3343"/>
      <c r="S29" s="3343"/>
      <c r="T29" s="3343"/>
      <c r="U29" s="3343"/>
      <c r="V29" s="3343"/>
      <c r="W29" s="3343"/>
      <c r="X29" s="3343"/>
      <c r="Y29" s="3344" t="str">
        <f>IF('FE-1770-IV'!Y29="","",'FE-1770-IV'!Y29)</f>
        <v/>
      </c>
      <c r="Z29" s="3344"/>
      <c r="AA29" s="3344"/>
      <c r="AB29" s="3344"/>
      <c r="AC29" s="3344"/>
      <c r="AD29" s="3344"/>
      <c r="AE29" s="2401" t="str">
        <f ca="1">'FE-1770-IV'!AE29</f>
        <v/>
      </c>
      <c r="AF29" s="2401"/>
      <c r="AG29" s="2401"/>
      <c r="AH29" s="2401"/>
      <c r="AI29" s="2401"/>
      <c r="AJ29" s="2401"/>
      <c r="AK29" s="2401"/>
      <c r="AL29" s="2401"/>
      <c r="AM29" s="2401"/>
      <c r="AN29" s="2828"/>
      <c r="AO29" s="3341"/>
      <c r="AP29" s="3341"/>
      <c r="AQ29" s="3341"/>
      <c r="AR29" s="3341"/>
      <c r="AS29" s="3341"/>
      <c r="AT29" s="3341"/>
      <c r="AU29" s="3341"/>
      <c r="AV29" s="3342"/>
      <c r="AW29" s="64"/>
      <c r="BA29" s="1687" t="s">
        <v>857</v>
      </c>
      <c r="BB29" s="102" t="s">
        <v>1405</v>
      </c>
    </row>
    <row r="30" spans="1:61" ht="26.1" customHeight="1">
      <c r="A30" s="69"/>
      <c r="B30" s="2624">
        <v>7</v>
      </c>
      <c r="C30" s="2624"/>
      <c r="D30" s="1690"/>
      <c r="E30" s="1690"/>
      <c r="F30" s="1690"/>
      <c r="G30" s="1690"/>
      <c r="H30" s="1690"/>
      <c r="I30" s="1690"/>
      <c r="J30" s="1690"/>
      <c r="K30" s="1690"/>
      <c r="L30" s="1690"/>
      <c r="M30" s="1690"/>
      <c r="N30" s="2499" t="str">
        <f ca="1">'FE-1770-IV'!N30</f>
        <v/>
      </c>
      <c r="O30" s="2850"/>
      <c r="P30" s="3343" t="str">
        <f t="shared" ref="P30:P33" ca="1" si="1">IF(N30=$BA$24,$BB$24,IF(N30=$BA$25,$BB$25,IF(N30=$BA$26,$BB$26,IF(N30=$BA$27,$BB$27,IF(N30=$BA$28,$BB$28,IF(N30=$BA$29,$BB$29,IF(N30=$BA$30,$BB$30,IF(N30=$BA$31,$BB$31,IF(N30=$BA$32,$BB$32,IF(N30=$BA$33,$BB$33,IF(N30=$BA$34,$BB$34,IF(N30=$BA$35,$BB$35,IF(N30=$BA$36,$BB$36,IF(N30=$BA$37,$BB$37,IF(N30=$BA$38,$BB$38,IF(N30=$BA$39,$BB$39,IF(N30=$BA$40,$BB$40,IF(N30=$BA$41,$BB$41,IF(N30=$BA$42,$BB$42,IF(N30=$BA$43,$BB$43,IF(N30=$BA$44,$BB$44,IF(N30=$BA$45,$BB$45,IF(N30=$BA$46,$BB$46,IF(N30=$BA$47,$BB$47,IF(N30=$BA$48,$BB$48,IF(N30=$BA$49,$BB$49,IF(N30=$BA$50,$BB$50,IF(N30=$BA$51,$BB$51,IF(N30=$BA$52,$BB$52,IF(N30=$BA$53,$BB$53,""))))))))))))))))))))))))))))))</f>
        <v/>
      </c>
      <c r="Q30" s="3343"/>
      <c r="R30" s="3343"/>
      <c r="S30" s="3343"/>
      <c r="T30" s="3343"/>
      <c r="U30" s="3343"/>
      <c r="V30" s="3343"/>
      <c r="W30" s="3343"/>
      <c r="X30" s="3343"/>
      <c r="Y30" s="3344" t="str">
        <f>IF('FE-1770-IV'!Y30="","",'FE-1770-IV'!Y30)</f>
        <v/>
      </c>
      <c r="Z30" s="3344"/>
      <c r="AA30" s="3344"/>
      <c r="AB30" s="3344"/>
      <c r="AC30" s="3344"/>
      <c r="AD30" s="3344"/>
      <c r="AE30" s="2401" t="str">
        <f ca="1">'FE-1770-IV'!AE30</f>
        <v/>
      </c>
      <c r="AF30" s="2401"/>
      <c r="AG30" s="2401"/>
      <c r="AH30" s="2401"/>
      <c r="AI30" s="2401"/>
      <c r="AJ30" s="2401"/>
      <c r="AK30" s="2401"/>
      <c r="AL30" s="2401"/>
      <c r="AM30" s="2401"/>
      <c r="AN30" s="2828"/>
      <c r="AO30" s="3341"/>
      <c r="AP30" s="3341"/>
      <c r="AQ30" s="3341"/>
      <c r="AR30" s="3341"/>
      <c r="AS30" s="3341"/>
      <c r="AT30" s="3341"/>
      <c r="AU30" s="3341"/>
      <c r="AV30" s="3342"/>
      <c r="AW30" s="64"/>
      <c r="BA30" s="1687" t="s">
        <v>863</v>
      </c>
      <c r="BB30" s="102" t="s">
        <v>1406</v>
      </c>
    </row>
    <row r="31" spans="1:61" ht="26.1" customHeight="1">
      <c r="A31" s="69"/>
      <c r="B31" s="2624">
        <v>8</v>
      </c>
      <c r="C31" s="2624"/>
      <c r="D31" s="1690"/>
      <c r="E31" s="1690"/>
      <c r="F31" s="1690"/>
      <c r="G31" s="1690"/>
      <c r="H31" s="1690"/>
      <c r="I31" s="1690"/>
      <c r="J31" s="1690"/>
      <c r="K31" s="1690"/>
      <c r="L31" s="1690"/>
      <c r="M31" s="1690"/>
      <c r="N31" s="2499" t="str">
        <f ca="1">'FE-1770-IV'!N31</f>
        <v/>
      </c>
      <c r="O31" s="2850"/>
      <c r="P31" s="3343" t="str">
        <f t="shared" ca="1" si="1"/>
        <v/>
      </c>
      <c r="Q31" s="3343"/>
      <c r="R31" s="3343"/>
      <c r="S31" s="3343"/>
      <c r="T31" s="3343"/>
      <c r="U31" s="3343"/>
      <c r="V31" s="3343"/>
      <c r="W31" s="3343"/>
      <c r="X31" s="3343"/>
      <c r="Y31" s="3344" t="str">
        <f>IF('FE-1770-IV'!Y31="","",'FE-1770-IV'!Y31)</f>
        <v/>
      </c>
      <c r="Z31" s="3344"/>
      <c r="AA31" s="3344"/>
      <c r="AB31" s="3344"/>
      <c r="AC31" s="3344"/>
      <c r="AD31" s="3344"/>
      <c r="AE31" s="2401" t="str">
        <f ca="1">'FE-1770-IV'!AE31</f>
        <v/>
      </c>
      <c r="AF31" s="2401"/>
      <c r="AG31" s="2401"/>
      <c r="AH31" s="2401"/>
      <c r="AI31" s="2401"/>
      <c r="AJ31" s="2401"/>
      <c r="AK31" s="2401"/>
      <c r="AL31" s="2401"/>
      <c r="AM31" s="2401"/>
      <c r="AN31" s="2828"/>
      <c r="AO31" s="3341"/>
      <c r="AP31" s="3341"/>
      <c r="AQ31" s="3341"/>
      <c r="AR31" s="3341"/>
      <c r="AS31" s="3341"/>
      <c r="AT31" s="3341"/>
      <c r="AU31" s="3341"/>
      <c r="AV31" s="3342"/>
      <c r="AW31" s="64"/>
      <c r="BA31" s="1687" t="s">
        <v>866</v>
      </c>
      <c r="BB31" s="102" t="s">
        <v>1407</v>
      </c>
    </row>
    <row r="32" spans="1:61" ht="26.1" customHeight="1">
      <c r="A32" s="69"/>
      <c r="B32" s="2624">
        <v>9</v>
      </c>
      <c r="C32" s="2624"/>
      <c r="D32" s="1690"/>
      <c r="E32" s="1690"/>
      <c r="F32" s="1690"/>
      <c r="G32" s="1690"/>
      <c r="H32" s="1690"/>
      <c r="I32" s="1690"/>
      <c r="J32" s="1690"/>
      <c r="K32" s="1690"/>
      <c r="L32" s="1690"/>
      <c r="M32" s="1690"/>
      <c r="N32" s="2499" t="str">
        <f ca="1">'FE-1770-IV'!N32</f>
        <v/>
      </c>
      <c r="O32" s="2850"/>
      <c r="P32" s="3343" t="str">
        <f t="shared" ca="1" si="1"/>
        <v/>
      </c>
      <c r="Q32" s="3343"/>
      <c r="R32" s="3343"/>
      <c r="S32" s="3343"/>
      <c r="T32" s="3343"/>
      <c r="U32" s="3343"/>
      <c r="V32" s="3343"/>
      <c r="W32" s="3343"/>
      <c r="X32" s="3343"/>
      <c r="Y32" s="3344" t="str">
        <f>IF('FE-1770-IV'!Y32="","",'FE-1770-IV'!Y32)</f>
        <v/>
      </c>
      <c r="Z32" s="3344"/>
      <c r="AA32" s="3344"/>
      <c r="AB32" s="3344"/>
      <c r="AC32" s="3344"/>
      <c r="AD32" s="3344"/>
      <c r="AE32" s="2401" t="str">
        <f ca="1">'FE-1770-IV'!AE32</f>
        <v/>
      </c>
      <c r="AF32" s="2401"/>
      <c r="AG32" s="2401"/>
      <c r="AH32" s="2401"/>
      <c r="AI32" s="2401"/>
      <c r="AJ32" s="2401"/>
      <c r="AK32" s="2401"/>
      <c r="AL32" s="2401"/>
      <c r="AM32" s="2401"/>
      <c r="AN32" s="2828"/>
      <c r="AO32" s="3341"/>
      <c r="AP32" s="3341"/>
      <c r="AQ32" s="3341"/>
      <c r="AR32" s="3341"/>
      <c r="AS32" s="3341"/>
      <c r="AT32" s="3341"/>
      <c r="AU32" s="3341"/>
      <c r="AV32" s="3342"/>
      <c r="AW32" s="64"/>
      <c r="BA32" s="1687" t="s">
        <v>869</v>
      </c>
      <c r="BB32" s="102" t="s">
        <v>1408</v>
      </c>
    </row>
    <row r="33" spans="1:66" ht="26.1" customHeight="1">
      <c r="A33" s="47"/>
      <c r="B33" s="2656" t="s">
        <v>317</v>
      </c>
      <c r="C33" s="2656"/>
      <c r="D33" s="215"/>
      <c r="E33" s="215"/>
      <c r="F33" s="215"/>
      <c r="G33" s="215"/>
      <c r="H33" s="215"/>
      <c r="I33" s="215"/>
      <c r="J33" s="215"/>
      <c r="K33" s="215"/>
      <c r="L33" s="215"/>
      <c r="M33" s="215"/>
      <c r="N33" s="2499" t="str">
        <f ca="1">'FE-1770-IV'!N33</f>
        <v/>
      </c>
      <c r="O33" s="2850"/>
      <c r="P33" s="3343" t="str">
        <f t="shared" ca="1" si="1"/>
        <v/>
      </c>
      <c r="Q33" s="3343"/>
      <c r="R33" s="3343"/>
      <c r="S33" s="3343"/>
      <c r="T33" s="3343"/>
      <c r="U33" s="3343"/>
      <c r="V33" s="3343"/>
      <c r="W33" s="3343"/>
      <c r="X33" s="3343"/>
      <c r="Y33" s="3344" t="str">
        <f>IF('FE-1770-IV'!Y33="","",'FE-1770-IV'!Y33)</f>
        <v/>
      </c>
      <c r="Z33" s="3344"/>
      <c r="AA33" s="3344"/>
      <c r="AB33" s="3344"/>
      <c r="AC33" s="3344"/>
      <c r="AD33" s="3344"/>
      <c r="AE33" s="2401" t="str">
        <f ca="1">'FE-1770-IV'!AE33</f>
        <v/>
      </c>
      <c r="AF33" s="2401"/>
      <c r="AG33" s="2401"/>
      <c r="AH33" s="2401"/>
      <c r="AI33" s="2401"/>
      <c r="AJ33" s="2401"/>
      <c r="AK33" s="2401"/>
      <c r="AL33" s="2401"/>
      <c r="AM33" s="2401"/>
      <c r="AN33" s="2827"/>
      <c r="AO33" s="2827"/>
      <c r="AP33" s="2827"/>
      <c r="AQ33" s="2827"/>
      <c r="AR33" s="2827"/>
      <c r="AS33" s="2827"/>
      <c r="AT33" s="2827"/>
      <c r="AU33" s="2827"/>
      <c r="AV33" s="2827"/>
      <c r="AW33" s="64"/>
      <c r="BA33" s="1687" t="s">
        <v>872</v>
      </c>
      <c r="BB33" s="102" t="s">
        <v>1409</v>
      </c>
    </row>
    <row r="34" spans="1:66" ht="21.95" customHeight="1">
      <c r="A34" s="47"/>
      <c r="B34" s="2858" t="s">
        <v>154</v>
      </c>
      <c r="C34" s="2859"/>
      <c r="D34" s="2859"/>
      <c r="E34" s="2859"/>
      <c r="F34" s="2859"/>
      <c r="G34" s="2859"/>
      <c r="H34" s="2859"/>
      <c r="I34" s="2859"/>
      <c r="J34" s="2859"/>
      <c r="K34" s="2859"/>
      <c r="L34" s="2859"/>
      <c r="M34" s="2859"/>
      <c r="N34" s="2859"/>
      <c r="O34" s="2859"/>
      <c r="P34" s="2859"/>
      <c r="Q34" s="2859"/>
      <c r="R34" s="2859"/>
      <c r="S34" s="2859"/>
      <c r="T34" s="2859"/>
      <c r="U34" s="2859"/>
      <c r="V34" s="2859"/>
      <c r="W34" s="2859"/>
      <c r="X34" s="2860"/>
      <c r="Y34" s="2861"/>
      <c r="Z34" s="2862"/>
      <c r="AA34" s="2862"/>
      <c r="AB34" s="2863"/>
      <c r="AC34" s="2864" t="s">
        <v>155</v>
      </c>
      <c r="AD34" s="2865"/>
      <c r="AE34" s="2813">
        <f ca="1">'FE-1770-IV'!AE34</f>
        <v>0</v>
      </c>
      <c r="AF34" s="2814"/>
      <c r="AG34" s="2814"/>
      <c r="AH34" s="2814"/>
      <c r="AI34" s="2814"/>
      <c r="AJ34" s="2814"/>
      <c r="AK34" s="2814"/>
      <c r="AL34" s="2814"/>
      <c r="AM34" s="2815"/>
      <c r="AN34" s="3347"/>
      <c r="AO34" s="3348"/>
      <c r="AP34" s="3348"/>
      <c r="AQ34" s="3348"/>
      <c r="AR34" s="3348"/>
      <c r="AS34" s="3348"/>
      <c r="AT34" s="3348"/>
      <c r="AU34" s="3348"/>
      <c r="AV34" s="3349"/>
      <c r="AW34" s="119"/>
      <c r="BA34" s="1687" t="s">
        <v>875</v>
      </c>
      <c r="BB34" s="102" t="s">
        <v>1410</v>
      </c>
    </row>
    <row r="35" spans="1:66" ht="15">
      <c r="A35" s="47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203"/>
      <c r="O35" s="11"/>
      <c r="P35" s="11"/>
      <c r="Q35" s="11"/>
      <c r="R35" s="11"/>
      <c r="S35" s="11"/>
      <c r="T35" s="11"/>
      <c r="U35" s="11"/>
      <c r="V35" s="11"/>
      <c r="W35" s="11"/>
      <c r="X35" s="160"/>
      <c r="Y35" s="160"/>
      <c r="Z35" s="160"/>
      <c r="AA35" s="160"/>
      <c r="AB35" s="160"/>
      <c r="AC35" s="160"/>
      <c r="AD35" s="160"/>
      <c r="AE35" s="160"/>
      <c r="AF35" s="160"/>
      <c r="AG35" s="35"/>
      <c r="AH35" s="129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BA35" s="1687" t="s">
        <v>878</v>
      </c>
      <c r="BB35" s="102" t="s">
        <v>1411</v>
      </c>
    </row>
    <row r="36" spans="1:66" ht="19.5" customHeight="1">
      <c r="A36" s="47"/>
      <c r="B36" s="201" t="s">
        <v>166</v>
      </c>
      <c r="C36" s="204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39" t="s">
        <v>293</v>
      </c>
      <c r="Q36" s="204"/>
      <c r="R36" s="204"/>
      <c r="S36" s="204"/>
      <c r="T36" s="204"/>
      <c r="U36" s="155"/>
      <c r="V36" s="155"/>
      <c r="W36" s="155"/>
      <c r="X36" s="155"/>
      <c r="Y36" s="155"/>
      <c r="Z36" s="155"/>
      <c r="AA36" s="155"/>
      <c r="AB36" s="155"/>
      <c r="AC36" s="155"/>
      <c r="AD36" s="155"/>
      <c r="AE36" s="155"/>
      <c r="AF36" s="155"/>
      <c r="AG36" s="155"/>
      <c r="AH36" s="137"/>
      <c r="AI36" s="155"/>
      <c r="AJ36" s="155"/>
      <c r="AK36" s="155"/>
      <c r="AL36" s="155"/>
      <c r="AM36" s="155"/>
      <c r="AN36" s="155"/>
      <c r="AO36" s="64"/>
      <c r="AP36" s="64"/>
      <c r="AQ36" s="64"/>
      <c r="AR36" s="64"/>
      <c r="AS36" s="64"/>
      <c r="AT36" s="64"/>
      <c r="AU36" s="64"/>
      <c r="AV36" s="64"/>
      <c r="AW36" s="64"/>
      <c r="BA36" s="1687" t="s">
        <v>881</v>
      </c>
      <c r="BB36" s="102" t="s">
        <v>1412</v>
      </c>
    </row>
    <row r="37" spans="1:66" ht="15">
      <c r="A37" s="47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203"/>
      <c r="O37" s="11"/>
      <c r="P37" s="11"/>
      <c r="Q37" s="11"/>
      <c r="R37" s="11"/>
      <c r="S37" s="11"/>
      <c r="T37" s="11"/>
      <c r="U37" s="160"/>
      <c r="V37" s="11"/>
      <c r="W37" s="11"/>
      <c r="X37" s="160"/>
      <c r="Y37" s="160"/>
      <c r="Z37" s="160"/>
      <c r="AA37" s="160"/>
      <c r="AB37" s="160"/>
      <c r="AC37" s="160"/>
      <c r="AD37" s="160"/>
      <c r="AE37" s="160"/>
      <c r="AF37" s="160"/>
      <c r="AG37" s="35"/>
      <c r="AH37" s="129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BA37" s="1687" t="s">
        <v>884</v>
      </c>
      <c r="BB37" s="102" t="s">
        <v>1413</v>
      </c>
    </row>
    <row r="38" spans="1:66" ht="33" customHeight="1">
      <c r="A38" s="47"/>
      <c r="B38" s="2644" t="s">
        <v>123</v>
      </c>
      <c r="C38" s="2646"/>
      <c r="D38" s="1132"/>
      <c r="E38" s="1132"/>
      <c r="F38" s="1132"/>
      <c r="G38" s="1132"/>
      <c r="H38" s="1132"/>
      <c r="I38" s="1132"/>
      <c r="J38" s="1132"/>
      <c r="K38" s="1132"/>
      <c r="L38" s="1132"/>
      <c r="M38" s="1132"/>
      <c r="N38" s="2844" t="s">
        <v>336</v>
      </c>
      <c r="O38" s="2845"/>
      <c r="P38" s="2846" t="s">
        <v>178</v>
      </c>
      <c r="Q38" s="2856"/>
      <c r="R38" s="2856"/>
      <c r="S38" s="2856"/>
      <c r="T38" s="2856"/>
      <c r="U38" s="2856"/>
      <c r="V38" s="2856"/>
      <c r="W38" s="2856"/>
      <c r="X38" s="2856"/>
      <c r="Y38" s="2856"/>
      <c r="Z38" s="2857"/>
      <c r="AA38" s="2718" t="s">
        <v>179</v>
      </c>
      <c r="AB38" s="2719"/>
      <c r="AC38" s="2719"/>
      <c r="AD38" s="2719"/>
      <c r="AE38" s="2719"/>
      <c r="AF38" s="2719"/>
      <c r="AG38" s="2719"/>
      <c r="AH38" s="2720"/>
      <c r="AI38" s="2718" t="s">
        <v>180</v>
      </c>
      <c r="AJ38" s="2719"/>
      <c r="AK38" s="2719"/>
      <c r="AL38" s="2719"/>
      <c r="AM38" s="2720"/>
      <c r="AN38" s="2644" t="s">
        <v>181</v>
      </c>
      <c r="AO38" s="2645"/>
      <c r="AP38" s="2645"/>
      <c r="AQ38" s="2645"/>
      <c r="AR38" s="2645"/>
      <c r="AS38" s="2645"/>
      <c r="AT38" s="2645"/>
      <c r="AU38" s="2645"/>
      <c r="AV38" s="2646"/>
      <c r="AW38" s="202"/>
      <c r="BA38" s="1687" t="s">
        <v>887</v>
      </c>
      <c r="BB38" s="102" t="s">
        <v>1414</v>
      </c>
    </row>
    <row r="39" spans="1:66" ht="12.75" customHeight="1">
      <c r="A39" s="47"/>
      <c r="B39" s="2651" t="s">
        <v>128</v>
      </c>
      <c r="C39" s="2653"/>
      <c r="D39" s="1128"/>
      <c r="E39" s="1128"/>
      <c r="F39" s="1128"/>
      <c r="G39" s="1128"/>
      <c r="H39" s="1128"/>
      <c r="I39" s="1128"/>
      <c r="J39" s="1128"/>
      <c r="K39" s="1128"/>
      <c r="L39" s="1128"/>
      <c r="M39" s="1128"/>
      <c r="N39" s="2851" t="s">
        <v>129</v>
      </c>
      <c r="O39" s="2852"/>
      <c r="P39" s="519"/>
      <c r="Q39" s="519"/>
      <c r="R39" s="519"/>
      <c r="S39" s="519"/>
      <c r="T39" s="519"/>
      <c r="U39" s="519" t="s">
        <v>130</v>
      </c>
      <c r="V39" s="519"/>
      <c r="W39" s="519"/>
      <c r="X39" s="519"/>
      <c r="Y39" s="519"/>
      <c r="Z39" s="520"/>
      <c r="AA39" s="2651" t="s">
        <v>131</v>
      </c>
      <c r="AB39" s="2608"/>
      <c r="AC39" s="2608"/>
      <c r="AD39" s="2608"/>
      <c r="AE39" s="2608"/>
      <c r="AF39" s="2608"/>
      <c r="AG39" s="2608"/>
      <c r="AH39" s="2653"/>
      <c r="AI39" s="2651" t="s">
        <v>132</v>
      </c>
      <c r="AJ39" s="2608"/>
      <c r="AK39" s="2608"/>
      <c r="AL39" s="2608"/>
      <c r="AM39" s="2653"/>
      <c r="AN39" s="2651" t="s">
        <v>153</v>
      </c>
      <c r="AO39" s="2608"/>
      <c r="AP39" s="2608"/>
      <c r="AQ39" s="2608"/>
      <c r="AR39" s="2608"/>
      <c r="AS39" s="2608"/>
      <c r="AT39" s="2608"/>
      <c r="AU39" s="2608"/>
      <c r="AV39" s="2653"/>
      <c r="AW39" s="137"/>
      <c r="BA39" s="1687" t="s">
        <v>890</v>
      </c>
      <c r="BB39" s="102" t="s">
        <v>1415</v>
      </c>
    </row>
    <row r="40" spans="1:66" ht="26.1" customHeight="1">
      <c r="A40" s="156"/>
      <c r="B40" s="2624">
        <v>1</v>
      </c>
      <c r="C40" s="2624"/>
      <c r="D40" s="1690"/>
      <c r="E40" s="1690"/>
      <c r="F40" s="1690"/>
      <c r="G40" s="1690"/>
      <c r="H40" s="1690"/>
      <c r="I40" s="1690"/>
      <c r="J40" s="1690"/>
      <c r="K40" s="1690"/>
      <c r="L40" s="1690"/>
      <c r="M40" s="1690"/>
      <c r="N40" s="2850" t="str">
        <f ca="1">'FE-1770-IV'!N40</f>
        <v/>
      </c>
      <c r="O40" s="2850"/>
      <c r="P40" s="3343" t="str">
        <f ca="1">IF(N40=$BA$55,$BB$55,IF(N40=$BA$56,$BB$56,IF(N40=$BA$57,$BB$57,IF(N40=$BA$58,$BB$58,""))))</f>
        <v/>
      </c>
      <c r="Q40" s="3343"/>
      <c r="R40" s="3343"/>
      <c r="S40" s="3343"/>
      <c r="T40" s="3343"/>
      <c r="U40" s="3343"/>
      <c r="V40" s="3343"/>
      <c r="W40" s="3343"/>
      <c r="X40" s="3343"/>
      <c r="Y40" s="3343"/>
      <c r="Z40" s="3343"/>
      <c r="AA40" s="2829" t="str">
        <f>IF('FE-1770-IV'!AA40="","",'FE-1770-IV'!AA40)</f>
        <v/>
      </c>
      <c r="AB40" s="2829"/>
      <c r="AC40" s="2829"/>
      <c r="AD40" s="2829"/>
      <c r="AE40" s="2829"/>
      <c r="AF40" s="2829"/>
      <c r="AG40" s="2829"/>
      <c r="AH40" s="2829"/>
      <c r="AI40" s="3344" t="str">
        <f>IF('FE-1770-IV'!AI40="","",'FE-1770-IV'!AI40)</f>
        <v/>
      </c>
      <c r="AJ40" s="3344"/>
      <c r="AK40" s="3344"/>
      <c r="AL40" s="3344"/>
      <c r="AM40" s="3344"/>
      <c r="AN40" s="2831" t="str">
        <f ca="1">'FE-1770-IV'!AN40</f>
        <v/>
      </c>
      <c r="AO40" s="2831"/>
      <c r="AP40" s="2831"/>
      <c r="AQ40" s="2831"/>
      <c r="AR40" s="2831"/>
      <c r="AS40" s="2831"/>
      <c r="AT40" s="2831"/>
      <c r="AU40" s="2831"/>
      <c r="AV40" s="2831"/>
      <c r="AW40" s="65"/>
      <c r="BA40" s="1687" t="s">
        <v>893</v>
      </c>
      <c r="BB40" s="102" t="s">
        <v>1416</v>
      </c>
    </row>
    <row r="41" spans="1:66" ht="26.1" customHeight="1">
      <c r="A41" s="69"/>
      <c r="B41" s="2624">
        <v>2</v>
      </c>
      <c r="C41" s="2624"/>
      <c r="D41" s="1690"/>
      <c r="E41" s="1690"/>
      <c r="F41" s="1690"/>
      <c r="G41" s="1690"/>
      <c r="H41" s="1690"/>
      <c r="I41" s="1690"/>
      <c r="J41" s="1690"/>
      <c r="K41" s="1690"/>
      <c r="L41" s="1690"/>
      <c r="M41" s="1690"/>
      <c r="N41" s="2850" t="str">
        <f ca="1">'FE-1770-IV'!N41</f>
        <v/>
      </c>
      <c r="O41" s="2850"/>
      <c r="P41" s="3343" t="str">
        <f t="shared" ref="P41:P49" ca="1" si="2">IF(N41=$BA$55,$BB$55,IF(N41=$BA$56,$BB$56,IF(N41=$BA$57,$BB$57,IF(N41=$BA$58,$BB$58,""))))</f>
        <v/>
      </c>
      <c r="Q41" s="3343"/>
      <c r="R41" s="3343"/>
      <c r="S41" s="3343"/>
      <c r="T41" s="3343"/>
      <c r="U41" s="3343"/>
      <c r="V41" s="3343"/>
      <c r="W41" s="3343"/>
      <c r="X41" s="3343"/>
      <c r="Y41" s="3343"/>
      <c r="Z41" s="3343"/>
      <c r="AA41" s="2829" t="str">
        <f>IF('FE-1770-IV'!AA41="","",'FE-1770-IV'!AA41)</f>
        <v/>
      </c>
      <c r="AB41" s="2829"/>
      <c r="AC41" s="2829"/>
      <c r="AD41" s="2829"/>
      <c r="AE41" s="2829"/>
      <c r="AF41" s="2829"/>
      <c r="AG41" s="2829"/>
      <c r="AH41" s="2829"/>
      <c r="AI41" s="3344" t="str">
        <f>IF('FE-1770-IV'!AI41="","",'FE-1770-IV'!AI41)</f>
        <v/>
      </c>
      <c r="AJ41" s="3344"/>
      <c r="AK41" s="3344"/>
      <c r="AL41" s="3344"/>
      <c r="AM41" s="3344"/>
      <c r="AN41" s="2772" t="str">
        <f ca="1">'FE-1770-IV'!AN41</f>
        <v/>
      </c>
      <c r="AO41" s="2772"/>
      <c r="AP41" s="2772"/>
      <c r="AQ41" s="2772"/>
      <c r="AR41" s="2772"/>
      <c r="AS41" s="2772"/>
      <c r="AT41" s="2772"/>
      <c r="AU41" s="2772"/>
      <c r="AV41" s="2772"/>
      <c r="AW41" s="64"/>
      <c r="BA41" s="1687" t="s">
        <v>896</v>
      </c>
      <c r="BB41" s="102" t="s">
        <v>1417</v>
      </c>
    </row>
    <row r="42" spans="1:66" ht="26.1" customHeight="1">
      <c r="A42" s="69"/>
      <c r="B42" s="2656">
        <v>3</v>
      </c>
      <c r="C42" s="2656"/>
      <c r="D42" s="215"/>
      <c r="E42" s="215"/>
      <c r="F42" s="215"/>
      <c r="G42" s="215"/>
      <c r="H42" s="215"/>
      <c r="I42" s="215"/>
      <c r="J42" s="215"/>
      <c r="K42" s="215"/>
      <c r="L42" s="215"/>
      <c r="M42" s="215"/>
      <c r="N42" s="2850" t="str">
        <f ca="1">'FE-1770-IV'!N42</f>
        <v/>
      </c>
      <c r="O42" s="2850"/>
      <c r="P42" s="3343" t="str">
        <f t="shared" ca="1" si="2"/>
        <v/>
      </c>
      <c r="Q42" s="3343"/>
      <c r="R42" s="3343"/>
      <c r="S42" s="3343"/>
      <c r="T42" s="3343"/>
      <c r="U42" s="3343"/>
      <c r="V42" s="3343"/>
      <c r="W42" s="3343"/>
      <c r="X42" s="3343"/>
      <c r="Y42" s="3343"/>
      <c r="Z42" s="3343"/>
      <c r="AA42" s="2829" t="str">
        <f>IF('FE-1770-IV'!AA42="","",'FE-1770-IV'!AA42)</f>
        <v/>
      </c>
      <c r="AB42" s="2829"/>
      <c r="AC42" s="2829"/>
      <c r="AD42" s="2829"/>
      <c r="AE42" s="2829"/>
      <c r="AF42" s="2829"/>
      <c r="AG42" s="2829"/>
      <c r="AH42" s="2829"/>
      <c r="AI42" s="3344" t="str">
        <f>IF('FE-1770-IV'!AI42="","",'FE-1770-IV'!AI42)</f>
        <v/>
      </c>
      <c r="AJ42" s="3344"/>
      <c r="AK42" s="3344"/>
      <c r="AL42" s="3344"/>
      <c r="AM42" s="3344"/>
      <c r="AN42" s="2772" t="str">
        <f ca="1">'FE-1770-IV'!AN42</f>
        <v/>
      </c>
      <c r="AO42" s="2772"/>
      <c r="AP42" s="2772"/>
      <c r="AQ42" s="2772"/>
      <c r="AR42" s="2772"/>
      <c r="AS42" s="2772"/>
      <c r="AT42" s="2772"/>
      <c r="AU42" s="2772"/>
      <c r="AV42" s="2772"/>
      <c r="AW42" s="64"/>
      <c r="BA42" s="1687" t="s">
        <v>899</v>
      </c>
      <c r="BB42" s="102" t="s">
        <v>1418</v>
      </c>
    </row>
    <row r="43" spans="1:66" ht="26.1" customHeight="1">
      <c r="A43" s="69"/>
      <c r="B43" s="2656">
        <v>4</v>
      </c>
      <c r="C43" s="2656"/>
      <c r="D43" s="215"/>
      <c r="E43" s="215"/>
      <c r="F43" s="215"/>
      <c r="G43" s="215"/>
      <c r="H43" s="215"/>
      <c r="I43" s="215"/>
      <c r="J43" s="215"/>
      <c r="K43" s="215"/>
      <c r="L43" s="215"/>
      <c r="M43" s="215"/>
      <c r="N43" s="2850" t="str">
        <f ca="1">'FE-1770-IV'!N43</f>
        <v/>
      </c>
      <c r="O43" s="2850"/>
      <c r="P43" s="3343" t="str">
        <f t="shared" ca="1" si="2"/>
        <v/>
      </c>
      <c r="Q43" s="3343"/>
      <c r="R43" s="3343"/>
      <c r="S43" s="3343"/>
      <c r="T43" s="3343"/>
      <c r="U43" s="3343"/>
      <c r="V43" s="3343"/>
      <c r="W43" s="3343"/>
      <c r="X43" s="3343"/>
      <c r="Y43" s="3343"/>
      <c r="Z43" s="3343"/>
      <c r="AA43" s="2829" t="str">
        <f>IF('FE-1770-IV'!AA43="","",'FE-1770-IV'!AA43)</f>
        <v/>
      </c>
      <c r="AB43" s="2829"/>
      <c r="AC43" s="2829"/>
      <c r="AD43" s="2829"/>
      <c r="AE43" s="2829"/>
      <c r="AF43" s="2829"/>
      <c r="AG43" s="2829"/>
      <c r="AH43" s="2829"/>
      <c r="AI43" s="3344" t="str">
        <f>IF('FE-1770-IV'!AI43="","",'FE-1770-IV'!AI43)</f>
        <v/>
      </c>
      <c r="AJ43" s="3344"/>
      <c r="AK43" s="3344"/>
      <c r="AL43" s="3344"/>
      <c r="AM43" s="3344"/>
      <c r="AN43" s="2772" t="str">
        <f ca="1">'FE-1770-IV'!AN43</f>
        <v/>
      </c>
      <c r="AO43" s="2772"/>
      <c r="AP43" s="2772"/>
      <c r="AQ43" s="2772"/>
      <c r="AR43" s="2772"/>
      <c r="AS43" s="2772"/>
      <c r="AT43" s="2772"/>
      <c r="AU43" s="2772"/>
      <c r="AV43" s="2772"/>
      <c r="AW43" s="64"/>
      <c r="BA43" s="1687" t="s">
        <v>1430</v>
      </c>
      <c r="BB43" s="102" t="s">
        <v>1419</v>
      </c>
    </row>
    <row r="44" spans="1:66" ht="26.1" customHeight="1">
      <c r="A44" s="69"/>
      <c r="B44" s="2624">
        <v>5</v>
      </c>
      <c r="C44" s="2624"/>
      <c r="D44" s="1690"/>
      <c r="E44" s="1690"/>
      <c r="F44" s="1690"/>
      <c r="G44" s="1690"/>
      <c r="H44" s="1690"/>
      <c r="I44" s="1690"/>
      <c r="J44" s="1690"/>
      <c r="K44" s="1690"/>
      <c r="L44" s="1690"/>
      <c r="M44" s="1690"/>
      <c r="N44" s="2850" t="str">
        <f>IF('FE-1770-IV'!N44="","",'FE-1770-IV'!N44)</f>
        <v/>
      </c>
      <c r="O44" s="2850"/>
      <c r="P44" s="3343" t="str">
        <f t="shared" si="2"/>
        <v/>
      </c>
      <c r="Q44" s="3343"/>
      <c r="R44" s="3343"/>
      <c r="S44" s="3343"/>
      <c r="T44" s="3343"/>
      <c r="U44" s="3343"/>
      <c r="V44" s="3343"/>
      <c r="W44" s="3343"/>
      <c r="X44" s="3343"/>
      <c r="Y44" s="3343"/>
      <c r="Z44" s="3343"/>
      <c r="AA44" s="2829" t="str">
        <f>IF('FE-1770-IV'!AA44="","",'FE-1770-IV'!AA44)</f>
        <v/>
      </c>
      <c r="AB44" s="2829"/>
      <c r="AC44" s="2829"/>
      <c r="AD44" s="2829"/>
      <c r="AE44" s="2829"/>
      <c r="AF44" s="2829"/>
      <c r="AG44" s="2829"/>
      <c r="AH44" s="2829"/>
      <c r="AI44" s="3344" t="str">
        <f>IF('FE-1770-IV'!AI44="","",'FE-1770-IV'!AI44)</f>
        <v/>
      </c>
      <c r="AJ44" s="3344"/>
      <c r="AK44" s="3344"/>
      <c r="AL44" s="3344"/>
      <c r="AM44" s="3344"/>
      <c r="AN44" s="2772" t="str">
        <f>IF('FE-1770-IV'!AN44="","",'FE-1770-IV'!AN44)</f>
        <v/>
      </c>
      <c r="AO44" s="2772"/>
      <c r="AP44" s="2772"/>
      <c r="AQ44" s="2772"/>
      <c r="AR44" s="2772"/>
      <c r="AS44" s="2772"/>
      <c r="AT44" s="2772"/>
      <c r="AU44" s="2772"/>
      <c r="AV44" s="2772"/>
      <c r="AW44" s="64"/>
      <c r="BA44" s="1687" t="s">
        <v>906</v>
      </c>
      <c r="BB44" s="102" t="s">
        <v>1420</v>
      </c>
    </row>
    <row r="45" spans="1:66" ht="26.1" customHeight="1">
      <c r="A45" s="69"/>
      <c r="B45" s="2624">
        <v>6</v>
      </c>
      <c r="C45" s="2624"/>
      <c r="D45" s="1690"/>
      <c r="E45" s="1690"/>
      <c r="F45" s="1690"/>
      <c r="G45" s="1690"/>
      <c r="H45" s="1690"/>
      <c r="I45" s="1690"/>
      <c r="J45" s="1690"/>
      <c r="K45" s="1690"/>
      <c r="L45" s="1690"/>
      <c r="M45" s="1690"/>
      <c r="N45" s="2850" t="str">
        <f>IF('FE-1770-IV'!N45="","",'FE-1770-IV'!N45)</f>
        <v/>
      </c>
      <c r="O45" s="2850"/>
      <c r="P45" s="3343" t="str">
        <f t="shared" si="2"/>
        <v/>
      </c>
      <c r="Q45" s="3343"/>
      <c r="R45" s="3343"/>
      <c r="S45" s="3343"/>
      <c r="T45" s="3343"/>
      <c r="U45" s="3343"/>
      <c r="V45" s="3343"/>
      <c r="W45" s="3343"/>
      <c r="X45" s="3343"/>
      <c r="Y45" s="3343"/>
      <c r="Z45" s="3343"/>
      <c r="AA45" s="2829" t="str">
        <f>IF('FE-1770-IV'!AA45="","",'FE-1770-IV'!AA45)</f>
        <v/>
      </c>
      <c r="AB45" s="2829"/>
      <c r="AC45" s="2829"/>
      <c r="AD45" s="2829"/>
      <c r="AE45" s="2829"/>
      <c r="AF45" s="2829"/>
      <c r="AG45" s="2829"/>
      <c r="AH45" s="2829"/>
      <c r="AI45" s="3344" t="str">
        <f>IF('FE-1770-IV'!AI45="","",'FE-1770-IV'!AI45)</f>
        <v/>
      </c>
      <c r="AJ45" s="3344"/>
      <c r="AK45" s="3344"/>
      <c r="AL45" s="3344"/>
      <c r="AM45" s="3344"/>
      <c r="AN45" s="2772" t="str">
        <f>IF('FE-1770-IV'!AN45="","",'FE-1770-IV'!AN45)</f>
        <v/>
      </c>
      <c r="AO45" s="2772"/>
      <c r="AP45" s="2772"/>
      <c r="AQ45" s="2772"/>
      <c r="AR45" s="2772"/>
      <c r="AS45" s="2772"/>
      <c r="AT45" s="2772"/>
      <c r="AU45" s="2772"/>
      <c r="AV45" s="2772"/>
      <c r="AW45" s="64"/>
      <c r="BA45" s="1687" t="s">
        <v>909</v>
      </c>
      <c r="BB45" s="102" t="s">
        <v>1421</v>
      </c>
    </row>
    <row r="46" spans="1:66" ht="26.1" customHeight="1">
      <c r="A46" s="35"/>
      <c r="B46" s="2624">
        <v>7</v>
      </c>
      <c r="C46" s="2624"/>
      <c r="D46" s="1690"/>
      <c r="E46" s="1690"/>
      <c r="F46" s="1690"/>
      <c r="G46" s="1690"/>
      <c r="H46" s="1690"/>
      <c r="I46" s="1690"/>
      <c r="J46" s="1690"/>
      <c r="K46" s="1690"/>
      <c r="L46" s="1690"/>
      <c r="M46" s="1690"/>
      <c r="N46" s="2850" t="str">
        <f>IF('FE-1770-IV'!N46="","",'FE-1770-IV'!N46)</f>
        <v/>
      </c>
      <c r="O46" s="2850"/>
      <c r="P46" s="3343" t="str">
        <f t="shared" si="2"/>
        <v/>
      </c>
      <c r="Q46" s="3343"/>
      <c r="R46" s="3343"/>
      <c r="S46" s="3343"/>
      <c r="T46" s="3343"/>
      <c r="U46" s="3343"/>
      <c r="V46" s="3343"/>
      <c r="W46" s="3343"/>
      <c r="X46" s="3343"/>
      <c r="Y46" s="3343"/>
      <c r="Z46" s="3343"/>
      <c r="AA46" s="2829" t="str">
        <f>IF('FE-1770-IV'!AA46="","",'FE-1770-IV'!AA46)</f>
        <v/>
      </c>
      <c r="AB46" s="2829"/>
      <c r="AC46" s="2829"/>
      <c r="AD46" s="2829"/>
      <c r="AE46" s="2829"/>
      <c r="AF46" s="2829"/>
      <c r="AG46" s="2829"/>
      <c r="AH46" s="2829"/>
      <c r="AI46" s="3344" t="str">
        <f>IF('FE-1770-IV'!AI46="","",'FE-1770-IV'!AI46)</f>
        <v/>
      </c>
      <c r="AJ46" s="3344"/>
      <c r="AK46" s="3344"/>
      <c r="AL46" s="3344"/>
      <c r="AM46" s="3344"/>
      <c r="AN46" s="2772" t="str">
        <f>IF('FE-1770-IV'!AN46="","",'FE-1770-IV'!AN46)</f>
        <v/>
      </c>
      <c r="AO46" s="2772"/>
      <c r="AP46" s="2772"/>
      <c r="AQ46" s="2772"/>
      <c r="AR46" s="2772"/>
      <c r="AS46" s="2772"/>
      <c r="AT46" s="2772"/>
      <c r="AU46" s="2772"/>
      <c r="AV46" s="2772"/>
      <c r="AW46" s="35"/>
      <c r="BA46" s="1687" t="s">
        <v>912</v>
      </c>
      <c r="BB46" s="102" t="s">
        <v>1422</v>
      </c>
    </row>
    <row r="47" spans="1:66" ht="26.1" customHeight="1">
      <c r="A47" s="35"/>
      <c r="B47" s="2656">
        <v>8</v>
      </c>
      <c r="C47" s="2656"/>
      <c r="D47" s="215"/>
      <c r="E47" s="215"/>
      <c r="F47" s="215"/>
      <c r="G47" s="215"/>
      <c r="H47" s="215"/>
      <c r="I47" s="215"/>
      <c r="J47" s="215"/>
      <c r="K47" s="215"/>
      <c r="L47" s="215"/>
      <c r="M47" s="215"/>
      <c r="N47" s="2850" t="str">
        <f>IF('FE-1770-IV'!N47="","",'FE-1770-IV'!N47)</f>
        <v/>
      </c>
      <c r="O47" s="2850"/>
      <c r="P47" s="3343" t="str">
        <f t="shared" si="2"/>
        <v/>
      </c>
      <c r="Q47" s="3343"/>
      <c r="R47" s="3343"/>
      <c r="S47" s="3343"/>
      <c r="T47" s="3343"/>
      <c r="U47" s="3343"/>
      <c r="V47" s="3343"/>
      <c r="W47" s="3343"/>
      <c r="X47" s="3343"/>
      <c r="Y47" s="3343"/>
      <c r="Z47" s="3343"/>
      <c r="AA47" s="2829" t="str">
        <f>IF('FE-1770-IV'!AA47="","",'FE-1770-IV'!AA47)</f>
        <v/>
      </c>
      <c r="AB47" s="2829"/>
      <c r="AC47" s="2829"/>
      <c r="AD47" s="2829"/>
      <c r="AE47" s="2829"/>
      <c r="AF47" s="2829"/>
      <c r="AG47" s="2829"/>
      <c r="AH47" s="2829"/>
      <c r="AI47" s="3344" t="str">
        <f>IF('FE-1770-IV'!AI47="","",'FE-1770-IV'!AI47)</f>
        <v/>
      </c>
      <c r="AJ47" s="3344"/>
      <c r="AK47" s="3344"/>
      <c r="AL47" s="3344"/>
      <c r="AM47" s="3344"/>
      <c r="AN47" s="2772" t="str">
        <f>IF('FE-1770-IV'!AN47="","",'FE-1770-IV'!AN47)</f>
        <v/>
      </c>
      <c r="AO47" s="2772"/>
      <c r="AP47" s="2772"/>
      <c r="AQ47" s="2772"/>
      <c r="AR47" s="2772"/>
      <c r="AS47" s="2772"/>
      <c r="AT47" s="2772"/>
      <c r="AU47" s="2772"/>
      <c r="AV47" s="2772"/>
      <c r="AW47" s="35"/>
      <c r="BA47" s="1687" t="s">
        <v>915</v>
      </c>
      <c r="BB47" s="102" t="s">
        <v>1423</v>
      </c>
    </row>
    <row r="48" spans="1:66" s="64" customFormat="1" ht="26.1" customHeight="1">
      <c r="B48" s="2624">
        <v>9</v>
      </c>
      <c r="C48" s="2624"/>
      <c r="D48" s="1690"/>
      <c r="E48" s="1690"/>
      <c r="F48" s="1690"/>
      <c r="G48" s="1690"/>
      <c r="H48" s="1690"/>
      <c r="I48" s="1690"/>
      <c r="J48" s="1690"/>
      <c r="K48" s="1690"/>
      <c r="L48" s="1690"/>
      <c r="M48" s="1690"/>
      <c r="N48" s="2850" t="str">
        <f>IF('FE-1770-IV'!N48="","",'FE-1770-IV'!N48)</f>
        <v/>
      </c>
      <c r="O48" s="2850"/>
      <c r="P48" s="3343" t="str">
        <f t="shared" si="2"/>
        <v/>
      </c>
      <c r="Q48" s="3343"/>
      <c r="R48" s="3343"/>
      <c r="S48" s="3343"/>
      <c r="T48" s="3343"/>
      <c r="U48" s="3343"/>
      <c r="V48" s="3343"/>
      <c r="W48" s="3343"/>
      <c r="X48" s="3343"/>
      <c r="Y48" s="3343"/>
      <c r="Z48" s="3343"/>
      <c r="AA48" s="2829" t="str">
        <f>IF('FE-1770-IV'!AA48="","",'FE-1770-IV'!AA48)</f>
        <v/>
      </c>
      <c r="AB48" s="2829"/>
      <c r="AC48" s="2829"/>
      <c r="AD48" s="2829"/>
      <c r="AE48" s="2829"/>
      <c r="AF48" s="2829"/>
      <c r="AG48" s="2829"/>
      <c r="AH48" s="2829"/>
      <c r="AI48" s="3344" t="str">
        <f>IF('FE-1770-IV'!AI48="","",'FE-1770-IV'!AI48)</f>
        <v/>
      </c>
      <c r="AJ48" s="3344"/>
      <c r="AK48" s="3344"/>
      <c r="AL48" s="3344"/>
      <c r="AM48" s="3344"/>
      <c r="AN48" s="2772" t="str">
        <f>IF('FE-1770-IV'!AN48="","",'FE-1770-IV'!AN48)</f>
        <v/>
      </c>
      <c r="AO48" s="2772"/>
      <c r="AP48" s="2772"/>
      <c r="AQ48" s="2772"/>
      <c r="AR48" s="2772"/>
      <c r="AS48" s="2772"/>
      <c r="AT48" s="2772"/>
      <c r="AU48" s="2772"/>
      <c r="AV48" s="2772"/>
      <c r="AY48" s="102"/>
      <c r="AZ48" s="102"/>
      <c r="BA48" s="1687" t="s">
        <v>918</v>
      </c>
      <c r="BB48" s="102" t="s">
        <v>1424</v>
      </c>
      <c r="BC48" s="102"/>
      <c r="BD48" s="102"/>
      <c r="BE48" s="102"/>
      <c r="BF48" s="102"/>
      <c r="BG48" s="102"/>
      <c r="BH48" s="102"/>
      <c r="BI48" s="102"/>
      <c r="BJ48" s="102"/>
      <c r="BK48" s="102"/>
      <c r="BL48" s="102"/>
      <c r="BM48" s="102"/>
      <c r="BN48" s="102"/>
    </row>
    <row r="49" spans="1:66" s="64" customFormat="1" ht="26.1" customHeight="1">
      <c r="B49" s="2656" t="s">
        <v>317</v>
      </c>
      <c r="C49" s="2656"/>
      <c r="D49" s="1725"/>
      <c r="E49" s="1725"/>
      <c r="F49" s="1725"/>
      <c r="G49" s="1725"/>
      <c r="H49" s="1725"/>
      <c r="I49" s="1725"/>
      <c r="J49" s="1725"/>
      <c r="K49" s="1725"/>
      <c r="L49" s="1725"/>
      <c r="M49" s="1725"/>
      <c r="N49" s="2850" t="str">
        <f>IF('FE-1770-IV'!N49="","",'FE-1770-IV'!N49)</f>
        <v/>
      </c>
      <c r="O49" s="2850"/>
      <c r="P49" s="3343" t="str">
        <f t="shared" si="2"/>
        <v/>
      </c>
      <c r="Q49" s="3343"/>
      <c r="R49" s="3343"/>
      <c r="S49" s="3343"/>
      <c r="T49" s="3343"/>
      <c r="U49" s="3343"/>
      <c r="V49" s="3343"/>
      <c r="W49" s="3343"/>
      <c r="X49" s="3343"/>
      <c r="Y49" s="3343"/>
      <c r="Z49" s="3343"/>
      <c r="AA49" s="2829" t="str">
        <f>IF('FE-1770-IV'!AA49="","",'FE-1770-IV'!AA49)</f>
        <v/>
      </c>
      <c r="AB49" s="2829"/>
      <c r="AC49" s="2829"/>
      <c r="AD49" s="2829"/>
      <c r="AE49" s="2829"/>
      <c r="AF49" s="2829"/>
      <c r="AG49" s="2829"/>
      <c r="AH49" s="2829"/>
      <c r="AI49" s="3344" t="str">
        <f>IF('FE-1770-IV'!AI49="","",'FE-1770-IV'!AI49)</f>
        <v/>
      </c>
      <c r="AJ49" s="3344"/>
      <c r="AK49" s="3344"/>
      <c r="AL49" s="3344"/>
      <c r="AM49" s="3344"/>
      <c r="AN49" s="2772" t="str">
        <f>IF('FE-1770-IV'!AN49="","",'FE-1770-IV'!AN49)</f>
        <v/>
      </c>
      <c r="AO49" s="2772"/>
      <c r="AP49" s="2772"/>
      <c r="AQ49" s="2772"/>
      <c r="AR49" s="2772"/>
      <c r="AS49" s="2772"/>
      <c r="AT49" s="2772"/>
      <c r="AU49" s="2772"/>
      <c r="AV49" s="2772"/>
      <c r="AY49" s="102"/>
      <c r="AZ49" s="102"/>
      <c r="BA49" s="1687" t="s">
        <v>921</v>
      </c>
      <c r="BB49" s="102" t="s">
        <v>1425</v>
      </c>
      <c r="BC49" s="102"/>
      <c r="BD49" s="102"/>
      <c r="BE49" s="102"/>
      <c r="BF49" s="102"/>
      <c r="BG49" s="102"/>
      <c r="BH49" s="102"/>
      <c r="BI49" s="102"/>
      <c r="BJ49" s="102"/>
      <c r="BK49" s="102"/>
      <c r="BL49" s="102"/>
      <c r="BM49" s="102"/>
      <c r="BN49" s="102"/>
    </row>
    <row r="50" spans="1:66" s="64" customFormat="1" ht="21.95" customHeight="1">
      <c r="B50" s="2625" t="s">
        <v>138</v>
      </c>
      <c r="C50" s="2626"/>
      <c r="D50" s="2626"/>
      <c r="E50" s="2626"/>
      <c r="F50" s="2626"/>
      <c r="G50" s="2626"/>
      <c r="H50" s="2626"/>
      <c r="I50" s="2626"/>
      <c r="J50" s="2626"/>
      <c r="K50" s="2626"/>
      <c r="L50" s="2626"/>
      <c r="M50" s="2626"/>
      <c r="N50" s="2626"/>
      <c r="O50" s="2626"/>
      <c r="P50" s="2626"/>
      <c r="Q50" s="2626"/>
      <c r="R50" s="2626"/>
      <c r="S50" s="2626"/>
      <c r="T50" s="2626"/>
      <c r="U50" s="2626"/>
      <c r="V50" s="2626"/>
      <c r="W50" s="2626"/>
      <c r="X50" s="2626"/>
      <c r="Y50" s="2626"/>
      <c r="Z50" s="2626"/>
      <c r="AA50" s="2871"/>
      <c r="AB50" s="2871"/>
      <c r="AC50" s="2871"/>
      <c r="AD50" s="2871"/>
      <c r="AE50" s="2871"/>
      <c r="AF50" s="2871"/>
      <c r="AG50" s="2871"/>
      <c r="AH50" s="2871"/>
      <c r="AI50" s="2871"/>
      <c r="AJ50" s="2871"/>
      <c r="AK50" s="2872"/>
      <c r="AL50" s="2625" t="s">
        <v>139</v>
      </c>
      <c r="AM50" s="2714"/>
      <c r="AN50" s="2629">
        <f ca="1">'FE-1770-IV'!AN50</f>
        <v>0</v>
      </c>
      <c r="AO50" s="2630"/>
      <c r="AP50" s="2630"/>
      <c r="AQ50" s="2630"/>
      <c r="AR50" s="2630"/>
      <c r="AS50" s="2630"/>
      <c r="AT50" s="2630"/>
      <c r="AU50" s="2630"/>
      <c r="AV50" s="2631"/>
      <c r="AW50" s="119"/>
      <c r="AY50" s="102"/>
      <c r="AZ50" s="102"/>
      <c r="BA50" s="1687" t="s">
        <v>924</v>
      </c>
      <c r="BB50" s="102" t="s">
        <v>1426</v>
      </c>
      <c r="BC50" s="102"/>
      <c r="BD50" s="102"/>
      <c r="BE50" s="102"/>
      <c r="BF50" s="102"/>
      <c r="BG50" s="102"/>
      <c r="BH50" s="102"/>
      <c r="BI50" s="102"/>
      <c r="BJ50" s="102"/>
      <c r="BK50" s="102"/>
      <c r="BL50" s="102"/>
      <c r="BM50" s="102"/>
      <c r="BN50" s="102"/>
    </row>
    <row r="51" spans="1:66" s="64" customFormat="1">
      <c r="B51" s="42"/>
      <c r="C51" s="42"/>
      <c r="D51" s="42"/>
      <c r="E51" s="42"/>
      <c r="F51" s="42"/>
      <c r="G51" s="42"/>
      <c r="H51" s="42"/>
      <c r="I51" s="42"/>
      <c r="J51" s="42"/>
      <c r="K51" s="42"/>
      <c r="L51" s="42"/>
      <c r="M51" s="42"/>
      <c r="N51" s="42"/>
      <c r="O51" s="42"/>
      <c r="P51" s="42"/>
      <c r="Q51" s="42"/>
      <c r="R51" s="42"/>
      <c r="S51" s="42"/>
      <c r="T51" s="42"/>
      <c r="U51" s="42"/>
      <c r="V51" s="42"/>
      <c r="W51" s="393"/>
      <c r="X51" s="393"/>
      <c r="Y51" s="393"/>
      <c r="Z51" s="393"/>
      <c r="AA51" s="393"/>
      <c r="AB51" s="393"/>
      <c r="AC51" s="393"/>
      <c r="AD51" s="393"/>
      <c r="AE51" s="393"/>
      <c r="AF51" s="393"/>
      <c r="AG51" s="393"/>
      <c r="AH51" s="393"/>
      <c r="AI51" s="393"/>
      <c r="AJ51" s="393"/>
      <c r="AK51" s="393"/>
      <c r="AL51" s="42"/>
      <c r="AM51" s="42"/>
      <c r="AN51" s="117"/>
      <c r="AO51" s="117"/>
      <c r="AP51" s="117"/>
      <c r="AQ51" s="117"/>
      <c r="AR51" s="117"/>
      <c r="AS51" s="117"/>
      <c r="AT51" s="117"/>
      <c r="AU51" s="117"/>
      <c r="AV51" s="117"/>
      <c r="AW51" s="119"/>
      <c r="AY51" s="102"/>
      <c r="AZ51" s="102"/>
      <c r="BA51" s="1687" t="s">
        <v>927</v>
      </c>
      <c r="BB51" s="102" t="s">
        <v>1427</v>
      </c>
      <c r="BC51" s="102"/>
      <c r="BD51" s="102"/>
      <c r="BE51" s="102"/>
      <c r="BF51" s="102"/>
      <c r="BG51" s="102"/>
      <c r="BH51" s="102"/>
      <c r="BI51" s="102"/>
      <c r="BJ51" s="102"/>
      <c r="BK51" s="102"/>
      <c r="BL51" s="102"/>
      <c r="BM51" s="102"/>
      <c r="BN51" s="102"/>
    </row>
    <row r="52" spans="1:66" ht="19.5" customHeight="1">
      <c r="A52" s="47"/>
      <c r="B52" s="201" t="s">
        <v>140</v>
      </c>
      <c r="C52" s="204"/>
      <c r="D52" s="204"/>
      <c r="E52" s="204"/>
      <c r="F52" s="204"/>
      <c r="G52" s="204"/>
      <c r="H52" s="204"/>
      <c r="I52" s="204"/>
      <c r="J52" s="204"/>
      <c r="K52" s="204"/>
      <c r="L52" s="204"/>
      <c r="M52" s="204"/>
      <c r="N52" s="204"/>
      <c r="O52" s="204"/>
      <c r="P52" s="39" t="s">
        <v>294</v>
      </c>
      <c r="Q52" s="204"/>
      <c r="R52" s="204"/>
      <c r="S52" s="204"/>
      <c r="T52" s="204"/>
      <c r="U52" s="155"/>
      <c r="V52" s="155"/>
      <c r="W52" s="155"/>
      <c r="X52" s="155"/>
      <c r="Y52" s="155"/>
      <c r="Z52" s="155"/>
      <c r="AA52" s="155"/>
      <c r="AB52" s="155"/>
      <c r="AC52" s="155"/>
      <c r="AD52" s="155"/>
      <c r="AE52" s="155"/>
      <c r="AF52" s="155"/>
      <c r="AG52" s="155"/>
      <c r="AH52" s="137"/>
      <c r="AI52" s="155"/>
      <c r="AJ52" s="155"/>
      <c r="AK52" s="155"/>
      <c r="AL52" s="155"/>
      <c r="AM52" s="155"/>
      <c r="AN52" s="155"/>
      <c r="AO52" s="64"/>
      <c r="AP52" s="64"/>
      <c r="AQ52" s="64"/>
      <c r="AR52" s="64"/>
      <c r="AS52" s="64"/>
      <c r="AT52" s="64"/>
      <c r="AU52" s="64"/>
      <c r="AV52" s="64"/>
      <c r="AW52" s="64"/>
      <c r="BA52" s="1687" t="s">
        <v>930</v>
      </c>
      <c r="BB52" s="102" t="s">
        <v>1428</v>
      </c>
    </row>
    <row r="53" spans="1:66" ht="15">
      <c r="A53" s="47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203"/>
      <c r="O53" s="11"/>
      <c r="P53" s="11"/>
      <c r="Q53" s="11"/>
      <c r="R53" s="11"/>
      <c r="S53" s="11"/>
      <c r="T53" s="11"/>
      <c r="U53" s="160"/>
      <c r="V53" s="11"/>
      <c r="W53" s="11"/>
      <c r="X53" s="160"/>
      <c r="Y53" s="160"/>
      <c r="Z53" s="160"/>
      <c r="AA53" s="160"/>
      <c r="AB53" s="160"/>
      <c r="AC53" s="160"/>
      <c r="AD53" s="160"/>
      <c r="AE53" s="160"/>
      <c r="AF53" s="160"/>
      <c r="AG53" s="35"/>
      <c r="AH53" s="129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BA53" s="1687" t="s">
        <v>933</v>
      </c>
      <c r="BB53" s="102" t="s">
        <v>1429</v>
      </c>
    </row>
    <row r="54" spans="1:66" ht="33" customHeight="1">
      <c r="A54" s="47"/>
      <c r="B54" s="2642" t="s">
        <v>123</v>
      </c>
      <c r="C54" s="2643"/>
      <c r="D54" s="1129"/>
      <c r="E54" s="1129"/>
      <c r="F54" s="1129"/>
      <c r="G54" s="1129"/>
      <c r="H54" s="1129"/>
      <c r="I54" s="1129"/>
      <c r="J54" s="1129"/>
      <c r="K54" s="1129"/>
      <c r="L54" s="1129"/>
      <c r="M54" s="1129"/>
      <c r="N54" s="2718" t="s">
        <v>295</v>
      </c>
      <c r="O54" s="2719"/>
      <c r="P54" s="2719"/>
      <c r="Q54" s="2719"/>
      <c r="R54" s="2719"/>
      <c r="S54" s="2719"/>
      <c r="T54" s="2719"/>
      <c r="U54" s="2719"/>
      <c r="V54" s="2719"/>
      <c r="W54" s="2719"/>
      <c r="X54" s="2720"/>
      <c r="Y54" s="2846" t="s">
        <v>335</v>
      </c>
      <c r="Z54" s="2856"/>
      <c r="AA54" s="2856"/>
      <c r="AB54" s="2856"/>
      <c r="AC54" s="2856"/>
      <c r="AD54" s="2856"/>
      <c r="AE54" s="2857"/>
      <c r="AF54" s="2718" t="s">
        <v>296</v>
      </c>
      <c r="AG54" s="2719"/>
      <c r="AH54" s="2719"/>
      <c r="AI54" s="2719"/>
      <c r="AJ54" s="2719"/>
      <c r="AK54" s="2719"/>
      <c r="AL54" s="2719"/>
      <c r="AM54" s="2720"/>
      <c r="AN54" s="2790" t="s">
        <v>297</v>
      </c>
      <c r="AO54" s="2643"/>
      <c r="AP54" s="2643"/>
      <c r="AQ54" s="2643"/>
      <c r="AR54" s="2643"/>
      <c r="AS54" s="2643"/>
      <c r="AT54" s="2643"/>
      <c r="AU54" s="2643"/>
      <c r="AV54" s="2647"/>
      <c r="AW54" s="202"/>
    </row>
    <row r="55" spans="1:66" ht="12.75" customHeight="1">
      <c r="A55" s="47"/>
      <c r="B55" s="2651" t="s">
        <v>128</v>
      </c>
      <c r="C55" s="2652"/>
      <c r="D55" s="406"/>
      <c r="E55" s="406"/>
      <c r="F55" s="406"/>
      <c r="G55" s="406"/>
      <c r="H55" s="406"/>
      <c r="I55" s="406"/>
      <c r="J55" s="406"/>
      <c r="K55" s="406"/>
      <c r="L55" s="406"/>
      <c r="M55" s="406"/>
      <c r="N55" s="2873" t="s">
        <v>129</v>
      </c>
      <c r="O55" s="2874"/>
      <c r="P55" s="2874"/>
      <c r="Q55" s="2874"/>
      <c r="R55" s="2874"/>
      <c r="S55" s="2874"/>
      <c r="T55" s="2874"/>
      <c r="U55" s="2874"/>
      <c r="V55" s="2874"/>
      <c r="W55" s="2874"/>
      <c r="X55" s="2875"/>
      <c r="Y55" s="2651" t="s">
        <v>130</v>
      </c>
      <c r="Z55" s="2608"/>
      <c r="AA55" s="2608"/>
      <c r="AB55" s="2608"/>
      <c r="AC55" s="2608"/>
      <c r="AD55" s="2608"/>
      <c r="AE55" s="2653"/>
      <c r="AF55" s="2651" t="s">
        <v>131</v>
      </c>
      <c r="AG55" s="2608"/>
      <c r="AH55" s="2608"/>
      <c r="AI55" s="2608"/>
      <c r="AJ55" s="2608"/>
      <c r="AK55" s="2608"/>
      <c r="AL55" s="2608"/>
      <c r="AM55" s="2653"/>
      <c r="AN55" s="2608" t="s">
        <v>132</v>
      </c>
      <c r="AO55" s="2608"/>
      <c r="AP55" s="2608"/>
      <c r="AQ55" s="2608"/>
      <c r="AR55" s="2608"/>
      <c r="AS55" s="2608"/>
      <c r="AT55" s="2608"/>
      <c r="AU55" s="2608"/>
      <c r="AV55" s="2653"/>
      <c r="AW55" s="137"/>
      <c r="BA55" s="1687" t="s">
        <v>937</v>
      </c>
      <c r="BB55" s="102" t="s">
        <v>1431</v>
      </c>
    </row>
    <row r="56" spans="1:66" ht="21.95" customHeight="1">
      <c r="A56" s="156"/>
      <c r="B56" s="2624">
        <v>1</v>
      </c>
      <c r="C56" s="2624"/>
      <c r="D56" s="1690"/>
      <c r="E56" s="1690"/>
      <c r="F56" s="1690"/>
      <c r="G56" s="1690"/>
      <c r="H56" s="1690"/>
      <c r="I56" s="1690"/>
      <c r="J56" s="1690"/>
      <c r="K56" s="1690"/>
      <c r="L56" s="1690"/>
      <c r="M56" s="1690"/>
      <c r="N56" s="2876">
        <f>'FE-1770-IV'!N56</f>
        <v>0</v>
      </c>
      <c r="O56" s="2876"/>
      <c r="P56" s="2876"/>
      <c r="Q56" s="2876"/>
      <c r="R56" s="2876"/>
      <c r="S56" s="2876"/>
      <c r="T56" s="2876"/>
      <c r="U56" s="2876"/>
      <c r="V56" s="2876"/>
      <c r="W56" s="2876"/>
      <c r="X56" s="2876"/>
      <c r="Y56" s="2877">
        <f>'FE-1770-IV'!Y56</f>
        <v>0</v>
      </c>
      <c r="Z56" s="2877"/>
      <c r="AA56" s="2877"/>
      <c r="AB56" s="2877"/>
      <c r="AC56" s="2877"/>
      <c r="AD56" s="2877"/>
      <c r="AE56" s="2877"/>
      <c r="AF56" s="2877" t="str">
        <f>IF('FE-1770-IV'!AF56="","",IF('FE-1770-IV'!AF56="Wife","Istri",IF('FE-1770-IV'!AF56="Child","Anak",IF('FE-1770-IV'!AF56="Brothers/sisters","Saudara",IF('FE-1770-IV'!AF56="Husband","Suami",IF('FE-1770-IV'!AF56="Other","Saudara lainnya",""))))))</f>
        <v/>
      </c>
      <c r="AG56" s="2877"/>
      <c r="AH56" s="2877"/>
      <c r="AI56" s="2877"/>
      <c r="AJ56" s="2877"/>
      <c r="AK56" s="2877"/>
      <c r="AL56" s="2877"/>
      <c r="AM56" s="2877"/>
      <c r="AN56" s="2877">
        <f>'FE-1770-IV'!AN56</f>
        <v>0</v>
      </c>
      <c r="AO56" s="2877"/>
      <c r="AP56" s="2877"/>
      <c r="AQ56" s="2877"/>
      <c r="AR56" s="2877"/>
      <c r="AS56" s="2877"/>
      <c r="AT56" s="2877"/>
      <c r="AU56" s="2877"/>
      <c r="AV56" s="2877"/>
      <c r="AW56" s="65"/>
      <c r="BA56" s="1687" t="s">
        <v>940</v>
      </c>
      <c r="BB56" s="102" t="s">
        <v>1432</v>
      </c>
    </row>
    <row r="57" spans="1:66" ht="21.95" customHeight="1">
      <c r="A57" s="69"/>
      <c r="B57" s="2624">
        <v>2</v>
      </c>
      <c r="C57" s="2624"/>
      <c r="D57" s="1690"/>
      <c r="E57" s="1690"/>
      <c r="F57" s="1690"/>
      <c r="G57" s="1690"/>
      <c r="H57" s="1690"/>
      <c r="I57" s="1690"/>
      <c r="J57" s="1690"/>
      <c r="K57" s="1690"/>
      <c r="L57" s="1690"/>
      <c r="M57" s="1690"/>
      <c r="N57" s="2876">
        <f>'FE-1770-IV'!N57</f>
        <v>0</v>
      </c>
      <c r="O57" s="2876"/>
      <c r="P57" s="2876"/>
      <c r="Q57" s="2876"/>
      <c r="R57" s="2876"/>
      <c r="S57" s="2876"/>
      <c r="T57" s="2876"/>
      <c r="U57" s="2876"/>
      <c r="V57" s="2876"/>
      <c r="W57" s="2876"/>
      <c r="X57" s="2876"/>
      <c r="Y57" s="3346">
        <f>'FE-1770-IV'!Y57</f>
        <v>0</v>
      </c>
      <c r="Z57" s="3346"/>
      <c r="AA57" s="3346"/>
      <c r="AB57" s="3346"/>
      <c r="AC57" s="3346"/>
      <c r="AD57" s="3346"/>
      <c r="AE57" s="3346"/>
      <c r="AF57" s="2877" t="str">
        <f>IF('FE-1770-IV'!AF57="","",IF('FE-1770-IV'!AF57="Wife","Istri",IF('FE-1770-IV'!AF57="Child","Anak",IF('FE-1770-IV'!AF57="Brothers/sisters","Saudara",IF('FE-1770-IV'!AF57="Husband","Suami",IF('FE-1770-IV'!AF57="Other","Saudara lainnya",""))))))</f>
        <v/>
      </c>
      <c r="AG57" s="2877"/>
      <c r="AH57" s="2877"/>
      <c r="AI57" s="2877"/>
      <c r="AJ57" s="2877"/>
      <c r="AK57" s="2877"/>
      <c r="AL57" s="2877"/>
      <c r="AM57" s="2877"/>
      <c r="AN57" s="2877">
        <f>'FE-1770-IV'!AN57</f>
        <v>0</v>
      </c>
      <c r="AO57" s="2877"/>
      <c r="AP57" s="2877"/>
      <c r="AQ57" s="2877"/>
      <c r="AR57" s="2877"/>
      <c r="AS57" s="2877"/>
      <c r="AT57" s="2877"/>
      <c r="AU57" s="2877"/>
      <c r="AV57" s="2877"/>
      <c r="AW57" s="64"/>
      <c r="BA57" s="1687" t="s">
        <v>943</v>
      </c>
      <c r="BB57" s="102" t="s">
        <v>1433</v>
      </c>
    </row>
    <row r="58" spans="1:66" ht="21.95" customHeight="1">
      <c r="A58" s="69"/>
      <c r="B58" s="2656">
        <v>3</v>
      </c>
      <c r="C58" s="2656"/>
      <c r="D58" s="215"/>
      <c r="E58" s="215"/>
      <c r="F58" s="215"/>
      <c r="G58" s="215"/>
      <c r="H58" s="215"/>
      <c r="I58" s="215"/>
      <c r="J58" s="215"/>
      <c r="K58" s="215"/>
      <c r="L58" s="215"/>
      <c r="M58" s="215"/>
      <c r="N58" s="2876">
        <f>'FE-1770-IV'!N58</f>
        <v>0</v>
      </c>
      <c r="O58" s="2876"/>
      <c r="P58" s="2876"/>
      <c r="Q58" s="2876"/>
      <c r="R58" s="2876"/>
      <c r="S58" s="2876"/>
      <c r="T58" s="2876"/>
      <c r="U58" s="2876"/>
      <c r="V58" s="2876"/>
      <c r="W58" s="2876"/>
      <c r="X58" s="2876"/>
      <c r="Y58" s="3346">
        <f>'FE-1770-IV'!Y58</f>
        <v>0</v>
      </c>
      <c r="Z58" s="3346"/>
      <c r="AA58" s="3346"/>
      <c r="AB58" s="3346"/>
      <c r="AC58" s="3346"/>
      <c r="AD58" s="3346"/>
      <c r="AE58" s="3346"/>
      <c r="AF58" s="2877" t="str">
        <f>IF('FE-1770-IV'!AF58="","",IF('FE-1770-IV'!AF58="Wife","Istri",IF('FE-1770-IV'!AF58="Child","Anak",IF('FE-1770-IV'!AF58="Brothers/sisters","Saudara",IF('FE-1770-IV'!AF58="Husband","Suami",IF('FE-1770-IV'!AF58="Other","Saudara lainnya",""))))))</f>
        <v/>
      </c>
      <c r="AG58" s="2877"/>
      <c r="AH58" s="2877"/>
      <c r="AI58" s="2877"/>
      <c r="AJ58" s="2877"/>
      <c r="AK58" s="2877"/>
      <c r="AL58" s="2877"/>
      <c r="AM58" s="2877"/>
      <c r="AN58" s="2877">
        <f>'FE-1770-IV'!AN58</f>
        <v>0</v>
      </c>
      <c r="AO58" s="2877"/>
      <c r="AP58" s="2877"/>
      <c r="AQ58" s="2877"/>
      <c r="AR58" s="2877"/>
      <c r="AS58" s="2877"/>
      <c r="AT58" s="2877"/>
      <c r="AU58" s="2877"/>
      <c r="AV58" s="2877"/>
      <c r="AW58" s="64"/>
      <c r="BA58" s="1687" t="s">
        <v>946</v>
      </c>
      <c r="BB58" s="102" t="s">
        <v>1434</v>
      </c>
    </row>
    <row r="59" spans="1:66" ht="21.95" customHeight="1">
      <c r="A59" s="69"/>
      <c r="B59" s="2656">
        <v>4</v>
      </c>
      <c r="C59" s="2656"/>
      <c r="D59" s="215"/>
      <c r="E59" s="215"/>
      <c r="F59" s="215"/>
      <c r="G59" s="215"/>
      <c r="H59" s="215"/>
      <c r="I59" s="215"/>
      <c r="J59" s="215"/>
      <c r="K59" s="215"/>
      <c r="L59" s="215"/>
      <c r="M59" s="215"/>
      <c r="N59" s="2876">
        <f>'FE-1770-IV'!N59</f>
        <v>0</v>
      </c>
      <c r="O59" s="2876"/>
      <c r="P59" s="2876"/>
      <c r="Q59" s="2876"/>
      <c r="R59" s="2876"/>
      <c r="S59" s="2876"/>
      <c r="T59" s="2876"/>
      <c r="U59" s="2876"/>
      <c r="V59" s="2876"/>
      <c r="W59" s="2876"/>
      <c r="X59" s="2876"/>
      <c r="Y59" s="3346">
        <f>'FE-1770-IV'!Y59</f>
        <v>0</v>
      </c>
      <c r="Z59" s="3346"/>
      <c r="AA59" s="3346"/>
      <c r="AB59" s="3346"/>
      <c r="AC59" s="3346"/>
      <c r="AD59" s="3346"/>
      <c r="AE59" s="3346"/>
      <c r="AF59" s="2877" t="str">
        <f>IF('FE-1770-IV'!AF59="","",IF('FE-1770-IV'!AF59="Wife","Istri",IF('FE-1770-IV'!AF59="Child","Anak",IF('FE-1770-IV'!AF59="Brothers/sisters","Saudara",IF('FE-1770-IV'!AF59="Husband","Suami",IF('FE-1770-IV'!AF59="Other","Saudara lainnya",""))))))</f>
        <v/>
      </c>
      <c r="AG59" s="2877"/>
      <c r="AH59" s="2877"/>
      <c r="AI59" s="2877"/>
      <c r="AJ59" s="2877"/>
      <c r="AK59" s="2877"/>
      <c r="AL59" s="2877"/>
      <c r="AM59" s="2877"/>
      <c r="AN59" s="2877">
        <f>'FE-1770-IV'!AN59</f>
        <v>0</v>
      </c>
      <c r="AO59" s="2877"/>
      <c r="AP59" s="2877"/>
      <c r="AQ59" s="2877"/>
      <c r="AR59" s="2877"/>
      <c r="AS59" s="2877"/>
      <c r="AT59" s="2877"/>
      <c r="AU59" s="2877"/>
      <c r="AV59" s="2877"/>
      <c r="AW59" s="64"/>
    </row>
    <row r="60" spans="1:66" ht="21.95" customHeight="1">
      <c r="A60" s="69"/>
      <c r="B60" s="2656" t="s">
        <v>298</v>
      </c>
      <c r="C60" s="2624"/>
      <c r="D60" s="1690"/>
      <c r="E60" s="1690"/>
      <c r="F60" s="1690"/>
      <c r="G60" s="1690"/>
      <c r="H60" s="1690"/>
      <c r="I60" s="1690"/>
      <c r="J60" s="1690"/>
      <c r="K60" s="1690"/>
      <c r="L60" s="1690"/>
      <c r="M60" s="1690"/>
      <c r="N60" s="3345">
        <f>'FE-1770-IV'!N60</f>
        <v>0</v>
      </c>
      <c r="O60" s="3345"/>
      <c r="P60" s="3345"/>
      <c r="Q60" s="3345"/>
      <c r="R60" s="3345"/>
      <c r="S60" s="3345"/>
      <c r="T60" s="3345"/>
      <c r="U60" s="3345"/>
      <c r="V60" s="3345"/>
      <c r="W60" s="3345"/>
      <c r="X60" s="3345"/>
      <c r="Y60" s="3346">
        <f>'FE-1770-IV'!Y60</f>
        <v>0</v>
      </c>
      <c r="Z60" s="3346"/>
      <c r="AA60" s="3346"/>
      <c r="AB60" s="3346"/>
      <c r="AC60" s="3346"/>
      <c r="AD60" s="3346"/>
      <c r="AE60" s="3346"/>
      <c r="AF60" s="2877" t="str">
        <f>IF('FE-1770-IV'!AF60="","",IF('FE-1770-IV'!AF60="Wife","Istri",IF('FE-1770-IV'!AF60="Child","Anak",IF('FE-1770-IV'!AF60="Brothers/sisters","Saudara",IF('FE-1770-IV'!AF60="Husband","Suami",IF('FE-1770-IV'!AF60="Other","Saudara lainnya",""))))))</f>
        <v/>
      </c>
      <c r="AG60" s="2877"/>
      <c r="AH60" s="2877"/>
      <c r="AI60" s="2877"/>
      <c r="AJ60" s="2877"/>
      <c r="AK60" s="2877"/>
      <c r="AL60" s="2877"/>
      <c r="AM60" s="2877"/>
      <c r="AN60" s="2877">
        <f>'FE-1770-IV'!AN60</f>
        <v>0</v>
      </c>
      <c r="AO60" s="2877"/>
      <c r="AP60" s="2877"/>
      <c r="AQ60" s="2877"/>
      <c r="AR60" s="2877"/>
      <c r="AS60" s="2877"/>
      <c r="AT60" s="2877"/>
      <c r="AU60" s="2877"/>
      <c r="AV60" s="2877"/>
      <c r="AW60" s="64"/>
    </row>
    <row r="61" spans="1:66" s="64" customFormat="1" ht="9.9499999999999993" customHeight="1" thickBot="1">
      <c r="B61" s="102"/>
      <c r="C61" s="102"/>
      <c r="D61" s="102"/>
      <c r="E61" s="102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284"/>
      <c r="AG61" s="284"/>
      <c r="AH61" s="284"/>
      <c r="AI61" s="284"/>
      <c r="AJ61" s="284"/>
      <c r="AK61" s="284"/>
      <c r="AL61" s="284"/>
      <c r="AM61" s="284"/>
      <c r="AN61" s="284"/>
      <c r="AO61" s="102"/>
      <c r="AP61" s="102"/>
      <c r="AQ61" s="102"/>
      <c r="AR61" s="102"/>
      <c r="AS61" s="102"/>
      <c r="AT61" s="102"/>
      <c r="AU61" s="102"/>
      <c r="AV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102"/>
      <c r="BJ61" s="102"/>
      <c r="BK61" s="102"/>
      <c r="BL61" s="102"/>
      <c r="BM61" s="102"/>
      <c r="BN61" s="102"/>
    </row>
    <row r="62" spans="1:66" s="64" customFormat="1" ht="15" customHeight="1" thickBot="1">
      <c r="B62" s="2878" t="s">
        <v>182</v>
      </c>
      <c r="C62" s="2879"/>
      <c r="D62" s="2879"/>
      <c r="E62" s="2879"/>
      <c r="F62" s="2879"/>
      <c r="G62" s="2879"/>
      <c r="H62" s="2879"/>
      <c r="I62" s="2879"/>
      <c r="J62" s="2879"/>
      <c r="K62" s="2879"/>
      <c r="L62" s="2879"/>
      <c r="M62" s="2879"/>
      <c r="N62" s="2879"/>
      <c r="O62" s="2879"/>
      <c r="P62" s="2879"/>
      <c r="Q62" s="2879"/>
      <c r="R62" s="2879"/>
      <c r="S62" s="2879"/>
      <c r="T62" s="2879"/>
      <c r="U62" s="2879"/>
      <c r="V62" s="2879"/>
      <c r="W62" s="2879"/>
      <c r="X62" s="2879"/>
      <c r="Y62" s="2879"/>
      <c r="Z62" s="2879"/>
      <c r="AA62" s="2879"/>
      <c r="AB62" s="2879"/>
      <c r="AC62" s="2879"/>
      <c r="AD62" s="2879"/>
      <c r="AE62" s="2879"/>
      <c r="AF62" s="2879"/>
      <c r="AG62" s="2879"/>
      <c r="AH62" s="2879"/>
      <c r="AI62" s="2880"/>
      <c r="AK62" s="8" t="s">
        <v>184</v>
      </c>
      <c r="AL62" s="8"/>
      <c r="AM62" s="8"/>
      <c r="AN62" s="1726">
        <f>'FE-1770-IV'!AN62</f>
        <v>1</v>
      </c>
      <c r="AO62" s="8" t="s">
        <v>185</v>
      </c>
      <c r="AP62" s="1726">
        <f>'FE-1770-IV'!AP62</f>
        <v>1</v>
      </c>
      <c r="AQ62" s="8" t="s">
        <v>245</v>
      </c>
      <c r="AU62" s="617"/>
      <c r="AV62" s="617"/>
      <c r="AW62" s="617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102"/>
      <c r="BK62" s="102"/>
      <c r="BL62" s="102"/>
      <c r="BM62" s="102"/>
      <c r="BN62" s="102"/>
    </row>
    <row r="63" spans="1:66" s="64" customFormat="1" ht="15" customHeight="1">
      <c r="B63" s="380"/>
      <c r="C63" s="380"/>
      <c r="D63" s="380"/>
      <c r="E63" s="380"/>
      <c r="F63" s="380"/>
      <c r="G63" s="380"/>
      <c r="H63" s="380"/>
      <c r="I63" s="380"/>
      <c r="J63" s="380"/>
      <c r="K63" s="380"/>
      <c r="L63" s="380"/>
      <c r="M63" s="380"/>
      <c r="N63" s="380"/>
      <c r="O63" s="380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102"/>
      <c r="BL63" s="102"/>
      <c r="BM63" s="102"/>
      <c r="BN63" s="102"/>
    </row>
    <row r="64" spans="1:66" s="64" customFormat="1" ht="12.75" customHeight="1">
      <c r="A64" s="163"/>
      <c r="B64" s="102"/>
      <c r="C64" s="102"/>
      <c r="D64" s="102"/>
      <c r="E64" s="102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1"/>
      <c r="AW64" s="103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102"/>
      <c r="BM64" s="102"/>
      <c r="BN64" s="102"/>
    </row>
    <row r="65" spans="2:66" s="64" customFormat="1" ht="15" customHeight="1">
      <c r="B65" s="102"/>
      <c r="C65" s="102"/>
      <c r="D65" s="102"/>
      <c r="E65" s="102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  <c r="BN65" s="102"/>
    </row>
    <row r="66" spans="2:66" s="64" customFormat="1" ht="15" customHeight="1">
      <c r="B66" s="102"/>
      <c r="C66" s="102"/>
      <c r="D66" s="102"/>
      <c r="E66" s="102"/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  <c r="BN66" s="102"/>
    </row>
    <row r="67" spans="2:66" s="64" customFormat="1" ht="15" customHeight="1">
      <c r="B67" s="102"/>
      <c r="C67" s="102"/>
      <c r="D67" s="102"/>
      <c r="E67" s="102"/>
      <c r="F67" s="102"/>
      <c r="G67" s="102"/>
      <c r="H67" s="102"/>
      <c r="I67" s="102"/>
      <c r="J67" s="102"/>
      <c r="K67" s="102"/>
      <c r="L67" s="102"/>
      <c r="M67" s="102"/>
      <c r="N67" s="102"/>
      <c r="O67" s="102"/>
      <c r="P67" s="102"/>
      <c r="Q67" s="102"/>
      <c r="R67" s="102"/>
      <c r="S67" s="102"/>
      <c r="T67" s="102"/>
      <c r="U67" s="102"/>
      <c r="V67" s="102"/>
      <c r="W67" s="102"/>
      <c r="X67" s="102"/>
      <c r="Y67" s="102"/>
      <c r="Z67" s="102"/>
      <c r="AA67" s="102"/>
      <c r="AB67" s="102"/>
      <c r="AC67" s="102"/>
      <c r="AD67" s="102"/>
      <c r="AE67" s="102"/>
      <c r="AF67" s="102"/>
      <c r="AG67" s="102"/>
      <c r="AH67" s="102"/>
      <c r="AI67" s="102"/>
      <c r="AJ67" s="102"/>
      <c r="AK67" s="102"/>
      <c r="AL67" s="102"/>
      <c r="AM67" s="102"/>
      <c r="AN67" s="102"/>
      <c r="AO67" s="102"/>
      <c r="AP67" s="102"/>
      <c r="AQ67" s="102"/>
      <c r="AR67" s="102"/>
      <c r="AS67" s="102"/>
      <c r="AT67" s="102"/>
      <c r="AU67" s="102"/>
      <c r="AV67" s="102"/>
      <c r="AW67" s="102"/>
      <c r="AY67" s="102"/>
      <c r="AZ67" s="102"/>
      <c r="BA67" s="102"/>
      <c r="BB67" s="102"/>
      <c r="BC67" s="102"/>
      <c r="BD67" s="102"/>
      <c r="BE67" s="102"/>
      <c r="BF67" s="102"/>
      <c r="BG67" s="102"/>
      <c r="BH67" s="102"/>
      <c r="BI67" s="102"/>
      <c r="BJ67" s="102"/>
      <c r="BK67" s="102"/>
      <c r="BL67" s="102"/>
      <c r="BM67" s="102"/>
      <c r="BN67" s="102"/>
    </row>
    <row r="68" spans="2:66" s="64" customFormat="1" ht="15" customHeight="1">
      <c r="B68" s="102"/>
      <c r="C68" s="102"/>
      <c r="D68" s="102"/>
      <c r="E68" s="102"/>
      <c r="F68" s="102"/>
      <c r="G68" s="102"/>
      <c r="H68" s="102"/>
      <c r="I68" s="102"/>
      <c r="J68" s="102"/>
      <c r="K68" s="102"/>
      <c r="L68" s="102"/>
      <c r="M68" s="102"/>
      <c r="N68" s="102"/>
      <c r="O68" s="102"/>
      <c r="P68" s="102"/>
      <c r="Q68" s="102"/>
      <c r="R68" s="102"/>
      <c r="S68" s="102"/>
      <c r="T68" s="102"/>
      <c r="U68" s="102"/>
      <c r="V68" s="102"/>
      <c r="W68" s="102"/>
      <c r="X68" s="102"/>
      <c r="Y68" s="102"/>
      <c r="Z68" s="102"/>
      <c r="AA68" s="102"/>
      <c r="AB68" s="102"/>
      <c r="AC68" s="102"/>
      <c r="AD68" s="102"/>
      <c r="AE68" s="102"/>
      <c r="AF68" s="102"/>
      <c r="AG68" s="102"/>
      <c r="AH68" s="102"/>
      <c r="AI68" s="102"/>
      <c r="AJ68" s="102"/>
      <c r="AK68" s="102"/>
      <c r="AL68" s="102"/>
      <c r="AM68" s="102"/>
      <c r="AN68" s="102"/>
      <c r="AO68" s="102"/>
      <c r="AP68" s="102"/>
      <c r="AQ68" s="102"/>
      <c r="AR68" s="102"/>
      <c r="AS68" s="102"/>
      <c r="AT68" s="102"/>
      <c r="AU68" s="102"/>
      <c r="AV68" s="102"/>
      <c r="AW68" s="102"/>
      <c r="AY68" s="102"/>
      <c r="AZ68" s="102"/>
      <c r="BA68" s="102"/>
      <c r="BB68" s="102"/>
      <c r="BC68" s="102"/>
      <c r="BD68" s="102"/>
      <c r="BE68" s="102"/>
      <c r="BF68" s="102"/>
      <c r="BG68" s="102"/>
      <c r="BH68" s="102"/>
      <c r="BI68" s="102"/>
      <c r="BJ68" s="102"/>
      <c r="BK68" s="102"/>
      <c r="BL68" s="102"/>
      <c r="BM68" s="102"/>
      <c r="BN68" s="102"/>
    </row>
    <row r="69" spans="2:66" s="64" customFormat="1" ht="15" customHeight="1">
      <c r="B69" s="102"/>
      <c r="C69" s="102"/>
      <c r="D69" s="102"/>
      <c r="E69" s="102"/>
      <c r="F69" s="102"/>
      <c r="G69" s="102"/>
      <c r="H69" s="102"/>
      <c r="I69" s="102"/>
      <c r="J69" s="102"/>
      <c r="K69" s="102"/>
      <c r="L69" s="102"/>
      <c r="M69" s="102"/>
      <c r="N69" s="102"/>
      <c r="O69" s="102"/>
      <c r="P69" s="102"/>
      <c r="Q69" s="102"/>
      <c r="R69" s="102"/>
      <c r="S69" s="102"/>
      <c r="T69" s="102"/>
      <c r="U69" s="102"/>
      <c r="V69" s="102"/>
      <c r="W69" s="102"/>
      <c r="X69" s="102"/>
      <c r="Y69" s="102"/>
      <c r="Z69" s="102"/>
      <c r="AA69" s="102"/>
      <c r="AB69" s="102"/>
      <c r="AC69" s="102"/>
      <c r="AD69" s="102"/>
      <c r="AE69" s="102"/>
      <c r="AF69" s="102"/>
      <c r="AG69" s="102"/>
      <c r="AH69" s="102"/>
      <c r="AI69" s="102"/>
      <c r="AJ69" s="102"/>
      <c r="AK69" s="102"/>
      <c r="AL69" s="102"/>
      <c r="AM69" s="102"/>
      <c r="AN69" s="102"/>
      <c r="AO69" s="102"/>
      <c r="AP69" s="102"/>
      <c r="AQ69" s="102"/>
      <c r="AR69" s="102"/>
      <c r="AS69" s="102"/>
      <c r="AT69" s="102"/>
      <c r="AU69" s="102"/>
      <c r="AV69" s="102"/>
      <c r="AW69" s="102"/>
      <c r="AY69" s="102"/>
      <c r="AZ69" s="102"/>
      <c r="BA69" s="102"/>
      <c r="BB69" s="102"/>
      <c r="BC69" s="102"/>
      <c r="BD69" s="102"/>
      <c r="BE69" s="102"/>
      <c r="BF69" s="102"/>
      <c r="BG69" s="102"/>
      <c r="BH69" s="102"/>
      <c r="BI69" s="102"/>
      <c r="BJ69" s="102"/>
      <c r="BK69" s="102"/>
      <c r="BL69" s="102"/>
      <c r="BM69" s="102"/>
      <c r="BN69" s="102"/>
    </row>
    <row r="70" spans="2:66" s="64" customFormat="1" ht="15" customHeight="1">
      <c r="B70" s="102"/>
      <c r="C70" s="102"/>
      <c r="D70" s="102"/>
      <c r="E70" s="102"/>
      <c r="F70" s="102"/>
      <c r="G70" s="102"/>
      <c r="H70" s="102"/>
      <c r="I70" s="102"/>
      <c r="J70" s="102"/>
      <c r="K70" s="102"/>
      <c r="L70" s="102"/>
      <c r="M70" s="102"/>
      <c r="N70" s="102"/>
      <c r="O70" s="102"/>
      <c r="P70" s="102"/>
      <c r="Q70" s="102"/>
      <c r="R70" s="102"/>
      <c r="S70" s="102"/>
      <c r="T70" s="102"/>
      <c r="U70" s="102"/>
      <c r="V70" s="102"/>
      <c r="W70" s="102"/>
      <c r="X70" s="102"/>
      <c r="Y70" s="102"/>
      <c r="Z70" s="102"/>
      <c r="AA70" s="102"/>
      <c r="AB70" s="102"/>
      <c r="AC70" s="102"/>
      <c r="AD70" s="102"/>
      <c r="AE70" s="102"/>
      <c r="AF70" s="102"/>
      <c r="AG70" s="102"/>
      <c r="AH70" s="102"/>
      <c r="AI70" s="102"/>
      <c r="AJ70" s="102"/>
      <c r="AK70" s="102"/>
      <c r="AL70" s="102"/>
      <c r="AM70" s="102"/>
      <c r="AN70" s="102"/>
      <c r="AO70" s="102"/>
      <c r="AP70" s="102"/>
      <c r="AQ70" s="102"/>
      <c r="AR70" s="102"/>
      <c r="AS70" s="102"/>
      <c r="AT70" s="102"/>
      <c r="AU70" s="102"/>
      <c r="AV70" s="102"/>
      <c r="AW70" s="102"/>
      <c r="AY70" s="102"/>
      <c r="AZ70" s="102"/>
      <c r="BA70" s="102"/>
      <c r="BB70" s="102"/>
      <c r="BC70" s="102"/>
      <c r="BD70" s="102"/>
      <c r="BE70" s="102"/>
      <c r="BF70" s="102"/>
      <c r="BG70" s="102"/>
      <c r="BH70" s="102"/>
      <c r="BI70" s="102"/>
      <c r="BJ70" s="102"/>
      <c r="BK70" s="102"/>
      <c r="BL70" s="102"/>
      <c r="BM70" s="102"/>
      <c r="BN70" s="102"/>
    </row>
    <row r="71" spans="2:66" s="64" customFormat="1" ht="15" customHeight="1">
      <c r="B71" s="102"/>
      <c r="C71" s="102"/>
      <c r="D71" s="102"/>
      <c r="E71" s="102"/>
      <c r="F71" s="102"/>
      <c r="G71" s="102"/>
      <c r="H71" s="102"/>
      <c r="I71" s="102"/>
      <c r="J71" s="102"/>
      <c r="K71" s="102"/>
      <c r="L71" s="102"/>
      <c r="M71" s="102"/>
      <c r="N71" s="102"/>
      <c r="O71" s="102"/>
      <c r="P71" s="102"/>
      <c r="Q71" s="102"/>
      <c r="R71" s="102"/>
      <c r="S71" s="102"/>
      <c r="T71" s="102"/>
      <c r="U71" s="102"/>
      <c r="V71" s="102"/>
      <c r="W71" s="102"/>
      <c r="X71" s="102"/>
      <c r="Y71" s="102"/>
      <c r="Z71" s="102"/>
      <c r="AA71" s="102"/>
      <c r="AB71" s="102"/>
      <c r="AC71" s="102"/>
      <c r="AD71" s="102"/>
      <c r="AE71" s="102"/>
      <c r="AF71" s="102"/>
      <c r="AG71" s="102"/>
      <c r="AH71" s="102"/>
      <c r="AI71" s="102"/>
      <c r="AJ71" s="102"/>
      <c r="AK71" s="102"/>
      <c r="AL71" s="102"/>
      <c r="AM71" s="102"/>
      <c r="AN71" s="102"/>
      <c r="AO71" s="102"/>
      <c r="AP71" s="102"/>
      <c r="AQ71" s="102"/>
      <c r="AR71" s="102"/>
      <c r="AS71" s="102"/>
      <c r="AT71" s="102"/>
      <c r="AU71" s="102"/>
      <c r="AV71" s="102"/>
      <c r="AW71" s="102"/>
      <c r="AY71" s="102"/>
      <c r="AZ71" s="102"/>
      <c r="BA71" s="102"/>
      <c r="BB71" s="102"/>
      <c r="BC71" s="102"/>
      <c r="BD71" s="102"/>
      <c r="BE71" s="102"/>
      <c r="BF71" s="102"/>
      <c r="BG71" s="102"/>
      <c r="BH71" s="102"/>
      <c r="BI71" s="102"/>
      <c r="BJ71" s="102"/>
      <c r="BK71" s="102"/>
      <c r="BL71" s="102"/>
      <c r="BM71" s="102"/>
      <c r="BN71" s="102"/>
    </row>
    <row r="72" spans="2:66" s="64" customFormat="1" ht="15" customHeight="1">
      <c r="B72" s="102"/>
      <c r="C72" s="102"/>
      <c r="D72" s="102"/>
      <c r="E72" s="102"/>
      <c r="F72" s="102"/>
      <c r="G72" s="102"/>
      <c r="H72" s="102"/>
      <c r="I72" s="102"/>
      <c r="J72" s="102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2"/>
      <c r="AB72" s="102"/>
      <c r="AC72" s="102"/>
      <c r="AD72" s="102"/>
      <c r="AE72" s="102"/>
      <c r="AF72" s="102"/>
      <c r="AG72" s="102"/>
      <c r="AH72" s="102"/>
      <c r="AI72" s="102"/>
      <c r="AJ72" s="102"/>
      <c r="AK72" s="102"/>
      <c r="AL72" s="102"/>
      <c r="AM72" s="102"/>
      <c r="AN72" s="102"/>
      <c r="AO72" s="102"/>
      <c r="AP72" s="102"/>
      <c r="AQ72" s="102"/>
      <c r="AR72" s="102"/>
      <c r="AS72" s="102"/>
      <c r="AT72" s="102"/>
      <c r="AU72" s="102"/>
      <c r="AV72" s="102"/>
      <c r="AW72" s="102"/>
      <c r="AY72" s="102"/>
      <c r="AZ72" s="102"/>
      <c r="BA72" s="102"/>
      <c r="BB72" s="102"/>
      <c r="BC72" s="102"/>
      <c r="BD72" s="102"/>
      <c r="BE72" s="102"/>
      <c r="BF72" s="102"/>
      <c r="BG72" s="102"/>
      <c r="BH72" s="102"/>
      <c r="BI72" s="102"/>
      <c r="BJ72" s="102"/>
      <c r="BK72" s="102"/>
      <c r="BL72" s="102"/>
      <c r="BM72" s="102"/>
      <c r="BN72" s="102"/>
    </row>
    <row r="73" spans="2:66" s="64" customFormat="1" ht="15" customHeight="1">
      <c r="B73" s="102"/>
      <c r="C73" s="102"/>
      <c r="D73" s="102"/>
      <c r="E73" s="102"/>
      <c r="F73" s="102"/>
      <c r="G73" s="102"/>
      <c r="H73" s="102"/>
      <c r="I73" s="102"/>
      <c r="J73" s="102"/>
      <c r="K73" s="102"/>
      <c r="L73" s="102"/>
      <c r="M73" s="102"/>
      <c r="N73" s="102"/>
      <c r="O73" s="102"/>
      <c r="P73" s="102"/>
      <c r="Q73" s="102"/>
      <c r="R73" s="102"/>
      <c r="S73" s="102"/>
      <c r="T73" s="102"/>
      <c r="U73" s="102"/>
      <c r="V73" s="102"/>
      <c r="W73" s="102"/>
      <c r="X73" s="102"/>
      <c r="Y73" s="102"/>
      <c r="Z73" s="102"/>
      <c r="AA73" s="102"/>
      <c r="AB73" s="102"/>
      <c r="AC73" s="102"/>
      <c r="AD73" s="102"/>
      <c r="AE73" s="102"/>
      <c r="AF73" s="102"/>
      <c r="AG73" s="102"/>
      <c r="AH73" s="102"/>
      <c r="AI73" s="102"/>
      <c r="AJ73" s="102"/>
      <c r="AK73" s="102"/>
      <c r="AL73" s="102"/>
      <c r="AM73" s="102"/>
      <c r="AN73" s="102"/>
      <c r="AO73" s="102"/>
      <c r="AP73" s="102"/>
      <c r="AQ73" s="102"/>
      <c r="AR73" s="102"/>
      <c r="AS73" s="102"/>
      <c r="AT73" s="102"/>
      <c r="AU73" s="102"/>
      <c r="AV73" s="102"/>
      <c r="AW73" s="102"/>
      <c r="AY73" s="102"/>
      <c r="AZ73" s="102"/>
      <c r="BA73" s="102"/>
      <c r="BB73" s="102"/>
      <c r="BC73" s="102"/>
      <c r="BD73" s="102"/>
      <c r="BE73" s="102"/>
      <c r="BF73" s="102"/>
      <c r="BG73" s="102"/>
      <c r="BH73" s="102"/>
      <c r="BI73" s="102"/>
      <c r="BJ73" s="102"/>
      <c r="BK73" s="102"/>
      <c r="BL73" s="102"/>
      <c r="BM73" s="102"/>
      <c r="BN73" s="102"/>
    </row>
    <row r="74" spans="2:66" s="64" customFormat="1" ht="15" customHeight="1">
      <c r="B74" s="102"/>
      <c r="C74" s="102"/>
      <c r="D74" s="102"/>
      <c r="E74" s="102"/>
      <c r="F74" s="102"/>
      <c r="G74" s="102"/>
      <c r="H74" s="102"/>
      <c r="I74" s="102"/>
      <c r="J74" s="102"/>
      <c r="K74" s="102"/>
      <c r="L74" s="102"/>
      <c r="M74" s="102"/>
      <c r="N74" s="102"/>
      <c r="O74" s="102"/>
      <c r="P74" s="102"/>
      <c r="Q74" s="102"/>
      <c r="R74" s="102"/>
      <c r="S74" s="102"/>
      <c r="T74" s="102"/>
      <c r="U74" s="102"/>
      <c r="V74" s="102"/>
      <c r="W74" s="102"/>
      <c r="X74" s="102"/>
      <c r="Y74" s="102"/>
      <c r="Z74" s="102"/>
      <c r="AA74" s="102"/>
      <c r="AB74" s="102"/>
      <c r="AC74" s="102"/>
      <c r="AD74" s="102"/>
      <c r="AE74" s="102"/>
      <c r="AF74" s="102"/>
      <c r="AG74" s="102"/>
      <c r="AH74" s="102"/>
      <c r="AI74" s="102"/>
      <c r="AJ74" s="102"/>
      <c r="AK74" s="102"/>
      <c r="AL74" s="102"/>
      <c r="AM74" s="102"/>
      <c r="AN74" s="102"/>
      <c r="AO74" s="102"/>
      <c r="AP74" s="102"/>
      <c r="AQ74" s="102"/>
      <c r="AR74" s="102"/>
      <c r="AS74" s="102"/>
      <c r="AT74" s="102"/>
      <c r="AU74" s="102"/>
      <c r="AV74" s="102"/>
      <c r="AW74" s="102"/>
      <c r="AY74" s="102"/>
      <c r="AZ74" s="102"/>
      <c r="BA74" s="102"/>
      <c r="BB74" s="102"/>
      <c r="BC74" s="102"/>
      <c r="BD74" s="102"/>
      <c r="BE74" s="102"/>
      <c r="BF74" s="102"/>
      <c r="BG74" s="102"/>
      <c r="BH74" s="102"/>
      <c r="BI74" s="102"/>
      <c r="BJ74" s="102"/>
      <c r="BK74" s="102"/>
      <c r="BL74" s="102"/>
      <c r="BM74" s="102"/>
      <c r="BN74" s="102"/>
    </row>
    <row r="75" spans="2:66" s="64" customFormat="1" ht="15" customHeight="1">
      <c r="B75" s="102"/>
      <c r="C75" s="102"/>
      <c r="D75" s="102"/>
      <c r="E75" s="102"/>
      <c r="F75" s="102"/>
      <c r="G75" s="102"/>
      <c r="H75" s="102"/>
      <c r="I75" s="102"/>
      <c r="J75" s="102"/>
      <c r="K75" s="102"/>
      <c r="L75" s="102"/>
      <c r="M75" s="102"/>
      <c r="N75" s="102"/>
      <c r="O75" s="102"/>
      <c r="P75" s="102"/>
      <c r="Q75" s="102"/>
      <c r="R75" s="102"/>
      <c r="S75" s="102"/>
      <c r="T75" s="102"/>
      <c r="U75" s="102"/>
      <c r="V75" s="102"/>
      <c r="W75" s="102"/>
      <c r="X75" s="102"/>
      <c r="Y75" s="102"/>
      <c r="Z75" s="102"/>
      <c r="AA75" s="102"/>
      <c r="AB75" s="102"/>
      <c r="AC75" s="102"/>
      <c r="AD75" s="102"/>
      <c r="AE75" s="102"/>
      <c r="AF75" s="102"/>
      <c r="AG75" s="102"/>
      <c r="AH75" s="102"/>
      <c r="AI75" s="102"/>
      <c r="AJ75" s="102"/>
      <c r="AK75" s="102"/>
      <c r="AL75" s="102"/>
      <c r="AM75" s="102"/>
      <c r="AN75" s="102"/>
      <c r="AO75" s="102"/>
      <c r="AP75" s="102"/>
      <c r="AQ75" s="102"/>
      <c r="AR75" s="102"/>
      <c r="AS75" s="102"/>
      <c r="AT75" s="102"/>
      <c r="AU75" s="102"/>
      <c r="AV75" s="102"/>
      <c r="AW75" s="102"/>
      <c r="AY75" s="102"/>
      <c r="AZ75" s="102"/>
      <c r="BA75" s="102"/>
      <c r="BB75" s="102"/>
      <c r="BC75" s="102"/>
      <c r="BD75" s="102"/>
      <c r="BE75" s="102"/>
      <c r="BF75" s="102"/>
      <c r="BG75" s="102"/>
      <c r="BH75" s="102"/>
      <c r="BI75" s="102"/>
      <c r="BJ75" s="102"/>
      <c r="BK75" s="102"/>
      <c r="BL75" s="102"/>
      <c r="BM75" s="102"/>
      <c r="BN75" s="102"/>
    </row>
    <row r="76" spans="2:66" s="64" customFormat="1" ht="15" customHeight="1">
      <c r="B76" s="102"/>
      <c r="C76" s="102"/>
      <c r="D76" s="102"/>
      <c r="E76" s="102"/>
      <c r="F76" s="102"/>
      <c r="G76" s="102"/>
      <c r="H76" s="102"/>
      <c r="I76" s="102"/>
      <c r="J76" s="102"/>
      <c r="K76" s="102"/>
      <c r="L76" s="102"/>
      <c r="M76" s="102"/>
      <c r="N76" s="102"/>
      <c r="O76" s="102"/>
      <c r="P76" s="102"/>
      <c r="Q76" s="102"/>
      <c r="R76" s="102"/>
      <c r="S76" s="102"/>
      <c r="T76" s="102"/>
      <c r="U76" s="102"/>
      <c r="V76" s="102"/>
      <c r="W76" s="102"/>
      <c r="X76" s="102"/>
      <c r="Y76" s="102"/>
      <c r="Z76" s="102"/>
      <c r="AA76" s="102"/>
      <c r="AB76" s="102"/>
      <c r="AC76" s="102"/>
      <c r="AD76" s="102"/>
      <c r="AE76" s="102"/>
      <c r="AF76" s="102"/>
      <c r="AG76" s="102"/>
      <c r="AH76" s="102"/>
      <c r="AI76" s="102"/>
      <c r="AJ76" s="102"/>
      <c r="AK76" s="102"/>
      <c r="AL76" s="102"/>
      <c r="AM76" s="102"/>
      <c r="AN76" s="102"/>
      <c r="AO76" s="102"/>
      <c r="AP76" s="102"/>
      <c r="AQ76" s="102"/>
      <c r="AR76" s="102"/>
      <c r="AS76" s="102"/>
      <c r="AT76" s="102"/>
      <c r="AU76" s="102"/>
      <c r="AV76" s="102"/>
      <c r="AW76" s="102"/>
      <c r="AY76" s="102"/>
      <c r="AZ76" s="102"/>
      <c r="BA76" s="102"/>
      <c r="BB76" s="102"/>
      <c r="BC76" s="102"/>
      <c r="BD76" s="102"/>
      <c r="BE76" s="102"/>
      <c r="BF76" s="102"/>
      <c r="BG76" s="102"/>
      <c r="BH76" s="102"/>
      <c r="BI76" s="102"/>
      <c r="BJ76" s="102"/>
      <c r="BK76" s="102"/>
      <c r="BL76" s="102"/>
      <c r="BM76" s="102"/>
      <c r="BN76" s="102"/>
    </row>
    <row r="77" spans="2:66" s="64" customFormat="1" ht="15" customHeight="1">
      <c r="B77" s="102"/>
      <c r="C77" s="102"/>
      <c r="D77" s="102"/>
      <c r="E77" s="102"/>
      <c r="F77" s="102"/>
      <c r="G77" s="102"/>
      <c r="H77" s="102"/>
      <c r="I77" s="102"/>
      <c r="J77" s="102"/>
      <c r="K77" s="102"/>
      <c r="L77" s="102"/>
      <c r="M77" s="102"/>
      <c r="N77" s="102"/>
      <c r="O77" s="102"/>
      <c r="P77" s="102"/>
      <c r="Q77" s="102"/>
      <c r="R77" s="102"/>
      <c r="S77" s="102"/>
      <c r="T77" s="102"/>
      <c r="U77" s="102"/>
      <c r="V77" s="102"/>
      <c r="W77" s="102"/>
      <c r="X77" s="102"/>
      <c r="Y77" s="102"/>
      <c r="Z77" s="102"/>
      <c r="AA77" s="102"/>
      <c r="AB77" s="102"/>
      <c r="AC77" s="102"/>
      <c r="AD77" s="102"/>
      <c r="AE77" s="102"/>
      <c r="AF77" s="102"/>
      <c r="AG77" s="102"/>
      <c r="AH77" s="102"/>
      <c r="AI77" s="102"/>
      <c r="AJ77" s="102"/>
      <c r="AK77" s="102"/>
      <c r="AL77" s="102"/>
      <c r="AM77" s="102"/>
      <c r="AN77" s="102"/>
      <c r="AO77" s="102"/>
      <c r="AP77" s="102"/>
      <c r="AQ77" s="102"/>
      <c r="AR77" s="102"/>
      <c r="AS77" s="102"/>
      <c r="AT77" s="102"/>
      <c r="AU77" s="102"/>
      <c r="AV77" s="102"/>
      <c r="AW77" s="102"/>
      <c r="AY77" s="102"/>
      <c r="AZ77" s="102"/>
      <c r="BA77" s="102"/>
      <c r="BB77" s="102"/>
      <c r="BC77" s="102"/>
      <c r="BD77" s="102"/>
      <c r="BE77" s="102"/>
      <c r="BF77" s="102"/>
      <c r="BG77" s="102"/>
      <c r="BH77" s="102"/>
      <c r="BI77" s="102"/>
      <c r="BJ77" s="102"/>
      <c r="BK77" s="102"/>
      <c r="BL77" s="102"/>
      <c r="BM77" s="102"/>
      <c r="BN77" s="102"/>
    </row>
    <row r="78" spans="2:66" s="64" customFormat="1" ht="15" customHeight="1">
      <c r="B78" s="102"/>
      <c r="C78" s="102"/>
      <c r="D78" s="102"/>
      <c r="E78" s="102"/>
      <c r="F78" s="102"/>
      <c r="G78" s="102"/>
      <c r="H78" s="102"/>
      <c r="I78" s="102"/>
      <c r="J78" s="102"/>
      <c r="K78" s="102"/>
      <c r="L78" s="102"/>
      <c r="M78" s="102"/>
      <c r="N78" s="102"/>
      <c r="O78" s="102"/>
      <c r="P78" s="102"/>
      <c r="Q78" s="102"/>
      <c r="R78" s="102"/>
      <c r="S78" s="102"/>
      <c r="T78" s="102"/>
      <c r="U78" s="102"/>
      <c r="V78" s="102"/>
      <c r="W78" s="102"/>
      <c r="X78" s="102"/>
      <c r="Y78" s="102"/>
      <c r="Z78" s="102"/>
      <c r="AA78" s="102"/>
      <c r="AB78" s="102"/>
      <c r="AC78" s="102"/>
      <c r="AD78" s="102"/>
      <c r="AE78" s="102"/>
      <c r="AF78" s="102"/>
      <c r="AG78" s="102"/>
      <c r="AH78" s="102"/>
      <c r="AI78" s="102"/>
      <c r="AJ78" s="102"/>
      <c r="AK78" s="102"/>
      <c r="AL78" s="102"/>
      <c r="AM78" s="102"/>
      <c r="AN78" s="102"/>
      <c r="AO78" s="102"/>
      <c r="AP78" s="102"/>
      <c r="AQ78" s="102"/>
      <c r="AR78" s="102"/>
      <c r="AS78" s="102"/>
      <c r="AT78" s="102"/>
      <c r="AU78" s="102"/>
      <c r="AV78" s="102"/>
      <c r="AW78" s="102"/>
      <c r="AY78" s="102"/>
      <c r="AZ78" s="102"/>
      <c r="BA78" s="102"/>
      <c r="BB78" s="102"/>
      <c r="BC78" s="102"/>
      <c r="BD78" s="102"/>
      <c r="BE78" s="102"/>
      <c r="BF78" s="102"/>
      <c r="BG78" s="102"/>
      <c r="BH78" s="102"/>
      <c r="BI78" s="102"/>
      <c r="BJ78" s="102"/>
      <c r="BK78" s="102"/>
      <c r="BL78" s="102"/>
      <c r="BM78" s="102"/>
      <c r="BN78" s="102"/>
    </row>
    <row r="79" spans="2:66" s="64" customFormat="1" ht="15" customHeight="1">
      <c r="B79" s="102"/>
      <c r="C79" s="102"/>
      <c r="D79" s="102"/>
      <c r="E79" s="102"/>
      <c r="F79" s="102"/>
      <c r="G79" s="102"/>
      <c r="H79" s="102"/>
      <c r="I79" s="102"/>
      <c r="J79" s="102"/>
      <c r="K79" s="102"/>
      <c r="L79" s="102"/>
      <c r="M79" s="102"/>
      <c r="N79" s="102"/>
      <c r="O79" s="102"/>
      <c r="P79" s="102"/>
      <c r="Q79" s="102"/>
      <c r="R79" s="102"/>
      <c r="S79" s="102"/>
      <c r="T79" s="102"/>
      <c r="U79" s="102"/>
      <c r="V79" s="102"/>
      <c r="W79" s="102"/>
      <c r="X79" s="102"/>
      <c r="Y79" s="102"/>
      <c r="Z79" s="102"/>
      <c r="AA79" s="102"/>
      <c r="AB79" s="102"/>
      <c r="AC79" s="102"/>
      <c r="AD79" s="102"/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2"/>
    </row>
    <row r="80" spans="2:66" s="64" customFormat="1" ht="15" customHeight="1">
      <c r="B80" s="102"/>
      <c r="C80" s="102"/>
      <c r="D80" s="102"/>
      <c r="E80" s="102"/>
      <c r="F80" s="102"/>
      <c r="G80" s="102"/>
      <c r="H80" s="102"/>
      <c r="I80" s="102"/>
      <c r="J80" s="102"/>
      <c r="K80" s="102"/>
      <c r="L80" s="102"/>
      <c r="M80" s="102"/>
      <c r="N80" s="102"/>
      <c r="O80" s="102"/>
      <c r="P80" s="102"/>
      <c r="Q80" s="102"/>
      <c r="R80" s="102"/>
      <c r="S80" s="102"/>
      <c r="T80" s="102"/>
      <c r="U80" s="102"/>
      <c r="V80" s="102"/>
      <c r="W80" s="102"/>
      <c r="X80" s="102"/>
      <c r="Y80" s="102"/>
      <c r="Z80" s="102"/>
      <c r="AA80" s="102"/>
      <c r="AB80" s="102"/>
      <c r="AC80" s="102"/>
      <c r="AD80" s="102"/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Y80" s="102"/>
      <c r="AZ80" s="102"/>
      <c r="BA80" s="102"/>
      <c r="BB80" s="102"/>
      <c r="BC80" s="102"/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2"/>
    </row>
    <row r="81" spans="2:66" s="64" customFormat="1" ht="15" customHeight="1">
      <c r="B81" s="102"/>
      <c r="C81" s="102"/>
      <c r="D81" s="102"/>
      <c r="E81" s="102"/>
      <c r="F81" s="102"/>
      <c r="G81" s="102"/>
      <c r="H81" s="102"/>
      <c r="I81" s="102"/>
      <c r="J81" s="102"/>
      <c r="K81" s="102"/>
      <c r="L81" s="102"/>
      <c r="M81" s="102"/>
      <c r="N81" s="102"/>
      <c r="O81" s="102"/>
      <c r="P81" s="102"/>
      <c r="Q81" s="102"/>
      <c r="R81" s="102"/>
      <c r="S81" s="102"/>
      <c r="T81" s="102"/>
      <c r="U81" s="102"/>
      <c r="V81" s="102"/>
      <c r="W81" s="102"/>
      <c r="X81" s="102"/>
      <c r="Y81" s="102"/>
      <c r="Z81" s="102"/>
      <c r="AA81" s="102"/>
      <c r="AB81" s="102"/>
      <c r="AC81" s="102"/>
      <c r="AD81" s="102"/>
      <c r="AE81" s="102"/>
      <c r="AF81" s="102"/>
      <c r="AG81" s="102"/>
      <c r="AH81" s="102"/>
      <c r="AI81" s="102"/>
      <c r="AJ81" s="102"/>
      <c r="AK81" s="102"/>
      <c r="AL81" s="102"/>
      <c r="AM81" s="102"/>
      <c r="AN81" s="102"/>
      <c r="AO81" s="102"/>
      <c r="AP81" s="102"/>
      <c r="AQ81" s="102"/>
      <c r="AR81" s="102"/>
      <c r="AS81" s="102"/>
      <c r="AT81" s="102"/>
      <c r="AU81" s="102"/>
      <c r="AV81" s="102"/>
      <c r="AW81" s="102"/>
      <c r="AY81" s="102"/>
      <c r="AZ81" s="102"/>
      <c r="BA81" s="102"/>
      <c r="BB81" s="102"/>
      <c r="BC81" s="102"/>
      <c r="BD81" s="102"/>
      <c r="BE81" s="102"/>
      <c r="BF81" s="102"/>
      <c r="BG81" s="102"/>
      <c r="BH81" s="102"/>
      <c r="BI81" s="102"/>
      <c r="BJ81" s="102"/>
      <c r="BK81" s="102"/>
      <c r="BL81" s="102"/>
      <c r="BM81" s="102"/>
      <c r="BN81" s="102"/>
    </row>
    <row r="82" spans="2:66" s="64" customFormat="1" ht="15" customHeight="1">
      <c r="B82" s="102"/>
      <c r="C82" s="102"/>
      <c r="D82" s="102"/>
      <c r="E82" s="102"/>
      <c r="F82" s="102"/>
      <c r="G82" s="102"/>
      <c r="H82" s="102"/>
      <c r="I82" s="102"/>
      <c r="J82" s="102"/>
      <c r="K82" s="102"/>
      <c r="L82" s="102"/>
      <c r="M82" s="102"/>
      <c r="N82" s="102"/>
      <c r="O82" s="102"/>
      <c r="P82" s="102"/>
      <c r="Q82" s="102"/>
      <c r="R82" s="102"/>
      <c r="S82" s="102"/>
      <c r="T82" s="102"/>
      <c r="U82" s="102"/>
      <c r="V82" s="102"/>
      <c r="W82" s="102"/>
      <c r="X82" s="102"/>
      <c r="Y82" s="102"/>
      <c r="Z82" s="102"/>
      <c r="AA82" s="102"/>
      <c r="AB82" s="102"/>
      <c r="AC82" s="102"/>
      <c r="AD82" s="102"/>
      <c r="AE82" s="102"/>
      <c r="AF82" s="102"/>
      <c r="AG82" s="102"/>
      <c r="AH82" s="102"/>
      <c r="AI82" s="102"/>
      <c r="AJ82" s="102"/>
      <c r="AK82" s="102"/>
      <c r="AL82" s="102"/>
      <c r="AM82" s="102"/>
      <c r="AN82" s="102"/>
      <c r="AO82" s="102"/>
      <c r="AP82" s="102"/>
      <c r="AQ82" s="102"/>
      <c r="AR82" s="102"/>
      <c r="AS82" s="102"/>
      <c r="AT82" s="102"/>
      <c r="AU82" s="102"/>
      <c r="AV82" s="102"/>
      <c r="AW82" s="102"/>
      <c r="AY82" s="102"/>
      <c r="AZ82" s="102"/>
      <c r="BA82" s="102"/>
      <c r="BB82" s="102"/>
      <c r="BC82" s="102"/>
      <c r="BD82" s="102"/>
      <c r="BE82" s="102"/>
      <c r="BF82" s="102"/>
      <c r="BG82" s="102"/>
      <c r="BH82" s="102"/>
      <c r="BI82" s="102"/>
      <c r="BJ82" s="102"/>
      <c r="BK82" s="102"/>
      <c r="BL82" s="102"/>
      <c r="BM82" s="102"/>
      <c r="BN82" s="102"/>
    </row>
    <row r="83" spans="2:66" s="64" customFormat="1" ht="15" customHeight="1">
      <c r="B83" s="102"/>
      <c r="C83" s="102"/>
      <c r="D83" s="102"/>
      <c r="E83" s="102"/>
      <c r="F83" s="102"/>
      <c r="G83" s="102"/>
      <c r="H83" s="102"/>
      <c r="I83" s="102"/>
      <c r="J83" s="102"/>
      <c r="K83" s="102"/>
      <c r="L83" s="102"/>
      <c r="M83" s="102"/>
      <c r="N83" s="102"/>
      <c r="O83" s="102"/>
      <c r="P83" s="102"/>
      <c r="Q83" s="102"/>
      <c r="R83" s="102"/>
      <c r="S83" s="102"/>
      <c r="T83" s="102"/>
      <c r="U83" s="102"/>
      <c r="V83" s="102"/>
      <c r="W83" s="102"/>
      <c r="X83" s="102"/>
      <c r="Y83" s="102"/>
      <c r="Z83" s="102"/>
      <c r="AA83" s="102"/>
      <c r="AB83" s="102"/>
      <c r="AC83" s="102"/>
      <c r="AD83" s="102"/>
      <c r="AE83" s="102"/>
      <c r="AF83" s="102"/>
      <c r="AG83" s="102"/>
      <c r="AH83" s="102"/>
      <c r="AI83" s="102"/>
      <c r="AJ83" s="102"/>
      <c r="AK83" s="102"/>
      <c r="AL83" s="102"/>
      <c r="AM83" s="102"/>
      <c r="AN83" s="102"/>
      <c r="AO83" s="102"/>
      <c r="AP83" s="102"/>
      <c r="AQ83" s="102"/>
      <c r="AR83" s="102"/>
      <c r="AS83" s="102"/>
      <c r="AT83" s="102"/>
      <c r="AU83" s="102"/>
      <c r="AV83" s="102"/>
      <c r="AW83" s="102"/>
      <c r="AY83" s="102"/>
      <c r="AZ83" s="102"/>
      <c r="BA83" s="102"/>
      <c r="BB83" s="102"/>
      <c r="BC83" s="102"/>
      <c r="BD83" s="102"/>
      <c r="BE83" s="102"/>
      <c r="BF83" s="102"/>
      <c r="BG83" s="102"/>
      <c r="BH83" s="102"/>
      <c r="BI83" s="102"/>
      <c r="BJ83" s="102"/>
      <c r="BK83" s="102"/>
      <c r="BL83" s="102"/>
      <c r="BM83" s="102"/>
      <c r="BN83" s="102"/>
    </row>
    <row r="84" spans="2:66" s="64" customFormat="1" ht="15" customHeight="1">
      <c r="B84" s="102"/>
      <c r="C84" s="102"/>
      <c r="D84" s="102"/>
      <c r="E84" s="102"/>
      <c r="F84" s="102"/>
      <c r="G84" s="102"/>
      <c r="H84" s="102"/>
      <c r="I84" s="102"/>
      <c r="J84" s="102"/>
      <c r="K84" s="102"/>
      <c r="L84" s="102"/>
      <c r="M84" s="102"/>
      <c r="N84" s="102"/>
      <c r="O84" s="102"/>
      <c r="P84" s="102"/>
      <c r="Q84" s="102"/>
      <c r="R84" s="102"/>
      <c r="S84" s="102"/>
      <c r="T84" s="102"/>
      <c r="U84" s="102"/>
      <c r="V84" s="102"/>
      <c r="W84" s="102"/>
      <c r="X84" s="102"/>
      <c r="Y84" s="102"/>
      <c r="Z84" s="102"/>
      <c r="AA84" s="102"/>
      <c r="AB84" s="102"/>
      <c r="AC84" s="102"/>
      <c r="AD84" s="102"/>
      <c r="AE84" s="102"/>
      <c r="AF84" s="102"/>
      <c r="AG84" s="102"/>
      <c r="AH84" s="102"/>
      <c r="AI84" s="102"/>
      <c r="AJ84" s="102"/>
      <c r="AK84" s="102"/>
      <c r="AL84" s="102"/>
      <c r="AM84" s="102"/>
      <c r="AN84" s="102"/>
      <c r="AO84" s="102"/>
      <c r="AP84" s="102"/>
      <c r="AQ84" s="102"/>
      <c r="AR84" s="102"/>
      <c r="AS84" s="102"/>
      <c r="AT84" s="102"/>
      <c r="AU84" s="102"/>
      <c r="AV84" s="102"/>
      <c r="AW84" s="102"/>
      <c r="AY84" s="102"/>
      <c r="AZ84" s="102"/>
      <c r="BA84" s="102"/>
      <c r="BB84" s="102"/>
      <c r="BC84" s="102"/>
      <c r="BD84" s="102"/>
      <c r="BE84" s="102"/>
      <c r="BF84" s="102"/>
      <c r="BG84" s="102"/>
      <c r="BH84" s="102"/>
      <c r="BI84" s="102"/>
      <c r="BJ84" s="102"/>
      <c r="BK84" s="102"/>
      <c r="BL84" s="102"/>
      <c r="BM84" s="102"/>
      <c r="BN84" s="102"/>
    </row>
    <row r="85" spans="2:66" s="64" customFormat="1" ht="15" customHeight="1">
      <c r="B85" s="102"/>
      <c r="C85" s="102"/>
      <c r="D85" s="102"/>
      <c r="E85" s="102"/>
      <c r="F85" s="102"/>
      <c r="G85" s="102"/>
      <c r="H85" s="102"/>
      <c r="I85" s="102"/>
      <c r="J85" s="102"/>
      <c r="K85" s="102"/>
      <c r="L85" s="102"/>
      <c r="M85" s="102"/>
      <c r="N85" s="102"/>
      <c r="O85" s="102"/>
      <c r="P85" s="102"/>
      <c r="Q85" s="102"/>
      <c r="R85" s="102"/>
      <c r="S85" s="102"/>
      <c r="T85" s="102"/>
      <c r="U85" s="102"/>
      <c r="V85" s="102"/>
      <c r="W85" s="102"/>
      <c r="X85" s="102"/>
      <c r="Y85" s="102"/>
      <c r="Z85" s="102"/>
      <c r="AA85" s="102"/>
      <c r="AB85" s="102"/>
      <c r="AC85" s="102"/>
      <c r="AD85" s="102"/>
      <c r="AE85" s="102"/>
      <c r="AF85" s="102"/>
      <c r="AG85" s="102"/>
      <c r="AH85" s="102"/>
      <c r="AI85" s="102"/>
      <c r="AJ85" s="102"/>
      <c r="AK85" s="102"/>
      <c r="AL85" s="102"/>
      <c r="AM85" s="102"/>
      <c r="AN85" s="102"/>
      <c r="AO85" s="102"/>
      <c r="AP85" s="102"/>
      <c r="AQ85" s="102"/>
      <c r="AR85" s="102"/>
      <c r="AS85" s="102"/>
      <c r="AT85" s="102"/>
      <c r="AU85" s="102"/>
      <c r="AV85" s="102"/>
      <c r="AW85" s="102"/>
      <c r="AY85" s="102"/>
      <c r="AZ85" s="102"/>
      <c r="BA85" s="102"/>
      <c r="BB85" s="102"/>
      <c r="BC85" s="102"/>
      <c r="BD85" s="102"/>
      <c r="BE85" s="102"/>
      <c r="BF85" s="102"/>
      <c r="BG85" s="102"/>
      <c r="BH85" s="102"/>
      <c r="BI85" s="102"/>
      <c r="BJ85" s="102"/>
      <c r="BK85" s="102"/>
      <c r="BL85" s="102"/>
      <c r="BM85" s="102"/>
      <c r="BN85" s="102"/>
    </row>
    <row r="86" spans="2:66" s="64" customFormat="1" ht="15" customHeight="1">
      <c r="B86" s="102"/>
      <c r="C86" s="102"/>
      <c r="D86" s="102"/>
      <c r="E86" s="102"/>
      <c r="F86" s="102"/>
      <c r="G86" s="102"/>
      <c r="H86" s="102"/>
      <c r="I86" s="102"/>
      <c r="J86" s="102"/>
      <c r="K86" s="102"/>
      <c r="L86" s="102"/>
      <c r="M86" s="102"/>
      <c r="N86" s="102"/>
      <c r="O86" s="102"/>
      <c r="P86" s="102"/>
      <c r="Q86" s="102"/>
      <c r="R86" s="102"/>
      <c r="S86" s="102"/>
      <c r="T86" s="102"/>
      <c r="U86" s="102"/>
      <c r="V86" s="102"/>
      <c r="W86" s="102"/>
      <c r="X86" s="102"/>
      <c r="Y86" s="102"/>
      <c r="Z86" s="102"/>
      <c r="AA86" s="102"/>
      <c r="AB86" s="102"/>
      <c r="AC86" s="102"/>
      <c r="AD86" s="102"/>
      <c r="AE86" s="102"/>
      <c r="AF86" s="102"/>
      <c r="AG86" s="102"/>
      <c r="AH86" s="102"/>
      <c r="AI86" s="102"/>
      <c r="AJ86" s="102"/>
      <c r="AK86" s="102"/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</row>
    <row r="87" spans="2:66" s="64" customFormat="1" ht="15" customHeight="1">
      <c r="B87" s="102"/>
      <c r="C87" s="102"/>
      <c r="D87" s="102"/>
      <c r="E87" s="102"/>
      <c r="F87" s="102"/>
      <c r="G87" s="102"/>
      <c r="H87" s="102"/>
      <c r="I87" s="102"/>
      <c r="J87" s="102"/>
      <c r="K87" s="102"/>
      <c r="L87" s="102"/>
      <c r="M87" s="102"/>
      <c r="N87" s="102"/>
      <c r="O87" s="102"/>
      <c r="P87" s="102"/>
      <c r="Q87" s="102"/>
      <c r="R87" s="102"/>
      <c r="S87" s="102"/>
      <c r="T87" s="102"/>
      <c r="U87" s="102"/>
      <c r="V87" s="102"/>
      <c r="W87" s="102"/>
      <c r="X87" s="102"/>
      <c r="Y87" s="102"/>
      <c r="Z87" s="102"/>
      <c r="AA87" s="102"/>
      <c r="AB87" s="102"/>
      <c r="AC87" s="102"/>
      <c r="AD87" s="102"/>
      <c r="AE87" s="102"/>
      <c r="AF87" s="102"/>
      <c r="AG87" s="102"/>
      <c r="AH87" s="102"/>
      <c r="AI87" s="102"/>
      <c r="AJ87" s="102"/>
      <c r="AK87" s="102"/>
      <c r="AL87" s="102"/>
      <c r="AM87" s="102"/>
      <c r="AN87" s="102"/>
      <c r="AO87" s="102"/>
      <c r="AP87" s="102"/>
      <c r="AQ87" s="102"/>
      <c r="AR87" s="102"/>
      <c r="AS87" s="102"/>
      <c r="AT87" s="102"/>
      <c r="AU87" s="102"/>
      <c r="AV87" s="102"/>
      <c r="AW87" s="102"/>
      <c r="AY87" s="102"/>
      <c r="AZ87" s="102"/>
      <c r="BA87" s="102"/>
      <c r="BB87" s="102"/>
      <c r="BC87" s="102"/>
      <c r="BD87" s="102"/>
      <c r="BE87" s="102"/>
      <c r="BF87" s="102"/>
      <c r="BG87" s="102"/>
      <c r="BH87" s="102"/>
      <c r="BI87" s="102"/>
      <c r="BJ87" s="102"/>
      <c r="BK87" s="102"/>
      <c r="BL87" s="102"/>
      <c r="BM87" s="102"/>
      <c r="BN87" s="102"/>
    </row>
    <row r="88" spans="2:66" s="64" customFormat="1" ht="15" customHeight="1">
      <c r="B88" s="102"/>
      <c r="C88" s="102"/>
      <c r="D88" s="102"/>
      <c r="E88" s="102"/>
      <c r="F88" s="102"/>
      <c r="G88" s="102"/>
      <c r="H88" s="102"/>
      <c r="I88" s="102"/>
      <c r="J88" s="102"/>
      <c r="K88" s="102"/>
      <c r="L88" s="102"/>
      <c r="M88" s="102"/>
      <c r="N88" s="102"/>
      <c r="O88" s="102"/>
      <c r="P88" s="102"/>
      <c r="Q88" s="102"/>
      <c r="R88" s="102"/>
      <c r="S88" s="102"/>
      <c r="T88" s="102"/>
      <c r="U88" s="102"/>
      <c r="V88" s="102"/>
      <c r="W88" s="102"/>
      <c r="X88" s="102"/>
      <c r="Y88" s="102"/>
      <c r="Z88" s="102"/>
      <c r="AA88" s="102"/>
      <c r="AB88" s="102"/>
      <c r="AC88" s="102"/>
      <c r="AD88" s="102"/>
      <c r="AE88" s="102"/>
      <c r="AF88" s="102"/>
      <c r="AG88" s="102"/>
      <c r="AH88" s="102"/>
      <c r="AI88" s="102"/>
      <c r="AJ88" s="102"/>
      <c r="AK88" s="102"/>
      <c r="AL88" s="102"/>
      <c r="AM88" s="102"/>
      <c r="AN88" s="102"/>
      <c r="AO88" s="102"/>
      <c r="AP88" s="102"/>
      <c r="AQ88" s="102"/>
      <c r="AR88" s="102"/>
      <c r="AS88" s="102"/>
      <c r="AT88" s="102"/>
      <c r="AU88" s="102"/>
      <c r="AV88" s="102"/>
      <c r="AW88" s="102"/>
      <c r="AY88" s="102"/>
      <c r="AZ88" s="102"/>
      <c r="BA88" s="102"/>
      <c r="BB88" s="102"/>
      <c r="BC88" s="102"/>
      <c r="BD88" s="102"/>
      <c r="BE88" s="102"/>
      <c r="BF88" s="102"/>
      <c r="BG88" s="102"/>
      <c r="BH88" s="102"/>
      <c r="BI88" s="102"/>
      <c r="BJ88" s="102"/>
      <c r="BK88" s="102"/>
      <c r="BL88" s="102"/>
      <c r="BM88" s="102"/>
      <c r="BN88" s="102"/>
    </row>
    <row r="89" spans="2:66" s="64" customFormat="1" ht="15" customHeight="1">
      <c r="B89" s="102"/>
      <c r="C89" s="102"/>
      <c r="D89" s="102"/>
      <c r="E89" s="102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102"/>
      <c r="Q89" s="102"/>
      <c r="R89" s="102"/>
      <c r="S89" s="102"/>
      <c r="T89" s="102"/>
      <c r="U89" s="102"/>
      <c r="V89" s="102"/>
      <c r="W89" s="102"/>
      <c r="X89" s="102"/>
      <c r="Y89" s="102"/>
      <c r="Z89" s="102"/>
      <c r="AA89" s="102"/>
      <c r="AB89" s="102"/>
      <c r="AC89" s="102"/>
      <c r="AD89" s="102"/>
      <c r="AE89" s="102"/>
      <c r="AF89" s="102"/>
      <c r="AG89" s="102"/>
      <c r="AH89" s="102"/>
      <c r="AI89" s="102"/>
      <c r="AJ89" s="102"/>
      <c r="AK89" s="102"/>
      <c r="AL89" s="102"/>
      <c r="AM89" s="102"/>
      <c r="AN89" s="102"/>
      <c r="AO89" s="102"/>
      <c r="AP89" s="102"/>
      <c r="AQ89" s="102"/>
      <c r="AR89" s="102"/>
      <c r="AS89" s="102"/>
      <c r="AT89" s="102"/>
      <c r="AU89" s="102"/>
      <c r="AV89" s="102"/>
      <c r="AW89" s="102"/>
      <c r="AY89" s="102"/>
      <c r="AZ89" s="102"/>
      <c r="BA89" s="102"/>
      <c r="BB89" s="102"/>
      <c r="BC89" s="102"/>
      <c r="BD89" s="102"/>
      <c r="BE89" s="102"/>
      <c r="BF89" s="102"/>
      <c r="BG89" s="102"/>
      <c r="BH89" s="102"/>
      <c r="BI89" s="102"/>
      <c r="BJ89" s="102"/>
      <c r="BK89" s="102"/>
      <c r="BL89" s="102"/>
      <c r="BM89" s="102"/>
      <c r="BN89" s="102"/>
    </row>
    <row r="90" spans="2:66" s="64" customFormat="1" ht="15" customHeight="1">
      <c r="B90" s="102"/>
      <c r="C90" s="102"/>
      <c r="D90" s="102"/>
      <c r="E90" s="102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102"/>
      <c r="R90" s="102"/>
      <c r="S90" s="102"/>
      <c r="T90" s="102"/>
      <c r="U90" s="102"/>
      <c r="V90" s="102"/>
      <c r="W90" s="102"/>
      <c r="X90" s="102"/>
      <c r="Y90" s="102"/>
      <c r="Z90" s="102"/>
      <c r="AA90" s="102"/>
      <c r="AB90" s="102"/>
      <c r="AC90" s="102"/>
      <c r="AD90" s="102"/>
      <c r="AE90" s="102"/>
      <c r="AF90" s="102"/>
      <c r="AG90" s="102"/>
      <c r="AH90" s="102"/>
      <c r="AI90" s="102"/>
      <c r="AJ90" s="102"/>
      <c r="AK90" s="102"/>
      <c r="AL90" s="102"/>
      <c r="AM90" s="102"/>
      <c r="AN90" s="102"/>
      <c r="AO90" s="102"/>
      <c r="AP90" s="102"/>
      <c r="AQ90" s="102"/>
      <c r="AR90" s="102"/>
      <c r="AS90" s="102"/>
      <c r="AT90" s="102"/>
      <c r="AU90" s="102"/>
      <c r="AV90" s="102"/>
      <c r="AW90" s="102"/>
      <c r="AY90" s="102"/>
      <c r="AZ90" s="102"/>
      <c r="BA90" s="102"/>
      <c r="BB90" s="102"/>
      <c r="BC90" s="102"/>
      <c r="BD90" s="102"/>
      <c r="BE90" s="102"/>
      <c r="BF90" s="102"/>
      <c r="BG90" s="102"/>
      <c r="BH90" s="102"/>
      <c r="BI90" s="102"/>
      <c r="BJ90" s="102"/>
      <c r="BK90" s="102"/>
      <c r="BL90" s="102"/>
      <c r="BM90" s="102"/>
      <c r="BN90" s="102"/>
    </row>
    <row r="91" spans="2:66" s="64" customFormat="1" ht="15" customHeight="1">
      <c r="B91" s="102"/>
      <c r="C91" s="102"/>
      <c r="D91" s="102"/>
      <c r="E91" s="102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102"/>
      <c r="S91" s="102"/>
      <c r="T91" s="102"/>
      <c r="U91" s="102"/>
      <c r="V91" s="102"/>
      <c r="W91" s="102"/>
      <c r="X91" s="102"/>
      <c r="Y91" s="102"/>
      <c r="Z91" s="102"/>
      <c r="AA91" s="102"/>
      <c r="AB91" s="102"/>
      <c r="AC91" s="102"/>
      <c r="AD91" s="102"/>
      <c r="AE91" s="102"/>
      <c r="AF91" s="102"/>
      <c r="AG91" s="102"/>
      <c r="AH91" s="102"/>
      <c r="AI91" s="102"/>
      <c r="AJ91" s="102"/>
      <c r="AK91" s="102"/>
      <c r="AL91" s="102"/>
      <c r="AM91" s="102"/>
      <c r="AN91" s="102"/>
      <c r="AO91" s="102"/>
      <c r="AP91" s="102"/>
      <c r="AQ91" s="102"/>
      <c r="AR91" s="102"/>
      <c r="AS91" s="102"/>
      <c r="AT91" s="102"/>
      <c r="AU91" s="102"/>
      <c r="AV91" s="102"/>
      <c r="AW91" s="102"/>
      <c r="AY91" s="102"/>
      <c r="AZ91" s="102"/>
      <c r="BA91" s="102"/>
      <c r="BB91" s="102"/>
      <c r="BC91" s="102"/>
      <c r="BD91" s="102"/>
      <c r="BE91" s="102"/>
      <c r="BF91" s="102"/>
      <c r="BG91" s="102"/>
      <c r="BH91" s="102"/>
      <c r="BI91" s="102"/>
      <c r="BJ91" s="102"/>
      <c r="BK91" s="102"/>
      <c r="BL91" s="102"/>
      <c r="BM91" s="102"/>
      <c r="BN91" s="102"/>
    </row>
    <row r="92" spans="2:66" s="64" customFormat="1" ht="15" customHeight="1">
      <c r="B92" s="102"/>
      <c r="C92" s="102"/>
      <c r="D92" s="102"/>
      <c r="E92" s="102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102"/>
      <c r="T92" s="102"/>
      <c r="U92" s="102"/>
      <c r="V92" s="102"/>
      <c r="W92" s="102"/>
      <c r="X92" s="102"/>
      <c r="Y92" s="102"/>
      <c r="Z92" s="102"/>
      <c r="AA92" s="102"/>
      <c r="AB92" s="102"/>
      <c r="AC92" s="102"/>
      <c r="AD92" s="102"/>
      <c r="AE92" s="102"/>
      <c r="AF92" s="102"/>
      <c r="AG92" s="102"/>
      <c r="AH92" s="102"/>
      <c r="AI92" s="102"/>
      <c r="AJ92" s="102"/>
      <c r="AK92" s="102"/>
      <c r="AL92" s="102"/>
      <c r="AM92" s="102"/>
      <c r="AN92" s="102"/>
      <c r="AO92" s="102"/>
      <c r="AP92" s="102"/>
      <c r="AQ92" s="102"/>
      <c r="AR92" s="102"/>
      <c r="AS92" s="102"/>
      <c r="AT92" s="102"/>
      <c r="AU92" s="102"/>
      <c r="AV92" s="102"/>
      <c r="AW92" s="102"/>
      <c r="AY92" s="102"/>
      <c r="AZ92" s="102"/>
      <c r="BA92" s="102"/>
      <c r="BB92" s="102"/>
      <c r="BC92" s="102"/>
      <c r="BD92" s="102"/>
      <c r="BE92" s="102"/>
      <c r="BF92" s="102"/>
      <c r="BG92" s="102"/>
      <c r="BH92" s="102"/>
      <c r="BI92" s="102"/>
      <c r="BJ92" s="102"/>
      <c r="BK92" s="102"/>
      <c r="BL92" s="102"/>
      <c r="BM92" s="102"/>
      <c r="BN92" s="102"/>
    </row>
    <row r="93" spans="2:66" s="64" customFormat="1" ht="15" customHeight="1">
      <c r="B93" s="102"/>
      <c r="C93" s="102"/>
      <c r="D93" s="102"/>
      <c r="E93" s="102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102"/>
      <c r="U93" s="102"/>
      <c r="V93" s="102"/>
      <c r="W93" s="102"/>
      <c r="X93" s="102"/>
      <c r="Y93" s="102"/>
      <c r="Z93" s="102"/>
      <c r="AA93" s="102"/>
      <c r="AB93" s="102"/>
      <c r="AC93" s="102"/>
      <c r="AD93" s="102"/>
      <c r="AE93" s="102"/>
      <c r="AF93" s="102"/>
      <c r="AG93" s="102"/>
      <c r="AH93" s="102"/>
      <c r="AI93" s="102"/>
      <c r="AJ93" s="102"/>
      <c r="AK93" s="102"/>
      <c r="AL93" s="102"/>
      <c r="AM93" s="102"/>
      <c r="AN93" s="102"/>
      <c r="AO93" s="102"/>
      <c r="AP93" s="102"/>
      <c r="AQ93" s="102"/>
      <c r="AR93" s="102"/>
      <c r="AS93" s="102"/>
      <c r="AT93" s="102"/>
      <c r="AU93" s="102"/>
      <c r="AV93" s="102"/>
      <c r="AW93" s="102"/>
      <c r="AY93" s="102"/>
      <c r="AZ93" s="102"/>
      <c r="BA93" s="102"/>
      <c r="BB93" s="102"/>
      <c r="BC93" s="102"/>
      <c r="BD93" s="102"/>
      <c r="BE93" s="102"/>
      <c r="BF93" s="102"/>
      <c r="BG93" s="102"/>
      <c r="BH93" s="102"/>
      <c r="BI93" s="102"/>
      <c r="BJ93" s="102"/>
      <c r="BK93" s="102"/>
      <c r="BL93" s="102"/>
      <c r="BM93" s="102"/>
      <c r="BN93" s="102"/>
    </row>
    <row r="94" spans="2:66" s="64" customFormat="1" ht="15" customHeight="1">
      <c r="B94" s="102"/>
      <c r="C94" s="102"/>
      <c r="D94" s="102"/>
      <c r="E94" s="102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102"/>
      <c r="V94" s="102"/>
      <c r="W94" s="102"/>
      <c r="X94" s="102"/>
      <c r="Y94" s="102"/>
      <c r="Z94" s="102"/>
      <c r="AA94" s="102"/>
      <c r="AB94" s="102"/>
      <c r="AC94" s="102"/>
      <c r="AD94" s="102"/>
      <c r="AE94" s="102"/>
      <c r="AF94" s="102"/>
      <c r="AG94" s="102"/>
      <c r="AH94" s="102"/>
      <c r="AI94" s="102"/>
      <c r="AJ94" s="102"/>
      <c r="AK94" s="102"/>
      <c r="AL94" s="102"/>
      <c r="AM94" s="102"/>
      <c r="AN94" s="102"/>
      <c r="AO94" s="102"/>
      <c r="AP94" s="102"/>
      <c r="AQ94" s="102"/>
      <c r="AR94" s="102"/>
      <c r="AS94" s="102"/>
      <c r="AT94" s="102"/>
      <c r="AU94" s="102"/>
      <c r="AV94" s="102"/>
      <c r="AW94" s="102"/>
      <c r="AY94" s="102"/>
      <c r="AZ94" s="102"/>
      <c r="BA94" s="102"/>
      <c r="BB94" s="102"/>
      <c r="BC94" s="102"/>
      <c r="BD94" s="102"/>
      <c r="BE94" s="102"/>
      <c r="BF94" s="102"/>
      <c r="BG94" s="102"/>
      <c r="BH94" s="102"/>
      <c r="BI94" s="102"/>
      <c r="BJ94" s="102"/>
      <c r="BK94" s="102"/>
      <c r="BL94" s="102"/>
      <c r="BM94" s="102"/>
      <c r="BN94" s="102"/>
    </row>
    <row r="95" spans="2:66" s="64" customFormat="1" ht="15" customHeight="1">
      <c r="B95" s="102"/>
      <c r="C95" s="102"/>
      <c r="D95" s="102"/>
      <c r="E95" s="102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102"/>
      <c r="W95" s="102"/>
      <c r="X95" s="102"/>
      <c r="Y95" s="102"/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102"/>
      <c r="AR95" s="102"/>
      <c r="AS95" s="102"/>
      <c r="AT95" s="102"/>
      <c r="AU95" s="102"/>
      <c r="AV95" s="102"/>
      <c r="AW95" s="102"/>
      <c r="AY95" s="102"/>
      <c r="AZ95" s="102"/>
      <c r="BA95" s="102"/>
      <c r="BB95" s="102"/>
      <c r="BC95" s="102"/>
      <c r="BD95" s="102"/>
      <c r="BE95" s="102"/>
      <c r="BF95" s="102"/>
      <c r="BG95" s="102"/>
      <c r="BH95" s="102"/>
      <c r="BI95" s="102"/>
      <c r="BJ95" s="102"/>
      <c r="BK95" s="102"/>
      <c r="BL95" s="102"/>
      <c r="BM95" s="102"/>
      <c r="BN95" s="102"/>
    </row>
    <row r="96" spans="2:66" s="64" customFormat="1" ht="15" customHeight="1">
      <c r="B96" s="102"/>
      <c r="C96" s="102"/>
      <c r="D96" s="102"/>
      <c r="E96" s="102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102"/>
      <c r="X96" s="102"/>
      <c r="Y96" s="102"/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102"/>
      <c r="AR96" s="102"/>
      <c r="AS96" s="102"/>
      <c r="AT96" s="102"/>
      <c r="AU96" s="102"/>
      <c r="AV96" s="102"/>
      <c r="AW96" s="102"/>
      <c r="AY96" s="102"/>
      <c r="AZ96" s="102"/>
      <c r="BA96" s="102"/>
      <c r="BB96" s="102"/>
      <c r="BC96" s="102"/>
      <c r="BD96" s="102"/>
      <c r="BE96" s="102"/>
      <c r="BF96" s="102"/>
      <c r="BG96" s="102"/>
      <c r="BH96" s="102"/>
      <c r="BI96" s="102"/>
      <c r="BJ96" s="102"/>
      <c r="BK96" s="102"/>
      <c r="BL96" s="102"/>
      <c r="BM96" s="102"/>
      <c r="BN96" s="102"/>
    </row>
    <row r="97" spans="2:66" s="64" customFormat="1" ht="15" customHeight="1">
      <c r="B97" s="102"/>
      <c r="C97" s="102"/>
      <c r="D97" s="102"/>
      <c r="E97" s="102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102"/>
      <c r="Y97" s="102"/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102"/>
      <c r="AR97" s="102"/>
      <c r="AS97" s="102"/>
      <c r="AT97" s="102"/>
      <c r="AU97" s="102"/>
      <c r="AV97" s="102"/>
      <c r="AW97" s="102"/>
      <c r="AY97" s="102"/>
      <c r="AZ97" s="102"/>
      <c r="BA97" s="102"/>
      <c r="BB97" s="102"/>
      <c r="BC97" s="102"/>
      <c r="BD97" s="102"/>
      <c r="BE97" s="102"/>
      <c r="BF97" s="102"/>
      <c r="BG97" s="102"/>
      <c r="BH97" s="102"/>
      <c r="BI97" s="102"/>
      <c r="BJ97" s="102"/>
      <c r="BK97" s="102"/>
      <c r="BL97" s="102"/>
      <c r="BM97" s="102"/>
      <c r="BN97" s="102"/>
    </row>
    <row r="98" spans="2:66" s="64" customFormat="1" ht="15" customHeight="1">
      <c r="B98" s="102"/>
      <c r="C98" s="102"/>
      <c r="D98" s="102"/>
      <c r="E98" s="102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102"/>
      <c r="Z98" s="102"/>
      <c r="AA98" s="102"/>
      <c r="AB98" s="102"/>
      <c r="AC98" s="102"/>
      <c r="AD98" s="102"/>
      <c r="AE98" s="102"/>
      <c r="AF98" s="102"/>
      <c r="AG98" s="102"/>
      <c r="AH98" s="102"/>
      <c r="AI98" s="102"/>
      <c r="AJ98" s="102"/>
      <c r="AK98" s="102"/>
      <c r="AL98" s="102"/>
      <c r="AM98" s="102"/>
      <c r="AN98" s="102"/>
      <c r="AO98" s="102"/>
      <c r="AP98" s="102"/>
      <c r="AQ98" s="102"/>
      <c r="AR98" s="102"/>
      <c r="AS98" s="102"/>
      <c r="AT98" s="102"/>
      <c r="AU98" s="102"/>
      <c r="AV98" s="102"/>
      <c r="AW98" s="102"/>
      <c r="AY98" s="102"/>
      <c r="AZ98" s="102"/>
      <c r="BA98" s="102"/>
      <c r="BB98" s="102"/>
      <c r="BC98" s="102"/>
      <c r="BD98" s="102"/>
      <c r="BE98" s="102"/>
      <c r="BF98" s="102"/>
      <c r="BG98" s="102"/>
      <c r="BH98" s="102"/>
      <c r="BI98" s="102"/>
      <c r="BJ98" s="102"/>
      <c r="BK98" s="102"/>
      <c r="BL98" s="102"/>
      <c r="BM98" s="102"/>
      <c r="BN98" s="102"/>
    </row>
    <row r="99" spans="2:66" s="64" customFormat="1" ht="15" customHeight="1">
      <c r="B99" s="102"/>
      <c r="C99" s="102"/>
      <c r="D99" s="102"/>
      <c r="E99" s="102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102"/>
      <c r="AA99" s="102"/>
      <c r="AB99" s="102"/>
      <c r="AC99" s="102"/>
      <c r="AD99" s="102"/>
      <c r="AE99" s="102"/>
      <c r="AF99" s="102"/>
      <c r="AG99" s="102"/>
      <c r="AH99" s="102"/>
      <c r="AI99" s="102"/>
      <c r="AJ99" s="102"/>
      <c r="AK99" s="102"/>
      <c r="AL99" s="102"/>
      <c r="AM99" s="102"/>
      <c r="AN99" s="102"/>
      <c r="AO99" s="102"/>
      <c r="AP99" s="102"/>
      <c r="AQ99" s="102"/>
      <c r="AR99" s="102"/>
      <c r="AS99" s="102"/>
      <c r="AT99" s="102"/>
      <c r="AU99" s="102"/>
      <c r="AV99" s="102"/>
      <c r="AW99" s="102"/>
      <c r="AY99" s="102"/>
      <c r="AZ99" s="102"/>
      <c r="BA99" s="102"/>
      <c r="BB99" s="102"/>
      <c r="BC99" s="102"/>
      <c r="BD99" s="102"/>
      <c r="BE99" s="102"/>
      <c r="BF99" s="102"/>
      <c r="BG99" s="102"/>
      <c r="BH99" s="102"/>
      <c r="BI99" s="102"/>
      <c r="BJ99" s="102"/>
      <c r="BK99" s="102"/>
      <c r="BL99" s="102"/>
      <c r="BM99" s="102"/>
      <c r="BN99" s="102"/>
    </row>
    <row r="100" spans="2:66" s="64" customFormat="1" ht="15" customHeight="1">
      <c r="B100" s="102"/>
      <c r="C100" s="102"/>
      <c r="D100" s="102"/>
      <c r="E100" s="102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102"/>
      <c r="AB100" s="102"/>
      <c r="AC100" s="102"/>
      <c r="AD100" s="102"/>
      <c r="AE100" s="102"/>
      <c r="AF100" s="102"/>
      <c r="AG100" s="102"/>
      <c r="AH100" s="102"/>
      <c r="AI100" s="102"/>
      <c r="AJ100" s="102"/>
      <c r="AK100" s="102"/>
      <c r="AL100" s="102"/>
      <c r="AM100" s="102"/>
      <c r="AN100" s="102"/>
      <c r="AO100" s="102"/>
      <c r="AP100" s="102"/>
      <c r="AQ100" s="102"/>
      <c r="AR100" s="102"/>
      <c r="AS100" s="102"/>
      <c r="AT100" s="102"/>
      <c r="AU100" s="102"/>
      <c r="AV100" s="102"/>
      <c r="AW100" s="102"/>
      <c r="AY100" s="102"/>
      <c r="AZ100" s="102"/>
      <c r="BA100" s="102"/>
      <c r="BB100" s="102"/>
      <c r="BC100" s="102"/>
      <c r="BD100" s="102"/>
      <c r="BE100" s="102"/>
      <c r="BF100" s="102"/>
      <c r="BG100" s="102"/>
      <c r="BH100" s="102"/>
      <c r="BI100" s="102"/>
      <c r="BJ100" s="102"/>
      <c r="BK100" s="102"/>
      <c r="BL100" s="102"/>
      <c r="BM100" s="102"/>
      <c r="BN100" s="102"/>
    </row>
    <row r="101" spans="2:66" s="64" customFormat="1" ht="15" customHeight="1">
      <c r="B101" s="102"/>
      <c r="C101" s="102"/>
      <c r="D101" s="102"/>
      <c r="E101" s="102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102"/>
      <c r="AC101" s="102"/>
      <c r="AD101" s="102"/>
      <c r="AE101" s="102"/>
      <c r="AF101" s="102"/>
      <c r="AG101" s="102"/>
      <c r="AH101" s="102"/>
      <c r="AI101" s="102"/>
      <c r="AJ101" s="102"/>
      <c r="AK101" s="102"/>
      <c r="AL101" s="102"/>
      <c r="AM101" s="102"/>
      <c r="AN101" s="102"/>
      <c r="AO101" s="102"/>
      <c r="AP101" s="102"/>
      <c r="AQ101" s="102"/>
      <c r="AR101" s="102"/>
      <c r="AS101" s="102"/>
      <c r="AT101" s="102"/>
      <c r="AU101" s="102"/>
      <c r="AV101" s="102"/>
      <c r="AW101" s="102"/>
      <c r="AY101" s="102"/>
      <c r="AZ101" s="102"/>
      <c r="BA101" s="102"/>
      <c r="BB101" s="102"/>
      <c r="BC101" s="102"/>
      <c r="BD101" s="102"/>
      <c r="BE101" s="102"/>
      <c r="BF101" s="102"/>
      <c r="BG101" s="102"/>
      <c r="BH101" s="102"/>
      <c r="BI101" s="102"/>
      <c r="BJ101" s="102"/>
      <c r="BK101" s="102"/>
      <c r="BL101" s="102"/>
      <c r="BM101" s="102"/>
      <c r="BN101" s="102"/>
    </row>
    <row r="102" spans="2:66" s="64" customFormat="1" ht="15" customHeight="1">
      <c r="B102" s="102"/>
      <c r="C102" s="102"/>
      <c r="D102" s="102"/>
      <c r="E102" s="102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102"/>
      <c r="AD102" s="102"/>
      <c r="AE102" s="102"/>
      <c r="AF102" s="102"/>
      <c r="AG102" s="102"/>
      <c r="AH102" s="102"/>
      <c r="AI102" s="102"/>
      <c r="AJ102" s="102"/>
      <c r="AK102" s="102"/>
      <c r="AL102" s="102"/>
      <c r="AM102" s="102"/>
      <c r="AN102" s="102"/>
      <c r="AO102" s="102"/>
      <c r="AP102" s="102"/>
      <c r="AQ102" s="102"/>
      <c r="AR102" s="102"/>
      <c r="AS102" s="102"/>
      <c r="AT102" s="102"/>
      <c r="AU102" s="102"/>
      <c r="AV102" s="102"/>
      <c r="AW102" s="102"/>
      <c r="AY102" s="102"/>
      <c r="AZ102" s="102"/>
      <c r="BA102" s="102"/>
      <c r="BB102" s="102"/>
      <c r="BC102" s="102"/>
      <c r="BD102" s="102"/>
      <c r="BE102" s="102"/>
      <c r="BF102" s="102"/>
      <c r="BG102" s="102"/>
      <c r="BH102" s="102"/>
      <c r="BI102" s="102"/>
      <c r="BJ102" s="102"/>
      <c r="BK102" s="102"/>
      <c r="BL102" s="102"/>
      <c r="BM102" s="102"/>
      <c r="BN102" s="102"/>
    </row>
    <row r="103" spans="2:66" s="64" customFormat="1" ht="15" customHeight="1">
      <c r="B103" s="102"/>
      <c r="C103" s="102"/>
      <c r="D103" s="102"/>
      <c r="E103" s="102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102"/>
      <c r="AE103" s="102"/>
      <c r="AF103" s="102"/>
      <c r="AG103" s="102"/>
      <c r="AH103" s="102"/>
      <c r="AI103" s="102"/>
      <c r="AJ103" s="102"/>
      <c r="AK103" s="102"/>
      <c r="AL103" s="102"/>
      <c r="AM103" s="102"/>
      <c r="AN103" s="102"/>
      <c r="AO103" s="102"/>
      <c r="AP103" s="102"/>
      <c r="AQ103" s="102"/>
      <c r="AR103" s="102"/>
      <c r="AS103" s="102"/>
      <c r="AT103" s="102"/>
      <c r="AU103" s="102"/>
      <c r="AV103" s="102"/>
      <c r="AW103" s="102"/>
      <c r="AY103" s="102"/>
      <c r="AZ103" s="102"/>
      <c r="BA103" s="102"/>
      <c r="BB103" s="102"/>
      <c r="BC103" s="102"/>
      <c r="BD103" s="102"/>
      <c r="BE103" s="102"/>
      <c r="BF103" s="102"/>
      <c r="BG103" s="102"/>
      <c r="BH103" s="102"/>
      <c r="BI103" s="102"/>
      <c r="BJ103" s="102"/>
      <c r="BK103" s="102"/>
      <c r="BL103" s="102"/>
      <c r="BM103" s="102"/>
      <c r="BN103" s="102"/>
    </row>
    <row r="104" spans="2:66" s="64" customFormat="1" ht="15" customHeight="1">
      <c r="B104" s="102"/>
      <c r="C104" s="102"/>
      <c r="D104" s="102"/>
      <c r="E104" s="102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102"/>
      <c r="AF104" s="102"/>
      <c r="AG104" s="102"/>
      <c r="AH104" s="102"/>
      <c r="AI104" s="102"/>
      <c r="AJ104" s="102"/>
      <c r="AK104" s="102"/>
      <c r="AL104" s="102"/>
      <c r="AM104" s="102"/>
      <c r="AN104" s="102"/>
      <c r="AO104" s="102"/>
      <c r="AP104" s="102"/>
      <c r="AQ104" s="102"/>
      <c r="AR104" s="102"/>
      <c r="AS104" s="102"/>
      <c r="AT104" s="102"/>
      <c r="AU104" s="102"/>
      <c r="AV104" s="102"/>
      <c r="AW104" s="102"/>
      <c r="AY104" s="102"/>
      <c r="AZ104" s="102"/>
      <c r="BA104" s="102"/>
      <c r="BB104" s="102"/>
      <c r="BC104" s="102"/>
      <c r="BD104" s="102"/>
      <c r="BE104" s="102"/>
      <c r="BF104" s="102"/>
      <c r="BG104" s="102"/>
      <c r="BH104" s="102"/>
      <c r="BI104" s="102"/>
      <c r="BJ104" s="102"/>
      <c r="BK104" s="102"/>
      <c r="BL104" s="102"/>
      <c r="BM104" s="102"/>
      <c r="BN104" s="102"/>
    </row>
    <row r="105" spans="2:66" s="64" customFormat="1" ht="15" customHeight="1">
      <c r="B105" s="102"/>
      <c r="C105" s="102"/>
      <c r="D105" s="102"/>
      <c r="E105" s="102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102"/>
      <c r="AG105" s="102"/>
      <c r="AH105" s="102"/>
      <c r="AI105" s="102"/>
      <c r="AJ105" s="102"/>
      <c r="AK105" s="102"/>
      <c r="AL105" s="102"/>
      <c r="AM105" s="102"/>
      <c r="AN105" s="102"/>
      <c r="AO105" s="102"/>
      <c r="AP105" s="102"/>
      <c r="AQ105" s="102"/>
      <c r="AR105" s="102"/>
      <c r="AS105" s="102"/>
      <c r="AT105" s="102"/>
      <c r="AU105" s="102"/>
      <c r="AV105" s="102"/>
      <c r="AW105" s="102"/>
      <c r="AY105" s="102"/>
      <c r="AZ105" s="102"/>
      <c r="BA105" s="102"/>
      <c r="BB105" s="102"/>
      <c r="BC105" s="102"/>
      <c r="BD105" s="102"/>
      <c r="BE105" s="102"/>
      <c r="BF105" s="102"/>
      <c r="BG105" s="102"/>
      <c r="BH105" s="102"/>
      <c r="BI105" s="102"/>
      <c r="BJ105" s="102"/>
      <c r="BK105" s="102"/>
      <c r="BL105" s="102"/>
      <c r="BM105" s="102"/>
      <c r="BN105" s="102"/>
    </row>
    <row r="106" spans="2:66" s="64" customFormat="1" ht="15" customHeight="1">
      <c r="B106" s="102"/>
      <c r="C106" s="102"/>
      <c r="D106" s="102"/>
      <c r="E106" s="102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102"/>
      <c r="AH106" s="102"/>
      <c r="AI106" s="102"/>
      <c r="AJ106" s="102"/>
      <c r="AK106" s="102"/>
      <c r="AL106" s="102"/>
      <c r="AM106" s="102"/>
      <c r="AN106" s="102"/>
      <c r="AO106" s="102"/>
      <c r="AP106" s="102"/>
      <c r="AQ106" s="102"/>
      <c r="AR106" s="102"/>
      <c r="AS106" s="102"/>
      <c r="AT106" s="102"/>
      <c r="AU106" s="102"/>
      <c r="AV106" s="102"/>
      <c r="AW106" s="102"/>
      <c r="AY106" s="102"/>
      <c r="AZ106" s="102"/>
      <c r="BA106" s="102"/>
      <c r="BB106" s="102"/>
      <c r="BC106" s="102"/>
      <c r="BD106" s="102"/>
      <c r="BE106" s="102"/>
      <c r="BF106" s="102"/>
      <c r="BG106" s="102"/>
      <c r="BH106" s="102"/>
      <c r="BI106" s="102"/>
      <c r="BJ106" s="102"/>
      <c r="BK106" s="102"/>
      <c r="BL106" s="102"/>
      <c r="BM106" s="102"/>
      <c r="BN106" s="102"/>
    </row>
    <row r="107" spans="2:66" s="64" customFormat="1" ht="15" customHeight="1">
      <c r="B107" s="102"/>
      <c r="C107" s="102"/>
      <c r="D107" s="102"/>
      <c r="E107" s="102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102"/>
      <c r="AI107" s="102"/>
      <c r="AJ107" s="102"/>
      <c r="AK107" s="102"/>
      <c r="AL107" s="102"/>
      <c r="AM107" s="102"/>
      <c r="AN107" s="102"/>
      <c r="AO107" s="102"/>
      <c r="AP107" s="102"/>
      <c r="AQ107" s="102"/>
      <c r="AR107" s="102"/>
      <c r="AS107" s="102"/>
      <c r="AT107" s="102"/>
      <c r="AU107" s="102"/>
      <c r="AV107" s="102"/>
      <c r="AW107" s="102"/>
      <c r="AY107" s="102"/>
      <c r="AZ107" s="102"/>
      <c r="BA107" s="102"/>
      <c r="BB107" s="102"/>
      <c r="BC107" s="102"/>
      <c r="BD107" s="102"/>
      <c r="BE107" s="102"/>
      <c r="BF107" s="102"/>
      <c r="BG107" s="102"/>
      <c r="BH107" s="102"/>
      <c r="BI107" s="102"/>
      <c r="BJ107" s="102"/>
      <c r="BK107" s="102"/>
      <c r="BL107" s="102"/>
      <c r="BM107" s="102"/>
      <c r="BN107" s="102"/>
    </row>
    <row r="108" spans="2:66" s="64" customFormat="1" ht="15" customHeight="1">
      <c r="B108" s="102"/>
      <c r="C108" s="102"/>
      <c r="D108" s="102"/>
      <c r="E108" s="102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102"/>
      <c r="AJ108" s="102"/>
      <c r="AK108" s="102"/>
      <c r="AL108" s="102"/>
      <c r="AM108" s="102"/>
      <c r="AN108" s="102"/>
      <c r="AO108" s="102"/>
      <c r="AP108" s="102"/>
      <c r="AQ108" s="102"/>
      <c r="AR108" s="102"/>
      <c r="AS108" s="102"/>
      <c r="AT108" s="102"/>
      <c r="AU108" s="102"/>
      <c r="AV108" s="102"/>
      <c r="AW108" s="102"/>
      <c r="AY108" s="102"/>
      <c r="AZ108" s="102"/>
      <c r="BA108" s="102"/>
      <c r="BB108" s="102"/>
      <c r="BC108" s="102"/>
      <c r="BD108" s="102"/>
      <c r="BE108" s="102"/>
      <c r="BF108" s="102"/>
      <c r="BG108" s="102"/>
      <c r="BH108" s="102"/>
      <c r="BI108" s="102"/>
      <c r="BJ108" s="102"/>
      <c r="BK108" s="102"/>
      <c r="BL108" s="102"/>
      <c r="BM108" s="102"/>
      <c r="BN108" s="102"/>
    </row>
    <row r="109" spans="2:66" s="64" customFormat="1" ht="15" customHeight="1">
      <c r="B109" s="102"/>
      <c r="C109" s="102"/>
      <c r="D109" s="102"/>
      <c r="E109" s="102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102"/>
      <c r="AK109" s="102"/>
      <c r="AL109" s="102"/>
      <c r="AM109" s="102"/>
      <c r="AN109" s="102"/>
      <c r="AO109" s="102"/>
      <c r="AP109" s="102"/>
      <c r="AQ109" s="102"/>
      <c r="AR109" s="102"/>
      <c r="AS109" s="102"/>
      <c r="AT109" s="102"/>
      <c r="AU109" s="102"/>
      <c r="AV109" s="102"/>
      <c r="AW109" s="102"/>
      <c r="AY109" s="102"/>
      <c r="AZ109" s="102"/>
      <c r="BA109" s="102"/>
      <c r="BB109" s="102"/>
      <c r="BC109" s="102"/>
      <c r="BD109" s="102"/>
      <c r="BE109" s="102"/>
      <c r="BF109" s="102"/>
      <c r="BG109" s="102"/>
      <c r="BH109" s="102"/>
      <c r="BI109" s="102"/>
      <c r="BJ109" s="102"/>
      <c r="BK109" s="102"/>
      <c r="BL109" s="102"/>
      <c r="BM109" s="102"/>
      <c r="BN109" s="102"/>
    </row>
    <row r="110" spans="2:66" s="64" customFormat="1" ht="15" customHeight="1">
      <c r="B110" s="102"/>
      <c r="C110" s="102"/>
      <c r="D110" s="102"/>
      <c r="E110" s="102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102"/>
      <c r="AL110" s="102"/>
      <c r="AM110" s="102"/>
      <c r="AN110" s="102"/>
      <c r="AO110" s="102"/>
      <c r="AP110" s="102"/>
      <c r="AQ110" s="102"/>
      <c r="AR110" s="102"/>
      <c r="AS110" s="102"/>
      <c r="AT110" s="102"/>
      <c r="AU110" s="102"/>
      <c r="AV110" s="102"/>
      <c r="AW110" s="102"/>
      <c r="AY110" s="102"/>
      <c r="AZ110" s="102"/>
      <c r="BA110" s="102"/>
      <c r="BB110" s="102"/>
      <c r="BC110" s="102"/>
      <c r="BD110" s="102"/>
      <c r="BE110" s="102"/>
      <c r="BF110" s="102"/>
      <c r="BG110" s="102"/>
      <c r="BH110" s="102"/>
      <c r="BI110" s="102"/>
      <c r="BJ110" s="102"/>
      <c r="BK110" s="102"/>
      <c r="BL110" s="102"/>
      <c r="BM110" s="102"/>
      <c r="BN110" s="102"/>
    </row>
    <row r="111" spans="2:66" s="64" customFormat="1" ht="15" customHeight="1">
      <c r="B111" s="102"/>
      <c r="C111" s="102"/>
      <c r="D111" s="102"/>
      <c r="E111" s="102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102"/>
      <c r="AM111" s="102"/>
      <c r="AN111" s="102"/>
      <c r="AO111" s="102"/>
      <c r="AP111" s="102"/>
      <c r="AQ111" s="102"/>
      <c r="AR111" s="102"/>
      <c r="AS111" s="102"/>
      <c r="AT111" s="102"/>
      <c r="AU111" s="102"/>
      <c r="AV111" s="102"/>
      <c r="AW111" s="102"/>
      <c r="AY111" s="102"/>
      <c r="AZ111" s="102"/>
      <c r="BA111" s="102"/>
      <c r="BB111" s="102"/>
      <c r="BC111" s="102"/>
      <c r="BD111" s="102"/>
      <c r="BE111" s="102"/>
      <c r="BF111" s="102"/>
      <c r="BG111" s="102"/>
      <c r="BH111" s="102"/>
      <c r="BI111" s="102"/>
      <c r="BJ111" s="102"/>
      <c r="BK111" s="102"/>
      <c r="BL111" s="102"/>
      <c r="BM111" s="102"/>
      <c r="BN111" s="102"/>
    </row>
    <row r="112" spans="2:66" s="64" customFormat="1" ht="15" customHeight="1">
      <c r="B112" s="102"/>
      <c r="C112" s="102"/>
      <c r="D112" s="102"/>
      <c r="E112" s="102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102"/>
      <c r="AN112" s="102"/>
      <c r="AO112" s="102"/>
      <c r="AP112" s="102"/>
      <c r="AQ112" s="102"/>
      <c r="AR112" s="102"/>
      <c r="AS112" s="102"/>
      <c r="AT112" s="102"/>
      <c r="AU112" s="102"/>
      <c r="AV112" s="102"/>
      <c r="AW112" s="102"/>
      <c r="AY112" s="102"/>
      <c r="AZ112" s="102"/>
      <c r="BA112" s="102"/>
      <c r="BB112" s="102"/>
      <c r="BC112" s="102"/>
      <c r="BD112" s="102"/>
      <c r="BE112" s="102"/>
      <c r="BF112" s="102"/>
      <c r="BG112" s="102"/>
      <c r="BH112" s="102"/>
      <c r="BI112" s="102"/>
      <c r="BJ112" s="102"/>
      <c r="BK112" s="102"/>
      <c r="BL112" s="102"/>
      <c r="BM112" s="102"/>
      <c r="BN112" s="102"/>
    </row>
    <row r="113" spans="2:66" s="64" customFormat="1" ht="15" customHeight="1">
      <c r="B113" s="102"/>
      <c r="C113" s="102"/>
      <c r="D113" s="102"/>
      <c r="E113" s="102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102"/>
      <c r="AO113" s="102"/>
      <c r="AP113" s="102"/>
      <c r="AQ113" s="102"/>
      <c r="AR113" s="102"/>
      <c r="AS113" s="102"/>
      <c r="AT113" s="102"/>
      <c r="AU113" s="102"/>
      <c r="AV113" s="102"/>
      <c r="AW113" s="102"/>
      <c r="AY113" s="102"/>
      <c r="AZ113" s="102"/>
      <c r="BA113" s="102"/>
      <c r="BB113" s="102"/>
      <c r="BC113" s="102"/>
      <c r="BD113" s="102"/>
      <c r="BE113" s="102"/>
      <c r="BF113" s="102"/>
      <c r="BG113" s="102"/>
      <c r="BH113" s="102"/>
      <c r="BI113" s="102"/>
      <c r="BJ113" s="102"/>
      <c r="BK113" s="102"/>
      <c r="BL113" s="102"/>
      <c r="BM113" s="102"/>
      <c r="BN113" s="102"/>
    </row>
    <row r="114" spans="2:66" s="64" customFormat="1" ht="15" customHeight="1">
      <c r="B114" s="102"/>
      <c r="C114" s="102"/>
      <c r="D114" s="102"/>
      <c r="E114" s="102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102"/>
      <c r="AP114" s="102"/>
      <c r="AQ114" s="102"/>
      <c r="AR114" s="102"/>
      <c r="AS114" s="102"/>
      <c r="AT114" s="102"/>
      <c r="AU114" s="102"/>
      <c r="AV114" s="102"/>
      <c r="AW114" s="102"/>
      <c r="AY114" s="102"/>
      <c r="AZ114" s="102"/>
      <c r="BA114" s="102"/>
      <c r="BB114" s="102"/>
      <c r="BC114" s="102"/>
      <c r="BD114" s="102"/>
      <c r="BE114" s="102"/>
      <c r="BF114" s="102"/>
      <c r="BG114" s="102"/>
      <c r="BH114" s="102"/>
      <c r="BI114" s="102"/>
      <c r="BJ114" s="102"/>
      <c r="BK114" s="102"/>
      <c r="BL114" s="102"/>
      <c r="BM114" s="102"/>
      <c r="BN114" s="102"/>
    </row>
    <row r="115" spans="2:66" s="64" customFormat="1" ht="15" customHeight="1">
      <c r="B115" s="102"/>
      <c r="C115" s="102"/>
      <c r="D115" s="102"/>
      <c r="E115" s="102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102"/>
      <c r="AQ115" s="102"/>
      <c r="AR115" s="102"/>
      <c r="AS115" s="102"/>
      <c r="AT115" s="102"/>
      <c r="AU115" s="102"/>
      <c r="AV115" s="102"/>
      <c r="AW115" s="102"/>
      <c r="AY115" s="102"/>
      <c r="AZ115" s="102"/>
      <c r="BA115" s="102"/>
      <c r="BB115" s="102"/>
      <c r="BC115" s="102"/>
      <c r="BD115" s="102"/>
      <c r="BE115" s="102"/>
      <c r="BF115" s="102"/>
      <c r="BG115" s="102"/>
      <c r="BH115" s="102"/>
      <c r="BI115" s="102"/>
      <c r="BJ115" s="102"/>
      <c r="BK115" s="102"/>
      <c r="BL115" s="102"/>
      <c r="BM115" s="102"/>
      <c r="BN115" s="102"/>
    </row>
    <row r="116" spans="2:66" s="64" customFormat="1" ht="15" customHeight="1">
      <c r="B116" s="102"/>
      <c r="C116" s="102"/>
      <c r="D116" s="102"/>
      <c r="E116" s="102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102"/>
      <c r="AR116" s="102"/>
      <c r="AS116" s="102"/>
      <c r="AT116" s="102"/>
      <c r="AU116" s="102"/>
      <c r="AV116" s="102"/>
      <c r="AW116" s="102"/>
      <c r="AY116" s="102"/>
      <c r="AZ116" s="102"/>
      <c r="BA116" s="102"/>
      <c r="BB116" s="102"/>
      <c r="BC116" s="102"/>
      <c r="BD116" s="102"/>
      <c r="BE116" s="102"/>
      <c r="BF116" s="102"/>
      <c r="BG116" s="102"/>
      <c r="BH116" s="102"/>
      <c r="BI116" s="102"/>
      <c r="BJ116" s="102"/>
      <c r="BK116" s="102"/>
      <c r="BL116" s="102"/>
      <c r="BM116" s="102"/>
      <c r="BN116" s="102"/>
    </row>
    <row r="117" spans="2:66" s="64" customFormat="1" ht="15" customHeight="1">
      <c r="B117" s="102"/>
      <c r="C117" s="102"/>
      <c r="D117" s="102"/>
      <c r="E117" s="102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102"/>
      <c r="AS117" s="102"/>
      <c r="AT117" s="102"/>
      <c r="AU117" s="102"/>
      <c r="AV117" s="102"/>
      <c r="AW117" s="102"/>
      <c r="AY117" s="102"/>
      <c r="AZ117" s="102"/>
      <c r="BA117" s="102"/>
      <c r="BB117" s="102"/>
      <c r="BC117" s="102"/>
      <c r="BD117" s="102"/>
      <c r="BE117" s="102"/>
      <c r="BF117" s="102"/>
      <c r="BG117" s="102"/>
      <c r="BH117" s="102"/>
      <c r="BI117" s="102"/>
      <c r="BJ117" s="102"/>
      <c r="BK117" s="102"/>
      <c r="BL117" s="102"/>
      <c r="BM117" s="102"/>
      <c r="BN117" s="102"/>
    </row>
    <row r="118" spans="2:66" s="64" customFormat="1" ht="15" customHeight="1">
      <c r="B118" s="102"/>
      <c r="C118" s="102"/>
      <c r="D118" s="102"/>
      <c r="E118" s="102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102"/>
      <c r="AT118" s="102"/>
      <c r="AU118" s="102"/>
      <c r="AV118" s="102"/>
      <c r="AW118" s="102"/>
      <c r="AY118" s="102"/>
      <c r="AZ118" s="102"/>
      <c r="BA118" s="102"/>
      <c r="BB118" s="102"/>
      <c r="BC118" s="102"/>
      <c r="BD118" s="102"/>
      <c r="BE118" s="102"/>
      <c r="BF118" s="102"/>
      <c r="BG118" s="102"/>
      <c r="BH118" s="102"/>
      <c r="BI118" s="102"/>
      <c r="BJ118" s="102"/>
      <c r="BK118" s="102"/>
      <c r="BL118" s="102"/>
      <c r="BM118" s="102"/>
      <c r="BN118" s="102"/>
    </row>
    <row r="119" spans="2:66" s="64" customFormat="1" ht="15" customHeight="1">
      <c r="B119" s="102"/>
      <c r="C119" s="102"/>
      <c r="D119" s="102"/>
      <c r="E119" s="102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102"/>
      <c r="AU119" s="102"/>
      <c r="AV119" s="102"/>
      <c r="AW119" s="102"/>
      <c r="AY119" s="102"/>
      <c r="AZ119" s="102"/>
      <c r="BA119" s="102"/>
      <c r="BB119" s="102"/>
      <c r="BC119" s="102"/>
      <c r="BD119" s="102"/>
      <c r="BE119" s="102"/>
      <c r="BF119" s="102"/>
      <c r="BG119" s="102"/>
      <c r="BH119" s="102"/>
      <c r="BI119" s="102"/>
      <c r="BJ119" s="102"/>
      <c r="BK119" s="102"/>
      <c r="BL119" s="102"/>
      <c r="BM119" s="102"/>
      <c r="BN119" s="102"/>
    </row>
    <row r="120" spans="2:66" s="64" customFormat="1" ht="15" customHeight="1">
      <c r="B120" s="102"/>
      <c r="C120" s="102"/>
      <c r="D120" s="102"/>
      <c r="E120" s="102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102"/>
      <c r="AV120" s="102"/>
      <c r="AW120" s="102"/>
      <c r="AY120" s="102"/>
      <c r="AZ120" s="102"/>
      <c r="BA120" s="102"/>
      <c r="BB120" s="102"/>
      <c r="BC120" s="102"/>
      <c r="BD120" s="102"/>
      <c r="BE120" s="102"/>
      <c r="BF120" s="102"/>
      <c r="BG120" s="102"/>
      <c r="BH120" s="102"/>
      <c r="BI120" s="102"/>
      <c r="BJ120" s="102"/>
      <c r="BK120" s="102"/>
      <c r="BL120" s="102"/>
      <c r="BM120" s="102"/>
      <c r="BN120" s="102"/>
    </row>
    <row r="121" spans="2:66" s="64" customFormat="1" ht="15" customHeight="1">
      <c r="B121" s="102"/>
      <c r="C121" s="102"/>
      <c r="D121" s="102"/>
      <c r="E121" s="102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102"/>
      <c r="AW121" s="102"/>
      <c r="AY121" s="102"/>
      <c r="AZ121" s="102"/>
      <c r="BA121" s="102"/>
      <c r="BB121" s="102"/>
      <c r="BC121" s="102"/>
      <c r="BD121" s="102"/>
      <c r="BE121" s="102"/>
      <c r="BF121" s="102"/>
      <c r="BG121" s="102"/>
      <c r="BH121" s="102"/>
      <c r="BI121" s="102"/>
      <c r="BJ121" s="102"/>
      <c r="BK121" s="102"/>
      <c r="BL121" s="102"/>
      <c r="BM121" s="102"/>
      <c r="BN121" s="102"/>
    </row>
    <row r="122" spans="2:66" s="64" customFormat="1" ht="15" customHeight="1">
      <c r="B122" s="102"/>
      <c r="C122" s="102"/>
      <c r="D122" s="102"/>
      <c r="E122" s="102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</row>
    <row r="123" spans="2:66" s="64" customFormat="1" ht="15" customHeight="1">
      <c r="B123" s="102"/>
      <c r="C123" s="102"/>
      <c r="D123" s="102"/>
      <c r="E123" s="102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Y123" s="102"/>
      <c r="AZ123" s="102"/>
      <c r="BA123" s="102"/>
      <c r="BB123" s="102"/>
      <c r="BC123" s="102"/>
      <c r="BD123" s="102"/>
      <c r="BE123" s="102"/>
      <c r="BF123" s="102"/>
      <c r="BG123" s="102"/>
      <c r="BH123" s="102"/>
      <c r="BI123" s="102"/>
      <c r="BJ123" s="102"/>
      <c r="BK123" s="102"/>
      <c r="BL123" s="102"/>
      <c r="BM123" s="102"/>
      <c r="BN123" s="102"/>
    </row>
    <row r="124" spans="2:66" s="64" customFormat="1" ht="15" customHeight="1">
      <c r="B124" s="102"/>
      <c r="C124" s="102"/>
      <c r="D124" s="102"/>
      <c r="E124" s="102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Y124" s="102"/>
      <c r="AZ124" s="102"/>
      <c r="BA124" s="102"/>
      <c r="BB124" s="102"/>
      <c r="BC124" s="102"/>
      <c r="BD124" s="102"/>
      <c r="BE124" s="102"/>
      <c r="BF124" s="102"/>
      <c r="BG124" s="102"/>
      <c r="BH124" s="102"/>
      <c r="BI124" s="102"/>
      <c r="BJ124" s="102"/>
      <c r="BK124" s="102"/>
      <c r="BL124" s="102"/>
      <c r="BM124" s="102"/>
      <c r="BN124" s="102"/>
    </row>
    <row r="125" spans="2:66" s="64" customFormat="1" ht="15" customHeight="1">
      <c r="B125" s="102"/>
      <c r="C125" s="102"/>
      <c r="D125" s="102"/>
      <c r="E125" s="102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Y125" s="102"/>
      <c r="AZ125" s="102"/>
      <c r="BA125" s="102"/>
      <c r="BB125" s="102"/>
      <c r="BC125" s="102"/>
      <c r="BD125" s="102"/>
      <c r="BE125" s="102"/>
      <c r="BF125" s="102"/>
      <c r="BG125" s="102"/>
      <c r="BH125" s="102"/>
      <c r="BI125" s="102"/>
      <c r="BJ125" s="102"/>
      <c r="BK125" s="102"/>
      <c r="BL125" s="102"/>
      <c r="BM125" s="102"/>
      <c r="BN125" s="102"/>
    </row>
    <row r="126" spans="2:66" s="64" customFormat="1" ht="15" customHeight="1">
      <c r="B126" s="102"/>
      <c r="C126" s="102"/>
      <c r="D126" s="102"/>
      <c r="E126" s="102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Y126" s="102"/>
      <c r="AZ126" s="102"/>
      <c r="BA126" s="102"/>
      <c r="BB126" s="102"/>
      <c r="BC126" s="102"/>
      <c r="BD126" s="102"/>
      <c r="BE126" s="102"/>
      <c r="BF126" s="102"/>
      <c r="BG126" s="102"/>
      <c r="BH126" s="102"/>
      <c r="BI126" s="102"/>
      <c r="BJ126" s="102"/>
      <c r="BK126" s="102"/>
      <c r="BL126" s="102"/>
      <c r="BM126" s="102"/>
      <c r="BN126" s="102"/>
    </row>
    <row r="127" spans="2:66" s="64" customFormat="1" ht="15" customHeight="1">
      <c r="B127" s="102"/>
      <c r="C127" s="102"/>
      <c r="D127" s="102"/>
      <c r="E127" s="102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Y127" s="102"/>
      <c r="AZ127" s="102"/>
      <c r="BA127" s="102"/>
      <c r="BB127" s="102"/>
      <c r="BC127" s="102"/>
      <c r="BD127" s="102"/>
      <c r="BE127" s="102"/>
      <c r="BF127" s="102"/>
      <c r="BG127" s="102"/>
      <c r="BH127" s="102"/>
      <c r="BI127" s="102"/>
      <c r="BJ127" s="102"/>
      <c r="BK127" s="102"/>
      <c r="BL127" s="102"/>
      <c r="BM127" s="102"/>
      <c r="BN127" s="102"/>
    </row>
    <row r="128" spans="2:66" s="64" customFormat="1" ht="15" customHeight="1">
      <c r="B128" s="102"/>
      <c r="C128" s="102"/>
      <c r="D128" s="102"/>
      <c r="E128" s="102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Y128" s="102"/>
      <c r="AZ128" s="102"/>
      <c r="BA128" s="102"/>
      <c r="BB128" s="102"/>
      <c r="BC128" s="102"/>
      <c r="BD128" s="102"/>
      <c r="BE128" s="102"/>
      <c r="BF128" s="102"/>
      <c r="BG128" s="102"/>
      <c r="BH128" s="102"/>
      <c r="BI128" s="102"/>
      <c r="BJ128" s="102"/>
      <c r="BK128" s="102"/>
      <c r="BL128" s="102"/>
      <c r="BM128" s="102"/>
      <c r="BN128" s="102"/>
    </row>
    <row r="129" spans="2:66" s="64" customFormat="1" ht="15" customHeight="1">
      <c r="B129" s="102"/>
      <c r="C129" s="102"/>
      <c r="D129" s="102"/>
      <c r="E129" s="102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Y129" s="102"/>
      <c r="AZ129" s="102"/>
      <c r="BA129" s="102"/>
      <c r="BB129" s="102"/>
      <c r="BC129" s="102"/>
      <c r="BD129" s="102"/>
      <c r="BE129" s="102"/>
      <c r="BF129" s="102"/>
      <c r="BG129" s="102"/>
      <c r="BH129" s="102"/>
      <c r="BI129" s="102"/>
      <c r="BJ129" s="102"/>
      <c r="BK129" s="102"/>
      <c r="BL129" s="102"/>
      <c r="BM129" s="102"/>
      <c r="BN129" s="102"/>
    </row>
    <row r="130" spans="2:66" s="64" customFormat="1" ht="15" customHeight="1">
      <c r="B130" s="102"/>
      <c r="C130" s="102"/>
      <c r="D130" s="102"/>
      <c r="E130" s="102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Y130" s="102"/>
      <c r="AZ130" s="102"/>
      <c r="BA130" s="102"/>
      <c r="BB130" s="102"/>
      <c r="BC130" s="102"/>
      <c r="BD130" s="102"/>
      <c r="BE130" s="102"/>
      <c r="BF130" s="102"/>
      <c r="BG130" s="102"/>
      <c r="BH130" s="102"/>
      <c r="BI130" s="102"/>
      <c r="BJ130" s="102"/>
      <c r="BK130" s="102"/>
      <c r="BL130" s="102"/>
      <c r="BM130" s="102"/>
      <c r="BN130" s="102"/>
    </row>
    <row r="131" spans="2:66" s="64" customFormat="1" ht="15" customHeight="1">
      <c r="B131" s="102"/>
      <c r="C131" s="102"/>
      <c r="D131" s="102"/>
      <c r="E131" s="102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Y131" s="102"/>
      <c r="AZ131" s="102"/>
      <c r="BA131" s="102"/>
      <c r="BB131" s="102"/>
      <c r="BC131" s="102"/>
      <c r="BD131" s="102"/>
      <c r="BE131" s="102"/>
      <c r="BF131" s="102"/>
      <c r="BG131" s="102"/>
      <c r="BH131" s="102"/>
      <c r="BI131" s="102"/>
      <c r="BJ131" s="102"/>
      <c r="BK131" s="102"/>
      <c r="BL131" s="102"/>
      <c r="BM131" s="102"/>
      <c r="BN131" s="102"/>
    </row>
    <row r="132" spans="2:66" s="64" customFormat="1" ht="15" customHeight="1">
      <c r="B132" s="102"/>
      <c r="C132" s="102"/>
      <c r="D132" s="102"/>
      <c r="E132" s="102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Y132" s="102"/>
      <c r="AZ132" s="102"/>
      <c r="BA132" s="102"/>
      <c r="BB132" s="102"/>
      <c r="BC132" s="102"/>
      <c r="BD132" s="102"/>
      <c r="BE132" s="102"/>
      <c r="BF132" s="102"/>
      <c r="BG132" s="102"/>
      <c r="BH132" s="102"/>
      <c r="BI132" s="102"/>
      <c r="BJ132" s="102"/>
      <c r="BK132" s="102"/>
      <c r="BL132" s="102"/>
      <c r="BM132" s="102"/>
      <c r="BN132" s="102"/>
    </row>
    <row r="133" spans="2:66" s="64" customFormat="1" ht="15" customHeight="1">
      <c r="B133" s="102"/>
      <c r="C133" s="102"/>
      <c r="D133" s="102"/>
      <c r="E133" s="102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102"/>
      <c r="BI133" s="102"/>
      <c r="BJ133" s="102"/>
      <c r="BK133" s="102"/>
      <c r="BL133" s="102"/>
      <c r="BM133" s="102"/>
      <c r="BN133" s="102"/>
    </row>
    <row r="134" spans="2:66" s="64" customFormat="1" ht="15" customHeight="1">
      <c r="B134" s="102"/>
      <c r="C134" s="102"/>
      <c r="D134" s="102"/>
      <c r="E134" s="102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102"/>
      <c r="BJ134" s="102"/>
      <c r="BK134" s="102"/>
      <c r="BL134" s="102"/>
      <c r="BM134" s="102"/>
      <c r="BN134" s="102"/>
    </row>
    <row r="135" spans="2:66" s="64" customFormat="1" ht="15" customHeight="1">
      <c r="B135" s="102"/>
      <c r="C135" s="102"/>
      <c r="D135" s="102"/>
      <c r="E135" s="102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102"/>
      <c r="BK135" s="102"/>
      <c r="BL135" s="102"/>
      <c r="BM135" s="102"/>
      <c r="BN135" s="102"/>
    </row>
    <row r="136" spans="2:66" s="64" customFormat="1" ht="15" customHeight="1">
      <c r="B136" s="102"/>
      <c r="C136" s="102"/>
      <c r="D136" s="102"/>
      <c r="E136" s="102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102"/>
      <c r="BL136" s="102"/>
      <c r="BM136" s="102"/>
      <c r="BN136" s="102"/>
    </row>
    <row r="137" spans="2:66" s="64" customFormat="1" ht="15" customHeight="1">
      <c r="B137" s="102"/>
      <c r="C137" s="102"/>
      <c r="D137" s="102"/>
      <c r="E137" s="102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102"/>
      <c r="BM137" s="102"/>
      <c r="BN137" s="102"/>
    </row>
    <row r="138" spans="2:66" s="64" customFormat="1" ht="15" customHeight="1">
      <c r="B138" s="102"/>
      <c r="C138" s="102"/>
      <c r="D138" s="102"/>
      <c r="E138" s="102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  <c r="BN138" s="102"/>
    </row>
    <row r="139" spans="2:66" s="64" customFormat="1" ht="15" customHeight="1">
      <c r="B139" s="102"/>
      <c r="C139" s="102"/>
      <c r="D139" s="102"/>
      <c r="E139" s="102"/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  <c r="BN139" s="102"/>
    </row>
    <row r="140" spans="2:66" s="64" customFormat="1" ht="15" customHeight="1">
      <c r="B140" s="102"/>
      <c r="C140" s="102"/>
      <c r="D140" s="102"/>
      <c r="E140" s="102"/>
      <c r="F140" s="102"/>
      <c r="G140" s="102"/>
      <c r="H140" s="102"/>
      <c r="I140" s="102"/>
      <c r="J140" s="102"/>
      <c r="K140" s="102"/>
      <c r="L140" s="102"/>
      <c r="M140" s="102"/>
      <c r="N140" s="102"/>
      <c r="O140" s="102"/>
      <c r="P140" s="102"/>
      <c r="Q140" s="102"/>
      <c r="R140" s="102"/>
      <c r="S140" s="102"/>
      <c r="T140" s="102"/>
      <c r="U140" s="102"/>
      <c r="V140" s="102"/>
      <c r="W140" s="102"/>
      <c r="X140" s="102"/>
      <c r="Y140" s="102"/>
      <c r="Z140" s="102"/>
      <c r="AA140" s="102"/>
      <c r="AB140" s="102"/>
      <c r="AC140" s="102"/>
      <c r="AD140" s="102"/>
      <c r="AE140" s="102"/>
      <c r="AF140" s="102"/>
      <c r="AG140" s="102"/>
      <c r="AH140" s="102"/>
      <c r="AI140" s="102"/>
      <c r="AJ140" s="102"/>
      <c r="AK140" s="102"/>
      <c r="AL140" s="102"/>
      <c r="AM140" s="102"/>
      <c r="AN140" s="102"/>
      <c r="AO140" s="102"/>
      <c r="AP140" s="102"/>
      <c r="AQ140" s="102"/>
      <c r="AR140" s="102"/>
      <c r="AS140" s="102"/>
      <c r="AT140" s="102"/>
      <c r="AU140" s="102"/>
      <c r="AV140" s="102"/>
      <c r="AW140" s="102"/>
      <c r="AY140" s="102"/>
      <c r="AZ140" s="102"/>
      <c r="BA140" s="102"/>
      <c r="BB140" s="102"/>
      <c r="BC140" s="102"/>
      <c r="BD140" s="102"/>
      <c r="BE140" s="102"/>
      <c r="BF140" s="102"/>
      <c r="BG140" s="102"/>
      <c r="BH140" s="102"/>
      <c r="BI140" s="102"/>
      <c r="BJ140" s="102"/>
      <c r="BK140" s="102"/>
      <c r="BL140" s="102"/>
      <c r="BM140" s="102"/>
      <c r="BN140" s="102"/>
    </row>
    <row r="141" spans="2:66" s="64" customFormat="1" ht="15" customHeight="1">
      <c r="B141" s="102"/>
      <c r="C141" s="102"/>
      <c r="D141" s="102"/>
      <c r="E141" s="102"/>
      <c r="F141" s="102"/>
      <c r="G141" s="102"/>
      <c r="H141" s="102"/>
      <c r="I141" s="102"/>
      <c r="J141" s="102"/>
      <c r="K141" s="102"/>
      <c r="L141" s="102"/>
      <c r="M141" s="102"/>
      <c r="N141" s="102"/>
      <c r="O141" s="102"/>
      <c r="P141" s="102"/>
      <c r="Q141" s="102"/>
      <c r="R141" s="102"/>
      <c r="S141" s="102"/>
      <c r="T141" s="102"/>
      <c r="U141" s="102"/>
      <c r="V141" s="102"/>
      <c r="W141" s="102"/>
      <c r="X141" s="102"/>
      <c r="Y141" s="102"/>
      <c r="Z141" s="102"/>
      <c r="AA141" s="102"/>
      <c r="AB141" s="102"/>
      <c r="AC141" s="102"/>
      <c r="AD141" s="102"/>
      <c r="AE141" s="102"/>
      <c r="AF141" s="102"/>
      <c r="AG141" s="102"/>
      <c r="AH141" s="102"/>
      <c r="AI141" s="102"/>
      <c r="AJ141" s="102"/>
      <c r="AK141" s="102"/>
      <c r="AL141" s="102"/>
      <c r="AM141" s="102"/>
      <c r="AN141" s="102"/>
      <c r="AO141" s="102"/>
      <c r="AP141" s="102"/>
      <c r="AQ141" s="102"/>
      <c r="AR141" s="102"/>
      <c r="AS141" s="102"/>
      <c r="AT141" s="102"/>
      <c r="AU141" s="102"/>
      <c r="AV141" s="102"/>
      <c r="AW141" s="102"/>
      <c r="AY141" s="102"/>
      <c r="AZ141" s="102"/>
      <c r="BA141" s="102"/>
      <c r="BB141" s="102"/>
      <c r="BC141" s="102"/>
      <c r="BD141" s="102"/>
      <c r="BE141" s="102"/>
      <c r="BF141" s="102"/>
      <c r="BG141" s="102"/>
      <c r="BH141" s="102"/>
      <c r="BI141" s="102"/>
      <c r="BJ141" s="102"/>
      <c r="BK141" s="102"/>
      <c r="BL141" s="102"/>
      <c r="BM141" s="102"/>
      <c r="BN141" s="102"/>
    </row>
    <row r="142" spans="2:66" s="64" customFormat="1" ht="15" customHeight="1">
      <c r="B142" s="102"/>
      <c r="C142" s="102"/>
      <c r="D142" s="102"/>
      <c r="E142" s="102"/>
      <c r="F142" s="102"/>
      <c r="G142" s="102"/>
      <c r="H142" s="102"/>
      <c r="I142" s="102"/>
      <c r="J142" s="102"/>
      <c r="K142" s="102"/>
      <c r="L142" s="102"/>
      <c r="M142" s="102"/>
      <c r="N142" s="102"/>
      <c r="O142" s="102"/>
      <c r="P142" s="102"/>
      <c r="Q142" s="102"/>
      <c r="R142" s="102"/>
      <c r="S142" s="102"/>
      <c r="T142" s="102"/>
      <c r="U142" s="102"/>
      <c r="V142" s="102"/>
      <c r="W142" s="102"/>
      <c r="X142" s="102"/>
      <c r="Y142" s="102"/>
      <c r="Z142" s="102"/>
      <c r="AA142" s="102"/>
      <c r="AB142" s="102"/>
      <c r="AC142" s="102"/>
      <c r="AD142" s="102"/>
      <c r="AE142" s="102"/>
      <c r="AF142" s="102"/>
      <c r="AG142" s="102"/>
      <c r="AH142" s="102"/>
      <c r="AI142" s="102"/>
      <c r="AJ142" s="102"/>
      <c r="AK142" s="102"/>
      <c r="AL142" s="102"/>
      <c r="AM142" s="102"/>
      <c r="AN142" s="102"/>
      <c r="AO142" s="102"/>
      <c r="AP142" s="102"/>
      <c r="AQ142" s="102"/>
      <c r="AR142" s="102"/>
      <c r="AS142" s="102"/>
      <c r="AT142" s="102"/>
      <c r="AU142" s="102"/>
      <c r="AV142" s="102"/>
      <c r="AW142" s="102"/>
      <c r="AY142" s="102"/>
      <c r="AZ142" s="102"/>
      <c r="BA142" s="102"/>
      <c r="BB142" s="102"/>
      <c r="BC142" s="102"/>
      <c r="BD142" s="102"/>
      <c r="BE142" s="102"/>
      <c r="BF142" s="102"/>
      <c r="BG142" s="102"/>
      <c r="BH142" s="102"/>
      <c r="BI142" s="102"/>
      <c r="BJ142" s="102"/>
      <c r="BK142" s="102"/>
      <c r="BL142" s="102"/>
      <c r="BM142" s="102"/>
      <c r="BN142" s="102"/>
    </row>
    <row r="143" spans="2:66" s="64" customFormat="1" ht="15" customHeight="1">
      <c r="B143" s="102"/>
      <c r="C143" s="102"/>
      <c r="D143" s="102"/>
      <c r="E143" s="102"/>
      <c r="F143" s="102"/>
      <c r="G143" s="102"/>
      <c r="H143" s="102"/>
      <c r="I143" s="102"/>
      <c r="J143" s="102"/>
      <c r="K143" s="102"/>
      <c r="L143" s="102"/>
      <c r="M143" s="102"/>
      <c r="N143" s="102"/>
      <c r="O143" s="102"/>
      <c r="P143" s="102"/>
      <c r="Q143" s="102"/>
      <c r="R143" s="102"/>
      <c r="S143" s="102"/>
      <c r="T143" s="102"/>
      <c r="U143" s="102"/>
      <c r="V143" s="102"/>
      <c r="W143" s="102"/>
      <c r="X143" s="102"/>
      <c r="Y143" s="102"/>
      <c r="Z143" s="102"/>
      <c r="AA143" s="102"/>
      <c r="AB143" s="102"/>
      <c r="AC143" s="102"/>
      <c r="AD143" s="102"/>
      <c r="AE143" s="102"/>
      <c r="AF143" s="102"/>
      <c r="AG143" s="102"/>
      <c r="AH143" s="102"/>
      <c r="AI143" s="102"/>
      <c r="AJ143" s="102"/>
      <c r="AK143" s="102"/>
      <c r="AL143" s="102"/>
      <c r="AM143" s="102"/>
      <c r="AN143" s="102"/>
      <c r="AO143" s="102"/>
      <c r="AP143" s="102"/>
      <c r="AQ143" s="102"/>
      <c r="AR143" s="102"/>
      <c r="AS143" s="102"/>
      <c r="AT143" s="102"/>
      <c r="AU143" s="102"/>
      <c r="AV143" s="102"/>
      <c r="AW143" s="102"/>
      <c r="AY143" s="102"/>
      <c r="AZ143" s="102"/>
      <c r="BA143" s="102"/>
      <c r="BB143" s="102"/>
      <c r="BC143" s="102"/>
      <c r="BD143" s="102"/>
      <c r="BE143" s="102"/>
      <c r="BF143" s="102"/>
      <c r="BG143" s="102"/>
      <c r="BH143" s="102"/>
      <c r="BI143" s="102"/>
      <c r="BJ143" s="102"/>
      <c r="BK143" s="102"/>
      <c r="BL143" s="102"/>
      <c r="BM143" s="102"/>
      <c r="BN143" s="102"/>
    </row>
    <row r="144" spans="2:66" s="64" customFormat="1" ht="15" customHeight="1">
      <c r="B144" s="102"/>
      <c r="C144" s="102"/>
      <c r="D144" s="102"/>
      <c r="E144" s="102"/>
      <c r="F144" s="102"/>
      <c r="G144" s="102"/>
      <c r="H144" s="102"/>
      <c r="I144" s="102"/>
      <c r="J144" s="102"/>
      <c r="K144" s="102"/>
      <c r="L144" s="102"/>
      <c r="M144" s="102"/>
      <c r="N144" s="102"/>
      <c r="O144" s="102"/>
      <c r="P144" s="102"/>
      <c r="Q144" s="102"/>
      <c r="R144" s="102"/>
      <c r="S144" s="102"/>
      <c r="T144" s="102"/>
      <c r="U144" s="102"/>
      <c r="V144" s="102"/>
      <c r="W144" s="102"/>
      <c r="X144" s="102"/>
      <c r="Y144" s="102"/>
      <c r="Z144" s="102"/>
      <c r="AA144" s="102"/>
      <c r="AB144" s="102"/>
      <c r="AC144" s="102"/>
      <c r="AD144" s="102"/>
      <c r="AE144" s="102"/>
      <c r="AF144" s="102"/>
      <c r="AG144" s="102"/>
      <c r="AH144" s="102"/>
      <c r="AI144" s="102"/>
      <c r="AJ144" s="102"/>
      <c r="AK144" s="102"/>
      <c r="AL144" s="102"/>
      <c r="AM144" s="102"/>
      <c r="AN144" s="102"/>
      <c r="AO144" s="102"/>
      <c r="AP144" s="102"/>
      <c r="AQ144" s="102"/>
      <c r="AR144" s="102"/>
      <c r="AS144" s="102"/>
      <c r="AT144" s="102"/>
      <c r="AU144" s="102"/>
      <c r="AV144" s="102"/>
      <c r="AW144" s="102"/>
      <c r="AY144" s="102"/>
      <c r="AZ144" s="102"/>
      <c r="BA144" s="102"/>
      <c r="BB144" s="102"/>
      <c r="BC144" s="102"/>
      <c r="BD144" s="102"/>
      <c r="BE144" s="102"/>
      <c r="BF144" s="102"/>
      <c r="BG144" s="102"/>
      <c r="BH144" s="102"/>
      <c r="BI144" s="102"/>
      <c r="BJ144" s="102"/>
      <c r="BK144" s="102"/>
      <c r="BL144" s="102"/>
      <c r="BM144" s="102"/>
      <c r="BN144" s="102"/>
    </row>
    <row r="145" spans="2:66" s="64" customFormat="1" ht="15" customHeight="1">
      <c r="B145" s="102"/>
      <c r="C145" s="102"/>
      <c r="D145" s="102"/>
      <c r="E145" s="102"/>
      <c r="F145" s="102"/>
      <c r="G145" s="102"/>
      <c r="H145" s="102"/>
      <c r="I145" s="102"/>
      <c r="J145" s="102"/>
      <c r="K145" s="102"/>
      <c r="L145" s="102"/>
      <c r="M145" s="102"/>
      <c r="N145" s="102"/>
      <c r="O145" s="102"/>
      <c r="P145" s="102"/>
      <c r="Q145" s="102"/>
      <c r="R145" s="102"/>
      <c r="S145" s="102"/>
      <c r="T145" s="102"/>
      <c r="U145" s="102"/>
      <c r="V145" s="102"/>
      <c r="W145" s="102"/>
      <c r="X145" s="102"/>
      <c r="Y145" s="102"/>
      <c r="Z145" s="102"/>
      <c r="AA145" s="102"/>
      <c r="AB145" s="102"/>
      <c r="AC145" s="102"/>
      <c r="AD145" s="102"/>
      <c r="AE145" s="102"/>
      <c r="AF145" s="102"/>
      <c r="AG145" s="102"/>
      <c r="AH145" s="102"/>
      <c r="AI145" s="102"/>
      <c r="AJ145" s="102"/>
      <c r="AK145" s="102"/>
      <c r="AL145" s="102"/>
      <c r="AM145" s="102"/>
      <c r="AN145" s="102"/>
      <c r="AO145" s="102"/>
      <c r="AP145" s="102"/>
      <c r="AQ145" s="102"/>
      <c r="AR145" s="102"/>
      <c r="AS145" s="102"/>
      <c r="AT145" s="102"/>
      <c r="AU145" s="102"/>
      <c r="AV145" s="102"/>
      <c r="AW145" s="102"/>
      <c r="AY145" s="102"/>
      <c r="AZ145" s="102"/>
      <c r="BA145" s="102"/>
      <c r="BB145" s="102"/>
      <c r="BC145" s="102"/>
      <c r="BD145" s="102"/>
      <c r="BE145" s="102"/>
      <c r="BF145" s="102"/>
      <c r="BG145" s="102"/>
      <c r="BH145" s="102"/>
      <c r="BI145" s="102"/>
      <c r="BJ145" s="102"/>
      <c r="BK145" s="102"/>
      <c r="BL145" s="102"/>
      <c r="BM145" s="102"/>
      <c r="BN145" s="102"/>
    </row>
    <row r="146" spans="2:66" s="64" customFormat="1" ht="15" customHeight="1">
      <c r="B146" s="102"/>
      <c r="C146" s="102"/>
      <c r="D146" s="102"/>
      <c r="E146" s="102"/>
      <c r="F146" s="102"/>
      <c r="G146" s="102"/>
      <c r="H146" s="102"/>
      <c r="I146" s="102"/>
      <c r="J146" s="102"/>
      <c r="K146" s="102"/>
      <c r="L146" s="102"/>
      <c r="M146" s="102"/>
      <c r="N146" s="102"/>
      <c r="O146" s="102"/>
      <c r="P146" s="102"/>
      <c r="Q146" s="102"/>
      <c r="R146" s="102"/>
      <c r="S146" s="102"/>
      <c r="T146" s="102"/>
      <c r="U146" s="102"/>
      <c r="V146" s="102"/>
      <c r="W146" s="102"/>
      <c r="X146" s="102"/>
      <c r="Y146" s="102"/>
      <c r="Z146" s="102"/>
      <c r="AA146" s="102"/>
      <c r="AB146" s="102"/>
      <c r="AC146" s="102"/>
      <c r="AD146" s="102"/>
      <c r="AE146" s="102"/>
      <c r="AF146" s="102"/>
      <c r="AG146" s="102"/>
      <c r="AH146" s="102"/>
      <c r="AI146" s="102"/>
      <c r="AJ146" s="102"/>
      <c r="AK146" s="102"/>
      <c r="AL146" s="102"/>
      <c r="AM146" s="102"/>
      <c r="AN146" s="102"/>
      <c r="AO146" s="102"/>
      <c r="AP146" s="102"/>
      <c r="AQ146" s="102"/>
      <c r="AR146" s="102"/>
      <c r="AS146" s="102"/>
      <c r="AT146" s="102"/>
      <c r="AU146" s="102"/>
      <c r="AV146" s="102"/>
      <c r="AW146" s="102"/>
      <c r="AY146" s="102"/>
      <c r="AZ146" s="102"/>
      <c r="BA146" s="102"/>
      <c r="BB146" s="102"/>
      <c r="BC146" s="102"/>
      <c r="BD146" s="102"/>
      <c r="BE146" s="102"/>
      <c r="BF146" s="102"/>
      <c r="BG146" s="102"/>
      <c r="BH146" s="102"/>
      <c r="BI146" s="102"/>
      <c r="BJ146" s="102"/>
      <c r="BK146" s="102"/>
      <c r="BL146" s="102"/>
      <c r="BM146" s="102"/>
      <c r="BN146" s="102"/>
    </row>
    <row r="147" spans="2:66" s="64" customFormat="1" ht="15" customHeight="1">
      <c r="B147" s="102"/>
      <c r="C147" s="102"/>
      <c r="D147" s="102"/>
      <c r="E147" s="102"/>
      <c r="F147" s="102"/>
      <c r="G147" s="102"/>
      <c r="H147" s="102"/>
      <c r="I147" s="102"/>
      <c r="J147" s="102"/>
      <c r="K147" s="102"/>
      <c r="L147" s="102"/>
      <c r="M147" s="102"/>
      <c r="N147" s="102"/>
      <c r="O147" s="102"/>
      <c r="P147" s="102"/>
      <c r="Q147" s="102"/>
      <c r="R147" s="102"/>
      <c r="S147" s="102"/>
      <c r="T147" s="102"/>
      <c r="U147" s="102"/>
      <c r="V147" s="102"/>
      <c r="W147" s="102"/>
      <c r="X147" s="102"/>
      <c r="Y147" s="102"/>
      <c r="Z147" s="102"/>
      <c r="AA147" s="102"/>
      <c r="AB147" s="102"/>
      <c r="AC147" s="102"/>
      <c r="AD147" s="102"/>
      <c r="AE147" s="102"/>
      <c r="AF147" s="102"/>
      <c r="AG147" s="102"/>
      <c r="AH147" s="102"/>
      <c r="AI147" s="102"/>
      <c r="AJ147" s="102"/>
      <c r="AK147" s="102"/>
      <c r="AL147" s="102"/>
      <c r="AM147" s="102"/>
      <c r="AN147" s="102"/>
      <c r="AO147" s="102"/>
      <c r="AP147" s="102"/>
      <c r="AQ147" s="102"/>
      <c r="AR147" s="102"/>
      <c r="AS147" s="102"/>
      <c r="AT147" s="102"/>
      <c r="AU147" s="102"/>
      <c r="AV147" s="102"/>
      <c r="AW147" s="102"/>
      <c r="AY147" s="102"/>
      <c r="AZ147" s="102"/>
      <c r="BA147" s="102"/>
      <c r="BB147" s="102"/>
      <c r="BC147" s="102"/>
      <c r="BD147" s="102"/>
      <c r="BE147" s="102"/>
      <c r="BF147" s="102"/>
      <c r="BG147" s="102"/>
      <c r="BH147" s="102"/>
      <c r="BI147" s="102"/>
      <c r="BJ147" s="102"/>
      <c r="BK147" s="102"/>
      <c r="BL147" s="102"/>
      <c r="BM147" s="102"/>
      <c r="BN147" s="102"/>
    </row>
    <row r="148" spans="2:66" s="64" customFormat="1" ht="15" customHeight="1">
      <c r="B148" s="102"/>
      <c r="C148" s="102"/>
      <c r="D148" s="102"/>
      <c r="E148" s="102"/>
      <c r="F148" s="102"/>
      <c r="G148" s="102"/>
      <c r="H148" s="102"/>
      <c r="I148" s="102"/>
      <c r="J148" s="102"/>
      <c r="K148" s="102"/>
      <c r="L148" s="102"/>
      <c r="M148" s="102"/>
      <c r="N148" s="102"/>
      <c r="O148" s="102"/>
      <c r="P148" s="102"/>
      <c r="Q148" s="102"/>
      <c r="R148" s="102"/>
      <c r="S148" s="102"/>
      <c r="T148" s="102"/>
      <c r="U148" s="102"/>
      <c r="V148" s="102"/>
      <c r="W148" s="102"/>
      <c r="X148" s="102"/>
      <c r="Y148" s="102"/>
      <c r="Z148" s="102"/>
      <c r="AA148" s="102"/>
      <c r="AB148" s="102"/>
      <c r="AC148" s="102"/>
      <c r="AD148" s="102"/>
      <c r="AE148" s="102"/>
      <c r="AF148" s="102"/>
      <c r="AG148" s="102"/>
      <c r="AH148" s="102"/>
      <c r="AI148" s="102"/>
      <c r="AJ148" s="102"/>
      <c r="AK148" s="102"/>
      <c r="AL148" s="102"/>
      <c r="AM148" s="102"/>
      <c r="AN148" s="102"/>
      <c r="AO148" s="102"/>
      <c r="AP148" s="102"/>
      <c r="AQ148" s="102"/>
      <c r="AR148" s="102"/>
      <c r="AS148" s="102"/>
      <c r="AT148" s="102"/>
      <c r="AU148" s="102"/>
      <c r="AV148" s="102"/>
      <c r="AW148" s="102"/>
      <c r="AY148" s="102"/>
      <c r="AZ148" s="102"/>
      <c r="BA148" s="102"/>
      <c r="BB148" s="102"/>
      <c r="BC148" s="102"/>
      <c r="BD148" s="102"/>
      <c r="BE148" s="102"/>
      <c r="BF148" s="102"/>
      <c r="BG148" s="102"/>
      <c r="BH148" s="102"/>
      <c r="BI148" s="102"/>
      <c r="BJ148" s="102"/>
      <c r="BK148" s="102"/>
      <c r="BL148" s="102"/>
      <c r="BM148" s="102"/>
      <c r="BN148" s="102"/>
    </row>
    <row r="149" spans="2:66" s="64" customFormat="1" ht="15" customHeight="1">
      <c r="B149" s="102"/>
      <c r="C149" s="102"/>
      <c r="D149" s="102"/>
      <c r="E149" s="102"/>
      <c r="F149" s="102"/>
      <c r="G149" s="102"/>
      <c r="H149" s="102"/>
      <c r="I149" s="102"/>
      <c r="J149" s="102"/>
      <c r="K149" s="102"/>
      <c r="L149" s="102"/>
      <c r="M149" s="102"/>
      <c r="N149" s="102"/>
      <c r="O149" s="102"/>
      <c r="P149" s="102"/>
      <c r="Q149" s="102"/>
      <c r="R149" s="102"/>
      <c r="S149" s="102"/>
      <c r="T149" s="102"/>
      <c r="U149" s="102"/>
      <c r="V149" s="102"/>
      <c r="W149" s="102"/>
      <c r="X149" s="102"/>
      <c r="Y149" s="102"/>
      <c r="Z149" s="102"/>
      <c r="AA149" s="102"/>
      <c r="AB149" s="102"/>
      <c r="AC149" s="102"/>
      <c r="AD149" s="102"/>
      <c r="AE149" s="102"/>
      <c r="AF149" s="102"/>
      <c r="AG149" s="102"/>
      <c r="AH149" s="102"/>
      <c r="AI149" s="102"/>
      <c r="AJ149" s="102"/>
      <c r="AK149" s="102"/>
      <c r="AL149" s="102"/>
      <c r="AM149" s="102"/>
      <c r="AN149" s="102"/>
      <c r="AO149" s="102"/>
      <c r="AP149" s="102"/>
      <c r="AQ149" s="102"/>
      <c r="AR149" s="102"/>
      <c r="AS149" s="102"/>
      <c r="AT149" s="102"/>
      <c r="AU149" s="102"/>
      <c r="AV149" s="102"/>
      <c r="AW149" s="102"/>
      <c r="AY149" s="102"/>
      <c r="AZ149" s="102"/>
      <c r="BA149" s="102"/>
      <c r="BB149" s="102"/>
      <c r="BC149" s="102"/>
      <c r="BD149" s="102"/>
      <c r="BE149" s="102"/>
      <c r="BF149" s="102"/>
      <c r="BG149" s="102"/>
      <c r="BH149" s="102"/>
      <c r="BI149" s="102"/>
      <c r="BJ149" s="102"/>
      <c r="BK149" s="102"/>
      <c r="BL149" s="102"/>
      <c r="BM149" s="102"/>
      <c r="BN149" s="102"/>
    </row>
    <row r="150" spans="2:66" s="64" customFormat="1" ht="15" customHeight="1">
      <c r="B150" s="102"/>
      <c r="C150" s="102"/>
      <c r="D150" s="102"/>
      <c r="E150" s="102"/>
      <c r="F150" s="102"/>
      <c r="G150" s="102"/>
      <c r="H150" s="102"/>
      <c r="I150" s="102"/>
      <c r="J150" s="102"/>
      <c r="K150" s="102"/>
      <c r="L150" s="102"/>
      <c r="M150" s="102"/>
      <c r="N150" s="102"/>
      <c r="O150" s="102"/>
      <c r="P150" s="102"/>
      <c r="Q150" s="102"/>
      <c r="R150" s="102"/>
      <c r="S150" s="102"/>
      <c r="T150" s="102"/>
      <c r="U150" s="102"/>
      <c r="V150" s="102"/>
      <c r="W150" s="102"/>
      <c r="X150" s="102"/>
      <c r="Y150" s="102"/>
      <c r="Z150" s="102"/>
      <c r="AA150" s="102"/>
      <c r="AB150" s="102"/>
      <c r="AC150" s="102"/>
      <c r="AD150" s="102"/>
      <c r="AE150" s="102"/>
      <c r="AF150" s="102"/>
      <c r="AG150" s="102"/>
      <c r="AH150" s="102"/>
      <c r="AI150" s="102"/>
      <c r="AJ150" s="102"/>
      <c r="AK150" s="102"/>
      <c r="AL150" s="102"/>
      <c r="AM150" s="102"/>
      <c r="AN150" s="102"/>
      <c r="AO150" s="102"/>
      <c r="AP150" s="102"/>
      <c r="AQ150" s="102"/>
      <c r="AR150" s="102"/>
      <c r="AS150" s="102"/>
      <c r="AT150" s="102"/>
      <c r="AU150" s="102"/>
      <c r="AV150" s="102"/>
      <c r="AW150" s="102"/>
      <c r="AY150" s="102"/>
      <c r="AZ150" s="102"/>
      <c r="BA150" s="102"/>
      <c r="BB150" s="102"/>
      <c r="BC150" s="102"/>
      <c r="BD150" s="102"/>
      <c r="BE150" s="102"/>
      <c r="BF150" s="102"/>
      <c r="BG150" s="102"/>
      <c r="BH150" s="102"/>
      <c r="BI150" s="102"/>
      <c r="BJ150" s="102"/>
      <c r="BK150" s="102"/>
      <c r="BL150" s="102"/>
      <c r="BM150" s="102"/>
      <c r="BN150" s="102"/>
    </row>
    <row r="151" spans="2:66" s="64" customFormat="1" ht="15" customHeight="1">
      <c r="B151" s="102"/>
      <c r="C151" s="102"/>
      <c r="D151" s="102"/>
      <c r="E151" s="102"/>
      <c r="F151" s="102"/>
      <c r="G151" s="102"/>
      <c r="H151" s="102"/>
      <c r="I151" s="102"/>
      <c r="J151" s="102"/>
      <c r="K151" s="102"/>
      <c r="L151" s="102"/>
      <c r="M151" s="102"/>
      <c r="N151" s="102"/>
      <c r="O151" s="102"/>
      <c r="P151" s="102"/>
      <c r="Q151" s="102"/>
      <c r="R151" s="102"/>
      <c r="S151" s="102"/>
      <c r="T151" s="102"/>
      <c r="U151" s="102"/>
      <c r="V151" s="102"/>
      <c r="W151" s="102"/>
      <c r="X151" s="102"/>
      <c r="Y151" s="102"/>
      <c r="Z151" s="102"/>
      <c r="AA151" s="102"/>
      <c r="AB151" s="102"/>
      <c r="AC151" s="102"/>
      <c r="AD151" s="102"/>
      <c r="AE151" s="102"/>
      <c r="AF151" s="102"/>
      <c r="AG151" s="102"/>
      <c r="AH151" s="102"/>
      <c r="AI151" s="102"/>
      <c r="AJ151" s="102"/>
      <c r="AK151" s="102"/>
      <c r="AL151" s="102"/>
      <c r="AM151" s="102"/>
      <c r="AN151" s="102"/>
      <c r="AO151" s="102"/>
      <c r="AP151" s="102"/>
      <c r="AQ151" s="102"/>
      <c r="AR151" s="102"/>
      <c r="AS151" s="102"/>
      <c r="AT151" s="102"/>
      <c r="AU151" s="102"/>
      <c r="AV151" s="102"/>
      <c r="AW151" s="102"/>
      <c r="AY151" s="102"/>
      <c r="AZ151" s="102"/>
      <c r="BA151" s="102"/>
      <c r="BB151" s="102"/>
      <c r="BC151" s="102"/>
      <c r="BD151" s="102"/>
      <c r="BE151" s="102"/>
      <c r="BF151" s="102"/>
      <c r="BG151" s="102"/>
      <c r="BH151" s="102"/>
      <c r="BI151" s="102"/>
      <c r="BJ151" s="102"/>
      <c r="BK151" s="102"/>
      <c r="BL151" s="102"/>
      <c r="BM151" s="102"/>
      <c r="BN151" s="102"/>
    </row>
    <row r="152" spans="2:66" s="64" customFormat="1" ht="15" customHeight="1">
      <c r="B152" s="102"/>
      <c r="C152" s="102"/>
      <c r="D152" s="102"/>
      <c r="E152" s="102"/>
      <c r="F152" s="102"/>
      <c r="G152" s="102"/>
      <c r="H152" s="102"/>
      <c r="I152" s="102"/>
      <c r="J152" s="102"/>
      <c r="K152" s="102"/>
      <c r="L152" s="102"/>
      <c r="M152" s="102"/>
      <c r="N152" s="102"/>
      <c r="O152" s="102"/>
      <c r="P152" s="102"/>
      <c r="Q152" s="102"/>
      <c r="R152" s="102"/>
      <c r="S152" s="102"/>
      <c r="T152" s="102"/>
      <c r="U152" s="102"/>
      <c r="V152" s="102"/>
      <c r="W152" s="102"/>
      <c r="X152" s="102"/>
      <c r="Y152" s="102"/>
      <c r="Z152" s="102"/>
      <c r="AA152" s="102"/>
      <c r="AB152" s="102"/>
      <c r="AC152" s="102"/>
      <c r="AD152" s="102"/>
      <c r="AE152" s="102"/>
      <c r="AF152" s="102"/>
      <c r="AG152" s="102"/>
      <c r="AH152" s="102"/>
      <c r="AI152" s="102"/>
      <c r="AJ152" s="102"/>
      <c r="AK152" s="102"/>
      <c r="AL152" s="102"/>
      <c r="AM152" s="102"/>
      <c r="AN152" s="102"/>
      <c r="AO152" s="102"/>
      <c r="AP152" s="102"/>
      <c r="AQ152" s="102"/>
      <c r="AR152" s="102"/>
      <c r="AS152" s="102"/>
      <c r="AT152" s="102"/>
      <c r="AU152" s="102"/>
      <c r="AV152" s="102"/>
      <c r="AW152" s="102"/>
      <c r="AY152" s="102"/>
      <c r="AZ152" s="102"/>
      <c r="BA152" s="102"/>
      <c r="BB152" s="102"/>
      <c r="BC152" s="102"/>
      <c r="BD152" s="102"/>
      <c r="BE152" s="102"/>
      <c r="BF152" s="102"/>
      <c r="BG152" s="102"/>
      <c r="BH152" s="102"/>
      <c r="BI152" s="102"/>
      <c r="BJ152" s="102"/>
      <c r="BK152" s="102"/>
      <c r="BL152" s="102"/>
      <c r="BM152" s="102"/>
      <c r="BN152" s="102"/>
    </row>
    <row r="153" spans="2:66" s="64" customFormat="1" ht="15" customHeight="1">
      <c r="B153" s="102"/>
      <c r="C153" s="102"/>
      <c r="D153" s="102"/>
      <c r="E153" s="102"/>
      <c r="F153" s="102"/>
      <c r="G153" s="102"/>
      <c r="H153" s="102"/>
      <c r="I153" s="102"/>
      <c r="J153" s="102"/>
      <c r="K153" s="102"/>
      <c r="L153" s="102"/>
      <c r="M153" s="102"/>
      <c r="N153" s="102"/>
      <c r="O153" s="102"/>
      <c r="P153" s="102"/>
      <c r="Q153" s="102"/>
      <c r="R153" s="102"/>
      <c r="S153" s="102"/>
      <c r="T153" s="102"/>
      <c r="U153" s="102"/>
      <c r="V153" s="102"/>
      <c r="W153" s="102"/>
      <c r="X153" s="102"/>
      <c r="Y153" s="102"/>
      <c r="Z153" s="102"/>
      <c r="AA153" s="102"/>
      <c r="AB153" s="102"/>
      <c r="AC153" s="102"/>
      <c r="AD153" s="102"/>
      <c r="AE153" s="102"/>
      <c r="AF153" s="102"/>
      <c r="AG153" s="102"/>
      <c r="AH153" s="102"/>
      <c r="AI153" s="102"/>
      <c r="AJ153" s="102"/>
      <c r="AK153" s="102"/>
      <c r="AL153" s="102"/>
      <c r="AM153" s="102"/>
      <c r="AN153" s="102"/>
      <c r="AO153" s="102"/>
      <c r="AP153" s="102"/>
      <c r="AQ153" s="102"/>
      <c r="AR153" s="102"/>
      <c r="AS153" s="102"/>
      <c r="AT153" s="102"/>
      <c r="AU153" s="102"/>
      <c r="AV153" s="102"/>
      <c r="AW153" s="102"/>
      <c r="AY153" s="102"/>
      <c r="AZ153" s="102"/>
      <c r="BA153" s="102"/>
      <c r="BB153" s="102"/>
      <c r="BC153" s="102"/>
      <c r="BD153" s="102"/>
      <c r="BE153" s="102"/>
      <c r="BF153" s="102"/>
      <c r="BG153" s="102"/>
      <c r="BH153" s="102"/>
      <c r="BI153" s="102"/>
      <c r="BJ153" s="102"/>
      <c r="BK153" s="102"/>
      <c r="BL153" s="102"/>
      <c r="BM153" s="102"/>
      <c r="BN153" s="102"/>
    </row>
    <row r="154" spans="2:66" s="64" customFormat="1" ht="15" customHeight="1">
      <c r="B154" s="102"/>
      <c r="C154" s="102"/>
      <c r="D154" s="102"/>
      <c r="E154" s="102"/>
      <c r="F154" s="102"/>
      <c r="G154" s="102"/>
      <c r="H154" s="102"/>
      <c r="I154" s="102"/>
      <c r="J154" s="102"/>
      <c r="K154" s="102"/>
      <c r="L154" s="102"/>
      <c r="M154" s="102"/>
      <c r="N154" s="102"/>
      <c r="O154" s="102"/>
      <c r="P154" s="102"/>
      <c r="Q154" s="102"/>
      <c r="R154" s="102"/>
      <c r="S154" s="102"/>
      <c r="T154" s="102"/>
      <c r="U154" s="102"/>
      <c r="V154" s="102"/>
      <c r="W154" s="102"/>
      <c r="X154" s="102"/>
      <c r="Y154" s="102"/>
      <c r="Z154" s="102"/>
      <c r="AA154" s="102"/>
      <c r="AB154" s="102"/>
      <c r="AC154" s="102"/>
      <c r="AD154" s="102"/>
      <c r="AE154" s="102"/>
      <c r="AF154" s="102"/>
      <c r="AG154" s="102"/>
      <c r="AH154" s="102"/>
      <c r="AI154" s="102"/>
      <c r="AJ154" s="102"/>
      <c r="AK154" s="102"/>
      <c r="AL154" s="102"/>
      <c r="AM154" s="102"/>
      <c r="AN154" s="102"/>
      <c r="AO154" s="102"/>
      <c r="AP154" s="102"/>
      <c r="AQ154" s="102"/>
      <c r="AR154" s="102"/>
      <c r="AS154" s="102"/>
      <c r="AT154" s="102"/>
      <c r="AU154" s="102"/>
      <c r="AV154" s="102"/>
      <c r="AW154" s="102"/>
      <c r="AY154" s="102"/>
      <c r="AZ154" s="102"/>
      <c r="BA154" s="102"/>
      <c r="BB154" s="102"/>
      <c r="BC154" s="102"/>
      <c r="BD154" s="102"/>
      <c r="BE154" s="102"/>
      <c r="BF154" s="102"/>
      <c r="BG154" s="102"/>
      <c r="BH154" s="102"/>
      <c r="BI154" s="102"/>
      <c r="BJ154" s="102"/>
      <c r="BK154" s="102"/>
      <c r="BL154" s="102"/>
      <c r="BM154" s="102"/>
      <c r="BN154" s="102"/>
    </row>
    <row r="155" spans="2:66" s="64" customFormat="1" ht="15" customHeight="1">
      <c r="B155" s="102"/>
      <c r="C155" s="102"/>
      <c r="D155" s="102"/>
      <c r="E155" s="102"/>
      <c r="F155" s="102"/>
      <c r="G155" s="102"/>
      <c r="H155" s="102"/>
      <c r="I155" s="102"/>
      <c r="J155" s="102"/>
      <c r="K155" s="102"/>
      <c r="L155" s="102"/>
      <c r="M155" s="102"/>
      <c r="N155" s="102"/>
      <c r="O155" s="102"/>
      <c r="P155" s="102"/>
      <c r="Q155" s="102"/>
      <c r="R155" s="102"/>
      <c r="S155" s="102"/>
      <c r="T155" s="102"/>
      <c r="U155" s="102"/>
      <c r="V155" s="102"/>
      <c r="W155" s="102"/>
      <c r="X155" s="102"/>
      <c r="Y155" s="102"/>
      <c r="Z155" s="102"/>
      <c r="AA155" s="102"/>
      <c r="AB155" s="102"/>
      <c r="AC155" s="102"/>
      <c r="AD155" s="102"/>
      <c r="AE155" s="102"/>
      <c r="AF155" s="102"/>
      <c r="AG155" s="102"/>
      <c r="AH155" s="102"/>
      <c r="AI155" s="102"/>
      <c r="AJ155" s="102"/>
      <c r="AK155" s="102"/>
      <c r="AL155" s="102"/>
      <c r="AM155" s="102"/>
      <c r="AN155" s="102"/>
      <c r="AO155" s="102"/>
      <c r="AP155" s="102"/>
      <c r="AQ155" s="102"/>
      <c r="AR155" s="102"/>
      <c r="AS155" s="102"/>
      <c r="AT155" s="102"/>
      <c r="AU155" s="102"/>
      <c r="AV155" s="102"/>
      <c r="AW155" s="102"/>
      <c r="AY155" s="102"/>
      <c r="AZ155" s="102"/>
      <c r="BA155" s="102"/>
      <c r="BB155" s="102"/>
      <c r="BC155" s="102"/>
      <c r="BD155" s="102"/>
      <c r="BE155" s="102"/>
      <c r="BF155" s="102"/>
      <c r="BG155" s="102"/>
      <c r="BH155" s="102"/>
      <c r="BI155" s="102"/>
      <c r="BJ155" s="102"/>
      <c r="BK155" s="102"/>
      <c r="BL155" s="102"/>
      <c r="BM155" s="102"/>
      <c r="BN155" s="102"/>
    </row>
    <row r="156" spans="2:66" s="64" customFormat="1" ht="15" customHeight="1">
      <c r="B156" s="102"/>
      <c r="C156" s="102"/>
      <c r="D156" s="102"/>
      <c r="E156" s="102"/>
      <c r="F156" s="102"/>
      <c r="G156" s="102"/>
      <c r="H156" s="102"/>
      <c r="I156" s="102"/>
      <c r="J156" s="102"/>
      <c r="K156" s="102"/>
      <c r="L156" s="102"/>
      <c r="M156" s="102"/>
      <c r="N156" s="102"/>
      <c r="O156" s="102"/>
      <c r="P156" s="102"/>
      <c r="Q156" s="102"/>
      <c r="R156" s="102"/>
      <c r="S156" s="102"/>
      <c r="T156" s="102"/>
      <c r="U156" s="102"/>
      <c r="V156" s="102"/>
      <c r="W156" s="102"/>
      <c r="X156" s="102"/>
      <c r="Y156" s="102"/>
      <c r="Z156" s="102"/>
      <c r="AA156" s="102"/>
      <c r="AB156" s="102"/>
      <c r="AC156" s="102"/>
      <c r="AD156" s="102"/>
      <c r="AE156" s="102"/>
      <c r="AF156" s="102"/>
      <c r="AG156" s="102"/>
      <c r="AH156" s="102"/>
      <c r="AI156" s="102"/>
      <c r="AJ156" s="102"/>
      <c r="AK156" s="102"/>
      <c r="AL156" s="102"/>
      <c r="AM156" s="102"/>
      <c r="AN156" s="102"/>
      <c r="AO156" s="102"/>
      <c r="AP156" s="102"/>
      <c r="AQ156" s="102"/>
      <c r="AR156" s="102"/>
      <c r="AS156" s="102"/>
      <c r="AT156" s="102"/>
      <c r="AU156" s="102"/>
      <c r="AV156" s="102"/>
      <c r="AW156" s="102"/>
      <c r="AY156" s="102"/>
      <c r="AZ156" s="102"/>
      <c r="BA156" s="102"/>
      <c r="BB156" s="102"/>
      <c r="BC156" s="102"/>
      <c r="BD156" s="102"/>
      <c r="BE156" s="102"/>
      <c r="BF156" s="102"/>
      <c r="BG156" s="102"/>
      <c r="BH156" s="102"/>
      <c r="BI156" s="102"/>
      <c r="BJ156" s="102"/>
      <c r="BK156" s="102"/>
      <c r="BL156" s="102"/>
      <c r="BM156" s="102"/>
      <c r="BN156" s="102"/>
    </row>
    <row r="157" spans="2:66" s="64" customFormat="1" ht="15" customHeight="1">
      <c r="B157" s="102"/>
      <c r="C157" s="102"/>
      <c r="D157" s="102"/>
      <c r="E157" s="102"/>
      <c r="F157" s="102"/>
      <c r="G157" s="102"/>
      <c r="H157" s="102"/>
      <c r="I157" s="102"/>
      <c r="J157" s="102"/>
      <c r="K157" s="102"/>
      <c r="L157" s="102"/>
      <c r="M157" s="102"/>
      <c r="N157" s="102"/>
      <c r="O157" s="102"/>
      <c r="P157" s="102"/>
      <c r="Q157" s="102"/>
      <c r="R157" s="102"/>
      <c r="S157" s="102"/>
      <c r="T157" s="102"/>
      <c r="U157" s="102"/>
      <c r="V157" s="102"/>
      <c r="W157" s="102"/>
      <c r="X157" s="102"/>
      <c r="Y157" s="102"/>
      <c r="Z157" s="102"/>
      <c r="AA157" s="102"/>
      <c r="AB157" s="102"/>
      <c r="AC157" s="102"/>
      <c r="AD157" s="102"/>
      <c r="AE157" s="102"/>
      <c r="AF157" s="102"/>
      <c r="AG157" s="102"/>
      <c r="AH157" s="102"/>
      <c r="AI157" s="102"/>
      <c r="AJ157" s="102"/>
      <c r="AK157" s="102"/>
      <c r="AL157" s="102"/>
      <c r="AM157" s="102"/>
      <c r="AN157" s="102"/>
      <c r="AO157" s="102"/>
      <c r="AP157" s="102"/>
      <c r="AQ157" s="102"/>
      <c r="AR157" s="102"/>
      <c r="AS157" s="102"/>
      <c r="AT157" s="102"/>
      <c r="AU157" s="102"/>
      <c r="AV157" s="102"/>
      <c r="AW157" s="102"/>
      <c r="AY157" s="102"/>
      <c r="AZ157" s="102"/>
      <c r="BA157" s="102"/>
      <c r="BB157" s="102"/>
      <c r="BC157" s="102"/>
      <c r="BD157" s="102"/>
      <c r="BE157" s="102"/>
      <c r="BF157" s="102"/>
      <c r="BG157" s="102"/>
      <c r="BH157" s="102"/>
      <c r="BI157" s="102"/>
      <c r="BJ157" s="102"/>
      <c r="BK157" s="102"/>
      <c r="BL157" s="102"/>
      <c r="BM157" s="102"/>
      <c r="BN157" s="102"/>
    </row>
    <row r="158" spans="2:66" s="64" customFormat="1" ht="15" customHeight="1">
      <c r="B158" s="102"/>
      <c r="C158" s="102"/>
      <c r="D158" s="102"/>
      <c r="E158" s="102"/>
      <c r="F158" s="102"/>
      <c r="G158" s="102"/>
      <c r="H158" s="102"/>
      <c r="I158" s="102"/>
      <c r="J158" s="102"/>
      <c r="K158" s="102"/>
      <c r="L158" s="102"/>
      <c r="M158" s="102"/>
      <c r="N158" s="102"/>
      <c r="O158" s="102"/>
      <c r="P158" s="102"/>
      <c r="Q158" s="102"/>
      <c r="R158" s="102"/>
      <c r="S158" s="102"/>
      <c r="T158" s="102"/>
      <c r="U158" s="102"/>
      <c r="V158" s="102"/>
      <c r="W158" s="102"/>
      <c r="X158" s="102"/>
      <c r="Y158" s="102"/>
      <c r="Z158" s="102"/>
      <c r="AA158" s="102"/>
      <c r="AB158" s="102"/>
      <c r="AC158" s="102"/>
      <c r="AD158" s="102"/>
      <c r="AE158" s="102"/>
      <c r="AF158" s="102"/>
      <c r="AG158" s="102"/>
      <c r="AH158" s="102"/>
      <c r="AI158" s="102"/>
      <c r="AJ158" s="102"/>
      <c r="AK158" s="102"/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Y158" s="102"/>
      <c r="AZ158" s="102"/>
      <c r="BA158" s="102"/>
      <c r="BB158" s="102"/>
      <c r="BC158" s="102"/>
      <c r="BD158" s="102"/>
      <c r="BE158" s="102"/>
      <c r="BF158" s="102"/>
      <c r="BG158" s="102"/>
      <c r="BH158" s="102"/>
      <c r="BI158" s="102"/>
      <c r="BJ158" s="102"/>
      <c r="BK158" s="102"/>
      <c r="BL158" s="102"/>
      <c r="BM158" s="102"/>
      <c r="BN158" s="102"/>
    </row>
    <row r="159" spans="2:66" s="64" customFormat="1" ht="15" customHeight="1">
      <c r="B159" s="102"/>
      <c r="C159" s="102"/>
      <c r="D159" s="102"/>
      <c r="E159" s="102"/>
      <c r="F159" s="102"/>
      <c r="G159" s="102"/>
      <c r="H159" s="102"/>
      <c r="I159" s="102"/>
      <c r="J159" s="102"/>
      <c r="K159" s="102"/>
      <c r="L159" s="102"/>
      <c r="M159" s="102"/>
      <c r="N159" s="102"/>
      <c r="O159" s="102"/>
      <c r="P159" s="102"/>
      <c r="Q159" s="102"/>
      <c r="R159" s="102"/>
      <c r="S159" s="102"/>
      <c r="T159" s="102"/>
      <c r="U159" s="102"/>
      <c r="V159" s="102"/>
      <c r="W159" s="102"/>
      <c r="X159" s="102"/>
      <c r="Y159" s="102"/>
      <c r="Z159" s="102"/>
      <c r="AA159" s="102"/>
      <c r="AB159" s="102"/>
      <c r="AC159" s="102"/>
      <c r="AD159" s="102"/>
      <c r="AE159" s="102"/>
      <c r="AF159" s="102"/>
      <c r="AG159" s="102"/>
      <c r="AH159" s="102"/>
      <c r="AI159" s="102"/>
      <c r="AJ159" s="102"/>
      <c r="AK159" s="102"/>
      <c r="AL159" s="102"/>
      <c r="AM159" s="102"/>
      <c r="AN159" s="102"/>
      <c r="AO159" s="102"/>
      <c r="AP159" s="102"/>
      <c r="AQ159" s="102"/>
      <c r="AR159" s="102"/>
      <c r="AS159" s="102"/>
      <c r="AT159" s="102"/>
      <c r="AU159" s="102"/>
      <c r="AV159" s="102"/>
      <c r="AW159" s="102"/>
      <c r="AY159" s="102"/>
      <c r="AZ159" s="102"/>
      <c r="BA159" s="102"/>
      <c r="BB159" s="102"/>
      <c r="BC159" s="102"/>
      <c r="BD159" s="102"/>
      <c r="BE159" s="102"/>
      <c r="BF159" s="102"/>
      <c r="BG159" s="102"/>
      <c r="BH159" s="102"/>
      <c r="BI159" s="102"/>
      <c r="BJ159" s="102"/>
      <c r="BK159" s="102"/>
      <c r="BL159" s="102"/>
      <c r="BM159" s="102"/>
      <c r="BN159" s="102"/>
    </row>
    <row r="160" spans="2:66" s="64" customFormat="1" ht="15" customHeight="1">
      <c r="B160" s="102"/>
      <c r="C160" s="102"/>
      <c r="D160" s="102"/>
      <c r="E160" s="102"/>
      <c r="F160" s="102"/>
      <c r="G160" s="102"/>
      <c r="H160" s="102"/>
      <c r="I160" s="102"/>
      <c r="J160" s="102"/>
      <c r="K160" s="102"/>
      <c r="L160" s="102"/>
      <c r="M160" s="102"/>
      <c r="N160" s="102"/>
      <c r="O160" s="102"/>
      <c r="P160" s="102"/>
      <c r="Q160" s="102"/>
      <c r="R160" s="102"/>
      <c r="S160" s="102"/>
      <c r="T160" s="102"/>
      <c r="U160" s="102"/>
      <c r="V160" s="102"/>
      <c r="W160" s="102"/>
      <c r="X160" s="102"/>
      <c r="Y160" s="102"/>
      <c r="Z160" s="102"/>
      <c r="AA160" s="102"/>
      <c r="AB160" s="102"/>
      <c r="AC160" s="102"/>
      <c r="AD160" s="102"/>
      <c r="AE160" s="102"/>
      <c r="AF160" s="102"/>
      <c r="AG160" s="102"/>
      <c r="AH160" s="102"/>
      <c r="AI160" s="102"/>
      <c r="AJ160" s="102"/>
      <c r="AK160" s="102"/>
      <c r="AL160" s="102"/>
      <c r="AM160" s="102"/>
      <c r="AN160" s="102"/>
      <c r="AO160" s="102"/>
      <c r="AP160" s="102"/>
      <c r="AQ160" s="102"/>
      <c r="AR160" s="102"/>
      <c r="AS160" s="102"/>
      <c r="AT160" s="102"/>
      <c r="AU160" s="102"/>
      <c r="AV160" s="102"/>
      <c r="AW160" s="102"/>
      <c r="AY160" s="102"/>
      <c r="AZ160" s="102"/>
      <c r="BA160" s="102"/>
      <c r="BB160" s="102"/>
      <c r="BC160" s="102"/>
      <c r="BD160" s="102"/>
      <c r="BE160" s="102"/>
      <c r="BF160" s="102"/>
      <c r="BG160" s="102"/>
      <c r="BH160" s="102"/>
      <c r="BI160" s="102"/>
      <c r="BJ160" s="102"/>
      <c r="BK160" s="102"/>
      <c r="BL160" s="102"/>
      <c r="BM160" s="102"/>
      <c r="BN160" s="102"/>
    </row>
    <row r="161" spans="2:66" s="64" customFormat="1" ht="15" customHeight="1">
      <c r="B161" s="102"/>
      <c r="C161" s="102"/>
      <c r="D161" s="102"/>
      <c r="E161" s="102"/>
      <c r="F161" s="102"/>
      <c r="G161" s="102"/>
      <c r="H161" s="102"/>
      <c r="I161" s="102"/>
      <c r="J161" s="102"/>
      <c r="K161" s="102"/>
      <c r="L161" s="102"/>
      <c r="M161" s="102"/>
      <c r="N161" s="102"/>
      <c r="O161" s="102"/>
      <c r="P161" s="102"/>
      <c r="Q161" s="102"/>
      <c r="R161" s="102"/>
      <c r="S161" s="102"/>
      <c r="T161" s="102"/>
      <c r="U161" s="102"/>
      <c r="V161" s="102"/>
      <c r="W161" s="102"/>
      <c r="X161" s="102"/>
      <c r="Y161" s="102"/>
      <c r="Z161" s="102"/>
      <c r="AA161" s="102"/>
      <c r="AB161" s="102"/>
      <c r="AC161" s="102"/>
      <c r="AD161" s="102"/>
      <c r="AE161" s="102"/>
      <c r="AF161" s="102"/>
      <c r="AG161" s="102"/>
      <c r="AH161" s="102"/>
      <c r="AI161" s="102"/>
      <c r="AJ161" s="102"/>
      <c r="AK161" s="102"/>
      <c r="AL161" s="102"/>
      <c r="AM161" s="102"/>
      <c r="AN161" s="102"/>
      <c r="AO161" s="102"/>
      <c r="AP161" s="102"/>
      <c r="AQ161" s="102"/>
      <c r="AR161" s="102"/>
      <c r="AS161" s="102"/>
      <c r="AT161" s="102"/>
      <c r="AU161" s="102"/>
      <c r="AV161" s="102"/>
      <c r="AW161" s="102"/>
      <c r="AY161" s="102"/>
      <c r="AZ161" s="102"/>
      <c r="BA161" s="102"/>
      <c r="BB161" s="102"/>
      <c r="BC161" s="102"/>
      <c r="BD161" s="102"/>
      <c r="BE161" s="102"/>
      <c r="BF161" s="102"/>
      <c r="BG161" s="102"/>
      <c r="BH161" s="102"/>
      <c r="BI161" s="102"/>
      <c r="BJ161" s="102"/>
      <c r="BK161" s="102"/>
      <c r="BL161" s="102"/>
      <c r="BM161" s="102"/>
      <c r="BN161" s="102"/>
    </row>
    <row r="162" spans="2:66" s="64" customFormat="1" ht="15" customHeight="1">
      <c r="B162" s="102"/>
      <c r="C162" s="102"/>
      <c r="D162" s="102"/>
      <c r="E162" s="102"/>
      <c r="F162" s="102"/>
      <c r="G162" s="102"/>
      <c r="H162" s="102"/>
      <c r="I162" s="102"/>
      <c r="J162" s="102"/>
      <c r="K162" s="102"/>
      <c r="L162" s="102"/>
      <c r="M162" s="102"/>
      <c r="N162" s="102"/>
      <c r="O162" s="102"/>
      <c r="P162" s="102"/>
      <c r="Q162" s="102"/>
      <c r="R162" s="102"/>
      <c r="S162" s="102"/>
      <c r="T162" s="102"/>
      <c r="U162" s="102"/>
      <c r="V162" s="102"/>
      <c r="W162" s="102"/>
      <c r="X162" s="102"/>
      <c r="Y162" s="102"/>
      <c r="Z162" s="102"/>
      <c r="AA162" s="102"/>
      <c r="AB162" s="102"/>
      <c r="AC162" s="102"/>
      <c r="AD162" s="102"/>
      <c r="AE162" s="102"/>
      <c r="AF162" s="102"/>
      <c r="AG162" s="102"/>
      <c r="AH162" s="102"/>
      <c r="AI162" s="102"/>
      <c r="AJ162" s="102"/>
      <c r="AK162" s="102"/>
      <c r="AL162" s="102"/>
      <c r="AM162" s="102"/>
      <c r="AN162" s="102"/>
      <c r="AO162" s="102"/>
      <c r="AP162" s="102"/>
      <c r="AQ162" s="102"/>
      <c r="AR162" s="102"/>
      <c r="AS162" s="102"/>
      <c r="AT162" s="102"/>
      <c r="AU162" s="102"/>
      <c r="AV162" s="102"/>
      <c r="AW162" s="102"/>
      <c r="AY162" s="102"/>
      <c r="AZ162" s="102"/>
      <c r="BA162" s="102"/>
      <c r="BB162" s="102"/>
      <c r="BC162" s="102"/>
      <c r="BD162" s="102"/>
      <c r="BE162" s="102"/>
      <c r="BF162" s="102"/>
      <c r="BG162" s="102"/>
      <c r="BH162" s="102"/>
      <c r="BI162" s="102"/>
      <c r="BJ162" s="102"/>
      <c r="BK162" s="102"/>
      <c r="BL162" s="102"/>
      <c r="BM162" s="102"/>
      <c r="BN162" s="102"/>
    </row>
    <row r="163" spans="2:66" s="64" customFormat="1" ht="15" customHeight="1">
      <c r="B163" s="102"/>
      <c r="C163" s="102"/>
      <c r="D163" s="102"/>
      <c r="E163" s="102"/>
      <c r="F163" s="102"/>
      <c r="G163" s="102"/>
      <c r="H163" s="102"/>
      <c r="I163" s="102"/>
      <c r="J163" s="102"/>
      <c r="K163" s="102"/>
      <c r="L163" s="102"/>
      <c r="M163" s="102"/>
      <c r="N163" s="102"/>
      <c r="O163" s="102"/>
      <c r="P163" s="102"/>
      <c r="Q163" s="102"/>
      <c r="R163" s="102"/>
      <c r="S163" s="102"/>
      <c r="T163" s="102"/>
      <c r="U163" s="102"/>
      <c r="V163" s="102"/>
      <c r="W163" s="102"/>
      <c r="X163" s="102"/>
      <c r="Y163" s="102"/>
      <c r="Z163" s="102"/>
      <c r="AA163" s="102"/>
      <c r="AB163" s="102"/>
      <c r="AC163" s="102"/>
      <c r="AD163" s="102"/>
      <c r="AE163" s="102"/>
      <c r="AF163" s="102"/>
      <c r="AG163" s="102"/>
      <c r="AH163" s="102"/>
      <c r="AI163" s="102"/>
      <c r="AJ163" s="102"/>
      <c r="AK163" s="102"/>
      <c r="AL163" s="102"/>
      <c r="AM163" s="102"/>
      <c r="AN163" s="102"/>
      <c r="AO163" s="102"/>
      <c r="AP163" s="102"/>
      <c r="AQ163" s="102"/>
      <c r="AR163" s="102"/>
      <c r="AS163" s="102"/>
      <c r="AT163" s="102"/>
      <c r="AU163" s="102"/>
      <c r="AV163" s="102"/>
      <c r="AW163" s="102"/>
      <c r="AY163" s="102"/>
      <c r="AZ163" s="102"/>
      <c r="BA163" s="102"/>
      <c r="BB163" s="102"/>
      <c r="BC163" s="102"/>
      <c r="BD163" s="102"/>
      <c r="BE163" s="102"/>
      <c r="BF163" s="102"/>
      <c r="BG163" s="102"/>
      <c r="BH163" s="102"/>
      <c r="BI163" s="102"/>
      <c r="BJ163" s="102"/>
      <c r="BK163" s="102"/>
      <c r="BL163" s="102"/>
      <c r="BM163" s="102"/>
      <c r="BN163" s="102"/>
    </row>
    <row r="164" spans="2:66" s="64" customFormat="1" ht="15" customHeight="1">
      <c r="B164" s="102"/>
      <c r="C164" s="102"/>
      <c r="D164" s="102"/>
      <c r="E164" s="102"/>
      <c r="F164" s="102"/>
      <c r="G164" s="102"/>
      <c r="H164" s="102"/>
      <c r="I164" s="102"/>
      <c r="J164" s="102"/>
      <c r="K164" s="102"/>
      <c r="L164" s="102"/>
      <c r="M164" s="102"/>
      <c r="N164" s="102"/>
      <c r="O164" s="102"/>
      <c r="P164" s="102"/>
      <c r="Q164" s="102"/>
      <c r="R164" s="102"/>
      <c r="S164" s="102"/>
      <c r="T164" s="102"/>
      <c r="U164" s="102"/>
      <c r="V164" s="102"/>
      <c r="W164" s="102"/>
      <c r="X164" s="102"/>
      <c r="Y164" s="102"/>
      <c r="Z164" s="102"/>
      <c r="AA164" s="102"/>
      <c r="AB164" s="102"/>
      <c r="AC164" s="102"/>
      <c r="AD164" s="102"/>
      <c r="AE164" s="102"/>
      <c r="AF164" s="102"/>
      <c r="AG164" s="102"/>
      <c r="AH164" s="102"/>
      <c r="AI164" s="102"/>
      <c r="AJ164" s="102"/>
      <c r="AK164" s="102"/>
      <c r="AL164" s="102"/>
      <c r="AM164" s="102"/>
      <c r="AN164" s="102"/>
      <c r="AO164" s="102"/>
      <c r="AP164" s="102"/>
      <c r="AQ164" s="102"/>
      <c r="AR164" s="102"/>
      <c r="AS164" s="102"/>
      <c r="AT164" s="102"/>
      <c r="AU164" s="102"/>
      <c r="AV164" s="102"/>
      <c r="AW164" s="102"/>
      <c r="AY164" s="102"/>
      <c r="AZ164" s="102"/>
      <c r="BA164" s="102"/>
      <c r="BB164" s="102"/>
      <c r="BC164" s="102"/>
      <c r="BD164" s="102"/>
      <c r="BE164" s="102"/>
      <c r="BF164" s="102"/>
      <c r="BG164" s="102"/>
      <c r="BH164" s="102"/>
      <c r="BI164" s="102"/>
      <c r="BJ164" s="102"/>
      <c r="BK164" s="102"/>
      <c r="BL164" s="102"/>
      <c r="BM164" s="102"/>
      <c r="BN164" s="102"/>
    </row>
    <row r="165" spans="2:66" s="64" customFormat="1" ht="15" customHeight="1">
      <c r="B165" s="102"/>
      <c r="C165" s="102"/>
      <c r="D165" s="102"/>
      <c r="E165" s="102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02"/>
      <c r="S165" s="102"/>
      <c r="T165" s="102"/>
      <c r="U165" s="102"/>
      <c r="V165" s="102"/>
      <c r="W165" s="102"/>
      <c r="X165" s="102"/>
      <c r="Y165" s="102"/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102"/>
      <c r="AR165" s="102"/>
      <c r="AS165" s="102"/>
      <c r="AT165" s="102"/>
      <c r="AU165" s="102"/>
      <c r="AV165" s="102"/>
      <c r="AW165" s="102"/>
      <c r="AY165" s="102"/>
      <c r="AZ165" s="102"/>
      <c r="BA165" s="102"/>
      <c r="BB165" s="102"/>
      <c r="BC165" s="102"/>
      <c r="BD165" s="102"/>
      <c r="BE165" s="102"/>
      <c r="BF165" s="102"/>
      <c r="BG165" s="102"/>
      <c r="BH165" s="102"/>
      <c r="BI165" s="102"/>
      <c r="BJ165" s="102"/>
      <c r="BK165" s="102"/>
      <c r="BL165" s="102"/>
      <c r="BM165" s="102"/>
      <c r="BN165" s="102"/>
    </row>
    <row r="166" spans="2:66" s="64" customFormat="1" ht="15" customHeight="1">
      <c r="B166" s="102"/>
      <c r="C166" s="102"/>
      <c r="D166" s="102"/>
      <c r="E166" s="102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02"/>
      <c r="S166" s="102"/>
      <c r="T166" s="102"/>
      <c r="U166" s="102"/>
      <c r="V166" s="102"/>
      <c r="W166" s="102"/>
      <c r="X166" s="102"/>
      <c r="Y166" s="102"/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102"/>
      <c r="AR166" s="102"/>
      <c r="AS166" s="102"/>
      <c r="AT166" s="102"/>
      <c r="AU166" s="102"/>
      <c r="AV166" s="102"/>
      <c r="AW166" s="102"/>
      <c r="AY166" s="102"/>
      <c r="AZ166" s="102"/>
      <c r="BA166" s="102"/>
      <c r="BB166" s="102"/>
      <c r="BC166" s="102"/>
      <c r="BD166" s="102"/>
      <c r="BE166" s="102"/>
      <c r="BF166" s="102"/>
      <c r="BG166" s="102"/>
      <c r="BH166" s="102"/>
      <c r="BI166" s="102"/>
      <c r="BJ166" s="102"/>
      <c r="BK166" s="102"/>
      <c r="BL166" s="102"/>
      <c r="BM166" s="102"/>
      <c r="BN166" s="102"/>
    </row>
    <row r="167" spans="2:66" s="64" customFormat="1" ht="15" customHeight="1">
      <c r="B167" s="102"/>
      <c r="C167" s="102"/>
      <c r="D167" s="102"/>
      <c r="E167" s="102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02"/>
      <c r="S167" s="102"/>
      <c r="T167" s="102"/>
      <c r="U167" s="102"/>
      <c r="V167" s="102"/>
      <c r="W167" s="102"/>
      <c r="X167" s="102"/>
      <c r="Y167" s="102"/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102"/>
      <c r="AR167" s="102"/>
      <c r="AS167" s="102"/>
      <c r="AT167" s="102"/>
      <c r="AU167" s="102"/>
      <c r="AV167" s="102"/>
      <c r="AW167" s="102"/>
      <c r="AY167" s="102"/>
      <c r="AZ167" s="102"/>
      <c r="BA167" s="102"/>
      <c r="BB167" s="102"/>
      <c r="BC167" s="102"/>
      <c r="BD167" s="102"/>
      <c r="BE167" s="102"/>
      <c r="BF167" s="102"/>
      <c r="BG167" s="102"/>
      <c r="BH167" s="102"/>
      <c r="BI167" s="102"/>
      <c r="BJ167" s="102"/>
      <c r="BK167" s="102"/>
      <c r="BL167" s="102"/>
      <c r="BM167" s="102"/>
      <c r="BN167" s="102"/>
    </row>
    <row r="168" spans="2:66" s="64" customFormat="1" ht="15" customHeight="1">
      <c r="B168" s="102"/>
      <c r="C168" s="102"/>
      <c r="D168" s="102"/>
      <c r="E168" s="102"/>
      <c r="F168" s="102"/>
      <c r="G168" s="102"/>
      <c r="H168" s="102"/>
      <c r="I168" s="102"/>
      <c r="J168" s="102"/>
      <c r="K168" s="102"/>
      <c r="L168" s="102"/>
      <c r="M168" s="102"/>
      <c r="N168" s="102"/>
      <c r="O168" s="102"/>
      <c r="P168" s="102"/>
      <c r="Q168" s="102"/>
      <c r="R168" s="102"/>
      <c r="S168" s="102"/>
      <c r="T168" s="102"/>
      <c r="U168" s="102"/>
      <c r="V168" s="102"/>
      <c r="W168" s="102"/>
      <c r="X168" s="102"/>
      <c r="Y168" s="102"/>
      <c r="Z168" s="102"/>
      <c r="AA168" s="102"/>
      <c r="AB168" s="102"/>
      <c r="AC168" s="102"/>
      <c r="AD168" s="102"/>
      <c r="AE168" s="102"/>
      <c r="AF168" s="102"/>
      <c r="AG168" s="102"/>
      <c r="AH168" s="102"/>
      <c r="AI168" s="102"/>
      <c r="AJ168" s="102"/>
      <c r="AK168" s="102"/>
      <c r="AL168" s="102"/>
      <c r="AM168" s="102"/>
      <c r="AN168" s="102"/>
      <c r="AO168" s="102"/>
      <c r="AP168" s="102"/>
      <c r="AQ168" s="102"/>
      <c r="AR168" s="102"/>
      <c r="AS168" s="102"/>
      <c r="AT168" s="102"/>
      <c r="AU168" s="102"/>
      <c r="AV168" s="102"/>
      <c r="AW168" s="102"/>
      <c r="AY168" s="102"/>
      <c r="AZ168" s="102"/>
      <c r="BA168" s="102"/>
      <c r="BB168" s="102"/>
      <c r="BC168" s="102"/>
      <c r="BD168" s="102"/>
      <c r="BE168" s="102"/>
      <c r="BF168" s="102"/>
      <c r="BG168" s="102"/>
      <c r="BH168" s="102"/>
      <c r="BI168" s="102"/>
      <c r="BJ168" s="102"/>
      <c r="BK168" s="102"/>
      <c r="BL168" s="102"/>
      <c r="BM168" s="102"/>
      <c r="BN168" s="102"/>
    </row>
    <row r="169" spans="2:66" s="64" customFormat="1" ht="15" customHeight="1">
      <c r="B169" s="102"/>
      <c r="C169" s="102"/>
      <c r="D169" s="102"/>
      <c r="E169" s="102"/>
      <c r="F169" s="102"/>
      <c r="G169" s="102"/>
      <c r="H169" s="102"/>
      <c r="I169" s="102"/>
      <c r="J169" s="102"/>
      <c r="K169" s="102"/>
      <c r="L169" s="102"/>
      <c r="M169" s="102"/>
      <c r="N169" s="102"/>
      <c r="O169" s="102"/>
      <c r="P169" s="102"/>
      <c r="Q169" s="102"/>
      <c r="R169" s="102"/>
      <c r="S169" s="102"/>
      <c r="T169" s="102"/>
      <c r="U169" s="102"/>
      <c r="V169" s="102"/>
      <c r="W169" s="102"/>
      <c r="X169" s="102"/>
      <c r="Y169" s="102"/>
      <c r="Z169" s="102"/>
      <c r="AA169" s="102"/>
      <c r="AB169" s="102"/>
      <c r="AC169" s="102"/>
      <c r="AD169" s="102"/>
      <c r="AE169" s="102"/>
      <c r="AF169" s="102"/>
      <c r="AG169" s="102"/>
      <c r="AH169" s="102"/>
      <c r="AI169" s="102"/>
      <c r="AJ169" s="102"/>
      <c r="AK169" s="102"/>
      <c r="AL169" s="102"/>
      <c r="AM169" s="102"/>
      <c r="AN169" s="102"/>
      <c r="AO169" s="102"/>
      <c r="AP169" s="102"/>
      <c r="AQ169" s="102"/>
      <c r="AR169" s="102"/>
      <c r="AS169" s="102"/>
      <c r="AT169" s="102"/>
      <c r="AU169" s="102"/>
      <c r="AV169" s="102"/>
      <c r="AW169" s="102"/>
      <c r="AY169" s="102"/>
      <c r="AZ169" s="102"/>
      <c r="BA169" s="102"/>
      <c r="BB169" s="102"/>
      <c r="BC169" s="102"/>
      <c r="BD169" s="102"/>
      <c r="BE169" s="102"/>
      <c r="BF169" s="102"/>
      <c r="BG169" s="102"/>
      <c r="BH169" s="102"/>
      <c r="BI169" s="102"/>
      <c r="BJ169" s="102"/>
      <c r="BK169" s="102"/>
      <c r="BL169" s="102"/>
      <c r="BM169" s="102"/>
      <c r="BN169" s="102"/>
    </row>
    <row r="170" spans="2:66" s="64" customFormat="1" ht="15" customHeight="1">
      <c r="B170" s="102"/>
      <c r="C170" s="102"/>
      <c r="D170" s="102"/>
      <c r="E170" s="102"/>
      <c r="F170" s="102"/>
      <c r="G170" s="102"/>
      <c r="H170" s="102"/>
      <c r="I170" s="102"/>
      <c r="J170" s="102"/>
      <c r="K170" s="102"/>
      <c r="L170" s="102"/>
      <c r="M170" s="102"/>
      <c r="N170" s="102"/>
      <c r="O170" s="102"/>
      <c r="P170" s="102"/>
      <c r="Q170" s="102"/>
      <c r="R170" s="102"/>
      <c r="S170" s="102"/>
      <c r="T170" s="102"/>
      <c r="U170" s="102"/>
      <c r="V170" s="102"/>
      <c r="W170" s="102"/>
      <c r="X170" s="102"/>
      <c r="Y170" s="102"/>
      <c r="Z170" s="102"/>
      <c r="AA170" s="102"/>
      <c r="AB170" s="102"/>
      <c r="AC170" s="102"/>
      <c r="AD170" s="102"/>
      <c r="AE170" s="102"/>
      <c r="AF170" s="102"/>
      <c r="AG170" s="102"/>
      <c r="AH170" s="102"/>
      <c r="AI170" s="102"/>
      <c r="AJ170" s="102"/>
      <c r="AK170" s="102"/>
      <c r="AL170" s="102"/>
      <c r="AM170" s="102"/>
      <c r="AN170" s="102"/>
      <c r="AO170" s="102"/>
      <c r="AP170" s="102"/>
      <c r="AQ170" s="102"/>
      <c r="AR170" s="102"/>
      <c r="AS170" s="102"/>
      <c r="AT170" s="102"/>
      <c r="AU170" s="102"/>
      <c r="AV170" s="102"/>
      <c r="AW170" s="102"/>
      <c r="AY170" s="102"/>
      <c r="AZ170" s="102"/>
      <c r="BA170" s="102"/>
      <c r="BB170" s="102"/>
      <c r="BC170" s="102"/>
      <c r="BD170" s="102"/>
      <c r="BE170" s="102"/>
      <c r="BF170" s="102"/>
      <c r="BG170" s="102"/>
      <c r="BH170" s="102"/>
      <c r="BI170" s="102"/>
      <c r="BJ170" s="102"/>
      <c r="BK170" s="102"/>
      <c r="BL170" s="102"/>
      <c r="BM170" s="102"/>
      <c r="BN170" s="102"/>
    </row>
    <row r="171" spans="2:66" s="64" customFormat="1" ht="15" customHeight="1">
      <c r="B171" s="102"/>
      <c r="C171" s="102"/>
      <c r="D171" s="102"/>
      <c r="E171" s="102"/>
      <c r="F171" s="102"/>
      <c r="G171" s="102"/>
      <c r="H171" s="102"/>
      <c r="I171" s="102"/>
      <c r="J171" s="102"/>
      <c r="K171" s="102"/>
      <c r="L171" s="102"/>
      <c r="M171" s="102"/>
      <c r="N171" s="102"/>
      <c r="O171" s="102"/>
      <c r="P171" s="102"/>
      <c r="Q171" s="102"/>
      <c r="R171" s="102"/>
      <c r="S171" s="102"/>
      <c r="T171" s="102"/>
      <c r="U171" s="102"/>
      <c r="V171" s="102"/>
      <c r="W171" s="102"/>
      <c r="X171" s="102"/>
      <c r="Y171" s="102"/>
      <c r="Z171" s="102"/>
      <c r="AA171" s="102"/>
      <c r="AB171" s="102"/>
      <c r="AC171" s="102"/>
      <c r="AD171" s="102"/>
      <c r="AE171" s="102"/>
      <c r="AF171" s="102"/>
      <c r="AG171" s="102"/>
      <c r="AH171" s="102"/>
      <c r="AI171" s="102"/>
      <c r="AJ171" s="102"/>
      <c r="AK171" s="102"/>
      <c r="AL171" s="102"/>
      <c r="AM171" s="102"/>
      <c r="AN171" s="102"/>
      <c r="AO171" s="102"/>
      <c r="AP171" s="102"/>
      <c r="AQ171" s="102"/>
      <c r="AR171" s="102"/>
      <c r="AS171" s="102"/>
      <c r="AT171" s="102"/>
      <c r="AU171" s="102"/>
      <c r="AV171" s="102"/>
      <c r="AW171" s="102"/>
      <c r="AY171" s="102"/>
      <c r="AZ171" s="102"/>
      <c r="BA171" s="102"/>
      <c r="BB171" s="102"/>
      <c r="BC171" s="102"/>
      <c r="BD171" s="102"/>
      <c r="BE171" s="102"/>
      <c r="BF171" s="102"/>
      <c r="BG171" s="102"/>
      <c r="BH171" s="102"/>
      <c r="BI171" s="102"/>
      <c r="BJ171" s="102"/>
      <c r="BK171" s="102"/>
      <c r="BL171" s="102"/>
      <c r="BM171" s="102"/>
      <c r="BN171" s="102"/>
    </row>
    <row r="172" spans="2:66" s="64" customFormat="1" ht="15" customHeight="1">
      <c r="B172" s="102"/>
      <c r="C172" s="102"/>
      <c r="D172" s="102"/>
      <c r="E172" s="102"/>
      <c r="F172" s="102"/>
      <c r="G172" s="102"/>
      <c r="H172" s="102"/>
      <c r="I172" s="102"/>
      <c r="J172" s="102"/>
      <c r="K172" s="102"/>
      <c r="L172" s="102"/>
      <c r="M172" s="102"/>
      <c r="N172" s="102"/>
      <c r="O172" s="102"/>
      <c r="P172" s="102"/>
      <c r="Q172" s="102"/>
      <c r="R172" s="102"/>
      <c r="S172" s="102"/>
      <c r="T172" s="102"/>
      <c r="U172" s="102"/>
      <c r="V172" s="102"/>
      <c r="W172" s="102"/>
      <c r="X172" s="102"/>
      <c r="Y172" s="102"/>
      <c r="Z172" s="102"/>
      <c r="AA172" s="102"/>
      <c r="AB172" s="102"/>
      <c r="AC172" s="102"/>
      <c r="AD172" s="102"/>
      <c r="AE172" s="102"/>
      <c r="AF172" s="102"/>
      <c r="AG172" s="102"/>
      <c r="AH172" s="102"/>
      <c r="AI172" s="102"/>
      <c r="AJ172" s="102"/>
      <c r="AK172" s="102"/>
      <c r="AL172" s="102"/>
      <c r="AM172" s="102"/>
      <c r="AN172" s="102"/>
      <c r="AO172" s="102"/>
      <c r="AP172" s="102"/>
      <c r="AQ172" s="102"/>
      <c r="AR172" s="102"/>
      <c r="AS172" s="102"/>
      <c r="AT172" s="102"/>
      <c r="AU172" s="102"/>
      <c r="AV172" s="102"/>
      <c r="AW172" s="102"/>
      <c r="AY172" s="102"/>
      <c r="AZ172" s="102"/>
      <c r="BA172" s="102"/>
      <c r="BB172" s="102"/>
      <c r="BC172" s="102"/>
      <c r="BD172" s="102"/>
      <c r="BE172" s="102"/>
      <c r="BF172" s="102"/>
      <c r="BG172" s="102"/>
      <c r="BH172" s="102"/>
      <c r="BI172" s="102"/>
      <c r="BJ172" s="102"/>
      <c r="BK172" s="102"/>
      <c r="BL172" s="102"/>
      <c r="BM172" s="102"/>
      <c r="BN172" s="102"/>
    </row>
    <row r="173" spans="2:66" s="64" customFormat="1" ht="15" customHeight="1">
      <c r="B173" s="102"/>
      <c r="C173" s="102"/>
      <c r="D173" s="102"/>
      <c r="E173" s="102"/>
      <c r="F173" s="102"/>
      <c r="G173" s="102"/>
      <c r="H173" s="102"/>
      <c r="I173" s="102"/>
      <c r="J173" s="102"/>
      <c r="K173" s="102"/>
      <c r="L173" s="102"/>
      <c r="M173" s="102"/>
      <c r="N173" s="102"/>
      <c r="O173" s="102"/>
      <c r="P173" s="102"/>
      <c r="Q173" s="102"/>
      <c r="R173" s="102"/>
      <c r="S173" s="102"/>
      <c r="T173" s="102"/>
      <c r="U173" s="102"/>
      <c r="V173" s="102"/>
      <c r="W173" s="102"/>
      <c r="X173" s="102"/>
      <c r="Y173" s="102"/>
      <c r="Z173" s="102"/>
      <c r="AA173" s="102"/>
      <c r="AB173" s="102"/>
      <c r="AC173" s="102"/>
      <c r="AD173" s="102"/>
      <c r="AE173" s="102"/>
      <c r="AF173" s="102"/>
      <c r="AG173" s="102"/>
      <c r="AH173" s="102"/>
      <c r="AI173" s="102"/>
      <c r="AJ173" s="102"/>
      <c r="AK173" s="102"/>
      <c r="AL173" s="102"/>
      <c r="AM173" s="102"/>
      <c r="AN173" s="102"/>
      <c r="AO173" s="102"/>
      <c r="AP173" s="102"/>
      <c r="AQ173" s="102"/>
      <c r="AR173" s="102"/>
      <c r="AS173" s="102"/>
      <c r="AT173" s="102"/>
      <c r="AU173" s="102"/>
      <c r="AV173" s="102"/>
      <c r="AW173" s="102"/>
      <c r="AY173" s="102"/>
      <c r="AZ173" s="102"/>
      <c r="BA173" s="102"/>
      <c r="BB173" s="102"/>
      <c r="BC173" s="102"/>
      <c r="BD173" s="102"/>
      <c r="BE173" s="102"/>
      <c r="BF173" s="102"/>
      <c r="BG173" s="102"/>
      <c r="BH173" s="102"/>
      <c r="BI173" s="102"/>
      <c r="BJ173" s="102"/>
      <c r="BK173" s="102"/>
      <c r="BL173" s="102"/>
      <c r="BM173" s="102"/>
      <c r="BN173" s="102"/>
    </row>
    <row r="174" spans="2:66" s="64" customFormat="1" ht="15" customHeight="1">
      <c r="B174" s="102"/>
      <c r="C174" s="102"/>
      <c r="D174" s="102"/>
      <c r="E174" s="102"/>
      <c r="F174" s="102"/>
      <c r="G174" s="102"/>
      <c r="H174" s="102"/>
      <c r="I174" s="102"/>
      <c r="J174" s="102"/>
      <c r="K174" s="102"/>
      <c r="L174" s="102"/>
      <c r="M174" s="102"/>
      <c r="N174" s="102"/>
      <c r="O174" s="102"/>
      <c r="P174" s="102"/>
      <c r="Q174" s="102"/>
      <c r="R174" s="102"/>
      <c r="S174" s="102"/>
      <c r="T174" s="102"/>
      <c r="U174" s="102"/>
      <c r="V174" s="102"/>
      <c r="W174" s="102"/>
      <c r="X174" s="102"/>
      <c r="Y174" s="102"/>
      <c r="Z174" s="102"/>
      <c r="AA174" s="102"/>
      <c r="AB174" s="102"/>
      <c r="AC174" s="102"/>
      <c r="AD174" s="102"/>
      <c r="AE174" s="102"/>
      <c r="AF174" s="102"/>
      <c r="AG174" s="102"/>
      <c r="AH174" s="102"/>
      <c r="AI174" s="102"/>
      <c r="AJ174" s="102"/>
      <c r="AK174" s="102"/>
      <c r="AL174" s="102"/>
      <c r="AM174" s="102"/>
      <c r="AN174" s="102"/>
      <c r="AO174" s="102"/>
      <c r="AP174" s="102"/>
      <c r="AQ174" s="102"/>
      <c r="AR174" s="102"/>
      <c r="AS174" s="102"/>
      <c r="AT174" s="102"/>
      <c r="AU174" s="102"/>
      <c r="AV174" s="102"/>
      <c r="AW174" s="102"/>
      <c r="AY174" s="102"/>
      <c r="AZ174" s="102"/>
      <c r="BA174" s="102"/>
      <c r="BB174" s="102"/>
      <c r="BC174" s="102"/>
      <c r="BD174" s="102"/>
      <c r="BE174" s="102"/>
      <c r="BF174" s="102"/>
      <c r="BG174" s="102"/>
      <c r="BH174" s="102"/>
      <c r="BI174" s="102"/>
      <c r="BJ174" s="102"/>
      <c r="BK174" s="102"/>
      <c r="BL174" s="102"/>
      <c r="BM174" s="102"/>
      <c r="BN174" s="102"/>
    </row>
    <row r="175" spans="2:66" s="64" customFormat="1" ht="15" customHeight="1">
      <c r="B175" s="102"/>
      <c r="C175" s="102"/>
      <c r="D175" s="102"/>
      <c r="E175" s="102"/>
      <c r="F175" s="102"/>
      <c r="G175" s="102"/>
      <c r="H175" s="102"/>
      <c r="I175" s="102"/>
      <c r="J175" s="102"/>
      <c r="K175" s="102"/>
      <c r="L175" s="102"/>
      <c r="M175" s="102"/>
      <c r="N175" s="102"/>
      <c r="O175" s="102"/>
      <c r="P175" s="102"/>
      <c r="Q175" s="102"/>
      <c r="R175" s="102"/>
      <c r="S175" s="102"/>
      <c r="T175" s="102"/>
      <c r="U175" s="102"/>
      <c r="V175" s="102"/>
      <c r="W175" s="102"/>
      <c r="X175" s="102"/>
      <c r="Y175" s="102"/>
      <c r="Z175" s="102"/>
      <c r="AA175" s="102"/>
      <c r="AB175" s="102"/>
      <c r="AC175" s="102"/>
      <c r="AD175" s="102"/>
      <c r="AE175" s="102"/>
      <c r="AF175" s="102"/>
      <c r="AG175" s="102"/>
      <c r="AH175" s="102"/>
      <c r="AI175" s="102"/>
      <c r="AJ175" s="102"/>
      <c r="AK175" s="102"/>
      <c r="AL175" s="102"/>
      <c r="AM175" s="102"/>
      <c r="AN175" s="102"/>
      <c r="AO175" s="102"/>
      <c r="AP175" s="102"/>
      <c r="AQ175" s="102"/>
      <c r="AR175" s="102"/>
      <c r="AS175" s="102"/>
      <c r="AT175" s="102"/>
      <c r="AU175" s="102"/>
      <c r="AV175" s="102"/>
      <c r="AW175" s="102"/>
      <c r="AY175" s="102"/>
      <c r="AZ175" s="102"/>
      <c r="BA175" s="102"/>
      <c r="BB175" s="102"/>
      <c r="BC175" s="102"/>
      <c r="BD175" s="102"/>
      <c r="BE175" s="102"/>
      <c r="BF175" s="102"/>
      <c r="BG175" s="102"/>
      <c r="BH175" s="102"/>
      <c r="BI175" s="102"/>
      <c r="BJ175" s="102"/>
      <c r="BK175" s="102"/>
      <c r="BL175" s="102"/>
      <c r="BM175" s="102"/>
      <c r="BN175" s="102"/>
    </row>
    <row r="176" spans="2:66" s="64" customFormat="1" ht="15" customHeight="1">
      <c r="B176" s="102"/>
      <c r="C176" s="102"/>
      <c r="D176" s="102"/>
      <c r="E176" s="102"/>
      <c r="F176" s="102"/>
      <c r="G176" s="102"/>
      <c r="H176" s="102"/>
      <c r="I176" s="102"/>
      <c r="J176" s="102"/>
      <c r="K176" s="102"/>
      <c r="L176" s="102"/>
      <c r="M176" s="102"/>
      <c r="N176" s="102"/>
      <c r="O176" s="102"/>
      <c r="P176" s="102"/>
      <c r="Q176" s="102"/>
      <c r="R176" s="102"/>
      <c r="S176" s="102"/>
      <c r="T176" s="102"/>
      <c r="U176" s="102"/>
      <c r="V176" s="102"/>
      <c r="W176" s="102"/>
      <c r="X176" s="102"/>
      <c r="Y176" s="102"/>
      <c r="Z176" s="102"/>
      <c r="AA176" s="102"/>
      <c r="AB176" s="102"/>
      <c r="AC176" s="102"/>
      <c r="AD176" s="102"/>
      <c r="AE176" s="102"/>
      <c r="AF176" s="102"/>
      <c r="AG176" s="102"/>
      <c r="AH176" s="102"/>
      <c r="AI176" s="102"/>
      <c r="AJ176" s="102"/>
      <c r="AK176" s="102"/>
      <c r="AL176" s="102"/>
      <c r="AM176" s="102"/>
      <c r="AN176" s="102"/>
      <c r="AO176" s="102"/>
      <c r="AP176" s="102"/>
      <c r="AQ176" s="102"/>
      <c r="AR176" s="102"/>
      <c r="AS176" s="102"/>
      <c r="AT176" s="102"/>
      <c r="AU176" s="102"/>
      <c r="AV176" s="102"/>
      <c r="AW176" s="102"/>
      <c r="AY176" s="102"/>
      <c r="AZ176" s="102"/>
      <c r="BA176" s="102"/>
      <c r="BB176" s="102"/>
      <c r="BC176" s="102"/>
      <c r="BD176" s="102"/>
      <c r="BE176" s="102"/>
      <c r="BF176" s="102"/>
      <c r="BG176" s="102"/>
      <c r="BH176" s="102"/>
      <c r="BI176" s="102"/>
      <c r="BJ176" s="102"/>
      <c r="BK176" s="102"/>
      <c r="BL176" s="102"/>
      <c r="BM176" s="102"/>
      <c r="BN176" s="102"/>
    </row>
    <row r="177" spans="2:66" s="64" customFormat="1" ht="15" customHeight="1">
      <c r="B177" s="102"/>
      <c r="C177" s="102"/>
      <c r="D177" s="102"/>
      <c r="E177" s="102"/>
      <c r="F177" s="102"/>
      <c r="G177" s="102"/>
      <c r="H177" s="102"/>
      <c r="I177" s="102"/>
      <c r="J177" s="102"/>
      <c r="K177" s="102"/>
      <c r="L177" s="102"/>
      <c r="M177" s="102"/>
      <c r="N177" s="102"/>
      <c r="O177" s="102"/>
      <c r="P177" s="102"/>
      <c r="Q177" s="102"/>
      <c r="R177" s="102"/>
      <c r="S177" s="102"/>
      <c r="T177" s="102"/>
      <c r="U177" s="102"/>
      <c r="V177" s="102"/>
      <c r="W177" s="102"/>
      <c r="X177" s="102"/>
      <c r="Y177" s="102"/>
      <c r="Z177" s="102"/>
      <c r="AA177" s="102"/>
      <c r="AB177" s="102"/>
      <c r="AC177" s="102"/>
      <c r="AD177" s="102"/>
      <c r="AE177" s="102"/>
      <c r="AF177" s="102"/>
      <c r="AG177" s="102"/>
      <c r="AH177" s="102"/>
      <c r="AI177" s="102"/>
      <c r="AJ177" s="102"/>
      <c r="AK177" s="102"/>
      <c r="AL177" s="102"/>
      <c r="AM177" s="102"/>
      <c r="AN177" s="102"/>
      <c r="AO177" s="102"/>
      <c r="AP177" s="102"/>
      <c r="AQ177" s="102"/>
      <c r="AR177" s="102"/>
      <c r="AS177" s="102"/>
      <c r="AT177" s="102"/>
      <c r="AU177" s="102"/>
      <c r="AV177" s="102"/>
      <c r="AW177" s="102"/>
      <c r="AY177" s="102"/>
      <c r="AZ177" s="102"/>
      <c r="BA177" s="102"/>
      <c r="BB177" s="102"/>
      <c r="BC177" s="102"/>
      <c r="BD177" s="102"/>
      <c r="BE177" s="102"/>
      <c r="BF177" s="102"/>
      <c r="BG177" s="102"/>
      <c r="BH177" s="102"/>
      <c r="BI177" s="102"/>
      <c r="BJ177" s="102"/>
      <c r="BK177" s="102"/>
      <c r="BL177" s="102"/>
      <c r="BM177" s="102"/>
      <c r="BN177" s="102"/>
    </row>
    <row r="178" spans="2:66" s="64" customFormat="1" ht="15" customHeight="1">
      <c r="B178" s="102"/>
      <c r="C178" s="102"/>
      <c r="D178" s="102"/>
      <c r="E178" s="102"/>
      <c r="F178" s="102"/>
      <c r="G178" s="102"/>
      <c r="H178" s="102"/>
      <c r="I178" s="102"/>
      <c r="J178" s="102"/>
      <c r="K178" s="102"/>
      <c r="L178" s="102"/>
      <c r="M178" s="102"/>
      <c r="N178" s="102"/>
      <c r="O178" s="102"/>
      <c r="P178" s="102"/>
      <c r="Q178" s="102"/>
      <c r="R178" s="102"/>
      <c r="S178" s="102"/>
      <c r="T178" s="102"/>
      <c r="U178" s="102"/>
      <c r="V178" s="102"/>
      <c r="W178" s="102"/>
      <c r="X178" s="102"/>
      <c r="Y178" s="102"/>
      <c r="Z178" s="102"/>
      <c r="AA178" s="102"/>
      <c r="AB178" s="102"/>
      <c r="AC178" s="102"/>
      <c r="AD178" s="102"/>
      <c r="AE178" s="102"/>
      <c r="AF178" s="102"/>
      <c r="AG178" s="102"/>
      <c r="AH178" s="102"/>
      <c r="AI178" s="102"/>
      <c r="AJ178" s="102"/>
      <c r="AK178" s="102"/>
      <c r="AL178" s="102"/>
      <c r="AM178" s="102"/>
      <c r="AN178" s="102"/>
      <c r="AO178" s="102"/>
      <c r="AP178" s="102"/>
      <c r="AQ178" s="102"/>
      <c r="AR178" s="102"/>
      <c r="AS178" s="102"/>
      <c r="AT178" s="102"/>
      <c r="AU178" s="102"/>
      <c r="AV178" s="102"/>
      <c r="AW178" s="102"/>
      <c r="AY178" s="102"/>
      <c r="AZ178" s="102"/>
      <c r="BA178" s="102"/>
      <c r="BB178" s="102"/>
      <c r="BC178" s="102"/>
      <c r="BD178" s="102"/>
      <c r="BE178" s="102"/>
      <c r="BF178" s="102"/>
      <c r="BG178" s="102"/>
      <c r="BH178" s="102"/>
      <c r="BI178" s="102"/>
      <c r="BJ178" s="102"/>
      <c r="BK178" s="102"/>
      <c r="BL178" s="102"/>
      <c r="BM178" s="102"/>
      <c r="BN178" s="102"/>
    </row>
    <row r="179" spans="2:66" s="64" customFormat="1" ht="15" customHeight="1">
      <c r="B179" s="102"/>
      <c r="C179" s="102"/>
      <c r="D179" s="102"/>
      <c r="E179" s="102"/>
      <c r="F179" s="102"/>
      <c r="G179" s="102"/>
      <c r="H179" s="102"/>
      <c r="I179" s="102"/>
      <c r="J179" s="102"/>
      <c r="K179" s="102"/>
      <c r="L179" s="102"/>
      <c r="M179" s="102"/>
      <c r="N179" s="102"/>
      <c r="O179" s="102"/>
      <c r="P179" s="102"/>
      <c r="Q179" s="102"/>
      <c r="R179" s="102"/>
      <c r="S179" s="102"/>
      <c r="T179" s="102"/>
      <c r="U179" s="102"/>
      <c r="V179" s="102"/>
      <c r="W179" s="102"/>
      <c r="X179" s="102"/>
      <c r="Y179" s="102"/>
      <c r="Z179" s="102"/>
      <c r="AA179" s="102"/>
      <c r="AB179" s="102"/>
      <c r="AC179" s="102"/>
      <c r="AD179" s="102"/>
      <c r="AE179" s="102"/>
      <c r="AF179" s="102"/>
      <c r="AG179" s="102"/>
      <c r="AH179" s="102"/>
      <c r="AI179" s="102"/>
      <c r="AJ179" s="102"/>
      <c r="AK179" s="102"/>
      <c r="AL179" s="102"/>
      <c r="AM179" s="102"/>
      <c r="AN179" s="102"/>
      <c r="AO179" s="102"/>
      <c r="AP179" s="102"/>
      <c r="AQ179" s="102"/>
      <c r="AR179" s="102"/>
      <c r="AS179" s="102"/>
      <c r="AT179" s="102"/>
      <c r="AU179" s="102"/>
      <c r="AV179" s="102"/>
      <c r="AW179" s="102"/>
      <c r="AY179" s="102"/>
      <c r="AZ179" s="102"/>
      <c r="BA179" s="102"/>
      <c r="BB179" s="102"/>
      <c r="BC179" s="102"/>
      <c r="BD179" s="102"/>
      <c r="BE179" s="102"/>
      <c r="BF179" s="102"/>
      <c r="BG179" s="102"/>
      <c r="BH179" s="102"/>
      <c r="BI179" s="102"/>
      <c r="BJ179" s="102"/>
      <c r="BK179" s="102"/>
      <c r="BL179" s="102"/>
      <c r="BM179" s="102"/>
      <c r="BN179" s="102"/>
    </row>
    <row r="180" spans="2:66" s="64" customFormat="1" ht="15" customHeight="1">
      <c r="B180" s="102"/>
      <c r="C180" s="102"/>
      <c r="D180" s="102"/>
      <c r="E180" s="102"/>
      <c r="F180" s="102"/>
      <c r="G180" s="102"/>
      <c r="H180" s="102"/>
      <c r="I180" s="102"/>
      <c r="J180" s="102"/>
      <c r="K180" s="102"/>
      <c r="L180" s="102"/>
      <c r="M180" s="102"/>
      <c r="N180" s="102"/>
      <c r="O180" s="102"/>
      <c r="P180" s="102"/>
      <c r="Q180" s="102"/>
      <c r="R180" s="102"/>
      <c r="S180" s="102"/>
      <c r="T180" s="102"/>
      <c r="U180" s="102"/>
      <c r="V180" s="102"/>
      <c r="W180" s="102"/>
      <c r="X180" s="102"/>
      <c r="Y180" s="102"/>
      <c r="Z180" s="102"/>
      <c r="AA180" s="102"/>
      <c r="AB180" s="102"/>
      <c r="AC180" s="102"/>
      <c r="AD180" s="102"/>
      <c r="AE180" s="102"/>
      <c r="AF180" s="102"/>
      <c r="AG180" s="102"/>
      <c r="AH180" s="102"/>
      <c r="AI180" s="102"/>
      <c r="AJ180" s="102"/>
      <c r="AK180" s="102"/>
      <c r="AL180" s="102"/>
      <c r="AM180" s="102"/>
      <c r="AN180" s="102"/>
      <c r="AO180" s="102"/>
      <c r="AP180" s="102"/>
      <c r="AQ180" s="102"/>
      <c r="AR180" s="102"/>
      <c r="AS180" s="102"/>
      <c r="AT180" s="102"/>
      <c r="AU180" s="102"/>
      <c r="AV180" s="102"/>
      <c r="AW180" s="102"/>
      <c r="AY180" s="102"/>
      <c r="AZ180" s="102"/>
      <c r="BA180" s="102"/>
      <c r="BB180" s="102"/>
      <c r="BC180" s="102"/>
      <c r="BD180" s="102"/>
      <c r="BE180" s="102"/>
      <c r="BF180" s="102"/>
      <c r="BG180" s="102"/>
      <c r="BH180" s="102"/>
      <c r="BI180" s="102"/>
      <c r="BJ180" s="102"/>
      <c r="BK180" s="102"/>
      <c r="BL180" s="102"/>
      <c r="BM180" s="102"/>
      <c r="BN180" s="102"/>
    </row>
    <row r="181" spans="2:66" s="64" customFormat="1" ht="15" customHeight="1">
      <c r="B181" s="102"/>
      <c r="C181" s="102"/>
      <c r="D181" s="102"/>
      <c r="E181" s="102"/>
      <c r="F181" s="102"/>
      <c r="G181" s="102"/>
      <c r="H181" s="102"/>
      <c r="I181" s="102"/>
      <c r="J181" s="102"/>
      <c r="K181" s="102"/>
      <c r="L181" s="102"/>
      <c r="M181" s="102"/>
      <c r="N181" s="102"/>
      <c r="O181" s="102"/>
      <c r="P181" s="102"/>
      <c r="Q181" s="102"/>
      <c r="R181" s="102"/>
      <c r="S181" s="102"/>
      <c r="T181" s="102"/>
      <c r="U181" s="102"/>
      <c r="V181" s="102"/>
      <c r="W181" s="102"/>
      <c r="X181" s="102"/>
      <c r="Y181" s="102"/>
      <c r="Z181" s="102"/>
      <c r="AA181" s="102"/>
      <c r="AB181" s="102"/>
      <c r="AC181" s="102"/>
      <c r="AD181" s="102"/>
      <c r="AE181" s="102"/>
      <c r="AF181" s="102"/>
      <c r="AG181" s="102"/>
      <c r="AH181" s="102"/>
      <c r="AI181" s="102"/>
      <c r="AJ181" s="102"/>
      <c r="AK181" s="102"/>
      <c r="AL181" s="102"/>
      <c r="AM181" s="102"/>
      <c r="AN181" s="102"/>
      <c r="AO181" s="102"/>
      <c r="AP181" s="102"/>
      <c r="AQ181" s="102"/>
      <c r="AR181" s="102"/>
      <c r="AS181" s="102"/>
      <c r="AT181" s="102"/>
      <c r="AU181" s="102"/>
      <c r="AV181" s="102"/>
      <c r="AW181" s="102"/>
      <c r="AY181" s="102"/>
      <c r="AZ181" s="102"/>
      <c r="BA181" s="102"/>
      <c r="BB181" s="102"/>
      <c r="BC181" s="102"/>
      <c r="BD181" s="102"/>
      <c r="BE181" s="102"/>
      <c r="BF181" s="102"/>
      <c r="BG181" s="102"/>
      <c r="BH181" s="102"/>
      <c r="BI181" s="102"/>
      <c r="BJ181" s="102"/>
      <c r="BK181" s="102"/>
      <c r="BL181" s="102"/>
      <c r="BM181" s="102"/>
      <c r="BN181" s="102"/>
    </row>
    <row r="182" spans="2:66" s="64" customFormat="1" ht="15" customHeight="1">
      <c r="B182" s="102"/>
      <c r="C182" s="102"/>
      <c r="D182" s="102"/>
      <c r="E182" s="102"/>
      <c r="F182" s="102"/>
      <c r="G182" s="102"/>
      <c r="H182" s="102"/>
      <c r="I182" s="102"/>
      <c r="J182" s="102"/>
      <c r="K182" s="102"/>
      <c r="L182" s="102"/>
      <c r="M182" s="102"/>
      <c r="N182" s="102"/>
      <c r="O182" s="102"/>
      <c r="P182" s="102"/>
      <c r="Q182" s="102"/>
      <c r="R182" s="102"/>
      <c r="S182" s="102"/>
      <c r="T182" s="102"/>
      <c r="U182" s="102"/>
      <c r="V182" s="102"/>
      <c r="W182" s="102"/>
      <c r="X182" s="102"/>
      <c r="Y182" s="102"/>
      <c r="Z182" s="102"/>
      <c r="AA182" s="102"/>
      <c r="AB182" s="102"/>
      <c r="AC182" s="102"/>
      <c r="AD182" s="102"/>
      <c r="AE182" s="102"/>
      <c r="AF182" s="102"/>
      <c r="AG182" s="102"/>
      <c r="AH182" s="102"/>
      <c r="AI182" s="102"/>
      <c r="AJ182" s="102"/>
      <c r="AK182" s="102"/>
      <c r="AL182" s="102"/>
      <c r="AM182" s="102"/>
      <c r="AN182" s="102"/>
      <c r="AO182" s="102"/>
      <c r="AP182" s="102"/>
      <c r="AQ182" s="102"/>
      <c r="AR182" s="102"/>
      <c r="AS182" s="102"/>
      <c r="AT182" s="102"/>
      <c r="AU182" s="102"/>
      <c r="AV182" s="102"/>
      <c r="AW182" s="102"/>
      <c r="AY182" s="102"/>
      <c r="AZ182" s="102"/>
      <c r="BA182" s="102"/>
      <c r="BB182" s="102"/>
      <c r="BC182" s="102"/>
      <c r="BD182" s="102"/>
      <c r="BE182" s="102"/>
      <c r="BF182" s="102"/>
      <c r="BG182" s="102"/>
      <c r="BH182" s="102"/>
      <c r="BI182" s="102"/>
      <c r="BJ182" s="102"/>
      <c r="BK182" s="102"/>
      <c r="BL182" s="102"/>
      <c r="BM182" s="102"/>
      <c r="BN182" s="102"/>
    </row>
    <row r="183" spans="2:66" s="64" customFormat="1" ht="15" customHeight="1">
      <c r="B183" s="102"/>
      <c r="C183" s="102"/>
      <c r="D183" s="102"/>
      <c r="E183" s="102"/>
      <c r="F183" s="102"/>
      <c r="G183" s="102"/>
      <c r="H183" s="102"/>
      <c r="I183" s="102"/>
      <c r="J183" s="102"/>
      <c r="K183" s="102"/>
      <c r="L183" s="102"/>
      <c r="M183" s="102"/>
      <c r="N183" s="102"/>
      <c r="O183" s="102"/>
      <c r="P183" s="102"/>
      <c r="Q183" s="102"/>
      <c r="R183" s="102"/>
      <c r="S183" s="102"/>
      <c r="T183" s="102"/>
      <c r="U183" s="102"/>
      <c r="V183" s="102"/>
      <c r="W183" s="102"/>
      <c r="X183" s="102"/>
      <c r="Y183" s="102"/>
      <c r="Z183" s="102"/>
      <c r="AA183" s="102"/>
      <c r="AB183" s="102"/>
      <c r="AC183" s="102"/>
      <c r="AD183" s="102"/>
      <c r="AE183" s="102"/>
      <c r="AF183" s="102"/>
      <c r="AG183" s="102"/>
      <c r="AH183" s="102"/>
      <c r="AI183" s="102"/>
      <c r="AJ183" s="102"/>
      <c r="AK183" s="102"/>
      <c r="AL183" s="102"/>
      <c r="AM183" s="102"/>
      <c r="AN183" s="102"/>
      <c r="AO183" s="102"/>
      <c r="AP183" s="102"/>
      <c r="AQ183" s="102"/>
      <c r="AR183" s="102"/>
      <c r="AS183" s="102"/>
      <c r="AT183" s="102"/>
      <c r="AU183" s="102"/>
      <c r="AV183" s="102"/>
      <c r="AW183" s="102"/>
      <c r="AY183" s="102"/>
      <c r="AZ183" s="102"/>
      <c r="BA183" s="102"/>
      <c r="BB183" s="102"/>
      <c r="BC183" s="102"/>
      <c r="BD183" s="102"/>
      <c r="BE183" s="102"/>
      <c r="BF183" s="102"/>
      <c r="BG183" s="102"/>
      <c r="BH183" s="102"/>
      <c r="BI183" s="102"/>
      <c r="BJ183" s="102"/>
      <c r="BK183" s="102"/>
      <c r="BL183" s="102"/>
      <c r="BM183" s="102"/>
      <c r="BN183" s="102"/>
    </row>
    <row r="184" spans="2:66" s="64" customFormat="1" ht="15" customHeight="1">
      <c r="B184" s="102"/>
      <c r="C184" s="102"/>
      <c r="D184" s="102"/>
      <c r="E184" s="102"/>
      <c r="F184" s="102"/>
      <c r="G184" s="102"/>
      <c r="H184" s="102"/>
      <c r="I184" s="102"/>
      <c r="J184" s="102"/>
      <c r="K184" s="102"/>
      <c r="L184" s="102"/>
      <c r="M184" s="102"/>
      <c r="N184" s="102"/>
      <c r="O184" s="102"/>
      <c r="P184" s="102"/>
      <c r="Q184" s="102"/>
      <c r="R184" s="102"/>
      <c r="S184" s="102"/>
      <c r="T184" s="102"/>
      <c r="U184" s="102"/>
      <c r="V184" s="102"/>
      <c r="W184" s="102"/>
      <c r="X184" s="102"/>
      <c r="Y184" s="102"/>
      <c r="Z184" s="102"/>
      <c r="AA184" s="102"/>
      <c r="AB184" s="102"/>
      <c r="AC184" s="102"/>
      <c r="AD184" s="102"/>
      <c r="AE184" s="102"/>
      <c r="AF184" s="102"/>
      <c r="AG184" s="102"/>
      <c r="AH184" s="102"/>
      <c r="AI184" s="102"/>
      <c r="AJ184" s="102"/>
      <c r="AK184" s="102"/>
      <c r="AL184" s="102"/>
      <c r="AM184" s="102"/>
      <c r="AN184" s="102"/>
      <c r="AO184" s="102"/>
      <c r="AP184" s="102"/>
      <c r="AQ184" s="102"/>
      <c r="AR184" s="102"/>
      <c r="AS184" s="102"/>
      <c r="AT184" s="102"/>
      <c r="AU184" s="102"/>
      <c r="AV184" s="102"/>
      <c r="AW184" s="102"/>
      <c r="AY184" s="102"/>
      <c r="AZ184" s="102"/>
      <c r="BA184" s="102"/>
      <c r="BB184" s="102"/>
      <c r="BC184" s="102"/>
      <c r="BD184" s="102"/>
      <c r="BE184" s="102"/>
      <c r="BF184" s="102"/>
      <c r="BG184" s="102"/>
      <c r="BH184" s="102"/>
      <c r="BI184" s="102"/>
      <c r="BJ184" s="102"/>
      <c r="BK184" s="102"/>
      <c r="BL184" s="102"/>
      <c r="BM184" s="102"/>
      <c r="BN184" s="102"/>
    </row>
    <row r="185" spans="2:66" s="64" customFormat="1" ht="15" customHeight="1">
      <c r="B185" s="102"/>
      <c r="C185" s="102"/>
      <c r="D185" s="102"/>
      <c r="E185" s="102"/>
      <c r="F185" s="102"/>
      <c r="G185" s="102"/>
      <c r="H185" s="102"/>
      <c r="I185" s="102"/>
      <c r="J185" s="102"/>
      <c r="K185" s="102"/>
      <c r="L185" s="102"/>
      <c r="M185" s="102"/>
      <c r="N185" s="102"/>
      <c r="O185" s="102"/>
      <c r="P185" s="102"/>
      <c r="Q185" s="102"/>
      <c r="R185" s="102"/>
      <c r="S185" s="102"/>
      <c r="T185" s="102"/>
      <c r="U185" s="102"/>
      <c r="V185" s="102"/>
      <c r="W185" s="102"/>
      <c r="X185" s="102"/>
      <c r="Y185" s="102"/>
      <c r="Z185" s="102"/>
      <c r="AA185" s="102"/>
      <c r="AB185" s="102"/>
      <c r="AC185" s="102"/>
      <c r="AD185" s="102"/>
      <c r="AE185" s="102"/>
      <c r="AF185" s="102"/>
      <c r="AG185" s="102"/>
      <c r="AH185" s="102"/>
      <c r="AI185" s="102"/>
      <c r="AJ185" s="102"/>
      <c r="AK185" s="102"/>
      <c r="AL185" s="102"/>
      <c r="AM185" s="102"/>
      <c r="AN185" s="102"/>
      <c r="AO185" s="102"/>
      <c r="AP185" s="102"/>
      <c r="AQ185" s="102"/>
      <c r="AR185" s="102"/>
      <c r="AS185" s="102"/>
      <c r="AT185" s="102"/>
      <c r="AU185" s="102"/>
      <c r="AV185" s="102"/>
      <c r="AW185" s="102"/>
      <c r="AY185" s="102"/>
      <c r="AZ185" s="102"/>
      <c r="BA185" s="102"/>
      <c r="BB185" s="102"/>
      <c r="BC185" s="102"/>
      <c r="BD185" s="102"/>
      <c r="BE185" s="102"/>
      <c r="BF185" s="102"/>
      <c r="BG185" s="102"/>
      <c r="BH185" s="102"/>
      <c r="BI185" s="102"/>
      <c r="BJ185" s="102"/>
      <c r="BK185" s="102"/>
      <c r="BL185" s="102"/>
      <c r="BM185" s="102"/>
      <c r="BN185" s="102"/>
    </row>
    <row r="186" spans="2:66" s="64" customFormat="1" ht="15" customHeight="1">
      <c r="B186" s="102"/>
      <c r="C186" s="102"/>
      <c r="D186" s="102"/>
      <c r="E186" s="102"/>
      <c r="F186" s="102"/>
      <c r="G186" s="102"/>
      <c r="H186" s="102"/>
      <c r="I186" s="102"/>
      <c r="J186" s="102"/>
      <c r="K186" s="102"/>
      <c r="L186" s="102"/>
      <c r="M186" s="102"/>
      <c r="N186" s="102"/>
      <c r="O186" s="102"/>
      <c r="P186" s="102"/>
      <c r="Q186" s="102"/>
      <c r="R186" s="102"/>
      <c r="S186" s="102"/>
      <c r="T186" s="102"/>
      <c r="U186" s="102"/>
      <c r="V186" s="102"/>
      <c r="W186" s="102"/>
      <c r="X186" s="102"/>
      <c r="Y186" s="102"/>
      <c r="Z186" s="102"/>
      <c r="AA186" s="102"/>
      <c r="AB186" s="102"/>
      <c r="AC186" s="102"/>
      <c r="AD186" s="102"/>
      <c r="AE186" s="102"/>
      <c r="AF186" s="102"/>
      <c r="AG186" s="102"/>
      <c r="AH186" s="102"/>
      <c r="AI186" s="102"/>
      <c r="AJ186" s="102"/>
      <c r="AK186" s="102"/>
      <c r="AL186" s="102"/>
      <c r="AM186" s="102"/>
      <c r="AN186" s="102"/>
      <c r="AO186" s="102"/>
      <c r="AP186" s="102"/>
      <c r="AQ186" s="102"/>
      <c r="AR186" s="102"/>
      <c r="AS186" s="102"/>
      <c r="AT186" s="102"/>
      <c r="AU186" s="102"/>
      <c r="AV186" s="102"/>
      <c r="AW186" s="102"/>
      <c r="AY186" s="102"/>
      <c r="AZ186" s="102"/>
      <c r="BA186" s="102"/>
      <c r="BB186" s="102"/>
      <c r="BC186" s="102"/>
      <c r="BD186" s="102"/>
      <c r="BE186" s="102"/>
      <c r="BF186" s="102"/>
      <c r="BG186" s="102"/>
      <c r="BH186" s="102"/>
      <c r="BI186" s="102"/>
      <c r="BJ186" s="102"/>
      <c r="BK186" s="102"/>
      <c r="BL186" s="102"/>
      <c r="BM186" s="102"/>
      <c r="BN186" s="102"/>
    </row>
    <row r="187" spans="2:66" s="64" customFormat="1" ht="15" customHeight="1">
      <c r="B187" s="102"/>
      <c r="C187" s="102"/>
      <c r="D187" s="102"/>
      <c r="E187" s="102"/>
      <c r="F187" s="102"/>
      <c r="G187" s="102"/>
      <c r="H187" s="102"/>
      <c r="I187" s="102"/>
      <c r="J187" s="102"/>
      <c r="K187" s="102"/>
      <c r="L187" s="102"/>
      <c r="M187" s="102"/>
      <c r="N187" s="102"/>
      <c r="O187" s="102"/>
      <c r="P187" s="102"/>
      <c r="Q187" s="102"/>
      <c r="R187" s="102"/>
      <c r="S187" s="102"/>
      <c r="T187" s="102"/>
      <c r="U187" s="102"/>
      <c r="V187" s="102"/>
      <c r="W187" s="102"/>
      <c r="X187" s="102"/>
      <c r="Y187" s="102"/>
      <c r="Z187" s="102"/>
      <c r="AA187" s="102"/>
      <c r="AB187" s="102"/>
      <c r="AC187" s="102"/>
      <c r="AD187" s="102"/>
      <c r="AE187" s="102"/>
      <c r="AF187" s="102"/>
      <c r="AG187" s="102"/>
      <c r="AH187" s="102"/>
      <c r="AI187" s="102"/>
      <c r="AJ187" s="102"/>
      <c r="AK187" s="102"/>
      <c r="AL187" s="102"/>
      <c r="AM187" s="102"/>
      <c r="AN187" s="102"/>
      <c r="AO187" s="102"/>
      <c r="AP187" s="102"/>
      <c r="AQ187" s="102"/>
      <c r="AR187" s="102"/>
      <c r="AS187" s="102"/>
      <c r="AT187" s="102"/>
      <c r="AU187" s="102"/>
      <c r="AV187" s="102"/>
      <c r="AW187" s="102"/>
      <c r="AY187" s="102"/>
      <c r="AZ187" s="102"/>
      <c r="BA187" s="102"/>
      <c r="BB187" s="102"/>
      <c r="BC187" s="102"/>
      <c r="BD187" s="102"/>
      <c r="BE187" s="102"/>
      <c r="BF187" s="102"/>
      <c r="BG187" s="102"/>
      <c r="BH187" s="102"/>
      <c r="BI187" s="102"/>
      <c r="BJ187" s="102"/>
      <c r="BK187" s="102"/>
      <c r="BL187" s="102"/>
      <c r="BM187" s="102"/>
      <c r="BN187" s="102"/>
    </row>
    <row r="188" spans="2:66" s="64" customFormat="1" ht="15" customHeight="1">
      <c r="B188" s="102"/>
      <c r="C188" s="102"/>
      <c r="D188" s="102"/>
      <c r="E188" s="102"/>
      <c r="F188" s="102"/>
      <c r="G188" s="102"/>
      <c r="H188" s="102"/>
      <c r="I188" s="102"/>
      <c r="J188" s="102"/>
      <c r="K188" s="102"/>
      <c r="L188" s="102"/>
      <c r="M188" s="102"/>
      <c r="N188" s="102"/>
      <c r="O188" s="102"/>
      <c r="P188" s="102"/>
      <c r="Q188" s="102"/>
      <c r="R188" s="102"/>
      <c r="S188" s="102"/>
      <c r="T188" s="102"/>
      <c r="U188" s="102"/>
      <c r="V188" s="102"/>
      <c r="W188" s="102"/>
      <c r="X188" s="102"/>
      <c r="Y188" s="102"/>
      <c r="Z188" s="102"/>
      <c r="AA188" s="102"/>
      <c r="AB188" s="102"/>
      <c r="AC188" s="102"/>
      <c r="AD188" s="102"/>
      <c r="AE188" s="102"/>
      <c r="AF188" s="102"/>
      <c r="AG188" s="102"/>
      <c r="AH188" s="102"/>
      <c r="AI188" s="102"/>
      <c r="AJ188" s="102"/>
      <c r="AK188" s="102"/>
      <c r="AL188" s="102"/>
      <c r="AM188" s="102"/>
      <c r="AN188" s="102"/>
      <c r="AO188" s="102"/>
      <c r="AP188" s="102"/>
      <c r="AQ188" s="102"/>
      <c r="AR188" s="102"/>
      <c r="AS188" s="102"/>
      <c r="AT188" s="102"/>
      <c r="AU188" s="102"/>
      <c r="AV188" s="102"/>
      <c r="AW188" s="102"/>
      <c r="AY188" s="102"/>
      <c r="AZ188" s="102"/>
      <c r="BA188" s="102"/>
      <c r="BB188" s="102"/>
      <c r="BC188" s="102"/>
      <c r="BD188" s="102"/>
      <c r="BE188" s="102"/>
      <c r="BF188" s="102"/>
      <c r="BG188" s="102"/>
      <c r="BH188" s="102"/>
      <c r="BI188" s="102"/>
      <c r="BJ188" s="102"/>
      <c r="BK188" s="102"/>
      <c r="BL188" s="102"/>
      <c r="BM188" s="102"/>
      <c r="BN188" s="102"/>
    </row>
    <row r="189" spans="2:66" s="64" customFormat="1" ht="15" customHeight="1">
      <c r="B189" s="102"/>
      <c r="C189" s="102"/>
      <c r="D189" s="102"/>
      <c r="E189" s="102"/>
      <c r="F189" s="102"/>
      <c r="G189" s="102"/>
      <c r="H189" s="102"/>
      <c r="I189" s="102"/>
      <c r="J189" s="102"/>
      <c r="K189" s="102"/>
      <c r="L189" s="102"/>
      <c r="M189" s="102"/>
      <c r="N189" s="102"/>
      <c r="O189" s="102"/>
      <c r="P189" s="102"/>
      <c r="Q189" s="102"/>
      <c r="R189" s="102"/>
      <c r="S189" s="102"/>
      <c r="T189" s="102"/>
      <c r="U189" s="102"/>
      <c r="V189" s="102"/>
      <c r="W189" s="102"/>
      <c r="X189" s="102"/>
      <c r="Y189" s="102"/>
      <c r="Z189" s="102"/>
      <c r="AA189" s="102"/>
      <c r="AB189" s="102"/>
      <c r="AC189" s="102"/>
      <c r="AD189" s="102"/>
      <c r="AE189" s="102"/>
      <c r="AF189" s="102"/>
      <c r="AG189" s="102"/>
      <c r="AH189" s="102"/>
      <c r="AI189" s="102"/>
      <c r="AJ189" s="102"/>
      <c r="AK189" s="102"/>
      <c r="AL189" s="102"/>
      <c r="AM189" s="102"/>
      <c r="AN189" s="102"/>
      <c r="AO189" s="102"/>
      <c r="AP189" s="102"/>
      <c r="AQ189" s="102"/>
      <c r="AR189" s="102"/>
      <c r="AS189" s="102"/>
      <c r="AT189" s="102"/>
      <c r="AU189" s="102"/>
      <c r="AV189" s="102"/>
      <c r="AW189" s="102"/>
      <c r="AY189" s="102"/>
      <c r="AZ189" s="102"/>
      <c r="BA189" s="102"/>
      <c r="BB189" s="102"/>
      <c r="BC189" s="102"/>
      <c r="BD189" s="102"/>
      <c r="BE189" s="102"/>
      <c r="BF189" s="102"/>
      <c r="BG189" s="102"/>
      <c r="BH189" s="102"/>
      <c r="BI189" s="102"/>
      <c r="BJ189" s="102"/>
      <c r="BK189" s="102"/>
      <c r="BL189" s="102"/>
      <c r="BM189" s="102"/>
      <c r="BN189" s="102"/>
    </row>
    <row r="190" spans="2:66" s="64" customFormat="1" ht="15" customHeight="1">
      <c r="B190" s="102"/>
      <c r="C190" s="102"/>
      <c r="D190" s="102"/>
      <c r="E190" s="102"/>
      <c r="F190" s="102"/>
      <c r="G190" s="102"/>
      <c r="H190" s="102"/>
      <c r="I190" s="102"/>
      <c r="J190" s="102"/>
      <c r="K190" s="102"/>
      <c r="L190" s="102"/>
      <c r="M190" s="102"/>
      <c r="N190" s="102"/>
      <c r="O190" s="102"/>
      <c r="P190" s="102"/>
      <c r="Q190" s="102"/>
      <c r="R190" s="102"/>
      <c r="S190" s="102"/>
      <c r="T190" s="102"/>
      <c r="U190" s="102"/>
      <c r="V190" s="102"/>
      <c r="W190" s="102"/>
      <c r="X190" s="102"/>
      <c r="Y190" s="102"/>
      <c r="Z190" s="102"/>
      <c r="AA190" s="102"/>
      <c r="AB190" s="102"/>
      <c r="AC190" s="102"/>
      <c r="AD190" s="102"/>
      <c r="AE190" s="102"/>
      <c r="AF190" s="102"/>
      <c r="AG190" s="102"/>
      <c r="AH190" s="102"/>
      <c r="AI190" s="102"/>
      <c r="AJ190" s="102"/>
      <c r="AK190" s="102"/>
      <c r="AL190" s="102"/>
      <c r="AM190" s="102"/>
      <c r="AN190" s="102"/>
      <c r="AO190" s="102"/>
      <c r="AP190" s="102"/>
      <c r="AQ190" s="102"/>
      <c r="AR190" s="102"/>
      <c r="AS190" s="102"/>
      <c r="AT190" s="102"/>
      <c r="AU190" s="102"/>
      <c r="AV190" s="102"/>
      <c r="AW190" s="102"/>
      <c r="AY190" s="102"/>
      <c r="AZ190" s="102"/>
      <c r="BA190" s="102"/>
      <c r="BB190" s="102"/>
      <c r="BC190" s="102"/>
      <c r="BD190" s="102"/>
      <c r="BE190" s="102"/>
      <c r="BF190" s="102"/>
      <c r="BG190" s="102"/>
      <c r="BH190" s="102"/>
      <c r="BI190" s="102"/>
      <c r="BJ190" s="102"/>
      <c r="BK190" s="102"/>
      <c r="BL190" s="102"/>
      <c r="BM190" s="102"/>
      <c r="BN190" s="102"/>
    </row>
    <row r="191" spans="2:66" s="64" customFormat="1" ht="15" customHeight="1">
      <c r="B191" s="102"/>
      <c r="C191" s="102"/>
      <c r="D191" s="102"/>
      <c r="E191" s="102"/>
      <c r="F191" s="102"/>
      <c r="G191" s="102"/>
      <c r="H191" s="102"/>
      <c r="I191" s="102"/>
      <c r="J191" s="102"/>
      <c r="K191" s="102"/>
      <c r="L191" s="102"/>
      <c r="M191" s="102"/>
      <c r="N191" s="102"/>
      <c r="O191" s="102"/>
      <c r="P191" s="102"/>
      <c r="Q191" s="102"/>
      <c r="R191" s="102"/>
      <c r="S191" s="102"/>
      <c r="T191" s="102"/>
      <c r="U191" s="102"/>
      <c r="V191" s="102"/>
      <c r="W191" s="102"/>
      <c r="X191" s="102"/>
      <c r="Y191" s="102"/>
      <c r="Z191" s="102"/>
      <c r="AA191" s="102"/>
      <c r="AB191" s="102"/>
      <c r="AC191" s="102"/>
      <c r="AD191" s="102"/>
      <c r="AE191" s="102"/>
      <c r="AF191" s="102"/>
      <c r="AG191" s="102"/>
      <c r="AH191" s="102"/>
      <c r="AI191" s="102"/>
      <c r="AJ191" s="102"/>
      <c r="AK191" s="102"/>
      <c r="AL191" s="102"/>
      <c r="AM191" s="102"/>
      <c r="AN191" s="102"/>
      <c r="AO191" s="102"/>
      <c r="AP191" s="102"/>
      <c r="AQ191" s="102"/>
      <c r="AR191" s="102"/>
      <c r="AS191" s="102"/>
      <c r="AT191" s="102"/>
      <c r="AU191" s="102"/>
      <c r="AV191" s="102"/>
      <c r="AW191" s="102"/>
      <c r="AY191" s="102"/>
      <c r="AZ191" s="102"/>
      <c r="BA191" s="102"/>
      <c r="BB191" s="102"/>
      <c r="BC191" s="102"/>
      <c r="BD191" s="102"/>
      <c r="BE191" s="102"/>
      <c r="BF191" s="102"/>
      <c r="BG191" s="102"/>
      <c r="BH191" s="102"/>
      <c r="BI191" s="102"/>
      <c r="BJ191" s="102"/>
      <c r="BK191" s="102"/>
      <c r="BL191" s="102"/>
      <c r="BM191" s="102"/>
      <c r="BN191" s="102"/>
    </row>
    <row r="192" spans="2:66" s="64" customFormat="1" ht="15" customHeight="1">
      <c r="B192" s="102"/>
      <c r="C192" s="102"/>
      <c r="D192" s="102"/>
      <c r="E192" s="102"/>
      <c r="F192" s="102"/>
      <c r="G192" s="102"/>
      <c r="H192" s="102"/>
      <c r="I192" s="102"/>
      <c r="J192" s="102"/>
      <c r="K192" s="102"/>
      <c r="L192" s="102"/>
      <c r="M192" s="102"/>
      <c r="N192" s="102"/>
      <c r="O192" s="102"/>
      <c r="P192" s="102"/>
      <c r="Q192" s="102"/>
      <c r="R192" s="102"/>
      <c r="S192" s="102"/>
      <c r="T192" s="102"/>
      <c r="U192" s="102"/>
      <c r="V192" s="102"/>
      <c r="W192" s="102"/>
      <c r="X192" s="102"/>
      <c r="Y192" s="102"/>
      <c r="Z192" s="102"/>
      <c r="AA192" s="102"/>
      <c r="AB192" s="102"/>
      <c r="AC192" s="102"/>
      <c r="AD192" s="102"/>
      <c r="AE192" s="102"/>
      <c r="AF192" s="102"/>
      <c r="AG192" s="102"/>
      <c r="AH192" s="102"/>
      <c r="AI192" s="102"/>
      <c r="AJ192" s="102"/>
      <c r="AK192" s="102"/>
      <c r="AL192" s="102"/>
      <c r="AM192" s="102"/>
      <c r="AN192" s="102"/>
      <c r="AO192" s="102"/>
      <c r="AP192" s="102"/>
      <c r="AQ192" s="102"/>
      <c r="AR192" s="102"/>
      <c r="AS192" s="102"/>
      <c r="AT192" s="102"/>
      <c r="AU192" s="102"/>
      <c r="AV192" s="102"/>
      <c r="AW192" s="102"/>
      <c r="AY192" s="102"/>
      <c r="AZ192" s="102"/>
      <c r="BA192" s="102"/>
      <c r="BB192" s="102"/>
      <c r="BC192" s="102"/>
      <c r="BD192" s="102"/>
      <c r="BE192" s="102"/>
      <c r="BF192" s="102"/>
      <c r="BG192" s="102"/>
      <c r="BH192" s="102"/>
      <c r="BI192" s="102"/>
      <c r="BJ192" s="102"/>
      <c r="BK192" s="102"/>
      <c r="BL192" s="102"/>
      <c r="BM192" s="102"/>
      <c r="BN192" s="102"/>
    </row>
    <row r="193" spans="2:66" s="64" customFormat="1" ht="15" customHeight="1">
      <c r="B193" s="102"/>
      <c r="C193" s="102"/>
      <c r="D193" s="102"/>
      <c r="E193" s="102"/>
      <c r="F193" s="102"/>
      <c r="G193" s="102"/>
      <c r="H193" s="102"/>
      <c r="I193" s="102"/>
      <c r="J193" s="102"/>
      <c r="K193" s="102"/>
      <c r="L193" s="102"/>
      <c r="M193" s="102"/>
      <c r="N193" s="102"/>
      <c r="O193" s="102"/>
      <c r="P193" s="102"/>
      <c r="Q193" s="102"/>
      <c r="R193" s="102"/>
      <c r="S193" s="102"/>
      <c r="T193" s="102"/>
      <c r="U193" s="102"/>
      <c r="V193" s="102"/>
      <c r="W193" s="102"/>
      <c r="X193" s="102"/>
      <c r="Y193" s="102"/>
      <c r="Z193" s="102"/>
      <c r="AA193" s="102"/>
      <c r="AB193" s="102"/>
      <c r="AC193" s="102"/>
      <c r="AD193" s="102"/>
      <c r="AE193" s="102"/>
      <c r="AF193" s="102"/>
      <c r="AG193" s="102"/>
      <c r="AH193" s="102"/>
      <c r="AI193" s="102"/>
      <c r="AJ193" s="102"/>
      <c r="AK193" s="102"/>
      <c r="AL193" s="102"/>
      <c r="AM193" s="102"/>
      <c r="AN193" s="102"/>
      <c r="AO193" s="102"/>
      <c r="AP193" s="102"/>
      <c r="AQ193" s="102"/>
      <c r="AR193" s="102"/>
      <c r="AS193" s="102"/>
      <c r="AT193" s="102"/>
      <c r="AU193" s="102"/>
      <c r="AV193" s="102"/>
      <c r="AW193" s="102"/>
      <c r="AY193" s="102"/>
      <c r="AZ193" s="102"/>
      <c r="BA193" s="102"/>
      <c r="BB193" s="102"/>
      <c r="BC193" s="102"/>
      <c r="BD193" s="102"/>
      <c r="BE193" s="102"/>
      <c r="BF193" s="102"/>
      <c r="BG193" s="102"/>
      <c r="BH193" s="102"/>
      <c r="BI193" s="102"/>
      <c r="BJ193" s="102"/>
      <c r="BK193" s="102"/>
      <c r="BL193" s="102"/>
      <c r="BM193" s="102"/>
      <c r="BN193" s="102"/>
    </row>
    <row r="194" spans="2:66" s="64" customFormat="1" ht="15" customHeight="1">
      <c r="B194" s="102"/>
      <c r="C194" s="102"/>
      <c r="D194" s="102"/>
      <c r="E194" s="102"/>
      <c r="F194" s="102"/>
      <c r="G194" s="102"/>
      <c r="H194" s="102"/>
      <c r="I194" s="102"/>
      <c r="J194" s="102"/>
      <c r="K194" s="102"/>
      <c r="L194" s="102"/>
      <c r="M194" s="102"/>
      <c r="N194" s="102"/>
      <c r="O194" s="102"/>
      <c r="P194" s="102"/>
      <c r="Q194" s="102"/>
      <c r="R194" s="102"/>
      <c r="S194" s="102"/>
      <c r="T194" s="102"/>
      <c r="U194" s="102"/>
      <c r="V194" s="102"/>
      <c r="W194" s="102"/>
      <c r="X194" s="102"/>
      <c r="Y194" s="102"/>
      <c r="Z194" s="102"/>
      <c r="AA194" s="102"/>
      <c r="AB194" s="102"/>
      <c r="AC194" s="102"/>
      <c r="AD194" s="102"/>
      <c r="AE194" s="102"/>
      <c r="AF194" s="102"/>
      <c r="AG194" s="102"/>
      <c r="AH194" s="102"/>
      <c r="AI194" s="102"/>
      <c r="AJ194" s="102"/>
      <c r="AK194" s="102"/>
      <c r="AL194" s="102"/>
      <c r="AM194" s="102"/>
      <c r="AN194" s="102"/>
      <c r="AO194" s="102"/>
      <c r="AP194" s="102"/>
      <c r="AQ194" s="102"/>
      <c r="AR194" s="102"/>
      <c r="AS194" s="102"/>
      <c r="AT194" s="102"/>
      <c r="AU194" s="102"/>
      <c r="AV194" s="102"/>
      <c r="AW194" s="102"/>
      <c r="AY194" s="102"/>
      <c r="AZ194" s="102"/>
      <c r="BA194" s="102"/>
      <c r="BB194" s="102"/>
      <c r="BC194" s="102"/>
      <c r="BD194" s="102"/>
      <c r="BE194" s="102"/>
      <c r="BF194" s="102"/>
      <c r="BG194" s="102"/>
      <c r="BH194" s="102"/>
      <c r="BI194" s="102"/>
      <c r="BJ194" s="102"/>
      <c r="BK194" s="102"/>
      <c r="BL194" s="102"/>
      <c r="BM194" s="102"/>
      <c r="BN194" s="102"/>
    </row>
    <row r="195" spans="2:66" s="64" customFormat="1" ht="15" customHeight="1">
      <c r="B195" s="102"/>
      <c r="C195" s="102"/>
      <c r="D195" s="102"/>
      <c r="E195" s="102"/>
      <c r="F195" s="102"/>
      <c r="G195" s="102"/>
      <c r="H195" s="102"/>
      <c r="I195" s="102"/>
      <c r="J195" s="102"/>
      <c r="K195" s="102"/>
      <c r="L195" s="102"/>
      <c r="M195" s="102"/>
      <c r="N195" s="102"/>
      <c r="O195" s="102"/>
      <c r="P195" s="102"/>
      <c r="Q195" s="102"/>
      <c r="R195" s="102"/>
      <c r="S195" s="102"/>
      <c r="T195" s="102"/>
      <c r="U195" s="102"/>
      <c r="V195" s="102"/>
      <c r="W195" s="102"/>
      <c r="X195" s="102"/>
      <c r="Y195" s="102"/>
      <c r="Z195" s="102"/>
      <c r="AA195" s="102"/>
      <c r="AB195" s="102"/>
      <c r="AC195" s="102"/>
      <c r="AD195" s="102"/>
      <c r="AE195" s="102"/>
      <c r="AF195" s="102"/>
      <c r="AG195" s="102"/>
      <c r="AH195" s="102"/>
      <c r="AI195" s="102"/>
      <c r="AJ195" s="102"/>
      <c r="AK195" s="102"/>
      <c r="AL195" s="102"/>
      <c r="AM195" s="102"/>
      <c r="AN195" s="102"/>
      <c r="AO195" s="102"/>
      <c r="AP195" s="102"/>
      <c r="AQ195" s="102"/>
      <c r="AR195" s="102"/>
      <c r="AS195" s="102"/>
      <c r="AT195" s="102"/>
      <c r="AU195" s="102"/>
      <c r="AV195" s="102"/>
      <c r="AW195" s="102"/>
      <c r="AY195" s="102"/>
      <c r="AZ195" s="102"/>
      <c r="BA195" s="102"/>
      <c r="BB195" s="102"/>
      <c r="BC195" s="102"/>
      <c r="BD195" s="102"/>
      <c r="BE195" s="102"/>
      <c r="BF195" s="102"/>
      <c r="BG195" s="102"/>
      <c r="BH195" s="102"/>
      <c r="BI195" s="102"/>
      <c r="BJ195" s="102"/>
      <c r="BK195" s="102"/>
      <c r="BL195" s="102"/>
      <c r="BM195" s="102"/>
      <c r="BN195" s="102"/>
    </row>
    <row r="196" spans="2:66" s="64" customFormat="1" ht="15" customHeight="1">
      <c r="B196" s="102"/>
      <c r="C196" s="102"/>
      <c r="D196" s="102"/>
      <c r="E196" s="102"/>
      <c r="F196" s="102"/>
      <c r="G196" s="102"/>
      <c r="H196" s="102"/>
      <c r="I196" s="102"/>
      <c r="J196" s="102"/>
      <c r="K196" s="102"/>
      <c r="L196" s="102"/>
      <c r="M196" s="102"/>
      <c r="N196" s="102"/>
      <c r="O196" s="102"/>
      <c r="P196" s="102"/>
      <c r="Q196" s="102"/>
      <c r="R196" s="102"/>
      <c r="S196" s="102"/>
      <c r="T196" s="102"/>
      <c r="U196" s="102"/>
      <c r="V196" s="102"/>
      <c r="W196" s="102"/>
      <c r="X196" s="102"/>
      <c r="Y196" s="102"/>
      <c r="Z196" s="102"/>
      <c r="AA196" s="102"/>
      <c r="AB196" s="102"/>
      <c r="AC196" s="102"/>
      <c r="AD196" s="102"/>
      <c r="AE196" s="102"/>
      <c r="AF196" s="102"/>
      <c r="AG196" s="102"/>
      <c r="AH196" s="102"/>
      <c r="AI196" s="102"/>
      <c r="AJ196" s="102"/>
      <c r="AK196" s="102"/>
      <c r="AL196" s="102"/>
      <c r="AM196" s="102"/>
      <c r="AN196" s="102"/>
      <c r="AO196" s="102"/>
      <c r="AP196" s="102"/>
      <c r="AQ196" s="102"/>
      <c r="AR196" s="102"/>
      <c r="AS196" s="102"/>
      <c r="AT196" s="102"/>
      <c r="AU196" s="102"/>
      <c r="AV196" s="102"/>
      <c r="AW196" s="102"/>
      <c r="AY196" s="102"/>
      <c r="AZ196" s="102"/>
      <c r="BA196" s="102"/>
      <c r="BB196" s="102"/>
      <c r="BC196" s="102"/>
      <c r="BD196" s="102"/>
      <c r="BE196" s="102"/>
      <c r="BF196" s="102"/>
      <c r="BG196" s="102"/>
      <c r="BH196" s="102"/>
      <c r="BI196" s="102"/>
      <c r="BJ196" s="102"/>
      <c r="BK196" s="102"/>
      <c r="BL196" s="102"/>
      <c r="BM196" s="102"/>
      <c r="BN196" s="102"/>
    </row>
    <row r="197" spans="2:66" s="64" customFormat="1" ht="15" customHeight="1">
      <c r="B197" s="102"/>
      <c r="C197" s="102"/>
      <c r="D197" s="102"/>
      <c r="E197" s="102"/>
      <c r="F197" s="102"/>
      <c r="G197" s="102"/>
      <c r="H197" s="102"/>
      <c r="I197" s="102"/>
      <c r="J197" s="102"/>
      <c r="K197" s="102"/>
      <c r="L197" s="102"/>
      <c r="M197" s="102"/>
      <c r="N197" s="102"/>
      <c r="O197" s="102"/>
      <c r="P197" s="102"/>
      <c r="Q197" s="102"/>
      <c r="R197" s="102"/>
      <c r="S197" s="102"/>
      <c r="T197" s="102"/>
      <c r="U197" s="102"/>
      <c r="V197" s="102"/>
      <c r="W197" s="102"/>
      <c r="X197" s="102"/>
      <c r="Y197" s="102"/>
      <c r="Z197" s="102"/>
      <c r="AA197" s="102"/>
      <c r="AB197" s="102"/>
      <c r="AC197" s="102"/>
      <c r="AD197" s="102"/>
      <c r="AE197" s="102"/>
      <c r="AF197" s="102"/>
      <c r="AG197" s="102"/>
      <c r="AH197" s="102"/>
      <c r="AI197" s="102"/>
      <c r="AJ197" s="102"/>
      <c r="AK197" s="102"/>
      <c r="AL197" s="102"/>
      <c r="AM197" s="102"/>
      <c r="AN197" s="102"/>
      <c r="AO197" s="102"/>
      <c r="AP197" s="102"/>
      <c r="AQ197" s="102"/>
      <c r="AR197" s="102"/>
      <c r="AS197" s="102"/>
      <c r="AT197" s="102"/>
      <c r="AU197" s="102"/>
      <c r="AV197" s="102"/>
      <c r="AW197" s="102"/>
      <c r="AY197" s="102"/>
      <c r="AZ197" s="102"/>
      <c r="BA197" s="102"/>
      <c r="BB197" s="102"/>
      <c r="BC197" s="102"/>
      <c r="BD197" s="102"/>
      <c r="BE197" s="102"/>
      <c r="BF197" s="102"/>
      <c r="BG197" s="102"/>
      <c r="BH197" s="102"/>
      <c r="BI197" s="102"/>
      <c r="BJ197" s="102"/>
      <c r="BK197" s="102"/>
      <c r="BL197" s="102"/>
      <c r="BM197" s="102"/>
      <c r="BN197" s="102"/>
    </row>
    <row r="198" spans="2:66" s="64" customFormat="1" ht="15" customHeight="1">
      <c r="B198" s="102"/>
      <c r="C198" s="102"/>
      <c r="D198" s="102"/>
      <c r="E198" s="102"/>
      <c r="F198" s="102"/>
      <c r="G198" s="102"/>
      <c r="H198" s="102"/>
      <c r="I198" s="102"/>
      <c r="J198" s="102"/>
      <c r="K198" s="102"/>
      <c r="L198" s="102"/>
      <c r="M198" s="102"/>
      <c r="N198" s="102"/>
      <c r="O198" s="102"/>
      <c r="P198" s="102"/>
      <c r="Q198" s="102"/>
      <c r="R198" s="102"/>
      <c r="S198" s="102"/>
      <c r="T198" s="102"/>
      <c r="U198" s="102"/>
      <c r="V198" s="102"/>
      <c r="W198" s="102"/>
      <c r="X198" s="102"/>
      <c r="Y198" s="102"/>
      <c r="Z198" s="102"/>
      <c r="AA198" s="102"/>
      <c r="AB198" s="102"/>
      <c r="AC198" s="102"/>
      <c r="AD198" s="102"/>
      <c r="AE198" s="102"/>
      <c r="AF198" s="102"/>
      <c r="AG198" s="102"/>
      <c r="AH198" s="102"/>
      <c r="AI198" s="102"/>
      <c r="AJ198" s="102"/>
      <c r="AK198" s="102"/>
      <c r="AL198" s="102"/>
      <c r="AM198" s="102"/>
      <c r="AN198" s="102"/>
      <c r="AO198" s="102"/>
      <c r="AP198" s="102"/>
      <c r="AQ198" s="102"/>
      <c r="AR198" s="102"/>
      <c r="AS198" s="102"/>
      <c r="AT198" s="102"/>
      <c r="AU198" s="102"/>
      <c r="AV198" s="102"/>
      <c r="AW198" s="102"/>
      <c r="AY198" s="102"/>
      <c r="AZ198" s="102"/>
      <c r="BA198" s="102"/>
      <c r="BB198" s="102"/>
      <c r="BC198" s="102"/>
      <c r="BD198" s="102"/>
      <c r="BE198" s="102"/>
      <c r="BF198" s="102"/>
      <c r="BG198" s="102"/>
      <c r="BH198" s="102"/>
      <c r="BI198" s="102"/>
      <c r="BJ198" s="102"/>
      <c r="BK198" s="102"/>
      <c r="BL198" s="102"/>
      <c r="BM198" s="102"/>
      <c r="BN198" s="102"/>
    </row>
    <row r="199" spans="2:66" s="64" customFormat="1" ht="15" customHeight="1">
      <c r="B199" s="102"/>
      <c r="C199" s="102"/>
      <c r="D199" s="102"/>
      <c r="E199" s="102"/>
      <c r="F199" s="102"/>
      <c r="G199" s="102"/>
      <c r="H199" s="102"/>
      <c r="I199" s="102"/>
      <c r="J199" s="102"/>
      <c r="K199" s="102"/>
      <c r="L199" s="102"/>
      <c r="M199" s="102"/>
      <c r="N199" s="102"/>
      <c r="O199" s="102"/>
      <c r="P199" s="102"/>
      <c r="Q199" s="102"/>
      <c r="R199" s="102"/>
      <c r="S199" s="102"/>
      <c r="T199" s="102"/>
      <c r="U199" s="102"/>
      <c r="V199" s="102"/>
      <c r="W199" s="102"/>
      <c r="X199" s="102"/>
      <c r="Y199" s="102"/>
      <c r="Z199" s="102"/>
      <c r="AA199" s="102"/>
      <c r="AB199" s="102"/>
      <c r="AC199" s="102"/>
      <c r="AD199" s="102"/>
      <c r="AE199" s="102"/>
      <c r="AF199" s="102"/>
      <c r="AG199" s="102"/>
      <c r="AH199" s="102"/>
      <c r="AI199" s="102"/>
      <c r="AJ199" s="102"/>
      <c r="AK199" s="102"/>
      <c r="AL199" s="102"/>
      <c r="AM199" s="102"/>
      <c r="AN199" s="102"/>
      <c r="AO199" s="102"/>
      <c r="AP199" s="102"/>
      <c r="AQ199" s="102"/>
      <c r="AR199" s="102"/>
      <c r="AS199" s="102"/>
      <c r="AT199" s="102"/>
      <c r="AU199" s="102"/>
      <c r="AV199" s="102"/>
      <c r="AW199" s="102"/>
      <c r="AY199" s="102"/>
      <c r="AZ199" s="102"/>
      <c r="BA199" s="102"/>
      <c r="BB199" s="102"/>
      <c r="BC199" s="102"/>
      <c r="BD199" s="102"/>
      <c r="BE199" s="102"/>
      <c r="BF199" s="102"/>
      <c r="BG199" s="102"/>
      <c r="BH199" s="102"/>
      <c r="BI199" s="102"/>
      <c r="BJ199" s="102"/>
      <c r="BK199" s="102"/>
      <c r="BL199" s="102"/>
      <c r="BM199" s="102"/>
      <c r="BN199" s="102"/>
    </row>
    <row r="200" spans="2:66" s="64" customFormat="1" ht="15" customHeight="1">
      <c r="B200" s="102"/>
      <c r="C200" s="102"/>
      <c r="D200" s="102"/>
      <c r="E200" s="102"/>
      <c r="F200" s="102"/>
      <c r="G200" s="102"/>
      <c r="H200" s="102"/>
      <c r="I200" s="102"/>
      <c r="J200" s="102"/>
      <c r="K200" s="102"/>
      <c r="L200" s="102"/>
      <c r="M200" s="102"/>
      <c r="N200" s="102"/>
      <c r="O200" s="102"/>
      <c r="P200" s="102"/>
      <c r="Q200" s="102"/>
      <c r="R200" s="102"/>
      <c r="S200" s="102"/>
      <c r="T200" s="102"/>
      <c r="U200" s="102"/>
      <c r="V200" s="102"/>
      <c r="W200" s="102"/>
      <c r="X200" s="102"/>
      <c r="Y200" s="102"/>
      <c r="Z200" s="102"/>
      <c r="AA200" s="102"/>
      <c r="AB200" s="102"/>
      <c r="AC200" s="102"/>
      <c r="AD200" s="102"/>
      <c r="AE200" s="102"/>
      <c r="AF200" s="102"/>
      <c r="AG200" s="102"/>
      <c r="AH200" s="102"/>
      <c r="AI200" s="102"/>
      <c r="AJ200" s="102"/>
      <c r="AK200" s="102"/>
      <c r="AL200" s="102"/>
      <c r="AM200" s="102"/>
      <c r="AN200" s="102"/>
      <c r="AO200" s="102"/>
      <c r="AP200" s="102"/>
      <c r="AQ200" s="102"/>
      <c r="AR200" s="102"/>
      <c r="AS200" s="102"/>
      <c r="AT200" s="102"/>
      <c r="AU200" s="102"/>
      <c r="AV200" s="102"/>
      <c r="AW200" s="102"/>
      <c r="AY200" s="102"/>
      <c r="AZ200" s="102"/>
      <c r="BA200" s="102"/>
      <c r="BB200" s="102"/>
      <c r="BC200" s="102"/>
      <c r="BD200" s="102"/>
      <c r="BE200" s="102"/>
      <c r="BF200" s="102"/>
      <c r="BG200" s="102"/>
      <c r="BH200" s="102"/>
      <c r="BI200" s="102"/>
      <c r="BJ200" s="102"/>
      <c r="BK200" s="102"/>
      <c r="BL200" s="102"/>
      <c r="BM200" s="102"/>
      <c r="BN200" s="102"/>
    </row>
    <row r="201" spans="2:66" s="64" customFormat="1" ht="15" customHeight="1">
      <c r="B201" s="102"/>
      <c r="C201" s="102"/>
      <c r="D201" s="102"/>
      <c r="E201" s="102"/>
      <c r="F201" s="102"/>
      <c r="G201" s="102"/>
      <c r="H201" s="102"/>
      <c r="I201" s="102"/>
      <c r="J201" s="102"/>
      <c r="K201" s="102"/>
      <c r="L201" s="102"/>
      <c r="M201" s="102"/>
      <c r="N201" s="102"/>
      <c r="O201" s="102"/>
      <c r="P201" s="102"/>
      <c r="Q201" s="102"/>
      <c r="R201" s="102"/>
      <c r="S201" s="102"/>
      <c r="T201" s="102"/>
      <c r="U201" s="102"/>
      <c r="V201" s="102"/>
      <c r="W201" s="102"/>
      <c r="X201" s="102"/>
      <c r="Y201" s="102"/>
      <c r="Z201" s="102"/>
      <c r="AA201" s="102"/>
      <c r="AB201" s="102"/>
      <c r="AC201" s="102"/>
      <c r="AD201" s="102"/>
      <c r="AE201" s="102"/>
      <c r="AF201" s="102"/>
      <c r="AG201" s="102"/>
      <c r="AH201" s="102"/>
      <c r="AI201" s="102"/>
      <c r="AJ201" s="102"/>
      <c r="AK201" s="102"/>
      <c r="AL201" s="102"/>
      <c r="AM201" s="102"/>
      <c r="AN201" s="102"/>
      <c r="AO201" s="102"/>
      <c r="AP201" s="102"/>
      <c r="AQ201" s="102"/>
      <c r="AR201" s="102"/>
      <c r="AS201" s="102"/>
      <c r="AT201" s="102"/>
      <c r="AU201" s="102"/>
      <c r="AV201" s="102"/>
      <c r="AW201" s="102"/>
      <c r="AY201" s="102"/>
      <c r="AZ201" s="102"/>
      <c r="BA201" s="102"/>
      <c r="BB201" s="102"/>
      <c r="BC201" s="102"/>
      <c r="BD201" s="102"/>
      <c r="BE201" s="102"/>
      <c r="BF201" s="102"/>
      <c r="BG201" s="102"/>
      <c r="BH201" s="102"/>
      <c r="BI201" s="102"/>
      <c r="BJ201" s="102"/>
      <c r="BK201" s="102"/>
      <c r="BL201" s="102"/>
      <c r="BM201" s="102"/>
      <c r="BN201" s="102"/>
    </row>
    <row r="202" spans="2:66" s="64" customFormat="1" ht="15" customHeight="1">
      <c r="B202" s="102"/>
      <c r="C202" s="102"/>
      <c r="D202" s="102"/>
      <c r="E202" s="102"/>
      <c r="F202" s="102"/>
      <c r="G202" s="102"/>
      <c r="H202" s="102"/>
      <c r="I202" s="102"/>
      <c r="J202" s="102"/>
      <c r="K202" s="102"/>
      <c r="L202" s="102"/>
      <c r="M202" s="102"/>
      <c r="N202" s="102"/>
      <c r="O202" s="102"/>
      <c r="P202" s="102"/>
      <c r="Q202" s="102"/>
      <c r="R202" s="102"/>
      <c r="S202" s="102"/>
      <c r="T202" s="102"/>
      <c r="U202" s="102"/>
      <c r="V202" s="102"/>
      <c r="W202" s="102"/>
      <c r="X202" s="102"/>
      <c r="Y202" s="102"/>
      <c r="Z202" s="102"/>
      <c r="AA202" s="102"/>
      <c r="AB202" s="102"/>
      <c r="AC202" s="102"/>
      <c r="AD202" s="102"/>
      <c r="AE202" s="102"/>
      <c r="AF202" s="102"/>
      <c r="AG202" s="102"/>
      <c r="AH202" s="102"/>
      <c r="AI202" s="102"/>
      <c r="AJ202" s="102"/>
      <c r="AK202" s="102"/>
      <c r="AL202" s="102"/>
      <c r="AM202" s="102"/>
      <c r="AN202" s="102"/>
      <c r="AO202" s="102"/>
      <c r="AP202" s="102"/>
      <c r="AQ202" s="102"/>
      <c r="AR202" s="102"/>
      <c r="AS202" s="102"/>
      <c r="AT202" s="102"/>
      <c r="AU202" s="102"/>
      <c r="AV202" s="102"/>
      <c r="AW202" s="102"/>
      <c r="AY202" s="102"/>
      <c r="AZ202" s="102"/>
      <c r="BA202" s="102"/>
      <c r="BB202" s="102"/>
      <c r="BC202" s="102"/>
      <c r="BD202" s="102"/>
      <c r="BE202" s="102"/>
      <c r="BF202" s="102"/>
      <c r="BG202" s="102"/>
      <c r="BH202" s="102"/>
      <c r="BI202" s="102"/>
      <c r="BJ202" s="102"/>
      <c r="BK202" s="102"/>
      <c r="BL202" s="102"/>
      <c r="BM202" s="102"/>
      <c r="BN202" s="102"/>
    </row>
    <row r="203" spans="2:66" s="64" customFormat="1" ht="15" customHeight="1">
      <c r="B203" s="102"/>
      <c r="C203" s="102"/>
      <c r="D203" s="102"/>
      <c r="E203" s="102"/>
      <c r="F203" s="102"/>
      <c r="G203" s="102"/>
      <c r="H203" s="102"/>
      <c r="I203" s="102"/>
      <c r="J203" s="102"/>
      <c r="K203" s="102"/>
      <c r="L203" s="102"/>
      <c r="M203" s="102"/>
      <c r="N203" s="102"/>
      <c r="O203" s="102"/>
      <c r="P203" s="102"/>
      <c r="Q203" s="102"/>
      <c r="R203" s="102"/>
      <c r="S203" s="102"/>
      <c r="T203" s="102"/>
      <c r="U203" s="102"/>
      <c r="V203" s="102"/>
      <c r="W203" s="102"/>
      <c r="X203" s="102"/>
      <c r="Y203" s="102"/>
      <c r="Z203" s="102"/>
      <c r="AA203" s="102"/>
      <c r="AB203" s="102"/>
      <c r="AC203" s="102"/>
      <c r="AD203" s="102"/>
      <c r="AE203" s="102"/>
      <c r="AF203" s="102"/>
      <c r="AG203" s="102"/>
      <c r="AH203" s="102"/>
      <c r="AI203" s="102"/>
      <c r="AJ203" s="102"/>
      <c r="AK203" s="102"/>
      <c r="AL203" s="102"/>
      <c r="AM203" s="102"/>
      <c r="AN203" s="102"/>
      <c r="AO203" s="102"/>
      <c r="AP203" s="102"/>
      <c r="AQ203" s="102"/>
      <c r="AR203" s="102"/>
      <c r="AS203" s="102"/>
      <c r="AT203" s="102"/>
      <c r="AU203" s="102"/>
      <c r="AV203" s="102"/>
      <c r="AW203" s="102"/>
      <c r="AY203" s="102"/>
      <c r="AZ203" s="102"/>
      <c r="BA203" s="102"/>
      <c r="BB203" s="102"/>
      <c r="BC203" s="102"/>
      <c r="BD203" s="102"/>
      <c r="BE203" s="102"/>
      <c r="BF203" s="102"/>
      <c r="BG203" s="102"/>
      <c r="BH203" s="102"/>
      <c r="BI203" s="102"/>
      <c r="BJ203" s="102"/>
      <c r="BK203" s="102"/>
      <c r="BL203" s="102"/>
      <c r="BM203" s="102"/>
      <c r="BN203" s="102"/>
    </row>
    <row r="204" spans="2:66" s="64" customFormat="1" ht="15" customHeight="1">
      <c r="B204" s="102"/>
      <c r="C204" s="102"/>
      <c r="D204" s="102"/>
      <c r="E204" s="102"/>
      <c r="F204" s="102"/>
      <c r="G204" s="102"/>
      <c r="H204" s="102"/>
      <c r="I204" s="102"/>
      <c r="J204" s="102"/>
      <c r="K204" s="102"/>
      <c r="L204" s="102"/>
      <c r="M204" s="102"/>
      <c r="N204" s="102"/>
      <c r="O204" s="102"/>
      <c r="P204" s="102"/>
      <c r="Q204" s="102"/>
      <c r="R204" s="102"/>
      <c r="S204" s="102"/>
      <c r="T204" s="102"/>
      <c r="U204" s="102"/>
      <c r="V204" s="102"/>
      <c r="W204" s="102"/>
      <c r="X204" s="102"/>
      <c r="Y204" s="102"/>
      <c r="Z204" s="102"/>
      <c r="AA204" s="102"/>
      <c r="AB204" s="102"/>
      <c r="AC204" s="102"/>
      <c r="AD204" s="102"/>
      <c r="AE204" s="102"/>
      <c r="AF204" s="102"/>
      <c r="AG204" s="102"/>
      <c r="AH204" s="102"/>
      <c r="AI204" s="102"/>
      <c r="AJ204" s="102"/>
      <c r="AK204" s="102"/>
      <c r="AL204" s="102"/>
      <c r="AM204" s="102"/>
      <c r="AN204" s="102"/>
      <c r="AO204" s="102"/>
      <c r="AP204" s="102"/>
      <c r="AQ204" s="102"/>
      <c r="AR204" s="102"/>
      <c r="AS204" s="102"/>
      <c r="AT204" s="102"/>
      <c r="AU204" s="102"/>
      <c r="AV204" s="102"/>
      <c r="AW204" s="102"/>
      <c r="AY204" s="102"/>
      <c r="AZ204" s="102"/>
      <c r="BA204" s="102"/>
      <c r="BB204" s="102"/>
      <c r="BC204" s="102"/>
      <c r="BD204" s="102"/>
      <c r="BE204" s="102"/>
      <c r="BF204" s="102"/>
      <c r="BG204" s="102"/>
      <c r="BH204" s="102"/>
      <c r="BI204" s="102"/>
      <c r="BJ204" s="102"/>
      <c r="BK204" s="102"/>
      <c r="BL204" s="102"/>
      <c r="BM204" s="102"/>
      <c r="BN204" s="102"/>
    </row>
    <row r="205" spans="2:66" s="64" customFormat="1" ht="15" customHeight="1">
      <c r="B205" s="102"/>
      <c r="C205" s="102"/>
      <c r="D205" s="102"/>
      <c r="E205" s="102"/>
      <c r="F205" s="102"/>
      <c r="G205" s="102"/>
      <c r="H205" s="102"/>
      <c r="I205" s="102"/>
      <c r="J205" s="102"/>
      <c r="K205" s="102"/>
      <c r="L205" s="102"/>
      <c r="M205" s="102"/>
      <c r="N205" s="102"/>
      <c r="O205" s="102"/>
      <c r="P205" s="102"/>
      <c r="Q205" s="102"/>
      <c r="R205" s="102"/>
      <c r="S205" s="102"/>
      <c r="T205" s="102"/>
      <c r="U205" s="102"/>
      <c r="V205" s="102"/>
      <c r="W205" s="102"/>
      <c r="X205" s="102"/>
      <c r="Y205" s="102"/>
      <c r="Z205" s="102"/>
      <c r="AA205" s="102"/>
      <c r="AB205" s="102"/>
      <c r="AC205" s="102"/>
      <c r="AD205" s="102"/>
      <c r="AE205" s="102"/>
      <c r="AF205" s="102"/>
      <c r="AG205" s="102"/>
      <c r="AH205" s="102"/>
      <c r="AI205" s="102"/>
      <c r="AJ205" s="102"/>
      <c r="AK205" s="102"/>
      <c r="AL205" s="102"/>
      <c r="AM205" s="102"/>
      <c r="AN205" s="102"/>
      <c r="AO205" s="102"/>
      <c r="AP205" s="102"/>
      <c r="AQ205" s="102"/>
      <c r="AR205" s="102"/>
      <c r="AS205" s="102"/>
      <c r="AT205" s="102"/>
      <c r="AU205" s="102"/>
      <c r="AV205" s="102"/>
      <c r="AW205" s="102"/>
      <c r="AY205" s="102"/>
      <c r="AZ205" s="102"/>
      <c r="BA205" s="102"/>
      <c r="BB205" s="102"/>
      <c r="BC205" s="102"/>
      <c r="BD205" s="102"/>
      <c r="BE205" s="102"/>
      <c r="BF205" s="102"/>
      <c r="BG205" s="102"/>
      <c r="BH205" s="102"/>
      <c r="BI205" s="102"/>
      <c r="BJ205" s="102"/>
      <c r="BK205" s="102"/>
      <c r="BL205" s="102"/>
      <c r="BM205" s="102"/>
      <c r="BN205" s="102"/>
    </row>
    <row r="206" spans="2:66" s="64" customFormat="1" ht="15" customHeight="1">
      <c r="B206" s="102"/>
      <c r="C206" s="102"/>
      <c r="D206" s="102"/>
      <c r="E206" s="102"/>
      <c r="F206" s="102"/>
      <c r="G206" s="102"/>
      <c r="H206" s="102"/>
      <c r="I206" s="102"/>
      <c r="J206" s="102"/>
      <c r="K206" s="102"/>
      <c r="L206" s="102"/>
      <c r="M206" s="102"/>
      <c r="N206" s="102"/>
      <c r="O206" s="102"/>
      <c r="P206" s="102"/>
      <c r="Q206" s="102"/>
      <c r="R206" s="102"/>
      <c r="S206" s="102"/>
      <c r="T206" s="102"/>
      <c r="U206" s="102"/>
      <c r="V206" s="102"/>
      <c r="W206" s="102"/>
      <c r="X206" s="102"/>
      <c r="Y206" s="102"/>
      <c r="Z206" s="102"/>
      <c r="AA206" s="102"/>
      <c r="AB206" s="102"/>
      <c r="AC206" s="102"/>
      <c r="AD206" s="102"/>
      <c r="AE206" s="102"/>
      <c r="AF206" s="102"/>
      <c r="AG206" s="102"/>
      <c r="AH206" s="102"/>
      <c r="AI206" s="102"/>
      <c r="AJ206" s="102"/>
      <c r="AK206" s="102"/>
      <c r="AL206" s="102"/>
      <c r="AM206" s="102"/>
      <c r="AN206" s="102"/>
      <c r="AO206" s="102"/>
      <c r="AP206" s="102"/>
      <c r="AQ206" s="102"/>
      <c r="AR206" s="102"/>
      <c r="AS206" s="102"/>
      <c r="AT206" s="102"/>
      <c r="AU206" s="102"/>
      <c r="AV206" s="102"/>
      <c r="AW206" s="102"/>
      <c r="AY206" s="102"/>
      <c r="AZ206" s="102"/>
      <c r="BA206" s="102"/>
      <c r="BB206" s="102"/>
      <c r="BC206" s="102"/>
      <c r="BD206" s="102"/>
      <c r="BE206" s="102"/>
      <c r="BF206" s="102"/>
      <c r="BG206" s="102"/>
      <c r="BH206" s="102"/>
      <c r="BI206" s="102"/>
      <c r="BJ206" s="102"/>
      <c r="BK206" s="102"/>
      <c r="BL206" s="102"/>
      <c r="BM206" s="102"/>
      <c r="BN206" s="102"/>
    </row>
    <row r="207" spans="2:66" s="64" customFormat="1" ht="15" customHeight="1">
      <c r="B207" s="102"/>
      <c r="C207" s="102"/>
      <c r="D207" s="102"/>
      <c r="E207" s="102"/>
      <c r="F207" s="102"/>
      <c r="G207" s="102"/>
      <c r="H207" s="102"/>
      <c r="I207" s="102"/>
      <c r="J207" s="102"/>
      <c r="K207" s="102"/>
      <c r="L207" s="102"/>
      <c r="M207" s="102"/>
      <c r="N207" s="102"/>
      <c r="O207" s="102"/>
      <c r="P207" s="102"/>
      <c r="Q207" s="102"/>
      <c r="R207" s="102"/>
      <c r="S207" s="102"/>
      <c r="T207" s="102"/>
      <c r="U207" s="102"/>
      <c r="V207" s="102"/>
      <c r="W207" s="102"/>
      <c r="X207" s="102"/>
      <c r="Y207" s="102"/>
      <c r="Z207" s="102"/>
      <c r="AA207" s="102"/>
      <c r="AB207" s="102"/>
      <c r="AC207" s="102"/>
      <c r="AD207" s="102"/>
      <c r="AE207" s="102"/>
      <c r="AF207" s="102"/>
      <c r="AG207" s="102"/>
      <c r="AH207" s="102"/>
      <c r="AI207" s="102"/>
      <c r="AJ207" s="102"/>
      <c r="AK207" s="102"/>
      <c r="AL207" s="102"/>
      <c r="AM207" s="102"/>
      <c r="AN207" s="102"/>
      <c r="AO207" s="102"/>
      <c r="AP207" s="102"/>
      <c r="AQ207" s="102"/>
      <c r="AR207" s="102"/>
      <c r="AS207" s="102"/>
      <c r="AT207" s="102"/>
      <c r="AU207" s="102"/>
      <c r="AV207" s="102"/>
      <c r="AW207" s="102"/>
      <c r="AY207" s="102"/>
      <c r="AZ207" s="102"/>
      <c r="BA207" s="102"/>
      <c r="BB207" s="102"/>
      <c r="BC207" s="102"/>
      <c r="BD207" s="102"/>
      <c r="BE207" s="102"/>
      <c r="BF207" s="102"/>
      <c r="BG207" s="102"/>
      <c r="BH207" s="102"/>
      <c r="BI207" s="102"/>
      <c r="BJ207" s="102"/>
      <c r="BK207" s="102"/>
      <c r="BL207" s="102"/>
      <c r="BM207" s="102"/>
      <c r="BN207" s="102"/>
    </row>
    <row r="208" spans="2:66" s="64" customFormat="1" ht="15" customHeight="1">
      <c r="B208" s="102"/>
      <c r="C208" s="102"/>
      <c r="D208" s="102"/>
      <c r="E208" s="102"/>
      <c r="F208" s="102"/>
      <c r="G208" s="102"/>
      <c r="H208" s="102"/>
      <c r="I208" s="102"/>
      <c r="J208" s="102"/>
      <c r="K208" s="102"/>
      <c r="L208" s="102"/>
      <c r="M208" s="102"/>
      <c r="N208" s="102"/>
      <c r="O208" s="102"/>
      <c r="P208" s="102"/>
      <c r="Q208" s="102"/>
      <c r="R208" s="102"/>
      <c r="S208" s="102"/>
      <c r="T208" s="102"/>
      <c r="U208" s="102"/>
      <c r="V208" s="102"/>
      <c r="W208" s="102"/>
      <c r="X208" s="102"/>
      <c r="Y208" s="102"/>
      <c r="Z208" s="102"/>
      <c r="AA208" s="102"/>
      <c r="AB208" s="102"/>
      <c r="AC208" s="102"/>
      <c r="AD208" s="102"/>
      <c r="AE208" s="102"/>
      <c r="AF208" s="102"/>
      <c r="AG208" s="102"/>
      <c r="AH208" s="102"/>
      <c r="AI208" s="102"/>
      <c r="AJ208" s="102"/>
      <c r="AK208" s="102"/>
      <c r="AL208" s="102"/>
      <c r="AM208" s="102"/>
      <c r="AN208" s="102"/>
      <c r="AO208" s="102"/>
      <c r="AP208" s="102"/>
      <c r="AQ208" s="102"/>
      <c r="AR208" s="102"/>
      <c r="AS208" s="102"/>
      <c r="AT208" s="102"/>
      <c r="AU208" s="102"/>
      <c r="AV208" s="102"/>
      <c r="AW208" s="102"/>
      <c r="AY208" s="102"/>
      <c r="AZ208" s="102"/>
      <c r="BA208" s="102"/>
      <c r="BB208" s="102"/>
      <c r="BC208" s="102"/>
      <c r="BD208" s="102"/>
      <c r="BE208" s="102"/>
      <c r="BF208" s="102"/>
      <c r="BG208" s="102"/>
      <c r="BH208" s="102"/>
      <c r="BI208" s="102"/>
      <c r="BJ208" s="102"/>
      <c r="BK208" s="102"/>
      <c r="BL208" s="102"/>
      <c r="BM208" s="102"/>
      <c r="BN208" s="102"/>
    </row>
    <row r="209" spans="2:66" s="64" customFormat="1" ht="15" customHeight="1">
      <c r="B209" s="102"/>
      <c r="C209" s="102"/>
      <c r="D209" s="102"/>
      <c r="E209" s="102"/>
      <c r="F209" s="102"/>
      <c r="G209" s="102"/>
      <c r="H209" s="102"/>
      <c r="I209" s="102"/>
      <c r="J209" s="102"/>
      <c r="K209" s="102"/>
      <c r="L209" s="102"/>
      <c r="M209" s="102"/>
      <c r="N209" s="102"/>
      <c r="O209" s="102"/>
      <c r="P209" s="102"/>
      <c r="Q209" s="102"/>
      <c r="R209" s="102"/>
      <c r="S209" s="102"/>
      <c r="T209" s="102"/>
      <c r="U209" s="102"/>
      <c r="V209" s="102"/>
      <c r="W209" s="102"/>
      <c r="X209" s="102"/>
      <c r="Y209" s="102"/>
      <c r="Z209" s="102"/>
      <c r="AA209" s="102"/>
      <c r="AB209" s="102"/>
      <c r="AC209" s="102"/>
      <c r="AD209" s="102"/>
      <c r="AE209" s="102"/>
      <c r="AF209" s="102"/>
      <c r="AG209" s="102"/>
      <c r="AH209" s="102"/>
      <c r="AI209" s="102"/>
      <c r="AJ209" s="102"/>
      <c r="AK209" s="102"/>
      <c r="AL209" s="102"/>
      <c r="AM209" s="102"/>
      <c r="AN209" s="102"/>
      <c r="AO209" s="102"/>
      <c r="AP209" s="102"/>
      <c r="AQ209" s="102"/>
      <c r="AR209" s="102"/>
      <c r="AS209" s="102"/>
      <c r="AT209" s="102"/>
      <c r="AU209" s="102"/>
      <c r="AV209" s="102"/>
      <c r="AW209" s="102"/>
      <c r="AY209" s="102"/>
      <c r="AZ209" s="102"/>
      <c r="BA209" s="102"/>
      <c r="BB209" s="102"/>
      <c r="BC209" s="102"/>
      <c r="BD209" s="102"/>
      <c r="BE209" s="102"/>
      <c r="BF209" s="102"/>
      <c r="BG209" s="102"/>
      <c r="BH209" s="102"/>
      <c r="BI209" s="102"/>
      <c r="BJ209" s="102"/>
      <c r="BK209" s="102"/>
      <c r="BL209" s="102"/>
      <c r="BM209" s="102"/>
      <c r="BN209" s="102"/>
    </row>
    <row r="210" spans="2:66" s="64" customFormat="1" ht="15" customHeight="1">
      <c r="B210" s="102"/>
      <c r="C210" s="102"/>
      <c r="D210" s="102"/>
      <c r="E210" s="102"/>
      <c r="F210" s="102"/>
      <c r="G210" s="102"/>
      <c r="H210" s="102"/>
      <c r="I210" s="102"/>
      <c r="J210" s="102"/>
      <c r="K210" s="102"/>
      <c r="L210" s="102"/>
      <c r="M210" s="102"/>
      <c r="N210" s="102"/>
      <c r="O210" s="102"/>
      <c r="P210" s="102"/>
      <c r="Q210" s="102"/>
      <c r="R210" s="102"/>
      <c r="S210" s="102"/>
      <c r="T210" s="102"/>
      <c r="U210" s="102"/>
      <c r="V210" s="102"/>
      <c r="W210" s="102"/>
      <c r="X210" s="102"/>
      <c r="Y210" s="102"/>
      <c r="Z210" s="102"/>
      <c r="AA210" s="102"/>
      <c r="AB210" s="102"/>
      <c r="AC210" s="102"/>
      <c r="AD210" s="102"/>
      <c r="AE210" s="102"/>
      <c r="AF210" s="102"/>
      <c r="AG210" s="102"/>
      <c r="AH210" s="102"/>
      <c r="AI210" s="102"/>
      <c r="AJ210" s="102"/>
      <c r="AK210" s="102"/>
      <c r="AL210" s="102"/>
      <c r="AM210" s="102"/>
      <c r="AN210" s="102"/>
      <c r="AO210" s="102"/>
      <c r="AP210" s="102"/>
      <c r="AQ210" s="102"/>
      <c r="AR210" s="102"/>
      <c r="AS210" s="102"/>
      <c r="AT210" s="102"/>
      <c r="AU210" s="102"/>
      <c r="AV210" s="102"/>
      <c r="AW210" s="102"/>
      <c r="AY210" s="102"/>
      <c r="AZ210" s="102"/>
      <c r="BA210" s="102"/>
      <c r="BB210" s="102"/>
      <c r="BC210" s="102"/>
      <c r="BD210" s="102"/>
      <c r="BE210" s="102"/>
      <c r="BF210" s="102"/>
      <c r="BG210" s="102"/>
      <c r="BH210" s="102"/>
      <c r="BI210" s="102"/>
      <c r="BJ210" s="102"/>
      <c r="BK210" s="102"/>
      <c r="BL210" s="102"/>
      <c r="BM210" s="102"/>
      <c r="BN210" s="102"/>
    </row>
    <row r="211" spans="2:66" s="64" customFormat="1" ht="15" customHeight="1">
      <c r="B211" s="102"/>
      <c r="C211" s="102"/>
      <c r="D211" s="102"/>
      <c r="E211" s="102"/>
      <c r="F211" s="102"/>
      <c r="G211" s="102"/>
      <c r="H211" s="102"/>
      <c r="I211" s="102"/>
      <c r="J211" s="102"/>
      <c r="K211" s="102"/>
      <c r="L211" s="102"/>
      <c r="M211" s="102"/>
      <c r="N211" s="102"/>
      <c r="O211" s="102"/>
      <c r="P211" s="102"/>
      <c r="Q211" s="102"/>
      <c r="R211" s="102"/>
      <c r="S211" s="102"/>
      <c r="T211" s="102"/>
      <c r="U211" s="102"/>
      <c r="V211" s="102"/>
      <c r="W211" s="102"/>
      <c r="X211" s="102"/>
      <c r="Y211" s="102"/>
      <c r="Z211" s="102"/>
      <c r="AA211" s="102"/>
      <c r="AB211" s="102"/>
      <c r="AC211" s="102"/>
      <c r="AD211" s="102"/>
      <c r="AE211" s="102"/>
      <c r="AF211" s="102"/>
      <c r="AG211" s="102"/>
      <c r="AH211" s="102"/>
      <c r="AI211" s="102"/>
      <c r="AJ211" s="102"/>
      <c r="AK211" s="102"/>
      <c r="AL211" s="102"/>
      <c r="AM211" s="102"/>
      <c r="AN211" s="102"/>
      <c r="AO211" s="102"/>
      <c r="AP211" s="102"/>
      <c r="AQ211" s="102"/>
      <c r="AR211" s="102"/>
      <c r="AS211" s="102"/>
      <c r="AT211" s="102"/>
      <c r="AU211" s="102"/>
      <c r="AV211" s="102"/>
      <c r="AW211" s="102"/>
      <c r="AY211" s="102"/>
      <c r="AZ211" s="102"/>
      <c r="BA211" s="102"/>
      <c r="BB211" s="102"/>
      <c r="BC211" s="102"/>
      <c r="BD211" s="102"/>
      <c r="BE211" s="102"/>
      <c r="BF211" s="102"/>
      <c r="BG211" s="102"/>
      <c r="BH211" s="102"/>
      <c r="BI211" s="102"/>
      <c r="BJ211" s="102"/>
      <c r="BK211" s="102"/>
      <c r="BL211" s="102"/>
      <c r="BM211" s="102"/>
      <c r="BN211" s="102"/>
    </row>
    <row r="212" spans="2:66" s="64" customFormat="1" ht="15" customHeight="1">
      <c r="B212" s="102"/>
      <c r="C212" s="102"/>
      <c r="D212" s="102"/>
      <c r="E212" s="102"/>
      <c r="F212" s="102"/>
      <c r="G212" s="102"/>
      <c r="H212" s="102"/>
      <c r="I212" s="102"/>
      <c r="J212" s="102"/>
      <c r="K212" s="102"/>
      <c r="L212" s="102"/>
      <c r="M212" s="102"/>
      <c r="N212" s="102"/>
      <c r="O212" s="102"/>
      <c r="P212" s="102"/>
      <c r="Q212" s="102"/>
      <c r="R212" s="102"/>
      <c r="S212" s="102"/>
      <c r="T212" s="102"/>
      <c r="U212" s="102"/>
      <c r="V212" s="102"/>
      <c r="W212" s="102"/>
      <c r="X212" s="102"/>
      <c r="Y212" s="102"/>
      <c r="Z212" s="102"/>
      <c r="AA212" s="102"/>
      <c r="AB212" s="102"/>
      <c r="AC212" s="102"/>
      <c r="AD212" s="102"/>
      <c r="AE212" s="102"/>
      <c r="AF212" s="102"/>
      <c r="AG212" s="102"/>
      <c r="AH212" s="102"/>
      <c r="AI212" s="102"/>
      <c r="AJ212" s="102"/>
      <c r="AK212" s="102"/>
      <c r="AL212" s="102"/>
      <c r="AM212" s="102"/>
      <c r="AN212" s="102"/>
      <c r="AO212" s="102"/>
      <c r="AP212" s="102"/>
      <c r="AQ212" s="102"/>
      <c r="AR212" s="102"/>
      <c r="AS212" s="102"/>
      <c r="AT212" s="102"/>
      <c r="AU212" s="102"/>
      <c r="AV212" s="102"/>
      <c r="AW212" s="102"/>
      <c r="AY212" s="102"/>
      <c r="AZ212" s="102"/>
      <c r="BA212" s="102"/>
      <c r="BB212" s="102"/>
      <c r="BC212" s="102"/>
      <c r="BD212" s="102"/>
      <c r="BE212" s="102"/>
      <c r="BF212" s="102"/>
      <c r="BG212" s="102"/>
      <c r="BH212" s="102"/>
      <c r="BI212" s="102"/>
      <c r="BJ212" s="102"/>
      <c r="BK212" s="102"/>
      <c r="BL212" s="102"/>
      <c r="BM212" s="102"/>
      <c r="BN212" s="102"/>
    </row>
    <row r="213" spans="2:66" s="64" customFormat="1" ht="15" customHeight="1">
      <c r="B213" s="102"/>
      <c r="C213" s="102"/>
      <c r="D213" s="102"/>
      <c r="E213" s="102"/>
      <c r="F213" s="102"/>
      <c r="G213" s="102"/>
      <c r="H213" s="102"/>
      <c r="I213" s="102"/>
      <c r="J213" s="102"/>
      <c r="K213" s="102"/>
      <c r="L213" s="102"/>
      <c r="M213" s="102"/>
      <c r="N213" s="102"/>
      <c r="O213" s="102"/>
      <c r="P213" s="102"/>
      <c r="Q213" s="102"/>
      <c r="R213" s="102"/>
      <c r="S213" s="102"/>
      <c r="T213" s="102"/>
      <c r="U213" s="102"/>
      <c r="V213" s="102"/>
      <c r="W213" s="102"/>
      <c r="X213" s="102"/>
      <c r="Y213" s="102"/>
      <c r="Z213" s="102"/>
      <c r="AA213" s="102"/>
      <c r="AB213" s="102"/>
      <c r="AC213" s="102"/>
      <c r="AD213" s="102"/>
      <c r="AE213" s="102"/>
      <c r="AF213" s="102"/>
      <c r="AG213" s="102"/>
      <c r="AH213" s="102"/>
      <c r="AI213" s="102"/>
      <c r="AJ213" s="102"/>
      <c r="AK213" s="102"/>
      <c r="AL213" s="102"/>
      <c r="AM213" s="102"/>
      <c r="AN213" s="102"/>
      <c r="AO213" s="102"/>
      <c r="AP213" s="102"/>
      <c r="AQ213" s="102"/>
      <c r="AR213" s="102"/>
      <c r="AS213" s="102"/>
      <c r="AT213" s="102"/>
      <c r="AU213" s="102"/>
      <c r="AV213" s="102"/>
      <c r="AW213" s="102"/>
      <c r="AY213" s="102"/>
      <c r="AZ213" s="102"/>
      <c r="BA213" s="102"/>
      <c r="BB213" s="102"/>
      <c r="BC213" s="102"/>
      <c r="BD213" s="102"/>
      <c r="BE213" s="102"/>
      <c r="BF213" s="102"/>
      <c r="BG213" s="102"/>
      <c r="BH213" s="102"/>
      <c r="BI213" s="102"/>
      <c r="BJ213" s="102"/>
      <c r="BK213" s="102"/>
      <c r="BL213" s="102"/>
      <c r="BM213" s="102"/>
      <c r="BN213" s="102"/>
    </row>
    <row r="214" spans="2:66" s="64" customFormat="1" ht="15" customHeight="1">
      <c r="B214" s="102"/>
      <c r="C214" s="102"/>
      <c r="D214" s="102"/>
      <c r="E214" s="102"/>
      <c r="F214" s="102"/>
      <c r="G214" s="102"/>
      <c r="H214" s="102"/>
      <c r="I214" s="102"/>
      <c r="J214" s="102"/>
      <c r="K214" s="102"/>
      <c r="L214" s="102"/>
      <c r="M214" s="102"/>
      <c r="N214" s="102"/>
      <c r="O214" s="102"/>
      <c r="P214" s="102"/>
      <c r="Q214" s="102"/>
      <c r="R214" s="102"/>
      <c r="S214" s="102"/>
      <c r="T214" s="102"/>
      <c r="U214" s="102"/>
      <c r="V214" s="102"/>
      <c r="W214" s="102"/>
      <c r="X214" s="102"/>
      <c r="Y214" s="102"/>
      <c r="Z214" s="102"/>
      <c r="AA214" s="102"/>
      <c r="AB214" s="102"/>
      <c r="AC214" s="102"/>
      <c r="AD214" s="102"/>
      <c r="AE214" s="102"/>
      <c r="AF214" s="102"/>
      <c r="AG214" s="102"/>
      <c r="AH214" s="102"/>
      <c r="AI214" s="102"/>
      <c r="AJ214" s="102"/>
      <c r="AK214" s="102"/>
      <c r="AL214" s="102"/>
      <c r="AM214" s="102"/>
      <c r="AN214" s="102"/>
      <c r="AO214" s="102"/>
      <c r="AP214" s="102"/>
      <c r="AQ214" s="102"/>
      <c r="AR214" s="102"/>
      <c r="AS214" s="102"/>
      <c r="AT214" s="102"/>
      <c r="AU214" s="102"/>
      <c r="AV214" s="102"/>
      <c r="AW214" s="102"/>
      <c r="AY214" s="102"/>
      <c r="AZ214" s="102"/>
      <c r="BA214" s="102"/>
      <c r="BB214" s="102"/>
      <c r="BC214" s="102"/>
      <c r="BD214" s="102"/>
      <c r="BE214" s="102"/>
      <c r="BF214" s="102"/>
      <c r="BG214" s="102"/>
      <c r="BH214" s="102"/>
      <c r="BI214" s="102"/>
      <c r="BJ214" s="102"/>
      <c r="BK214" s="102"/>
      <c r="BL214" s="102"/>
      <c r="BM214" s="102"/>
      <c r="BN214" s="102"/>
    </row>
    <row r="215" spans="2:66" s="64" customFormat="1" ht="15" customHeight="1">
      <c r="B215" s="102"/>
      <c r="C215" s="102"/>
      <c r="D215" s="102"/>
      <c r="E215" s="102"/>
      <c r="F215" s="102"/>
      <c r="G215" s="102"/>
      <c r="H215" s="102"/>
      <c r="I215" s="102"/>
      <c r="J215" s="102"/>
      <c r="K215" s="102"/>
      <c r="L215" s="102"/>
      <c r="M215" s="102"/>
      <c r="N215" s="102"/>
      <c r="O215" s="102"/>
      <c r="P215" s="102"/>
      <c r="Q215" s="102"/>
      <c r="R215" s="102"/>
      <c r="S215" s="102"/>
      <c r="T215" s="102"/>
      <c r="U215" s="102"/>
      <c r="V215" s="102"/>
      <c r="W215" s="102"/>
      <c r="X215" s="102"/>
      <c r="Y215" s="102"/>
      <c r="Z215" s="102"/>
      <c r="AA215" s="102"/>
      <c r="AB215" s="102"/>
      <c r="AC215" s="102"/>
      <c r="AD215" s="102"/>
      <c r="AE215" s="102"/>
      <c r="AF215" s="102"/>
      <c r="AG215" s="102"/>
      <c r="AH215" s="102"/>
      <c r="AI215" s="102"/>
      <c r="AJ215" s="102"/>
      <c r="AK215" s="102"/>
      <c r="AL215" s="102"/>
      <c r="AM215" s="102"/>
      <c r="AN215" s="102"/>
      <c r="AO215" s="102"/>
      <c r="AP215" s="102"/>
      <c r="AQ215" s="102"/>
      <c r="AR215" s="102"/>
      <c r="AS215" s="102"/>
      <c r="AT215" s="102"/>
      <c r="AU215" s="102"/>
      <c r="AV215" s="102"/>
      <c r="AW215" s="102"/>
      <c r="AY215" s="102"/>
      <c r="AZ215" s="102"/>
      <c r="BA215" s="102"/>
      <c r="BB215" s="102"/>
      <c r="BC215" s="102"/>
      <c r="BD215" s="102"/>
      <c r="BE215" s="102"/>
      <c r="BF215" s="102"/>
      <c r="BG215" s="102"/>
      <c r="BH215" s="102"/>
      <c r="BI215" s="102"/>
      <c r="BJ215" s="102"/>
      <c r="BK215" s="102"/>
      <c r="BL215" s="102"/>
      <c r="BM215" s="102"/>
      <c r="BN215" s="102"/>
    </row>
    <row r="216" spans="2:66" s="64" customFormat="1" ht="15" customHeight="1">
      <c r="B216" s="102"/>
      <c r="C216" s="102"/>
      <c r="D216" s="102"/>
      <c r="E216" s="102"/>
      <c r="F216" s="102"/>
      <c r="G216" s="102"/>
      <c r="H216" s="102"/>
      <c r="I216" s="102"/>
      <c r="J216" s="102"/>
      <c r="K216" s="102"/>
      <c r="L216" s="102"/>
      <c r="M216" s="102"/>
      <c r="N216" s="102"/>
      <c r="O216" s="102"/>
      <c r="P216" s="102"/>
      <c r="Q216" s="102"/>
      <c r="R216" s="102"/>
      <c r="S216" s="102"/>
      <c r="T216" s="102"/>
      <c r="U216" s="102"/>
      <c r="V216" s="102"/>
      <c r="W216" s="102"/>
      <c r="X216" s="102"/>
      <c r="Y216" s="102"/>
      <c r="Z216" s="102"/>
      <c r="AA216" s="102"/>
      <c r="AB216" s="102"/>
      <c r="AC216" s="102"/>
      <c r="AD216" s="102"/>
      <c r="AE216" s="102"/>
      <c r="AF216" s="102"/>
      <c r="AG216" s="102"/>
      <c r="AH216" s="102"/>
      <c r="AI216" s="102"/>
      <c r="AJ216" s="102"/>
      <c r="AK216" s="102"/>
      <c r="AL216" s="102"/>
      <c r="AM216" s="102"/>
      <c r="AN216" s="102"/>
      <c r="AO216" s="102"/>
      <c r="AP216" s="102"/>
      <c r="AQ216" s="102"/>
      <c r="AR216" s="102"/>
      <c r="AS216" s="102"/>
      <c r="AT216" s="102"/>
      <c r="AU216" s="102"/>
      <c r="AV216" s="102"/>
      <c r="AW216" s="102"/>
      <c r="AY216" s="102"/>
      <c r="AZ216" s="102"/>
      <c r="BA216" s="102"/>
      <c r="BB216" s="102"/>
      <c r="BC216" s="102"/>
      <c r="BD216" s="102"/>
      <c r="BE216" s="102"/>
      <c r="BF216" s="102"/>
      <c r="BG216" s="102"/>
      <c r="BH216" s="102"/>
      <c r="BI216" s="102"/>
      <c r="BJ216" s="102"/>
      <c r="BK216" s="102"/>
      <c r="BL216" s="102"/>
      <c r="BM216" s="102"/>
      <c r="BN216" s="102"/>
    </row>
    <row r="217" spans="2:66" s="64" customFormat="1" ht="15" customHeight="1">
      <c r="B217" s="102"/>
      <c r="C217" s="102"/>
      <c r="D217" s="102"/>
      <c r="E217" s="102"/>
      <c r="F217" s="102"/>
      <c r="G217" s="102"/>
      <c r="H217" s="102"/>
      <c r="I217" s="102"/>
      <c r="J217" s="102"/>
      <c r="K217" s="102"/>
      <c r="L217" s="102"/>
      <c r="M217" s="102"/>
      <c r="N217" s="102"/>
      <c r="O217" s="102"/>
      <c r="P217" s="102"/>
      <c r="Q217" s="102"/>
      <c r="R217" s="102"/>
      <c r="S217" s="102"/>
      <c r="T217" s="102"/>
      <c r="U217" s="102"/>
      <c r="V217" s="102"/>
      <c r="W217" s="102"/>
      <c r="X217" s="102"/>
      <c r="Y217" s="102"/>
      <c r="Z217" s="102"/>
      <c r="AA217" s="102"/>
      <c r="AB217" s="102"/>
      <c r="AC217" s="102"/>
      <c r="AD217" s="102"/>
      <c r="AE217" s="102"/>
      <c r="AF217" s="102"/>
      <c r="AG217" s="102"/>
      <c r="AH217" s="102"/>
      <c r="AI217" s="102"/>
      <c r="AJ217" s="102"/>
      <c r="AK217" s="102"/>
      <c r="AL217" s="102"/>
      <c r="AM217" s="102"/>
      <c r="AN217" s="102"/>
      <c r="AO217" s="102"/>
      <c r="AP217" s="102"/>
      <c r="AQ217" s="102"/>
      <c r="AR217" s="102"/>
      <c r="AS217" s="102"/>
      <c r="AT217" s="102"/>
      <c r="AU217" s="102"/>
      <c r="AV217" s="102"/>
      <c r="AW217" s="102"/>
      <c r="AY217" s="102"/>
      <c r="AZ217" s="102"/>
      <c r="BA217" s="102"/>
      <c r="BB217" s="102"/>
      <c r="BC217" s="102"/>
      <c r="BD217" s="102"/>
      <c r="BE217" s="102"/>
      <c r="BF217" s="102"/>
      <c r="BG217" s="102"/>
      <c r="BH217" s="102"/>
      <c r="BI217" s="102"/>
      <c r="BJ217" s="102"/>
      <c r="BK217" s="102"/>
      <c r="BL217" s="102"/>
      <c r="BM217" s="102"/>
      <c r="BN217" s="102"/>
    </row>
    <row r="218" spans="2:66" s="64" customFormat="1" ht="15" customHeight="1">
      <c r="B218" s="102"/>
      <c r="C218" s="102"/>
      <c r="D218" s="102"/>
      <c r="E218" s="102"/>
      <c r="F218" s="102"/>
      <c r="G218" s="102"/>
      <c r="H218" s="102"/>
      <c r="I218" s="102"/>
      <c r="J218" s="102"/>
      <c r="K218" s="102"/>
      <c r="L218" s="102"/>
      <c r="M218" s="102"/>
      <c r="N218" s="102"/>
      <c r="O218" s="102"/>
      <c r="P218" s="102"/>
      <c r="Q218" s="102"/>
      <c r="R218" s="102"/>
      <c r="S218" s="102"/>
      <c r="T218" s="102"/>
      <c r="U218" s="102"/>
      <c r="V218" s="102"/>
      <c r="W218" s="102"/>
      <c r="X218" s="102"/>
      <c r="Y218" s="102"/>
      <c r="Z218" s="102"/>
      <c r="AA218" s="102"/>
      <c r="AB218" s="102"/>
      <c r="AC218" s="102"/>
      <c r="AD218" s="102"/>
      <c r="AE218" s="102"/>
      <c r="AF218" s="102"/>
      <c r="AG218" s="102"/>
      <c r="AH218" s="102"/>
      <c r="AI218" s="102"/>
      <c r="AJ218" s="102"/>
      <c r="AK218" s="102"/>
      <c r="AL218" s="102"/>
      <c r="AM218" s="102"/>
      <c r="AN218" s="102"/>
      <c r="AO218" s="102"/>
      <c r="AP218" s="102"/>
      <c r="AQ218" s="102"/>
      <c r="AR218" s="102"/>
      <c r="AS218" s="102"/>
      <c r="AT218" s="102"/>
      <c r="AU218" s="102"/>
      <c r="AV218" s="102"/>
      <c r="AW218" s="102"/>
      <c r="AY218" s="102"/>
      <c r="AZ218" s="102"/>
      <c r="BA218" s="102"/>
      <c r="BB218" s="102"/>
      <c r="BC218" s="102"/>
      <c r="BD218" s="102"/>
      <c r="BE218" s="102"/>
      <c r="BF218" s="102"/>
      <c r="BG218" s="102"/>
      <c r="BH218" s="102"/>
      <c r="BI218" s="102"/>
      <c r="BJ218" s="102"/>
      <c r="BK218" s="102"/>
      <c r="BL218" s="102"/>
      <c r="BM218" s="102"/>
      <c r="BN218" s="102"/>
    </row>
    <row r="219" spans="2:66" s="64" customFormat="1" ht="15" customHeight="1">
      <c r="B219" s="102"/>
      <c r="C219" s="102"/>
      <c r="D219" s="102"/>
      <c r="E219" s="102"/>
      <c r="F219" s="102"/>
      <c r="G219" s="102"/>
      <c r="H219" s="102"/>
      <c r="I219" s="102"/>
      <c r="J219" s="102"/>
      <c r="K219" s="102"/>
      <c r="L219" s="102"/>
      <c r="M219" s="102"/>
      <c r="N219" s="102"/>
      <c r="O219" s="102"/>
      <c r="P219" s="102"/>
      <c r="Q219" s="102"/>
      <c r="R219" s="102"/>
      <c r="S219" s="102"/>
      <c r="T219" s="102"/>
      <c r="U219" s="102"/>
      <c r="V219" s="102"/>
      <c r="W219" s="102"/>
      <c r="X219" s="102"/>
      <c r="Y219" s="102"/>
      <c r="Z219" s="102"/>
      <c r="AA219" s="102"/>
      <c r="AB219" s="102"/>
      <c r="AC219" s="102"/>
      <c r="AD219" s="102"/>
      <c r="AE219" s="102"/>
      <c r="AF219" s="102"/>
      <c r="AG219" s="102"/>
      <c r="AH219" s="102"/>
      <c r="AI219" s="102"/>
      <c r="AJ219" s="102"/>
      <c r="AK219" s="102"/>
      <c r="AL219" s="102"/>
      <c r="AM219" s="102"/>
      <c r="AN219" s="102"/>
      <c r="AO219" s="102"/>
      <c r="AP219" s="102"/>
      <c r="AQ219" s="102"/>
      <c r="AR219" s="102"/>
      <c r="AS219" s="102"/>
      <c r="AT219" s="102"/>
      <c r="AU219" s="102"/>
      <c r="AV219" s="102"/>
      <c r="AW219" s="102"/>
      <c r="AY219" s="102"/>
      <c r="AZ219" s="102"/>
      <c r="BA219" s="102"/>
      <c r="BB219" s="102"/>
      <c r="BC219" s="102"/>
      <c r="BD219" s="102"/>
      <c r="BE219" s="102"/>
      <c r="BF219" s="102"/>
      <c r="BG219" s="102"/>
      <c r="BH219" s="102"/>
      <c r="BI219" s="102"/>
      <c r="BJ219" s="102"/>
      <c r="BK219" s="102"/>
      <c r="BL219" s="102"/>
      <c r="BM219" s="102"/>
      <c r="BN219" s="102"/>
    </row>
    <row r="220" spans="2:66" s="64" customFormat="1" ht="15" customHeight="1">
      <c r="B220" s="102"/>
      <c r="C220" s="102"/>
      <c r="D220" s="102"/>
      <c r="E220" s="102"/>
      <c r="F220" s="102"/>
      <c r="G220" s="102"/>
      <c r="H220" s="102"/>
      <c r="I220" s="102"/>
      <c r="J220" s="102"/>
      <c r="K220" s="102"/>
      <c r="L220" s="102"/>
      <c r="M220" s="102"/>
      <c r="N220" s="102"/>
      <c r="O220" s="102"/>
      <c r="P220" s="102"/>
      <c r="Q220" s="102"/>
      <c r="R220" s="102"/>
      <c r="S220" s="102"/>
      <c r="T220" s="102"/>
      <c r="U220" s="102"/>
      <c r="V220" s="102"/>
      <c r="W220" s="102"/>
      <c r="X220" s="102"/>
      <c r="Y220" s="102"/>
      <c r="Z220" s="102"/>
      <c r="AA220" s="102"/>
      <c r="AB220" s="102"/>
      <c r="AC220" s="102"/>
      <c r="AD220" s="102"/>
      <c r="AE220" s="102"/>
      <c r="AF220" s="102"/>
      <c r="AG220" s="102"/>
      <c r="AH220" s="102"/>
      <c r="AI220" s="102"/>
      <c r="AJ220" s="102"/>
      <c r="AK220" s="102"/>
      <c r="AL220" s="102"/>
      <c r="AM220" s="102"/>
      <c r="AN220" s="102"/>
      <c r="AO220" s="102"/>
      <c r="AP220" s="102"/>
      <c r="AQ220" s="102"/>
      <c r="AR220" s="102"/>
      <c r="AS220" s="102"/>
      <c r="AT220" s="102"/>
      <c r="AU220" s="102"/>
      <c r="AV220" s="102"/>
      <c r="AW220" s="102"/>
      <c r="AY220" s="102"/>
      <c r="AZ220" s="102"/>
      <c r="BA220" s="102"/>
      <c r="BB220" s="102"/>
      <c r="BC220" s="102"/>
      <c r="BD220" s="102"/>
      <c r="BE220" s="102"/>
      <c r="BF220" s="102"/>
      <c r="BG220" s="102"/>
      <c r="BH220" s="102"/>
      <c r="BI220" s="102"/>
      <c r="BJ220" s="102"/>
      <c r="BK220" s="102"/>
      <c r="BL220" s="102"/>
      <c r="BM220" s="102"/>
      <c r="BN220" s="102"/>
    </row>
    <row r="221" spans="2:66" s="64" customFormat="1" ht="15" customHeight="1">
      <c r="B221" s="102"/>
      <c r="C221" s="102"/>
      <c r="D221" s="102"/>
      <c r="E221" s="102"/>
      <c r="F221" s="102"/>
      <c r="G221" s="102"/>
      <c r="H221" s="102"/>
      <c r="I221" s="102"/>
      <c r="J221" s="102"/>
      <c r="K221" s="102"/>
      <c r="L221" s="102"/>
      <c r="M221" s="102"/>
      <c r="N221" s="102"/>
      <c r="O221" s="102"/>
      <c r="P221" s="102"/>
      <c r="Q221" s="102"/>
      <c r="R221" s="102"/>
      <c r="S221" s="102"/>
      <c r="T221" s="102"/>
      <c r="U221" s="102"/>
      <c r="V221" s="102"/>
      <c r="W221" s="102"/>
      <c r="X221" s="102"/>
      <c r="Y221" s="102"/>
      <c r="Z221" s="102"/>
      <c r="AA221" s="102"/>
      <c r="AB221" s="102"/>
      <c r="AC221" s="102"/>
      <c r="AD221" s="102"/>
      <c r="AE221" s="102"/>
      <c r="AF221" s="102"/>
      <c r="AG221" s="102"/>
      <c r="AH221" s="102"/>
      <c r="AI221" s="102"/>
      <c r="AJ221" s="102"/>
      <c r="AK221" s="102"/>
      <c r="AL221" s="102"/>
      <c r="AM221" s="102"/>
      <c r="AN221" s="102"/>
      <c r="AO221" s="102"/>
      <c r="AP221" s="102"/>
      <c r="AQ221" s="102"/>
      <c r="AR221" s="102"/>
      <c r="AS221" s="102"/>
      <c r="AT221" s="102"/>
      <c r="AU221" s="102"/>
      <c r="AV221" s="102"/>
      <c r="AW221" s="102"/>
      <c r="AY221" s="102"/>
      <c r="AZ221" s="102"/>
      <c r="BA221" s="102"/>
      <c r="BB221" s="102"/>
      <c r="BC221" s="102"/>
      <c r="BD221" s="102"/>
      <c r="BE221" s="102"/>
      <c r="BF221" s="102"/>
      <c r="BG221" s="102"/>
      <c r="BH221" s="102"/>
      <c r="BI221" s="102"/>
      <c r="BJ221" s="102"/>
      <c r="BK221" s="102"/>
      <c r="BL221" s="102"/>
      <c r="BM221" s="102"/>
      <c r="BN221" s="102"/>
    </row>
    <row r="222" spans="2:66" s="64" customFormat="1" ht="15" customHeight="1">
      <c r="B222" s="102"/>
      <c r="C222" s="102"/>
      <c r="D222" s="102"/>
      <c r="E222" s="102"/>
      <c r="F222" s="102"/>
      <c r="G222" s="102"/>
      <c r="H222" s="102"/>
      <c r="I222" s="102"/>
      <c r="J222" s="102"/>
      <c r="K222" s="102"/>
      <c r="L222" s="102"/>
      <c r="M222" s="102"/>
      <c r="N222" s="102"/>
      <c r="O222" s="102"/>
      <c r="P222" s="102"/>
      <c r="Q222" s="102"/>
      <c r="R222" s="102"/>
      <c r="S222" s="102"/>
      <c r="T222" s="102"/>
      <c r="U222" s="102"/>
      <c r="V222" s="102"/>
      <c r="W222" s="102"/>
      <c r="X222" s="102"/>
      <c r="Y222" s="102"/>
      <c r="Z222" s="102"/>
      <c r="AA222" s="102"/>
      <c r="AB222" s="102"/>
      <c r="AC222" s="102"/>
      <c r="AD222" s="102"/>
      <c r="AE222" s="102"/>
      <c r="AF222" s="102"/>
      <c r="AG222" s="102"/>
      <c r="AH222" s="102"/>
      <c r="AI222" s="102"/>
      <c r="AJ222" s="102"/>
      <c r="AK222" s="102"/>
      <c r="AL222" s="102"/>
      <c r="AM222" s="102"/>
      <c r="AN222" s="102"/>
      <c r="AO222" s="102"/>
      <c r="AP222" s="102"/>
      <c r="AQ222" s="102"/>
      <c r="AR222" s="102"/>
      <c r="AS222" s="102"/>
      <c r="AT222" s="102"/>
      <c r="AU222" s="102"/>
      <c r="AV222" s="102"/>
      <c r="AW222" s="102"/>
      <c r="AY222" s="102"/>
      <c r="AZ222" s="102"/>
      <c r="BA222" s="102"/>
      <c r="BB222" s="102"/>
      <c r="BC222" s="102"/>
      <c r="BD222" s="102"/>
      <c r="BE222" s="102"/>
      <c r="BF222" s="102"/>
      <c r="BG222" s="102"/>
      <c r="BH222" s="102"/>
      <c r="BI222" s="102"/>
      <c r="BJ222" s="102"/>
      <c r="BK222" s="102"/>
      <c r="BL222" s="102"/>
      <c r="BM222" s="102"/>
      <c r="BN222" s="102"/>
    </row>
    <row r="223" spans="2:66" s="64" customFormat="1" ht="15" customHeight="1">
      <c r="B223" s="102"/>
      <c r="C223" s="102"/>
      <c r="D223" s="102"/>
      <c r="E223" s="102"/>
      <c r="F223" s="102"/>
      <c r="G223" s="102"/>
      <c r="H223" s="102"/>
      <c r="I223" s="102"/>
      <c r="J223" s="102"/>
      <c r="K223" s="102"/>
      <c r="L223" s="102"/>
      <c r="M223" s="102"/>
      <c r="N223" s="102"/>
      <c r="O223" s="102"/>
      <c r="P223" s="102"/>
      <c r="Q223" s="102"/>
      <c r="R223" s="102"/>
      <c r="S223" s="102"/>
      <c r="T223" s="102"/>
      <c r="U223" s="102"/>
      <c r="V223" s="102"/>
      <c r="W223" s="102"/>
      <c r="X223" s="102"/>
      <c r="Y223" s="102"/>
      <c r="Z223" s="102"/>
      <c r="AA223" s="102"/>
      <c r="AB223" s="102"/>
      <c r="AC223" s="102"/>
      <c r="AD223" s="102"/>
      <c r="AE223" s="102"/>
      <c r="AF223" s="102"/>
      <c r="AG223" s="102"/>
      <c r="AH223" s="102"/>
      <c r="AI223" s="102"/>
      <c r="AJ223" s="102"/>
      <c r="AK223" s="102"/>
      <c r="AL223" s="102"/>
      <c r="AM223" s="102"/>
      <c r="AN223" s="102"/>
      <c r="AO223" s="102"/>
      <c r="AP223" s="102"/>
      <c r="AQ223" s="102"/>
      <c r="AR223" s="102"/>
      <c r="AS223" s="102"/>
      <c r="AT223" s="102"/>
      <c r="AU223" s="102"/>
      <c r="AV223" s="102"/>
      <c r="AW223" s="102"/>
      <c r="AY223" s="102"/>
      <c r="AZ223" s="102"/>
      <c r="BA223" s="102"/>
      <c r="BB223" s="102"/>
      <c r="BC223" s="102"/>
      <c r="BD223" s="102"/>
      <c r="BE223" s="102"/>
      <c r="BF223" s="102"/>
      <c r="BG223" s="102"/>
      <c r="BH223" s="102"/>
      <c r="BI223" s="102"/>
      <c r="BJ223" s="102"/>
      <c r="BK223" s="102"/>
      <c r="BL223" s="102"/>
      <c r="BM223" s="102"/>
      <c r="BN223" s="102"/>
    </row>
    <row r="224" spans="2:66" s="64" customFormat="1" ht="15" customHeight="1">
      <c r="B224" s="102"/>
      <c r="C224" s="102"/>
      <c r="D224" s="102"/>
      <c r="E224" s="102"/>
      <c r="F224" s="102"/>
      <c r="G224" s="102"/>
      <c r="H224" s="102"/>
      <c r="I224" s="102"/>
      <c r="J224" s="102"/>
      <c r="K224" s="102"/>
      <c r="L224" s="102"/>
      <c r="M224" s="102"/>
      <c r="N224" s="102"/>
      <c r="O224" s="102"/>
      <c r="P224" s="102"/>
      <c r="Q224" s="102"/>
      <c r="R224" s="102"/>
      <c r="S224" s="102"/>
      <c r="T224" s="102"/>
      <c r="U224" s="102"/>
      <c r="V224" s="102"/>
      <c r="W224" s="102"/>
      <c r="X224" s="102"/>
      <c r="Y224" s="102"/>
      <c r="Z224" s="102"/>
      <c r="AA224" s="102"/>
      <c r="AB224" s="102"/>
      <c r="AC224" s="102"/>
      <c r="AD224" s="102"/>
      <c r="AE224" s="102"/>
      <c r="AF224" s="102"/>
      <c r="AG224" s="102"/>
      <c r="AH224" s="102"/>
      <c r="AI224" s="102"/>
      <c r="AJ224" s="102"/>
      <c r="AK224" s="102"/>
      <c r="AL224" s="102"/>
      <c r="AM224" s="102"/>
      <c r="AN224" s="102"/>
      <c r="AO224" s="102"/>
      <c r="AP224" s="102"/>
      <c r="AQ224" s="102"/>
      <c r="AR224" s="102"/>
      <c r="AS224" s="102"/>
      <c r="AT224" s="102"/>
      <c r="AU224" s="102"/>
      <c r="AV224" s="102"/>
      <c r="AW224" s="102"/>
      <c r="AY224" s="102"/>
      <c r="AZ224" s="102"/>
      <c r="BA224" s="102"/>
      <c r="BB224" s="102"/>
      <c r="BC224" s="102"/>
      <c r="BD224" s="102"/>
      <c r="BE224" s="102"/>
      <c r="BF224" s="102"/>
      <c r="BG224" s="102"/>
      <c r="BH224" s="102"/>
      <c r="BI224" s="102"/>
      <c r="BJ224" s="102"/>
      <c r="BK224" s="102"/>
      <c r="BL224" s="102"/>
      <c r="BM224" s="102"/>
      <c r="BN224" s="102"/>
    </row>
    <row r="225" spans="2:66" s="64" customFormat="1" ht="15" customHeight="1">
      <c r="B225" s="102"/>
      <c r="C225" s="102"/>
      <c r="D225" s="102"/>
      <c r="E225" s="102"/>
      <c r="F225" s="102"/>
      <c r="G225" s="102"/>
      <c r="H225" s="102"/>
      <c r="I225" s="102"/>
      <c r="J225" s="102"/>
      <c r="K225" s="102"/>
      <c r="L225" s="102"/>
      <c r="M225" s="102"/>
      <c r="N225" s="102"/>
      <c r="O225" s="102"/>
      <c r="P225" s="102"/>
      <c r="Q225" s="102"/>
      <c r="R225" s="102"/>
      <c r="S225" s="102"/>
      <c r="T225" s="102"/>
      <c r="U225" s="102"/>
      <c r="V225" s="102"/>
      <c r="W225" s="102"/>
      <c r="X225" s="102"/>
      <c r="Y225" s="102"/>
      <c r="Z225" s="102"/>
      <c r="AA225" s="102"/>
      <c r="AB225" s="102"/>
      <c r="AC225" s="102"/>
      <c r="AD225" s="102"/>
      <c r="AE225" s="102"/>
      <c r="AF225" s="102"/>
      <c r="AG225" s="102"/>
      <c r="AH225" s="102"/>
      <c r="AI225" s="102"/>
      <c r="AJ225" s="102"/>
      <c r="AK225" s="102"/>
      <c r="AL225" s="102"/>
      <c r="AM225" s="102"/>
      <c r="AN225" s="102"/>
      <c r="AO225" s="102"/>
      <c r="AP225" s="102"/>
      <c r="AQ225" s="102"/>
      <c r="AR225" s="102"/>
      <c r="AS225" s="102"/>
      <c r="AT225" s="102"/>
      <c r="AU225" s="102"/>
      <c r="AV225" s="102"/>
      <c r="AW225" s="102"/>
      <c r="AY225" s="102"/>
      <c r="AZ225" s="102"/>
      <c r="BA225" s="102"/>
      <c r="BB225" s="102"/>
      <c r="BC225" s="102"/>
      <c r="BD225" s="102"/>
      <c r="BE225" s="102"/>
      <c r="BF225" s="102"/>
      <c r="BG225" s="102"/>
      <c r="BH225" s="102"/>
      <c r="BI225" s="102"/>
      <c r="BJ225" s="102"/>
      <c r="BK225" s="102"/>
      <c r="BL225" s="102"/>
      <c r="BM225" s="102"/>
      <c r="BN225" s="102"/>
    </row>
    <row r="226" spans="2:66" s="64" customFormat="1" ht="15" customHeight="1">
      <c r="B226" s="102"/>
      <c r="C226" s="102"/>
      <c r="D226" s="102"/>
      <c r="E226" s="102"/>
      <c r="F226" s="102"/>
      <c r="G226" s="102"/>
      <c r="H226" s="102"/>
      <c r="I226" s="102"/>
      <c r="J226" s="102"/>
      <c r="K226" s="102"/>
      <c r="L226" s="102"/>
      <c r="M226" s="102"/>
      <c r="N226" s="102"/>
      <c r="O226" s="102"/>
      <c r="P226" s="102"/>
      <c r="Q226" s="102"/>
      <c r="R226" s="102"/>
      <c r="S226" s="102"/>
      <c r="T226" s="102"/>
      <c r="U226" s="102"/>
      <c r="V226" s="102"/>
      <c r="W226" s="102"/>
      <c r="X226" s="102"/>
      <c r="Y226" s="102"/>
      <c r="Z226" s="102"/>
      <c r="AA226" s="102"/>
      <c r="AB226" s="102"/>
      <c r="AC226" s="102"/>
      <c r="AD226" s="102"/>
      <c r="AE226" s="102"/>
      <c r="AF226" s="102"/>
      <c r="AG226" s="102"/>
      <c r="AH226" s="102"/>
      <c r="AI226" s="102"/>
      <c r="AJ226" s="102"/>
      <c r="AK226" s="102"/>
      <c r="AL226" s="102"/>
      <c r="AM226" s="102"/>
      <c r="AN226" s="102"/>
      <c r="AO226" s="102"/>
      <c r="AP226" s="102"/>
      <c r="AQ226" s="102"/>
      <c r="AR226" s="102"/>
      <c r="AS226" s="102"/>
      <c r="AT226" s="102"/>
      <c r="AU226" s="102"/>
      <c r="AV226" s="102"/>
      <c r="AW226" s="102"/>
      <c r="AY226" s="102"/>
      <c r="AZ226" s="102"/>
      <c r="BA226" s="102"/>
      <c r="BB226" s="102"/>
      <c r="BC226" s="102"/>
      <c r="BD226" s="102"/>
      <c r="BE226" s="102"/>
      <c r="BF226" s="102"/>
      <c r="BG226" s="102"/>
      <c r="BH226" s="102"/>
      <c r="BI226" s="102"/>
      <c r="BJ226" s="102"/>
      <c r="BK226" s="102"/>
      <c r="BL226" s="102"/>
      <c r="BM226" s="102"/>
      <c r="BN226" s="102"/>
    </row>
    <row r="227" spans="2:66" s="64" customFormat="1" ht="15" customHeight="1">
      <c r="B227" s="102"/>
      <c r="C227" s="102"/>
      <c r="D227" s="102"/>
      <c r="E227" s="102"/>
      <c r="F227" s="102"/>
      <c r="G227" s="102"/>
      <c r="H227" s="102"/>
      <c r="I227" s="102"/>
      <c r="J227" s="102"/>
      <c r="K227" s="102"/>
      <c r="L227" s="102"/>
      <c r="M227" s="102"/>
      <c r="N227" s="102"/>
      <c r="O227" s="102"/>
      <c r="P227" s="102"/>
      <c r="Q227" s="102"/>
      <c r="R227" s="102"/>
      <c r="S227" s="102"/>
      <c r="T227" s="102"/>
      <c r="U227" s="102"/>
      <c r="V227" s="102"/>
      <c r="W227" s="102"/>
      <c r="X227" s="102"/>
      <c r="Y227" s="102"/>
      <c r="Z227" s="102"/>
      <c r="AA227" s="102"/>
      <c r="AB227" s="102"/>
      <c r="AC227" s="102"/>
      <c r="AD227" s="102"/>
      <c r="AE227" s="102"/>
      <c r="AF227" s="102"/>
      <c r="AG227" s="102"/>
      <c r="AH227" s="102"/>
      <c r="AI227" s="102"/>
      <c r="AJ227" s="102"/>
      <c r="AK227" s="102"/>
      <c r="AL227" s="102"/>
      <c r="AM227" s="102"/>
      <c r="AN227" s="102"/>
      <c r="AO227" s="102"/>
      <c r="AP227" s="102"/>
      <c r="AQ227" s="102"/>
      <c r="AR227" s="102"/>
      <c r="AS227" s="102"/>
      <c r="AT227" s="102"/>
      <c r="AU227" s="102"/>
      <c r="AV227" s="102"/>
      <c r="AW227" s="102"/>
      <c r="AY227" s="102"/>
      <c r="AZ227" s="102"/>
      <c r="BA227" s="102"/>
      <c r="BB227" s="102"/>
      <c r="BC227" s="102"/>
      <c r="BD227" s="102"/>
      <c r="BE227" s="102"/>
      <c r="BF227" s="102"/>
      <c r="BG227" s="102"/>
      <c r="BH227" s="102"/>
      <c r="BI227" s="102"/>
      <c r="BJ227" s="102"/>
      <c r="BK227" s="102"/>
      <c r="BL227" s="102"/>
      <c r="BM227" s="102"/>
      <c r="BN227" s="102"/>
    </row>
    <row r="228" spans="2:66" s="64" customFormat="1" ht="15" customHeight="1">
      <c r="B228" s="102"/>
      <c r="C228" s="102"/>
      <c r="D228" s="102"/>
      <c r="E228" s="102"/>
      <c r="F228" s="102"/>
      <c r="G228" s="102"/>
      <c r="H228" s="102"/>
      <c r="I228" s="102"/>
      <c r="J228" s="102"/>
      <c r="K228" s="102"/>
      <c r="L228" s="102"/>
      <c r="M228" s="102"/>
      <c r="N228" s="102"/>
      <c r="O228" s="102"/>
      <c r="P228" s="102"/>
      <c r="Q228" s="102"/>
      <c r="R228" s="102"/>
      <c r="S228" s="102"/>
      <c r="T228" s="102"/>
      <c r="U228" s="102"/>
      <c r="V228" s="102"/>
      <c r="W228" s="102"/>
      <c r="X228" s="102"/>
      <c r="Y228" s="102"/>
      <c r="Z228" s="102"/>
      <c r="AA228" s="102"/>
      <c r="AB228" s="102"/>
      <c r="AC228" s="102"/>
      <c r="AD228" s="102"/>
      <c r="AE228" s="102"/>
      <c r="AF228" s="102"/>
      <c r="AG228" s="102"/>
      <c r="AH228" s="102"/>
      <c r="AI228" s="102"/>
      <c r="AJ228" s="102"/>
      <c r="AK228" s="102"/>
      <c r="AL228" s="102"/>
      <c r="AM228" s="102"/>
      <c r="AN228" s="102"/>
      <c r="AO228" s="102"/>
      <c r="AP228" s="102"/>
      <c r="AQ228" s="102"/>
      <c r="AR228" s="102"/>
      <c r="AS228" s="102"/>
      <c r="AT228" s="102"/>
      <c r="AU228" s="102"/>
      <c r="AV228" s="102"/>
      <c r="AW228" s="102"/>
      <c r="AY228" s="102"/>
      <c r="AZ228" s="102"/>
      <c r="BA228" s="102"/>
      <c r="BB228" s="102"/>
      <c r="BC228" s="102"/>
      <c r="BD228" s="102"/>
      <c r="BE228" s="102"/>
      <c r="BF228" s="102"/>
      <c r="BG228" s="102"/>
      <c r="BH228" s="102"/>
      <c r="BI228" s="102"/>
      <c r="BJ228" s="102"/>
      <c r="BK228" s="102"/>
      <c r="BL228" s="102"/>
      <c r="BM228" s="102"/>
      <c r="BN228" s="102"/>
    </row>
    <row r="229" spans="2:66" s="64" customFormat="1" ht="15" customHeight="1">
      <c r="B229" s="102"/>
      <c r="C229" s="102"/>
      <c r="D229" s="102"/>
      <c r="E229" s="102"/>
      <c r="F229" s="102"/>
      <c r="G229" s="102"/>
      <c r="H229" s="102"/>
      <c r="I229" s="102"/>
      <c r="J229" s="102"/>
      <c r="K229" s="102"/>
      <c r="L229" s="102"/>
      <c r="M229" s="102"/>
      <c r="N229" s="102"/>
      <c r="O229" s="102"/>
      <c r="P229" s="102"/>
      <c r="Q229" s="102"/>
      <c r="R229" s="102"/>
      <c r="S229" s="102"/>
      <c r="T229" s="102"/>
      <c r="U229" s="102"/>
      <c r="V229" s="102"/>
      <c r="W229" s="102"/>
      <c r="X229" s="102"/>
      <c r="Y229" s="102"/>
      <c r="Z229" s="102"/>
      <c r="AA229" s="102"/>
      <c r="AB229" s="102"/>
      <c r="AC229" s="102"/>
      <c r="AD229" s="102"/>
      <c r="AE229" s="102"/>
      <c r="AF229" s="102"/>
      <c r="AG229" s="102"/>
      <c r="AH229" s="102"/>
      <c r="AI229" s="102"/>
      <c r="AJ229" s="102"/>
      <c r="AK229" s="102"/>
      <c r="AL229" s="102"/>
      <c r="AM229" s="102"/>
      <c r="AN229" s="102"/>
      <c r="AO229" s="102"/>
      <c r="AP229" s="102"/>
      <c r="AQ229" s="102"/>
      <c r="AR229" s="102"/>
      <c r="AS229" s="102"/>
      <c r="AT229" s="102"/>
      <c r="AU229" s="102"/>
      <c r="AV229" s="102"/>
      <c r="AW229" s="102"/>
      <c r="AY229" s="102"/>
      <c r="AZ229" s="102"/>
      <c r="BA229" s="102"/>
      <c r="BB229" s="102"/>
      <c r="BC229" s="102"/>
      <c r="BD229" s="102"/>
      <c r="BE229" s="102"/>
      <c r="BF229" s="102"/>
      <c r="BG229" s="102"/>
      <c r="BH229" s="102"/>
      <c r="BI229" s="102"/>
      <c r="BJ229" s="102"/>
      <c r="BK229" s="102"/>
      <c r="BL229" s="102"/>
      <c r="BM229" s="102"/>
      <c r="BN229" s="102"/>
    </row>
    <row r="230" spans="2:66" s="64" customFormat="1" ht="15" customHeight="1">
      <c r="B230" s="102"/>
      <c r="C230" s="102"/>
      <c r="D230" s="102"/>
      <c r="E230" s="102"/>
      <c r="F230" s="102"/>
      <c r="G230" s="102"/>
      <c r="H230" s="102"/>
      <c r="I230" s="102"/>
      <c r="J230" s="102"/>
      <c r="K230" s="102"/>
      <c r="L230" s="102"/>
      <c r="M230" s="102"/>
      <c r="N230" s="102"/>
      <c r="O230" s="102"/>
      <c r="P230" s="102"/>
      <c r="Q230" s="102"/>
      <c r="R230" s="102"/>
      <c r="S230" s="102"/>
      <c r="T230" s="102"/>
      <c r="U230" s="102"/>
      <c r="V230" s="102"/>
      <c r="W230" s="102"/>
      <c r="X230" s="102"/>
      <c r="Y230" s="102"/>
      <c r="Z230" s="102"/>
      <c r="AA230" s="102"/>
      <c r="AB230" s="102"/>
      <c r="AC230" s="102"/>
      <c r="AD230" s="102"/>
      <c r="AE230" s="102"/>
      <c r="AF230" s="102"/>
      <c r="AG230" s="102"/>
      <c r="AH230" s="102"/>
      <c r="AI230" s="102"/>
      <c r="AJ230" s="102"/>
      <c r="AK230" s="102"/>
      <c r="AL230" s="102"/>
      <c r="AM230" s="102"/>
      <c r="AN230" s="102"/>
      <c r="AO230" s="102"/>
      <c r="AP230" s="102"/>
      <c r="AQ230" s="102"/>
      <c r="AR230" s="102"/>
      <c r="AS230" s="102"/>
      <c r="AT230" s="102"/>
      <c r="AU230" s="102"/>
      <c r="AV230" s="102"/>
      <c r="AW230" s="102"/>
      <c r="AY230" s="102"/>
      <c r="AZ230" s="102"/>
      <c r="BA230" s="102"/>
      <c r="BB230" s="102"/>
      <c r="BC230" s="102"/>
      <c r="BD230" s="102"/>
      <c r="BE230" s="102"/>
      <c r="BF230" s="102"/>
      <c r="BG230" s="102"/>
      <c r="BH230" s="102"/>
      <c r="BI230" s="102"/>
      <c r="BJ230" s="102"/>
      <c r="BK230" s="102"/>
      <c r="BL230" s="102"/>
      <c r="BM230" s="102"/>
      <c r="BN230" s="102"/>
    </row>
    <row r="231" spans="2:66" s="64" customFormat="1" ht="15" customHeight="1">
      <c r="B231" s="102"/>
      <c r="C231" s="102"/>
      <c r="D231" s="102"/>
      <c r="E231" s="102"/>
      <c r="F231" s="102"/>
      <c r="G231" s="102"/>
      <c r="H231" s="102"/>
      <c r="I231" s="102"/>
      <c r="J231" s="102"/>
      <c r="K231" s="102"/>
      <c r="L231" s="102"/>
      <c r="M231" s="102"/>
      <c r="N231" s="102"/>
      <c r="O231" s="102"/>
      <c r="P231" s="102"/>
      <c r="Q231" s="102"/>
      <c r="R231" s="102"/>
      <c r="S231" s="102"/>
      <c r="T231" s="102"/>
      <c r="U231" s="102"/>
      <c r="V231" s="102"/>
      <c r="W231" s="102"/>
      <c r="X231" s="102"/>
      <c r="Y231" s="102"/>
      <c r="Z231" s="102"/>
      <c r="AA231" s="102"/>
      <c r="AB231" s="102"/>
      <c r="AC231" s="102"/>
      <c r="AD231" s="102"/>
      <c r="AE231" s="102"/>
      <c r="AF231" s="102"/>
      <c r="AG231" s="102"/>
      <c r="AH231" s="102"/>
      <c r="AI231" s="102"/>
      <c r="AJ231" s="102"/>
      <c r="AK231" s="102"/>
      <c r="AL231" s="102"/>
      <c r="AM231" s="102"/>
      <c r="AN231" s="102"/>
      <c r="AO231" s="102"/>
      <c r="AP231" s="102"/>
      <c r="AQ231" s="102"/>
      <c r="AR231" s="102"/>
      <c r="AS231" s="102"/>
      <c r="AT231" s="102"/>
      <c r="AU231" s="102"/>
      <c r="AV231" s="102"/>
      <c r="AW231" s="102"/>
      <c r="AY231" s="102"/>
      <c r="AZ231" s="102"/>
      <c r="BA231" s="102"/>
      <c r="BB231" s="102"/>
      <c r="BC231" s="102"/>
      <c r="BD231" s="102"/>
      <c r="BE231" s="102"/>
      <c r="BF231" s="102"/>
      <c r="BG231" s="102"/>
      <c r="BH231" s="102"/>
      <c r="BI231" s="102"/>
      <c r="BJ231" s="102"/>
      <c r="BK231" s="102"/>
      <c r="BL231" s="102"/>
      <c r="BM231" s="102"/>
      <c r="BN231" s="102"/>
    </row>
    <row r="232" spans="2:66" s="64" customFormat="1" ht="15" customHeight="1">
      <c r="B232" s="102"/>
      <c r="C232" s="102"/>
      <c r="D232" s="102"/>
      <c r="E232" s="102"/>
      <c r="F232" s="102"/>
      <c r="G232" s="102"/>
      <c r="H232" s="102"/>
      <c r="I232" s="102"/>
      <c r="J232" s="102"/>
      <c r="K232" s="102"/>
      <c r="L232" s="102"/>
      <c r="M232" s="102"/>
      <c r="N232" s="102"/>
      <c r="O232" s="102"/>
      <c r="P232" s="102"/>
      <c r="Q232" s="102"/>
      <c r="R232" s="102"/>
      <c r="S232" s="102"/>
      <c r="T232" s="102"/>
      <c r="U232" s="102"/>
      <c r="V232" s="102"/>
      <c r="W232" s="102"/>
      <c r="X232" s="102"/>
      <c r="Y232" s="102"/>
      <c r="Z232" s="102"/>
      <c r="AA232" s="102"/>
      <c r="AB232" s="102"/>
      <c r="AC232" s="102"/>
      <c r="AD232" s="102"/>
      <c r="AE232" s="102"/>
      <c r="AF232" s="102"/>
      <c r="AG232" s="102"/>
      <c r="AH232" s="102"/>
      <c r="AI232" s="102"/>
      <c r="AJ232" s="102"/>
      <c r="AK232" s="102"/>
      <c r="AL232" s="102"/>
      <c r="AM232" s="102"/>
      <c r="AN232" s="102"/>
      <c r="AO232" s="102"/>
      <c r="AP232" s="102"/>
      <c r="AQ232" s="102"/>
      <c r="AR232" s="102"/>
      <c r="AS232" s="102"/>
      <c r="AT232" s="102"/>
      <c r="AU232" s="102"/>
      <c r="AV232" s="102"/>
      <c r="AW232" s="102"/>
      <c r="AY232" s="102"/>
      <c r="AZ232" s="102"/>
      <c r="BA232" s="102"/>
      <c r="BB232" s="102"/>
      <c r="BC232" s="102"/>
      <c r="BD232" s="102"/>
      <c r="BE232" s="102"/>
      <c r="BF232" s="102"/>
      <c r="BG232" s="102"/>
      <c r="BH232" s="102"/>
      <c r="BI232" s="102"/>
      <c r="BJ232" s="102"/>
      <c r="BK232" s="102"/>
      <c r="BL232" s="102"/>
      <c r="BM232" s="102"/>
      <c r="BN232" s="102"/>
    </row>
    <row r="233" spans="2:66" s="64" customFormat="1" ht="15" customHeight="1">
      <c r="B233" s="102"/>
      <c r="C233" s="102"/>
      <c r="D233" s="102"/>
      <c r="E233" s="102"/>
      <c r="F233" s="102"/>
      <c r="G233" s="102"/>
      <c r="H233" s="102"/>
      <c r="I233" s="102"/>
      <c r="J233" s="102"/>
      <c r="K233" s="102"/>
      <c r="L233" s="102"/>
      <c r="M233" s="102"/>
      <c r="N233" s="102"/>
      <c r="O233" s="102"/>
      <c r="P233" s="102"/>
      <c r="Q233" s="102"/>
      <c r="R233" s="102"/>
      <c r="S233" s="102"/>
      <c r="T233" s="102"/>
      <c r="U233" s="102"/>
      <c r="V233" s="102"/>
      <c r="W233" s="102"/>
      <c r="X233" s="102"/>
      <c r="Y233" s="102"/>
      <c r="Z233" s="102"/>
      <c r="AA233" s="102"/>
      <c r="AB233" s="102"/>
      <c r="AC233" s="102"/>
      <c r="AD233" s="102"/>
      <c r="AE233" s="102"/>
      <c r="AF233" s="102"/>
      <c r="AG233" s="102"/>
      <c r="AH233" s="102"/>
      <c r="AI233" s="102"/>
      <c r="AJ233" s="102"/>
      <c r="AK233" s="102"/>
      <c r="AL233" s="102"/>
      <c r="AM233" s="102"/>
      <c r="AN233" s="102"/>
      <c r="AO233" s="102"/>
      <c r="AP233" s="102"/>
      <c r="AQ233" s="102"/>
      <c r="AR233" s="102"/>
      <c r="AS233" s="102"/>
      <c r="AT233" s="102"/>
      <c r="AU233" s="102"/>
      <c r="AV233" s="102"/>
      <c r="AW233" s="102"/>
      <c r="AY233" s="102"/>
      <c r="AZ233" s="102"/>
      <c r="BA233" s="102"/>
      <c r="BB233" s="102"/>
      <c r="BC233" s="102"/>
      <c r="BD233" s="102"/>
      <c r="BE233" s="102"/>
      <c r="BF233" s="102"/>
      <c r="BG233" s="102"/>
      <c r="BH233" s="102"/>
      <c r="BI233" s="102"/>
      <c r="BJ233" s="102"/>
      <c r="BK233" s="102"/>
      <c r="BL233" s="102"/>
      <c r="BM233" s="102"/>
      <c r="BN233" s="102"/>
    </row>
    <row r="234" spans="2:66" s="64" customFormat="1" ht="15" customHeight="1">
      <c r="B234" s="102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102"/>
      <c r="O234" s="102"/>
      <c r="P234" s="102"/>
      <c r="Q234" s="102"/>
      <c r="R234" s="102"/>
      <c r="S234" s="102"/>
      <c r="T234" s="102"/>
      <c r="U234" s="102"/>
      <c r="V234" s="102"/>
      <c r="W234" s="102"/>
      <c r="X234" s="102"/>
      <c r="Y234" s="102"/>
      <c r="Z234" s="102"/>
      <c r="AA234" s="102"/>
      <c r="AB234" s="102"/>
      <c r="AC234" s="102"/>
      <c r="AD234" s="102"/>
      <c r="AE234" s="102"/>
      <c r="AF234" s="102"/>
      <c r="AG234" s="102"/>
      <c r="AH234" s="102"/>
      <c r="AI234" s="102"/>
      <c r="AJ234" s="102"/>
      <c r="AK234" s="102"/>
      <c r="AL234" s="102"/>
      <c r="AM234" s="102"/>
      <c r="AN234" s="102"/>
      <c r="AO234" s="102"/>
      <c r="AP234" s="102"/>
      <c r="AQ234" s="102"/>
      <c r="AR234" s="102"/>
      <c r="AS234" s="102"/>
      <c r="AT234" s="102"/>
      <c r="AU234" s="102"/>
      <c r="AV234" s="102"/>
      <c r="AW234" s="102"/>
      <c r="AY234" s="102"/>
      <c r="AZ234" s="102"/>
      <c r="BA234" s="102"/>
      <c r="BB234" s="102"/>
      <c r="BC234" s="102"/>
      <c r="BD234" s="102"/>
      <c r="BE234" s="102"/>
      <c r="BF234" s="102"/>
      <c r="BG234" s="102"/>
      <c r="BH234" s="102"/>
      <c r="BI234" s="102"/>
      <c r="BJ234" s="102"/>
      <c r="BK234" s="102"/>
      <c r="BL234" s="102"/>
      <c r="BM234" s="102"/>
      <c r="BN234" s="102"/>
    </row>
    <row r="235" spans="2:66" s="64" customFormat="1" ht="15" customHeight="1">
      <c r="B235" s="102"/>
      <c r="C235" s="102"/>
      <c r="D235" s="102"/>
      <c r="E235" s="102"/>
      <c r="F235" s="102"/>
      <c r="G235" s="102"/>
      <c r="H235" s="102"/>
      <c r="I235" s="102"/>
      <c r="J235" s="102"/>
      <c r="K235" s="102"/>
      <c r="L235" s="102"/>
      <c r="M235" s="102"/>
      <c r="N235" s="102"/>
      <c r="O235" s="102"/>
      <c r="P235" s="102"/>
      <c r="Q235" s="102"/>
      <c r="R235" s="102"/>
      <c r="S235" s="102"/>
      <c r="T235" s="102"/>
      <c r="U235" s="102"/>
      <c r="V235" s="102"/>
      <c r="W235" s="102"/>
      <c r="X235" s="102"/>
      <c r="Y235" s="102"/>
      <c r="Z235" s="102"/>
      <c r="AA235" s="102"/>
      <c r="AB235" s="102"/>
      <c r="AC235" s="102"/>
      <c r="AD235" s="102"/>
      <c r="AE235" s="102"/>
      <c r="AF235" s="102"/>
      <c r="AG235" s="102"/>
      <c r="AH235" s="102"/>
      <c r="AI235" s="102"/>
      <c r="AJ235" s="102"/>
      <c r="AK235" s="102"/>
      <c r="AL235" s="102"/>
      <c r="AM235" s="102"/>
      <c r="AN235" s="102"/>
      <c r="AO235" s="102"/>
      <c r="AP235" s="102"/>
      <c r="AQ235" s="102"/>
      <c r="AR235" s="102"/>
      <c r="AS235" s="102"/>
      <c r="AT235" s="102"/>
      <c r="AU235" s="102"/>
      <c r="AV235" s="102"/>
      <c r="AW235" s="102"/>
      <c r="AY235" s="102"/>
      <c r="AZ235" s="102"/>
      <c r="BA235" s="102"/>
      <c r="BB235" s="102"/>
      <c r="BC235" s="102"/>
      <c r="BD235" s="102"/>
      <c r="BE235" s="102"/>
      <c r="BF235" s="102"/>
      <c r="BG235" s="102"/>
      <c r="BH235" s="102"/>
      <c r="BI235" s="102"/>
      <c r="BJ235" s="102"/>
      <c r="BK235" s="102"/>
      <c r="BL235" s="102"/>
      <c r="BM235" s="102"/>
      <c r="BN235" s="102"/>
    </row>
    <row r="236" spans="2:66" s="64" customFormat="1" ht="15" customHeight="1">
      <c r="B236" s="102"/>
      <c r="C236" s="102"/>
      <c r="D236" s="102"/>
      <c r="E236" s="102"/>
      <c r="F236" s="102"/>
      <c r="G236" s="102"/>
      <c r="H236" s="102"/>
      <c r="I236" s="102"/>
      <c r="J236" s="102"/>
      <c r="K236" s="102"/>
      <c r="L236" s="102"/>
      <c r="M236" s="102"/>
      <c r="N236" s="102"/>
      <c r="O236" s="102"/>
      <c r="P236" s="102"/>
      <c r="Q236" s="102"/>
      <c r="R236" s="102"/>
      <c r="S236" s="102"/>
      <c r="T236" s="102"/>
      <c r="U236" s="102"/>
      <c r="V236" s="102"/>
      <c r="W236" s="102"/>
      <c r="X236" s="102"/>
      <c r="Y236" s="102"/>
      <c r="Z236" s="102"/>
      <c r="AA236" s="102"/>
      <c r="AB236" s="102"/>
      <c r="AC236" s="102"/>
      <c r="AD236" s="102"/>
      <c r="AE236" s="102"/>
      <c r="AF236" s="102"/>
      <c r="AG236" s="102"/>
      <c r="AH236" s="102"/>
      <c r="AI236" s="102"/>
      <c r="AJ236" s="102"/>
      <c r="AK236" s="102"/>
      <c r="AL236" s="102"/>
      <c r="AM236" s="102"/>
      <c r="AN236" s="102"/>
      <c r="AO236" s="102"/>
      <c r="AP236" s="102"/>
      <c r="AQ236" s="102"/>
      <c r="AR236" s="102"/>
      <c r="AS236" s="102"/>
      <c r="AT236" s="102"/>
      <c r="AU236" s="102"/>
      <c r="AV236" s="102"/>
      <c r="AW236" s="102"/>
      <c r="AY236" s="102"/>
      <c r="AZ236" s="102"/>
      <c r="BA236" s="102"/>
      <c r="BB236" s="102"/>
      <c r="BC236" s="102"/>
      <c r="BD236" s="102"/>
      <c r="BE236" s="102"/>
      <c r="BF236" s="102"/>
      <c r="BG236" s="102"/>
      <c r="BH236" s="102"/>
      <c r="BI236" s="102"/>
      <c r="BJ236" s="102"/>
      <c r="BK236" s="102"/>
      <c r="BL236" s="102"/>
      <c r="BM236" s="102"/>
      <c r="BN236" s="102"/>
    </row>
    <row r="237" spans="2:66" s="64" customFormat="1" ht="15" customHeight="1">
      <c r="B237" s="102"/>
      <c r="C237" s="102"/>
      <c r="D237" s="102"/>
      <c r="E237" s="102"/>
      <c r="F237" s="102"/>
      <c r="G237" s="102"/>
      <c r="H237" s="102"/>
      <c r="I237" s="102"/>
      <c r="J237" s="102"/>
      <c r="K237" s="102"/>
      <c r="L237" s="102"/>
      <c r="M237" s="102"/>
      <c r="N237" s="102"/>
      <c r="O237" s="102"/>
      <c r="P237" s="102"/>
      <c r="Q237" s="102"/>
      <c r="R237" s="102"/>
      <c r="S237" s="102"/>
      <c r="T237" s="102"/>
      <c r="U237" s="102"/>
      <c r="V237" s="102"/>
      <c r="W237" s="102"/>
      <c r="X237" s="102"/>
      <c r="Y237" s="102"/>
      <c r="Z237" s="102"/>
      <c r="AA237" s="102"/>
      <c r="AB237" s="102"/>
      <c r="AC237" s="102"/>
      <c r="AD237" s="102"/>
      <c r="AE237" s="102"/>
      <c r="AF237" s="102"/>
      <c r="AG237" s="102"/>
      <c r="AH237" s="102"/>
      <c r="AI237" s="102"/>
      <c r="AJ237" s="102"/>
      <c r="AK237" s="102"/>
      <c r="AL237" s="102"/>
      <c r="AM237" s="102"/>
      <c r="AN237" s="102"/>
      <c r="AO237" s="102"/>
      <c r="AP237" s="102"/>
      <c r="AQ237" s="102"/>
      <c r="AR237" s="102"/>
      <c r="AS237" s="102"/>
      <c r="AT237" s="102"/>
      <c r="AU237" s="102"/>
      <c r="AV237" s="102"/>
      <c r="AW237" s="102"/>
      <c r="AY237" s="102"/>
      <c r="AZ237" s="102"/>
      <c r="BA237" s="102"/>
      <c r="BB237" s="102"/>
      <c r="BC237" s="102"/>
      <c r="BD237" s="102"/>
      <c r="BE237" s="102"/>
      <c r="BF237" s="102"/>
      <c r="BG237" s="102"/>
      <c r="BH237" s="102"/>
      <c r="BI237" s="102"/>
      <c r="BJ237" s="102"/>
      <c r="BK237" s="102"/>
      <c r="BL237" s="102"/>
      <c r="BM237" s="102"/>
      <c r="BN237" s="102"/>
    </row>
    <row r="238" spans="2:66" s="64" customFormat="1" ht="15" customHeight="1">
      <c r="B238" s="102"/>
      <c r="C238" s="102"/>
      <c r="D238" s="102"/>
      <c r="E238" s="102"/>
      <c r="F238" s="102"/>
      <c r="G238" s="102"/>
      <c r="H238" s="102"/>
      <c r="I238" s="102"/>
      <c r="J238" s="102"/>
      <c r="K238" s="102"/>
      <c r="L238" s="102"/>
      <c r="M238" s="102"/>
      <c r="N238" s="102"/>
      <c r="O238" s="102"/>
      <c r="P238" s="102"/>
      <c r="Q238" s="102"/>
      <c r="R238" s="102"/>
      <c r="S238" s="102"/>
      <c r="T238" s="102"/>
      <c r="U238" s="102"/>
      <c r="V238" s="102"/>
      <c r="W238" s="102"/>
      <c r="X238" s="102"/>
      <c r="Y238" s="102"/>
      <c r="Z238" s="102"/>
      <c r="AA238" s="102"/>
      <c r="AB238" s="102"/>
      <c r="AC238" s="102"/>
      <c r="AD238" s="102"/>
      <c r="AE238" s="102"/>
      <c r="AF238" s="102"/>
      <c r="AG238" s="102"/>
      <c r="AH238" s="102"/>
      <c r="AI238" s="102"/>
      <c r="AJ238" s="102"/>
      <c r="AK238" s="102"/>
      <c r="AL238" s="102"/>
      <c r="AM238" s="102"/>
      <c r="AN238" s="102"/>
      <c r="AO238" s="102"/>
      <c r="AP238" s="102"/>
      <c r="AQ238" s="102"/>
      <c r="AR238" s="102"/>
      <c r="AS238" s="102"/>
      <c r="AT238" s="102"/>
      <c r="AU238" s="102"/>
      <c r="AV238" s="102"/>
      <c r="AW238" s="102"/>
      <c r="AY238" s="102"/>
      <c r="AZ238" s="102"/>
      <c r="BA238" s="102"/>
      <c r="BB238" s="102"/>
      <c r="BC238" s="102"/>
      <c r="BD238" s="102"/>
      <c r="BE238" s="102"/>
      <c r="BF238" s="102"/>
      <c r="BG238" s="102"/>
      <c r="BH238" s="102"/>
      <c r="BI238" s="102"/>
      <c r="BJ238" s="102"/>
      <c r="BK238" s="102"/>
      <c r="BL238" s="102"/>
      <c r="BM238" s="102"/>
      <c r="BN238" s="102"/>
    </row>
    <row r="239" spans="2:66" s="64" customFormat="1" ht="15" customHeight="1">
      <c r="B239" s="102"/>
      <c r="C239" s="102"/>
      <c r="D239" s="102"/>
      <c r="E239" s="102"/>
      <c r="F239" s="102"/>
      <c r="G239" s="102"/>
      <c r="H239" s="102"/>
      <c r="I239" s="102"/>
      <c r="J239" s="102"/>
      <c r="K239" s="102"/>
      <c r="L239" s="102"/>
      <c r="M239" s="102"/>
      <c r="N239" s="102"/>
      <c r="O239" s="102"/>
      <c r="P239" s="102"/>
      <c r="Q239" s="102"/>
      <c r="R239" s="102"/>
      <c r="S239" s="102"/>
      <c r="T239" s="102"/>
      <c r="U239" s="102"/>
      <c r="V239" s="102"/>
      <c r="W239" s="102"/>
      <c r="X239" s="102"/>
      <c r="Y239" s="102"/>
      <c r="Z239" s="102"/>
      <c r="AA239" s="102"/>
      <c r="AB239" s="102"/>
      <c r="AC239" s="102"/>
      <c r="AD239" s="102"/>
      <c r="AE239" s="102"/>
      <c r="AF239" s="102"/>
      <c r="AG239" s="102"/>
      <c r="AH239" s="102"/>
      <c r="AI239" s="102"/>
      <c r="AJ239" s="102"/>
      <c r="AK239" s="102"/>
      <c r="AL239" s="102"/>
      <c r="AM239" s="102"/>
      <c r="AN239" s="102"/>
      <c r="AO239" s="102"/>
      <c r="AP239" s="102"/>
      <c r="AQ239" s="102"/>
      <c r="AR239" s="102"/>
      <c r="AS239" s="102"/>
      <c r="AT239" s="102"/>
      <c r="AU239" s="102"/>
      <c r="AV239" s="102"/>
      <c r="AW239" s="102"/>
      <c r="AY239" s="102"/>
      <c r="AZ239" s="102"/>
      <c r="BA239" s="102"/>
      <c r="BB239" s="102"/>
      <c r="BC239" s="102"/>
      <c r="BD239" s="102"/>
      <c r="BE239" s="102"/>
      <c r="BF239" s="102"/>
      <c r="BG239" s="102"/>
      <c r="BH239" s="102"/>
      <c r="BI239" s="102"/>
      <c r="BJ239" s="102"/>
      <c r="BK239" s="102"/>
      <c r="BL239" s="102"/>
      <c r="BM239" s="102"/>
      <c r="BN239" s="102"/>
    </row>
    <row r="240" spans="2:66" s="64" customFormat="1" ht="15" customHeight="1">
      <c r="B240" s="102"/>
      <c r="C240" s="102"/>
      <c r="D240" s="102"/>
      <c r="E240" s="102"/>
      <c r="F240" s="102"/>
      <c r="G240" s="102"/>
      <c r="H240" s="102"/>
      <c r="I240" s="102"/>
      <c r="J240" s="102"/>
      <c r="K240" s="102"/>
      <c r="L240" s="102"/>
      <c r="M240" s="102"/>
      <c r="N240" s="102"/>
      <c r="O240" s="102"/>
      <c r="P240" s="102"/>
      <c r="Q240" s="102"/>
      <c r="R240" s="102"/>
      <c r="S240" s="102"/>
      <c r="T240" s="102"/>
      <c r="U240" s="102"/>
      <c r="V240" s="102"/>
      <c r="W240" s="102"/>
      <c r="X240" s="102"/>
      <c r="Y240" s="102"/>
      <c r="Z240" s="102"/>
      <c r="AA240" s="102"/>
      <c r="AB240" s="102"/>
      <c r="AC240" s="102"/>
      <c r="AD240" s="102"/>
      <c r="AE240" s="102"/>
      <c r="AF240" s="102"/>
      <c r="AG240" s="102"/>
      <c r="AH240" s="102"/>
      <c r="AI240" s="102"/>
      <c r="AJ240" s="102"/>
      <c r="AK240" s="102"/>
      <c r="AL240" s="102"/>
      <c r="AM240" s="102"/>
      <c r="AN240" s="102"/>
      <c r="AO240" s="102"/>
      <c r="AP240" s="102"/>
      <c r="AQ240" s="102"/>
      <c r="AR240" s="102"/>
      <c r="AS240" s="102"/>
      <c r="AT240" s="102"/>
      <c r="AU240" s="102"/>
      <c r="AV240" s="102"/>
      <c r="AW240" s="102"/>
      <c r="AY240" s="102"/>
      <c r="AZ240" s="102"/>
      <c r="BA240" s="102"/>
      <c r="BB240" s="102"/>
      <c r="BC240" s="102"/>
      <c r="BD240" s="102"/>
      <c r="BE240" s="102"/>
      <c r="BF240" s="102"/>
      <c r="BG240" s="102"/>
      <c r="BH240" s="102"/>
      <c r="BI240" s="102"/>
      <c r="BJ240" s="102"/>
      <c r="BK240" s="102"/>
      <c r="BL240" s="102"/>
      <c r="BM240" s="102"/>
      <c r="BN240" s="102"/>
    </row>
    <row r="241" spans="2:66" s="64" customFormat="1" ht="15" customHeight="1">
      <c r="B241" s="102"/>
      <c r="C241" s="102"/>
      <c r="D241" s="102"/>
      <c r="E241" s="102"/>
      <c r="F241" s="102"/>
      <c r="G241" s="102"/>
      <c r="H241" s="102"/>
      <c r="I241" s="102"/>
      <c r="J241" s="102"/>
      <c r="K241" s="102"/>
      <c r="L241" s="102"/>
      <c r="M241" s="102"/>
      <c r="N241" s="102"/>
      <c r="O241" s="102"/>
      <c r="P241" s="102"/>
      <c r="Q241" s="102"/>
      <c r="R241" s="102"/>
      <c r="S241" s="102"/>
      <c r="T241" s="102"/>
      <c r="U241" s="102"/>
      <c r="V241" s="102"/>
      <c r="W241" s="102"/>
      <c r="X241" s="102"/>
      <c r="Y241" s="102"/>
      <c r="Z241" s="102"/>
      <c r="AA241" s="102"/>
      <c r="AB241" s="102"/>
      <c r="AC241" s="102"/>
      <c r="AD241" s="102"/>
      <c r="AE241" s="102"/>
      <c r="AF241" s="102"/>
      <c r="AG241" s="102"/>
      <c r="AH241" s="102"/>
      <c r="AI241" s="102"/>
      <c r="AJ241" s="102"/>
      <c r="AK241" s="102"/>
      <c r="AL241" s="102"/>
      <c r="AM241" s="102"/>
      <c r="AN241" s="102"/>
      <c r="AO241" s="102"/>
      <c r="AP241" s="102"/>
      <c r="AQ241" s="102"/>
      <c r="AR241" s="102"/>
      <c r="AS241" s="102"/>
      <c r="AT241" s="102"/>
      <c r="AU241" s="102"/>
      <c r="AV241" s="102"/>
      <c r="AW241" s="102"/>
      <c r="AY241" s="102"/>
      <c r="AZ241" s="102"/>
      <c r="BA241" s="102"/>
      <c r="BB241" s="102"/>
      <c r="BC241" s="102"/>
      <c r="BD241" s="102"/>
      <c r="BE241" s="102"/>
      <c r="BF241" s="102"/>
      <c r="BG241" s="102"/>
      <c r="BH241" s="102"/>
      <c r="BI241" s="102"/>
      <c r="BJ241" s="102"/>
      <c r="BK241" s="102"/>
      <c r="BL241" s="102"/>
      <c r="BM241" s="102"/>
      <c r="BN241" s="102"/>
    </row>
    <row r="242" spans="2:66" s="64" customFormat="1" ht="15" customHeight="1">
      <c r="B242" s="102"/>
      <c r="C242" s="102"/>
      <c r="D242" s="102"/>
      <c r="E242" s="102"/>
      <c r="F242" s="102"/>
      <c r="G242" s="102"/>
      <c r="H242" s="102"/>
      <c r="I242" s="102"/>
      <c r="J242" s="102"/>
      <c r="K242" s="102"/>
      <c r="L242" s="102"/>
      <c r="M242" s="102"/>
      <c r="N242" s="102"/>
      <c r="O242" s="102"/>
      <c r="P242" s="102"/>
      <c r="Q242" s="102"/>
      <c r="R242" s="102"/>
      <c r="S242" s="102"/>
      <c r="T242" s="102"/>
      <c r="U242" s="102"/>
      <c r="V242" s="102"/>
      <c r="W242" s="102"/>
      <c r="X242" s="102"/>
      <c r="Y242" s="102"/>
      <c r="Z242" s="102"/>
      <c r="AA242" s="102"/>
      <c r="AB242" s="102"/>
      <c r="AC242" s="102"/>
      <c r="AD242" s="102"/>
      <c r="AE242" s="102"/>
      <c r="AF242" s="102"/>
      <c r="AG242" s="102"/>
      <c r="AH242" s="102"/>
      <c r="AI242" s="102"/>
      <c r="AJ242" s="102"/>
      <c r="AK242" s="102"/>
      <c r="AL242" s="102"/>
      <c r="AM242" s="102"/>
      <c r="AN242" s="102"/>
      <c r="AO242" s="102"/>
      <c r="AP242" s="102"/>
      <c r="AQ242" s="102"/>
      <c r="AR242" s="102"/>
      <c r="AS242" s="102"/>
      <c r="AT242" s="102"/>
      <c r="AU242" s="102"/>
      <c r="AV242" s="102"/>
      <c r="AW242" s="102"/>
      <c r="AY242" s="102"/>
      <c r="AZ242" s="102"/>
      <c r="BA242" s="102"/>
      <c r="BB242" s="102"/>
      <c r="BC242" s="102"/>
      <c r="BD242" s="102"/>
      <c r="BE242" s="102"/>
      <c r="BF242" s="102"/>
      <c r="BG242" s="102"/>
      <c r="BH242" s="102"/>
      <c r="BI242" s="102"/>
      <c r="BJ242" s="102"/>
      <c r="BK242" s="102"/>
      <c r="BL242" s="102"/>
      <c r="BM242" s="102"/>
      <c r="BN242" s="102"/>
    </row>
    <row r="243" spans="2:66" s="64" customFormat="1" ht="15" customHeight="1">
      <c r="B243" s="102"/>
      <c r="C243" s="102"/>
      <c r="D243" s="102"/>
      <c r="E243" s="102"/>
      <c r="F243" s="102"/>
      <c r="G243" s="102"/>
      <c r="H243" s="102"/>
      <c r="I243" s="102"/>
      <c r="J243" s="102"/>
      <c r="K243" s="102"/>
      <c r="L243" s="102"/>
      <c r="M243" s="102"/>
      <c r="N243" s="102"/>
      <c r="O243" s="102"/>
      <c r="P243" s="102"/>
      <c r="Q243" s="102"/>
      <c r="R243" s="102"/>
      <c r="S243" s="102"/>
      <c r="T243" s="102"/>
      <c r="U243" s="102"/>
      <c r="V243" s="102"/>
      <c r="W243" s="102"/>
      <c r="X243" s="102"/>
      <c r="Y243" s="102"/>
      <c r="Z243" s="102"/>
      <c r="AA243" s="102"/>
      <c r="AB243" s="102"/>
      <c r="AC243" s="102"/>
      <c r="AD243" s="102"/>
      <c r="AE243" s="102"/>
      <c r="AF243" s="102"/>
      <c r="AG243" s="102"/>
      <c r="AH243" s="102"/>
      <c r="AI243" s="102"/>
      <c r="AJ243" s="102"/>
      <c r="AK243" s="102"/>
      <c r="AL243" s="102"/>
      <c r="AM243" s="102"/>
      <c r="AN243" s="102"/>
      <c r="AO243" s="102"/>
      <c r="AP243" s="102"/>
      <c r="AQ243" s="102"/>
      <c r="AR243" s="102"/>
      <c r="AS243" s="102"/>
      <c r="AT243" s="102"/>
      <c r="AU243" s="102"/>
      <c r="AV243" s="102"/>
      <c r="AW243" s="102"/>
      <c r="AY243" s="102"/>
      <c r="AZ243" s="102"/>
      <c r="BA243" s="102"/>
      <c r="BB243" s="102"/>
      <c r="BC243" s="102"/>
      <c r="BD243" s="102"/>
      <c r="BE243" s="102"/>
      <c r="BF243" s="102"/>
      <c r="BG243" s="102"/>
      <c r="BH243" s="102"/>
      <c r="BI243" s="102"/>
      <c r="BJ243" s="102"/>
      <c r="BK243" s="102"/>
      <c r="BL243" s="102"/>
      <c r="BM243" s="102"/>
      <c r="BN243" s="102"/>
    </row>
    <row r="244" spans="2:66" s="64" customFormat="1" ht="15" customHeight="1">
      <c r="B244" s="102"/>
      <c r="C244" s="102"/>
      <c r="D244" s="102"/>
      <c r="E244" s="102"/>
      <c r="F244" s="102"/>
      <c r="G244" s="102"/>
      <c r="H244" s="102"/>
      <c r="I244" s="102"/>
      <c r="J244" s="102"/>
      <c r="K244" s="102"/>
      <c r="L244" s="102"/>
      <c r="M244" s="102"/>
      <c r="N244" s="102"/>
      <c r="O244" s="102"/>
      <c r="P244" s="102"/>
      <c r="Q244" s="102"/>
      <c r="R244" s="102"/>
      <c r="S244" s="102"/>
      <c r="T244" s="102"/>
      <c r="U244" s="102"/>
      <c r="V244" s="102"/>
      <c r="W244" s="102"/>
      <c r="X244" s="102"/>
      <c r="Y244" s="102"/>
      <c r="Z244" s="102"/>
      <c r="AA244" s="102"/>
      <c r="AB244" s="102"/>
      <c r="AC244" s="102"/>
      <c r="AD244" s="102"/>
      <c r="AE244" s="102"/>
      <c r="AF244" s="102"/>
      <c r="AG244" s="102"/>
      <c r="AH244" s="102"/>
      <c r="AI244" s="102"/>
      <c r="AJ244" s="102"/>
      <c r="AK244" s="102"/>
      <c r="AL244" s="102"/>
      <c r="AM244" s="102"/>
      <c r="AN244" s="102"/>
      <c r="AO244" s="102"/>
      <c r="AP244" s="102"/>
      <c r="AQ244" s="102"/>
      <c r="AR244" s="102"/>
      <c r="AS244" s="102"/>
      <c r="AT244" s="102"/>
      <c r="AU244" s="102"/>
      <c r="AV244" s="102"/>
      <c r="AW244" s="102"/>
      <c r="AY244" s="102"/>
      <c r="AZ244" s="102"/>
      <c r="BA244" s="102"/>
      <c r="BB244" s="102"/>
      <c r="BC244" s="102"/>
      <c r="BD244" s="102"/>
      <c r="BE244" s="102"/>
      <c r="BF244" s="102"/>
      <c r="BG244" s="102"/>
      <c r="BH244" s="102"/>
      <c r="BI244" s="102"/>
      <c r="BJ244" s="102"/>
      <c r="BK244" s="102"/>
      <c r="BL244" s="102"/>
      <c r="BM244" s="102"/>
      <c r="BN244" s="102"/>
    </row>
    <row r="245" spans="2:66" s="64" customFormat="1" ht="15" customHeight="1">
      <c r="B245" s="102"/>
      <c r="C245" s="102"/>
      <c r="D245" s="102"/>
      <c r="E245" s="102"/>
      <c r="F245" s="102"/>
      <c r="G245" s="102"/>
      <c r="H245" s="102"/>
      <c r="I245" s="102"/>
      <c r="J245" s="102"/>
      <c r="K245" s="102"/>
      <c r="L245" s="102"/>
      <c r="M245" s="102"/>
      <c r="N245" s="102"/>
      <c r="O245" s="102"/>
      <c r="P245" s="102"/>
      <c r="Q245" s="102"/>
      <c r="R245" s="102"/>
      <c r="S245" s="102"/>
      <c r="T245" s="102"/>
      <c r="U245" s="102"/>
      <c r="V245" s="102"/>
      <c r="W245" s="102"/>
      <c r="X245" s="102"/>
      <c r="Y245" s="102"/>
      <c r="Z245" s="102"/>
      <c r="AA245" s="102"/>
      <c r="AB245" s="102"/>
      <c r="AC245" s="102"/>
      <c r="AD245" s="102"/>
      <c r="AE245" s="102"/>
      <c r="AF245" s="102"/>
      <c r="AG245" s="102"/>
      <c r="AH245" s="102"/>
      <c r="AI245" s="102"/>
      <c r="AJ245" s="102"/>
      <c r="AK245" s="102"/>
      <c r="AL245" s="102"/>
      <c r="AM245" s="102"/>
      <c r="AN245" s="102"/>
      <c r="AO245" s="102"/>
      <c r="AP245" s="102"/>
      <c r="AQ245" s="102"/>
      <c r="AR245" s="102"/>
      <c r="AS245" s="102"/>
      <c r="AT245" s="102"/>
      <c r="AU245" s="102"/>
      <c r="AV245" s="102"/>
      <c r="AW245" s="102"/>
      <c r="AY245" s="102"/>
      <c r="AZ245" s="102"/>
      <c r="BA245" s="102"/>
      <c r="BB245" s="102"/>
      <c r="BC245" s="102"/>
      <c r="BD245" s="102"/>
      <c r="BE245" s="102"/>
      <c r="BF245" s="102"/>
      <c r="BG245" s="102"/>
      <c r="BH245" s="102"/>
      <c r="BI245" s="102"/>
      <c r="BJ245" s="102"/>
      <c r="BK245" s="102"/>
      <c r="BL245" s="102"/>
      <c r="BM245" s="102"/>
      <c r="BN245" s="102"/>
    </row>
    <row r="246" spans="2:66" s="64" customFormat="1" ht="15" customHeight="1">
      <c r="B246" s="102"/>
      <c r="C246" s="102"/>
      <c r="D246" s="102"/>
      <c r="E246" s="102"/>
      <c r="F246" s="102"/>
      <c r="G246" s="102"/>
      <c r="H246" s="102"/>
      <c r="I246" s="102"/>
      <c r="J246" s="102"/>
      <c r="K246" s="102"/>
      <c r="L246" s="102"/>
      <c r="M246" s="102"/>
      <c r="N246" s="102"/>
      <c r="O246" s="102"/>
      <c r="P246" s="102"/>
      <c r="Q246" s="102"/>
      <c r="R246" s="102"/>
      <c r="S246" s="102"/>
      <c r="T246" s="102"/>
      <c r="U246" s="102"/>
      <c r="V246" s="102"/>
      <c r="W246" s="102"/>
      <c r="X246" s="102"/>
      <c r="Y246" s="102"/>
      <c r="Z246" s="102"/>
      <c r="AA246" s="102"/>
      <c r="AB246" s="102"/>
      <c r="AC246" s="102"/>
      <c r="AD246" s="102"/>
      <c r="AE246" s="102"/>
      <c r="AF246" s="102"/>
      <c r="AG246" s="102"/>
      <c r="AH246" s="102"/>
      <c r="AI246" s="102"/>
      <c r="AJ246" s="102"/>
      <c r="AK246" s="102"/>
      <c r="AL246" s="102"/>
      <c r="AM246" s="102"/>
      <c r="AN246" s="102"/>
      <c r="AO246" s="102"/>
      <c r="AP246" s="102"/>
      <c r="AQ246" s="102"/>
      <c r="AR246" s="102"/>
      <c r="AS246" s="102"/>
      <c r="AT246" s="102"/>
      <c r="AU246" s="102"/>
      <c r="AV246" s="102"/>
      <c r="AW246" s="102"/>
      <c r="AY246" s="102"/>
      <c r="AZ246" s="102"/>
      <c r="BA246" s="102"/>
      <c r="BB246" s="102"/>
      <c r="BC246" s="102"/>
      <c r="BD246" s="102"/>
      <c r="BE246" s="102"/>
      <c r="BF246" s="102"/>
      <c r="BG246" s="102"/>
      <c r="BH246" s="102"/>
      <c r="BI246" s="102"/>
      <c r="BJ246" s="102"/>
      <c r="BK246" s="102"/>
      <c r="BL246" s="102"/>
      <c r="BM246" s="102"/>
      <c r="BN246" s="102"/>
    </row>
    <row r="247" spans="2:66" s="64" customFormat="1" ht="15" customHeight="1">
      <c r="B247" s="102"/>
      <c r="C247" s="102"/>
      <c r="D247" s="102"/>
      <c r="E247" s="102"/>
      <c r="F247" s="102"/>
      <c r="G247" s="102"/>
      <c r="H247" s="102"/>
      <c r="I247" s="102"/>
      <c r="J247" s="102"/>
      <c r="K247" s="102"/>
      <c r="L247" s="102"/>
      <c r="M247" s="102"/>
      <c r="N247" s="102"/>
      <c r="O247" s="102"/>
      <c r="P247" s="102"/>
      <c r="Q247" s="102"/>
      <c r="R247" s="102"/>
      <c r="S247" s="102"/>
      <c r="T247" s="102"/>
      <c r="U247" s="102"/>
      <c r="V247" s="102"/>
      <c r="W247" s="102"/>
      <c r="X247" s="102"/>
      <c r="Y247" s="102"/>
      <c r="Z247" s="102"/>
      <c r="AA247" s="102"/>
      <c r="AB247" s="102"/>
      <c r="AC247" s="102"/>
      <c r="AD247" s="102"/>
      <c r="AE247" s="102"/>
      <c r="AF247" s="102"/>
      <c r="AG247" s="102"/>
      <c r="AH247" s="102"/>
      <c r="AI247" s="102"/>
      <c r="AJ247" s="102"/>
      <c r="AK247" s="102"/>
      <c r="AL247" s="102"/>
      <c r="AM247" s="102"/>
      <c r="AN247" s="102"/>
      <c r="AO247" s="102"/>
      <c r="AP247" s="102"/>
      <c r="AQ247" s="102"/>
      <c r="AR247" s="102"/>
      <c r="AS247" s="102"/>
      <c r="AT247" s="102"/>
      <c r="AU247" s="102"/>
      <c r="AV247" s="102"/>
      <c r="AW247" s="102"/>
      <c r="AY247" s="102"/>
      <c r="AZ247" s="102"/>
      <c r="BA247" s="102"/>
      <c r="BB247" s="102"/>
      <c r="BC247" s="102"/>
      <c r="BD247" s="102"/>
      <c r="BE247" s="102"/>
      <c r="BF247" s="102"/>
      <c r="BG247" s="102"/>
      <c r="BH247" s="102"/>
      <c r="BI247" s="102"/>
      <c r="BJ247" s="102"/>
      <c r="BK247" s="102"/>
      <c r="BL247" s="102"/>
      <c r="BM247" s="102"/>
      <c r="BN247" s="102"/>
    </row>
    <row r="248" spans="2:66" s="64" customFormat="1" ht="15" customHeight="1">
      <c r="B248" s="102"/>
      <c r="C248" s="102"/>
      <c r="D248" s="102"/>
      <c r="E248" s="102"/>
      <c r="F248" s="102"/>
      <c r="G248" s="102"/>
      <c r="H248" s="102"/>
      <c r="I248" s="102"/>
      <c r="J248" s="102"/>
      <c r="K248" s="102"/>
      <c r="L248" s="102"/>
      <c r="M248" s="102"/>
      <c r="N248" s="102"/>
      <c r="O248" s="102"/>
      <c r="P248" s="102"/>
      <c r="Q248" s="102"/>
      <c r="R248" s="102"/>
      <c r="S248" s="102"/>
      <c r="T248" s="102"/>
      <c r="U248" s="102"/>
      <c r="V248" s="102"/>
      <c r="W248" s="102"/>
      <c r="X248" s="102"/>
      <c r="Y248" s="102"/>
      <c r="Z248" s="102"/>
      <c r="AA248" s="102"/>
      <c r="AB248" s="102"/>
      <c r="AC248" s="102"/>
      <c r="AD248" s="102"/>
      <c r="AE248" s="102"/>
      <c r="AF248" s="102"/>
      <c r="AG248" s="102"/>
      <c r="AH248" s="102"/>
      <c r="AI248" s="102"/>
      <c r="AJ248" s="102"/>
      <c r="AK248" s="102"/>
      <c r="AL248" s="102"/>
      <c r="AM248" s="102"/>
      <c r="AN248" s="102"/>
      <c r="AO248" s="102"/>
      <c r="AP248" s="102"/>
      <c r="AQ248" s="102"/>
      <c r="AR248" s="102"/>
      <c r="AS248" s="102"/>
      <c r="AT248" s="102"/>
      <c r="AU248" s="102"/>
      <c r="AV248" s="102"/>
      <c r="AW248" s="102"/>
      <c r="AY248" s="102"/>
      <c r="AZ248" s="102"/>
      <c r="BA248" s="102"/>
      <c r="BB248" s="102"/>
      <c r="BC248" s="102"/>
      <c r="BD248" s="102"/>
      <c r="BE248" s="102"/>
      <c r="BF248" s="102"/>
      <c r="BG248" s="102"/>
      <c r="BH248" s="102"/>
      <c r="BI248" s="102"/>
      <c r="BJ248" s="102"/>
      <c r="BK248" s="102"/>
      <c r="BL248" s="102"/>
      <c r="BM248" s="102"/>
      <c r="BN248" s="102"/>
    </row>
    <row r="249" spans="2:66" s="64" customFormat="1" ht="15" customHeight="1">
      <c r="B249" s="102"/>
      <c r="C249" s="102"/>
      <c r="D249" s="102"/>
      <c r="E249" s="102"/>
      <c r="F249" s="102"/>
      <c r="G249" s="102"/>
      <c r="H249" s="102"/>
      <c r="I249" s="102"/>
      <c r="J249" s="102"/>
      <c r="K249" s="102"/>
      <c r="L249" s="102"/>
      <c r="M249" s="102"/>
      <c r="N249" s="102"/>
      <c r="O249" s="102"/>
      <c r="P249" s="102"/>
      <c r="Q249" s="102"/>
      <c r="R249" s="102"/>
      <c r="S249" s="102"/>
      <c r="T249" s="102"/>
      <c r="U249" s="102"/>
      <c r="V249" s="102"/>
      <c r="W249" s="102"/>
      <c r="X249" s="102"/>
      <c r="Y249" s="102"/>
      <c r="Z249" s="102"/>
      <c r="AA249" s="102"/>
      <c r="AB249" s="102"/>
      <c r="AC249" s="102"/>
      <c r="AD249" s="102"/>
      <c r="AE249" s="102"/>
      <c r="AF249" s="102"/>
      <c r="AG249" s="102"/>
      <c r="AH249" s="102"/>
      <c r="AI249" s="102"/>
      <c r="AJ249" s="102"/>
      <c r="AK249" s="102"/>
      <c r="AL249" s="102"/>
      <c r="AM249" s="102"/>
      <c r="AN249" s="102"/>
      <c r="AO249" s="102"/>
      <c r="AP249" s="102"/>
      <c r="AQ249" s="102"/>
      <c r="AR249" s="102"/>
      <c r="AS249" s="102"/>
      <c r="AT249" s="102"/>
      <c r="AU249" s="102"/>
      <c r="AV249" s="102"/>
      <c r="AW249" s="102"/>
      <c r="AY249" s="102"/>
      <c r="AZ249" s="102"/>
      <c r="BA249" s="102"/>
      <c r="BB249" s="102"/>
      <c r="BC249" s="102"/>
      <c r="BD249" s="102"/>
      <c r="BE249" s="102"/>
      <c r="BF249" s="102"/>
      <c r="BG249" s="102"/>
      <c r="BH249" s="102"/>
      <c r="BI249" s="102"/>
      <c r="BJ249" s="102"/>
      <c r="BK249" s="102"/>
      <c r="BL249" s="102"/>
      <c r="BM249" s="102"/>
      <c r="BN249" s="102"/>
    </row>
    <row r="250" spans="2:66" s="64" customFormat="1" ht="15" customHeight="1">
      <c r="B250" s="102"/>
      <c r="C250" s="102"/>
      <c r="D250" s="102"/>
      <c r="E250" s="102"/>
      <c r="F250" s="102"/>
      <c r="G250" s="102"/>
      <c r="H250" s="102"/>
      <c r="I250" s="102"/>
      <c r="J250" s="102"/>
      <c r="K250" s="102"/>
      <c r="L250" s="102"/>
      <c r="M250" s="102"/>
      <c r="N250" s="102"/>
      <c r="O250" s="102"/>
      <c r="P250" s="102"/>
      <c r="Q250" s="102"/>
      <c r="R250" s="102"/>
      <c r="S250" s="102"/>
      <c r="T250" s="102"/>
      <c r="U250" s="102"/>
      <c r="V250" s="102"/>
      <c r="W250" s="102"/>
      <c r="X250" s="102"/>
      <c r="Y250" s="102"/>
      <c r="Z250" s="102"/>
      <c r="AA250" s="102"/>
      <c r="AB250" s="102"/>
      <c r="AC250" s="102"/>
      <c r="AD250" s="102"/>
      <c r="AE250" s="102"/>
      <c r="AF250" s="102"/>
      <c r="AG250" s="102"/>
      <c r="AH250" s="102"/>
      <c r="AI250" s="102"/>
      <c r="AJ250" s="102"/>
      <c r="AK250" s="102"/>
      <c r="AL250" s="102"/>
      <c r="AM250" s="102"/>
      <c r="AN250" s="102"/>
      <c r="AO250" s="102"/>
      <c r="AP250" s="102"/>
      <c r="AQ250" s="102"/>
      <c r="AR250" s="102"/>
      <c r="AS250" s="102"/>
      <c r="AT250" s="102"/>
      <c r="AU250" s="102"/>
      <c r="AV250" s="102"/>
      <c r="AW250" s="102"/>
      <c r="AY250" s="102"/>
      <c r="AZ250" s="102"/>
      <c r="BA250" s="102"/>
      <c r="BB250" s="102"/>
      <c r="BC250" s="102"/>
      <c r="BD250" s="102"/>
      <c r="BE250" s="102"/>
      <c r="BF250" s="102"/>
      <c r="BG250" s="102"/>
      <c r="BH250" s="102"/>
      <c r="BI250" s="102"/>
      <c r="BJ250" s="102"/>
      <c r="BK250" s="102"/>
      <c r="BL250" s="102"/>
      <c r="BM250" s="102"/>
      <c r="BN250" s="102"/>
    </row>
    <row r="251" spans="2:66" s="64" customFormat="1" ht="15" customHeight="1">
      <c r="B251" s="102"/>
      <c r="C251" s="102"/>
      <c r="D251" s="102"/>
      <c r="E251" s="102"/>
      <c r="F251" s="102"/>
      <c r="G251" s="102"/>
      <c r="H251" s="102"/>
      <c r="I251" s="102"/>
      <c r="J251" s="102"/>
      <c r="K251" s="102"/>
      <c r="L251" s="102"/>
      <c r="M251" s="102"/>
      <c r="N251" s="102"/>
      <c r="O251" s="102"/>
      <c r="P251" s="102"/>
      <c r="Q251" s="102"/>
      <c r="R251" s="102"/>
      <c r="S251" s="102"/>
      <c r="T251" s="102"/>
      <c r="U251" s="102"/>
      <c r="V251" s="102"/>
      <c r="W251" s="102"/>
      <c r="X251" s="102"/>
      <c r="Y251" s="102"/>
      <c r="Z251" s="102"/>
      <c r="AA251" s="102"/>
      <c r="AB251" s="102"/>
      <c r="AC251" s="102"/>
      <c r="AD251" s="102"/>
      <c r="AE251" s="102"/>
      <c r="AF251" s="102"/>
      <c r="AG251" s="102"/>
      <c r="AH251" s="102"/>
      <c r="AI251" s="102"/>
      <c r="AJ251" s="102"/>
      <c r="AK251" s="102"/>
      <c r="AL251" s="102"/>
      <c r="AM251" s="102"/>
      <c r="AN251" s="102"/>
      <c r="AO251" s="102"/>
      <c r="AP251" s="102"/>
      <c r="AQ251" s="102"/>
      <c r="AR251" s="102"/>
      <c r="AS251" s="102"/>
      <c r="AT251" s="102"/>
      <c r="AU251" s="102"/>
      <c r="AV251" s="102"/>
      <c r="AW251" s="102"/>
      <c r="AY251" s="102"/>
      <c r="AZ251" s="102"/>
      <c r="BA251" s="102"/>
      <c r="BB251" s="102"/>
      <c r="BC251" s="102"/>
      <c r="BD251" s="102"/>
      <c r="BE251" s="102"/>
      <c r="BF251" s="102"/>
      <c r="BG251" s="102"/>
      <c r="BH251" s="102"/>
      <c r="BI251" s="102"/>
      <c r="BJ251" s="102"/>
      <c r="BK251" s="102"/>
      <c r="BL251" s="102"/>
      <c r="BM251" s="102"/>
      <c r="BN251" s="102"/>
    </row>
    <row r="252" spans="2:66" s="64" customFormat="1" ht="15" customHeight="1">
      <c r="B252" s="102"/>
      <c r="C252" s="102"/>
      <c r="D252" s="102"/>
      <c r="E252" s="102"/>
      <c r="F252" s="102"/>
      <c r="G252" s="102"/>
      <c r="H252" s="102"/>
      <c r="I252" s="102"/>
      <c r="J252" s="102"/>
      <c r="K252" s="102"/>
      <c r="L252" s="102"/>
      <c r="M252" s="102"/>
      <c r="N252" s="102"/>
      <c r="O252" s="102"/>
      <c r="P252" s="102"/>
      <c r="Q252" s="102"/>
      <c r="R252" s="102"/>
      <c r="S252" s="102"/>
      <c r="T252" s="102"/>
      <c r="U252" s="102"/>
      <c r="V252" s="102"/>
      <c r="W252" s="102"/>
      <c r="X252" s="102"/>
      <c r="Y252" s="102"/>
      <c r="Z252" s="102"/>
      <c r="AA252" s="102"/>
      <c r="AB252" s="102"/>
      <c r="AC252" s="102"/>
      <c r="AD252" s="102"/>
      <c r="AE252" s="102"/>
      <c r="AF252" s="102"/>
      <c r="AG252" s="102"/>
      <c r="AH252" s="102"/>
      <c r="AI252" s="102"/>
      <c r="AJ252" s="102"/>
      <c r="AK252" s="102"/>
      <c r="AL252" s="102"/>
      <c r="AM252" s="102"/>
      <c r="AN252" s="102"/>
      <c r="AO252" s="102"/>
      <c r="AP252" s="102"/>
      <c r="AQ252" s="102"/>
      <c r="AR252" s="102"/>
      <c r="AS252" s="102"/>
      <c r="AT252" s="102"/>
      <c r="AU252" s="102"/>
      <c r="AV252" s="102"/>
      <c r="AW252" s="102"/>
      <c r="AY252" s="102"/>
      <c r="AZ252" s="102"/>
      <c r="BA252" s="102"/>
      <c r="BB252" s="102"/>
      <c r="BC252" s="102"/>
      <c r="BD252" s="102"/>
      <c r="BE252" s="102"/>
      <c r="BF252" s="102"/>
      <c r="BG252" s="102"/>
      <c r="BH252" s="102"/>
      <c r="BI252" s="102"/>
      <c r="BJ252" s="102"/>
      <c r="BK252" s="102"/>
      <c r="BL252" s="102"/>
      <c r="BM252" s="102"/>
      <c r="BN252" s="102"/>
    </row>
    <row r="253" spans="2:66" s="64" customFormat="1" ht="15" customHeight="1">
      <c r="B253" s="102"/>
      <c r="C253" s="102"/>
      <c r="D253" s="102"/>
      <c r="E253" s="102"/>
      <c r="F253" s="102"/>
      <c r="G253" s="102"/>
      <c r="H253" s="102"/>
      <c r="I253" s="102"/>
      <c r="J253" s="102"/>
      <c r="K253" s="102"/>
      <c r="L253" s="102"/>
      <c r="M253" s="102"/>
      <c r="N253" s="102"/>
      <c r="O253" s="102"/>
      <c r="P253" s="102"/>
      <c r="Q253" s="102"/>
      <c r="R253" s="102"/>
      <c r="S253" s="102"/>
      <c r="T253" s="102"/>
      <c r="U253" s="102"/>
      <c r="V253" s="102"/>
      <c r="W253" s="102"/>
      <c r="X253" s="102"/>
      <c r="Y253" s="102"/>
      <c r="Z253" s="102"/>
      <c r="AA253" s="102"/>
      <c r="AB253" s="102"/>
      <c r="AC253" s="102"/>
      <c r="AD253" s="102"/>
      <c r="AE253" s="102"/>
      <c r="AF253" s="102"/>
      <c r="AG253" s="102"/>
      <c r="AH253" s="102"/>
      <c r="AI253" s="102"/>
      <c r="AJ253" s="102"/>
      <c r="AK253" s="102"/>
      <c r="AL253" s="102"/>
      <c r="AM253" s="102"/>
      <c r="AN253" s="102"/>
      <c r="AO253" s="102"/>
      <c r="AP253" s="102"/>
      <c r="AQ253" s="102"/>
      <c r="AR253" s="102"/>
      <c r="AS253" s="102"/>
      <c r="AT253" s="102"/>
      <c r="AU253" s="102"/>
      <c r="AV253" s="102"/>
      <c r="AW253" s="102"/>
      <c r="AY253" s="102"/>
      <c r="AZ253" s="102"/>
      <c r="BA253" s="102"/>
      <c r="BB253" s="102"/>
      <c r="BC253" s="102"/>
      <c r="BD253" s="102"/>
      <c r="BE253" s="102"/>
      <c r="BF253" s="102"/>
      <c r="BG253" s="102"/>
      <c r="BH253" s="102"/>
      <c r="BI253" s="102"/>
      <c r="BJ253" s="102"/>
      <c r="BK253" s="102"/>
      <c r="BL253" s="102"/>
      <c r="BM253" s="102"/>
      <c r="BN253" s="102"/>
    </row>
    <row r="254" spans="2:66" s="64" customFormat="1" ht="15" customHeight="1">
      <c r="B254" s="102"/>
      <c r="C254" s="102"/>
      <c r="D254" s="102"/>
      <c r="E254" s="102"/>
      <c r="F254" s="102"/>
      <c r="G254" s="102"/>
      <c r="H254" s="102"/>
      <c r="I254" s="102"/>
      <c r="J254" s="102"/>
      <c r="K254" s="102"/>
      <c r="L254" s="102"/>
      <c r="M254" s="102"/>
      <c r="N254" s="102"/>
      <c r="O254" s="102"/>
      <c r="P254" s="102"/>
      <c r="Q254" s="102"/>
      <c r="R254" s="102"/>
      <c r="S254" s="102"/>
      <c r="T254" s="102"/>
      <c r="U254" s="102"/>
      <c r="V254" s="102"/>
      <c r="W254" s="102"/>
      <c r="X254" s="102"/>
      <c r="Y254" s="102"/>
      <c r="Z254" s="102"/>
      <c r="AA254" s="102"/>
      <c r="AB254" s="102"/>
      <c r="AC254" s="102"/>
      <c r="AD254" s="102"/>
      <c r="AE254" s="102"/>
      <c r="AF254" s="102"/>
      <c r="AG254" s="102"/>
      <c r="AH254" s="102"/>
      <c r="AI254" s="102"/>
      <c r="AJ254" s="102"/>
      <c r="AK254" s="102"/>
      <c r="AL254" s="102"/>
      <c r="AM254" s="102"/>
      <c r="AN254" s="102"/>
      <c r="AO254" s="102"/>
      <c r="AP254" s="102"/>
      <c r="AQ254" s="102"/>
      <c r="AR254" s="102"/>
      <c r="AS254" s="102"/>
      <c r="AT254" s="102"/>
      <c r="AU254" s="102"/>
      <c r="AV254" s="102"/>
      <c r="AW254" s="102"/>
      <c r="AY254" s="102"/>
      <c r="AZ254" s="102"/>
      <c r="BA254" s="102"/>
      <c r="BB254" s="102"/>
      <c r="BC254" s="102"/>
      <c r="BD254" s="102"/>
      <c r="BE254" s="102"/>
      <c r="BF254" s="102"/>
      <c r="BG254" s="102"/>
      <c r="BH254" s="102"/>
      <c r="BI254" s="102"/>
      <c r="BJ254" s="102"/>
      <c r="BK254" s="102"/>
      <c r="BL254" s="102"/>
      <c r="BM254" s="102"/>
      <c r="BN254" s="102"/>
    </row>
    <row r="255" spans="2:66" s="64" customFormat="1" ht="15" customHeight="1">
      <c r="B255" s="102"/>
      <c r="C255" s="102"/>
      <c r="D255" s="102"/>
      <c r="E255" s="102"/>
      <c r="F255" s="102"/>
      <c r="G255" s="102"/>
      <c r="H255" s="102"/>
      <c r="I255" s="102"/>
      <c r="J255" s="102"/>
      <c r="K255" s="102"/>
      <c r="L255" s="102"/>
      <c r="M255" s="102"/>
      <c r="N255" s="102"/>
      <c r="O255" s="102"/>
      <c r="P255" s="102"/>
      <c r="Q255" s="102"/>
      <c r="R255" s="102"/>
      <c r="S255" s="102"/>
      <c r="T255" s="102"/>
      <c r="U255" s="102"/>
      <c r="V255" s="102"/>
      <c r="W255" s="102"/>
      <c r="X255" s="102"/>
      <c r="Y255" s="102"/>
      <c r="Z255" s="102"/>
      <c r="AA255" s="102"/>
      <c r="AB255" s="102"/>
      <c r="AC255" s="102"/>
      <c r="AD255" s="102"/>
      <c r="AE255" s="102"/>
      <c r="AF255" s="102"/>
      <c r="AG255" s="102"/>
      <c r="AH255" s="102"/>
      <c r="AI255" s="102"/>
      <c r="AJ255" s="102"/>
      <c r="AK255" s="102"/>
      <c r="AL255" s="102"/>
      <c r="AM255" s="102"/>
      <c r="AN255" s="102"/>
      <c r="AO255" s="102"/>
      <c r="AP255" s="102"/>
      <c r="AQ255" s="102"/>
      <c r="AR255" s="102"/>
      <c r="AS255" s="102"/>
      <c r="AT255" s="102"/>
      <c r="AU255" s="102"/>
      <c r="AV255" s="102"/>
      <c r="AW255" s="102"/>
      <c r="AY255" s="102"/>
      <c r="AZ255" s="102"/>
      <c r="BA255" s="102"/>
      <c r="BB255" s="102"/>
      <c r="BC255" s="102"/>
      <c r="BD255" s="102"/>
      <c r="BE255" s="102"/>
      <c r="BF255" s="102"/>
      <c r="BG255" s="102"/>
      <c r="BH255" s="102"/>
      <c r="BI255" s="102"/>
      <c r="BJ255" s="102"/>
      <c r="BK255" s="102"/>
      <c r="BL255" s="102"/>
      <c r="BM255" s="102"/>
      <c r="BN255" s="102"/>
    </row>
    <row r="256" spans="2:66" s="64" customFormat="1" ht="15" customHeight="1">
      <c r="B256" s="102"/>
      <c r="C256" s="102"/>
      <c r="D256" s="102"/>
      <c r="E256" s="102"/>
      <c r="F256" s="102"/>
      <c r="G256" s="102"/>
      <c r="H256" s="102"/>
      <c r="I256" s="102"/>
      <c r="J256" s="102"/>
      <c r="K256" s="102"/>
      <c r="L256" s="102"/>
      <c r="M256" s="102"/>
      <c r="N256" s="102"/>
      <c r="O256" s="102"/>
      <c r="P256" s="102"/>
      <c r="Q256" s="102"/>
      <c r="R256" s="102"/>
      <c r="S256" s="102"/>
      <c r="T256" s="102"/>
      <c r="U256" s="102"/>
      <c r="V256" s="102"/>
      <c r="W256" s="102"/>
      <c r="X256" s="102"/>
      <c r="Y256" s="102"/>
      <c r="Z256" s="102"/>
      <c r="AA256" s="102"/>
      <c r="AB256" s="102"/>
      <c r="AC256" s="102"/>
      <c r="AD256" s="102"/>
      <c r="AE256" s="102"/>
      <c r="AF256" s="102"/>
      <c r="AG256" s="102"/>
      <c r="AH256" s="102"/>
      <c r="AI256" s="102"/>
      <c r="AJ256" s="102"/>
      <c r="AK256" s="102"/>
      <c r="AL256" s="102"/>
      <c r="AM256" s="102"/>
      <c r="AN256" s="102"/>
      <c r="AO256" s="102"/>
      <c r="AP256" s="102"/>
      <c r="AQ256" s="102"/>
      <c r="AR256" s="102"/>
      <c r="AS256" s="102"/>
      <c r="AT256" s="102"/>
      <c r="AU256" s="102"/>
      <c r="AV256" s="102"/>
      <c r="AW256" s="102"/>
      <c r="AY256" s="102"/>
      <c r="AZ256" s="102"/>
      <c r="BA256" s="102"/>
      <c r="BB256" s="102"/>
      <c r="BC256" s="102"/>
      <c r="BD256" s="102"/>
      <c r="BE256" s="102"/>
      <c r="BF256" s="102"/>
      <c r="BG256" s="102"/>
      <c r="BH256" s="102"/>
      <c r="BI256" s="102"/>
      <c r="BJ256" s="102"/>
      <c r="BK256" s="102"/>
      <c r="BL256" s="102"/>
      <c r="BM256" s="102"/>
      <c r="BN256" s="102"/>
    </row>
    <row r="257" spans="2:66" s="64" customFormat="1" ht="15" customHeight="1">
      <c r="B257" s="102"/>
      <c r="C257" s="102"/>
      <c r="D257" s="102"/>
      <c r="E257" s="102"/>
      <c r="F257" s="102"/>
      <c r="G257" s="102"/>
      <c r="H257" s="102"/>
      <c r="I257" s="102"/>
      <c r="J257" s="102"/>
      <c r="K257" s="102"/>
      <c r="L257" s="102"/>
      <c r="M257" s="102"/>
      <c r="N257" s="102"/>
      <c r="O257" s="102"/>
      <c r="P257" s="102"/>
      <c r="Q257" s="102"/>
      <c r="R257" s="102"/>
      <c r="S257" s="102"/>
      <c r="T257" s="102"/>
      <c r="U257" s="102"/>
      <c r="V257" s="102"/>
      <c r="W257" s="102"/>
      <c r="X257" s="102"/>
      <c r="Y257" s="102"/>
      <c r="Z257" s="102"/>
      <c r="AA257" s="102"/>
      <c r="AB257" s="102"/>
      <c r="AC257" s="102"/>
      <c r="AD257" s="102"/>
      <c r="AE257" s="102"/>
      <c r="AF257" s="102"/>
      <c r="AG257" s="102"/>
      <c r="AH257" s="102"/>
      <c r="AI257" s="102"/>
      <c r="AJ257" s="102"/>
      <c r="AK257" s="102"/>
      <c r="AL257" s="102"/>
      <c r="AM257" s="102"/>
      <c r="AN257" s="102"/>
      <c r="AO257" s="102"/>
      <c r="AP257" s="102"/>
      <c r="AQ257" s="102"/>
      <c r="AR257" s="102"/>
      <c r="AS257" s="102"/>
      <c r="AT257" s="102"/>
      <c r="AU257" s="102"/>
      <c r="AV257" s="102"/>
      <c r="AW257" s="102"/>
      <c r="AY257" s="102"/>
      <c r="AZ257" s="102"/>
      <c r="BA257" s="102"/>
      <c r="BB257" s="102"/>
      <c r="BC257" s="102"/>
      <c r="BD257" s="102"/>
      <c r="BE257" s="102"/>
      <c r="BF257" s="102"/>
      <c r="BG257" s="102"/>
      <c r="BH257" s="102"/>
      <c r="BI257" s="102"/>
      <c r="BJ257" s="102"/>
      <c r="BK257" s="102"/>
      <c r="BL257" s="102"/>
      <c r="BM257" s="102"/>
      <c r="BN257" s="102"/>
    </row>
    <row r="258" spans="2:66" s="64" customFormat="1" ht="15" customHeight="1">
      <c r="B258" s="102"/>
      <c r="C258" s="102"/>
      <c r="D258" s="102"/>
      <c r="E258" s="102"/>
      <c r="F258" s="102"/>
      <c r="G258" s="102"/>
      <c r="H258" s="102"/>
      <c r="I258" s="102"/>
      <c r="J258" s="102"/>
      <c r="K258" s="102"/>
      <c r="L258" s="102"/>
      <c r="M258" s="102"/>
      <c r="N258" s="102"/>
      <c r="O258" s="102"/>
      <c r="P258" s="102"/>
      <c r="Q258" s="102"/>
      <c r="R258" s="102"/>
      <c r="S258" s="102"/>
      <c r="T258" s="102"/>
      <c r="U258" s="102"/>
      <c r="V258" s="102"/>
      <c r="W258" s="102"/>
      <c r="X258" s="102"/>
      <c r="Y258" s="102"/>
      <c r="Z258" s="102"/>
      <c r="AA258" s="102"/>
      <c r="AB258" s="102"/>
      <c r="AC258" s="102"/>
      <c r="AD258" s="102"/>
      <c r="AE258" s="102"/>
      <c r="AF258" s="102"/>
      <c r="AG258" s="102"/>
      <c r="AH258" s="102"/>
      <c r="AI258" s="102"/>
      <c r="AJ258" s="102"/>
      <c r="AK258" s="102"/>
      <c r="AL258" s="102"/>
      <c r="AM258" s="102"/>
      <c r="AN258" s="102"/>
      <c r="AO258" s="102"/>
      <c r="AP258" s="102"/>
      <c r="AQ258" s="102"/>
      <c r="AR258" s="102"/>
      <c r="AS258" s="102"/>
      <c r="AT258" s="102"/>
      <c r="AU258" s="102"/>
      <c r="AV258" s="102"/>
      <c r="AW258" s="102"/>
      <c r="AY258" s="102"/>
      <c r="AZ258" s="102"/>
      <c r="BA258" s="102"/>
      <c r="BB258" s="102"/>
      <c r="BC258" s="102"/>
      <c r="BD258" s="102"/>
      <c r="BE258" s="102"/>
      <c r="BF258" s="102"/>
      <c r="BG258" s="102"/>
      <c r="BH258" s="102"/>
      <c r="BI258" s="102"/>
      <c r="BJ258" s="102"/>
      <c r="BK258" s="102"/>
      <c r="BL258" s="102"/>
      <c r="BM258" s="102"/>
      <c r="BN258" s="102"/>
    </row>
    <row r="259" spans="2:66" s="64" customFormat="1" ht="15" customHeight="1">
      <c r="B259" s="102"/>
      <c r="C259" s="102"/>
      <c r="D259" s="102"/>
      <c r="E259" s="102"/>
      <c r="F259" s="102"/>
      <c r="G259" s="102"/>
      <c r="H259" s="102"/>
      <c r="I259" s="102"/>
      <c r="J259" s="102"/>
      <c r="K259" s="102"/>
      <c r="L259" s="102"/>
      <c r="M259" s="102"/>
      <c r="N259" s="102"/>
      <c r="O259" s="102"/>
      <c r="P259" s="102"/>
      <c r="Q259" s="102"/>
      <c r="R259" s="102"/>
      <c r="S259" s="102"/>
      <c r="T259" s="102"/>
      <c r="U259" s="102"/>
      <c r="V259" s="102"/>
      <c r="W259" s="102"/>
      <c r="X259" s="102"/>
      <c r="Y259" s="102"/>
      <c r="Z259" s="102"/>
      <c r="AA259" s="102"/>
      <c r="AB259" s="102"/>
      <c r="AC259" s="102"/>
      <c r="AD259" s="102"/>
      <c r="AE259" s="102"/>
      <c r="AF259" s="102"/>
      <c r="AG259" s="102"/>
      <c r="AH259" s="102"/>
      <c r="AI259" s="102"/>
      <c r="AJ259" s="102"/>
      <c r="AK259" s="102"/>
      <c r="AL259" s="102"/>
      <c r="AM259" s="102"/>
      <c r="AN259" s="102"/>
      <c r="AO259" s="102"/>
      <c r="AP259" s="102"/>
      <c r="AQ259" s="102"/>
      <c r="AR259" s="102"/>
      <c r="AS259" s="102"/>
      <c r="AT259" s="102"/>
      <c r="AU259" s="102"/>
      <c r="AV259" s="102"/>
      <c r="AW259" s="102"/>
      <c r="AY259" s="102"/>
      <c r="AZ259" s="102"/>
      <c r="BA259" s="102"/>
      <c r="BB259" s="102"/>
      <c r="BC259" s="102"/>
      <c r="BD259" s="102"/>
      <c r="BE259" s="102"/>
      <c r="BF259" s="102"/>
      <c r="BG259" s="102"/>
      <c r="BH259" s="102"/>
      <c r="BI259" s="102"/>
      <c r="BJ259" s="102"/>
      <c r="BK259" s="102"/>
      <c r="BL259" s="102"/>
      <c r="BM259" s="102"/>
      <c r="BN259" s="102"/>
    </row>
    <row r="260" spans="2:66" s="64" customFormat="1" ht="15" customHeight="1">
      <c r="B260" s="102"/>
      <c r="C260" s="102"/>
      <c r="D260" s="102"/>
      <c r="E260" s="102"/>
      <c r="F260" s="102"/>
      <c r="G260" s="102"/>
      <c r="H260" s="102"/>
      <c r="I260" s="102"/>
      <c r="J260" s="102"/>
      <c r="K260" s="102"/>
      <c r="L260" s="102"/>
      <c r="M260" s="102"/>
      <c r="N260" s="102"/>
      <c r="O260" s="102"/>
      <c r="P260" s="102"/>
      <c r="Q260" s="102"/>
      <c r="R260" s="102"/>
      <c r="S260" s="102"/>
      <c r="T260" s="102"/>
      <c r="U260" s="102"/>
      <c r="V260" s="102"/>
      <c r="W260" s="102"/>
      <c r="X260" s="102"/>
      <c r="Y260" s="102"/>
      <c r="Z260" s="102"/>
      <c r="AA260" s="102"/>
      <c r="AB260" s="102"/>
      <c r="AC260" s="102"/>
      <c r="AD260" s="102"/>
      <c r="AE260" s="102"/>
      <c r="AF260" s="102"/>
      <c r="AG260" s="102"/>
      <c r="AH260" s="102"/>
      <c r="AI260" s="102"/>
      <c r="AJ260" s="102"/>
      <c r="AK260" s="102"/>
      <c r="AL260" s="102"/>
      <c r="AM260" s="102"/>
      <c r="AN260" s="102"/>
      <c r="AO260" s="102"/>
      <c r="AP260" s="102"/>
      <c r="AQ260" s="102"/>
      <c r="AR260" s="102"/>
      <c r="AS260" s="102"/>
      <c r="AT260" s="102"/>
      <c r="AU260" s="102"/>
      <c r="AV260" s="102"/>
      <c r="AW260" s="102"/>
      <c r="AY260" s="102"/>
      <c r="AZ260" s="102"/>
      <c r="BA260" s="102"/>
      <c r="BB260" s="102"/>
      <c r="BC260" s="102"/>
      <c r="BD260" s="102"/>
      <c r="BE260" s="102"/>
      <c r="BF260" s="102"/>
      <c r="BG260" s="102"/>
      <c r="BH260" s="102"/>
      <c r="BI260" s="102"/>
      <c r="BJ260" s="102"/>
      <c r="BK260" s="102"/>
      <c r="BL260" s="102"/>
      <c r="BM260" s="102"/>
      <c r="BN260" s="102"/>
    </row>
    <row r="261" spans="2:66" s="64" customFormat="1" ht="15" customHeight="1">
      <c r="B261" s="102"/>
      <c r="C261" s="102"/>
      <c r="D261" s="102"/>
      <c r="E261" s="102"/>
      <c r="F261" s="102"/>
      <c r="G261" s="102"/>
      <c r="H261" s="102"/>
      <c r="I261" s="102"/>
      <c r="J261" s="102"/>
      <c r="K261" s="102"/>
      <c r="L261" s="102"/>
      <c r="M261" s="102"/>
      <c r="N261" s="102"/>
      <c r="O261" s="102"/>
      <c r="P261" s="102"/>
      <c r="Q261" s="102"/>
      <c r="R261" s="102"/>
      <c r="S261" s="102"/>
      <c r="T261" s="102"/>
      <c r="U261" s="102"/>
      <c r="V261" s="102"/>
      <c r="W261" s="102"/>
      <c r="X261" s="102"/>
      <c r="Y261" s="102"/>
      <c r="Z261" s="102"/>
      <c r="AA261" s="102"/>
      <c r="AB261" s="102"/>
      <c r="AC261" s="102"/>
      <c r="AD261" s="102"/>
      <c r="AE261" s="102"/>
      <c r="AF261" s="102"/>
      <c r="AG261" s="102"/>
      <c r="AH261" s="102"/>
      <c r="AI261" s="102"/>
      <c r="AJ261" s="102"/>
      <c r="AK261" s="102"/>
      <c r="AL261" s="102"/>
      <c r="AM261" s="102"/>
      <c r="AN261" s="102"/>
      <c r="AO261" s="102"/>
      <c r="AP261" s="102"/>
      <c r="AQ261" s="102"/>
      <c r="AR261" s="102"/>
      <c r="AS261" s="102"/>
      <c r="AT261" s="102"/>
      <c r="AU261" s="102"/>
      <c r="AV261" s="102"/>
      <c r="AW261" s="102"/>
      <c r="AY261" s="102"/>
      <c r="AZ261" s="102"/>
      <c r="BA261" s="102"/>
      <c r="BB261" s="102"/>
      <c r="BC261" s="102"/>
      <c r="BD261" s="102"/>
      <c r="BE261" s="102"/>
      <c r="BF261" s="102"/>
      <c r="BG261" s="102"/>
      <c r="BH261" s="102"/>
      <c r="BI261" s="102"/>
      <c r="BJ261" s="102"/>
      <c r="BK261" s="102"/>
      <c r="BL261" s="102"/>
      <c r="BM261" s="102"/>
      <c r="BN261" s="102"/>
    </row>
    <row r="262" spans="2:66" s="64" customFormat="1" ht="15" customHeight="1">
      <c r="B262" s="102"/>
      <c r="C262" s="102"/>
      <c r="D262" s="102"/>
      <c r="E262" s="102"/>
      <c r="F262" s="102"/>
      <c r="G262" s="102"/>
      <c r="H262" s="102"/>
      <c r="I262" s="102"/>
      <c r="J262" s="102"/>
      <c r="K262" s="102"/>
      <c r="L262" s="102"/>
      <c r="M262" s="102"/>
      <c r="N262" s="102"/>
      <c r="O262" s="102"/>
      <c r="P262" s="102"/>
      <c r="Q262" s="102"/>
      <c r="R262" s="102"/>
      <c r="S262" s="102"/>
      <c r="T262" s="102"/>
      <c r="U262" s="102"/>
      <c r="V262" s="102"/>
      <c r="W262" s="102"/>
      <c r="X262" s="102"/>
      <c r="Y262" s="102"/>
      <c r="Z262" s="102"/>
      <c r="AA262" s="102"/>
      <c r="AB262" s="102"/>
      <c r="AC262" s="102"/>
      <c r="AD262" s="102"/>
      <c r="AE262" s="102"/>
      <c r="AF262" s="102"/>
      <c r="AG262" s="102"/>
      <c r="AH262" s="102"/>
      <c r="AI262" s="102"/>
      <c r="AJ262" s="102"/>
      <c r="AK262" s="102"/>
      <c r="AL262" s="102"/>
      <c r="AM262" s="102"/>
      <c r="AN262" s="102"/>
      <c r="AO262" s="102"/>
      <c r="AP262" s="102"/>
      <c r="AQ262" s="102"/>
      <c r="AR262" s="102"/>
      <c r="AS262" s="102"/>
      <c r="AT262" s="102"/>
      <c r="AU262" s="102"/>
      <c r="AV262" s="102"/>
      <c r="AW262" s="102"/>
      <c r="AY262" s="102"/>
      <c r="AZ262" s="102"/>
      <c r="BA262" s="102"/>
      <c r="BB262" s="102"/>
      <c r="BC262" s="102"/>
      <c r="BD262" s="102"/>
      <c r="BE262" s="102"/>
      <c r="BF262" s="102"/>
      <c r="BG262" s="102"/>
      <c r="BH262" s="102"/>
      <c r="BI262" s="102"/>
      <c r="BJ262" s="102"/>
      <c r="BK262" s="102"/>
      <c r="BL262" s="102"/>
      <c r="BM262" s="102"/>
      <c r="BN262" s="102"/>
    </row>
    <row r="263" spans="2:66" s="64" customFormat="1" ht="15" customHeight="1">
      <c r="B263" s="102"/>
      <c r="C263" s="102"/>
      <c r="D263" s="102"/>
      <c r="E263" s="102"/>
      <c r="F263" s="102"/>
      <c r="G263" s="102"/>
      <c r="H263" s="102"/>
      <c r="I263" s="102"/>
      <c r="J263" s="102"/>
      <c r="K263" s="102"/>
      <c r="L263" s="102"/>
      <c r="M263" s="102"/>
      <c r="N263" s="102"/>
      <c r="O263" s="102"/>
      <c r="P263" s="102"/>
      <c r="Q263" s="102"/>
      <c r="R263" s="102"/>
      <c r="S263" s="102"/>
      <c r="T263" s="102"/>
      <c r="U263" s="102"/>
      <c r="V263" s="102"/>
      <c r="W263" s="102"/>
      <c r="X263" s="102"/>
      <c r="Y263" s="102"/>
      <c r="Z263" s="102"/>
      <c r="AA263" s="102"/>
      <c r="AB263" s="102"/>
      <c r="AC263" s="102"/>
      <c r="AD263" s="102"/>
      <c r="AE263" s="102"/>
      <c r="AF263" s="102"/>
      <c r="AG263" s="102"/>
      <c r="AH263" s="102"/>
      <c r="AI263" s="102"/>
      <c r="AJ263" s="102"/>
      <c r="AK263" s="102"/>
      <c r="AL263" s="102"/>
      <c r="AM263" s="102"/>
      <c r="AN263" s="102"/>
      <c r="AO263" s="102"/>
      <c r="AP263" s="102"/>
      <c r="AQ263" s="102"/>
      <c r="AR263" s="102"/>
      <c r="AS263" s="102"/>
      <c r="AT263" s="102"/>
      <c r="AU263" s="102"/>
      <c r="AV263" s="102"/>
      <c r="AW263" s="102"/>
      <c r="AY263" s="102"/>
      <c r="AZ263" s="102"/>
      <c r="BA263" s="102"/>
      <c r="BB263" s="102"/>
      <c r="BC263" s="102"/>
      <c r="BD263" s="102"/>
      <c r="BE263" s="102"/>
      <c r="BF263" s="102"/>
      <c r="BG263" s="102"/>
      <c r="BH263" s="102"/>
      <c r="BI263" s="102"/>
      <c r="BJ263" s="102"/>
      <c r="BK263" s="102"/>
      <c r="BL263" s="102"/>
      <c r="BM263" s="102"/>
      <c r="BN263" s="102"/>
    </row>
    <row r="264" spans="2:66" s="64" customFormat="1" ht="15" customHeight="1">
      <c r="B264" s="102"/>
      <c r="C264" s="102"/>
      <c r="D264" s="102"/>
      <c r="E264" s="102"/>
      <c r="F264" s="102"/>
      <c r="G264" s="102"/>
      <c r="H264" s="102"/>
      <c r="I264" s="102"/>
      <c r="J264" s="102"/>
      <c r="K264" s="102"/>
      <c r="L264" s="102"/>
      <c r="M264" s="102"/>
      <c r="N264" s="102"/>
      <c r="O264" s="102"/>
      <c r="P264" s="102"/>
      <c r="Q264" s="102"/>
      <c r="R264" s="102"/>
      <c r="S264" s="102"/>
      <c r="T264" s="102"/>
      <c r="U264" s="102"/>
      <c r="V264" s="102"/>
      <c r="W264" s="102"/>
      <c r="X264" s="102"/>
      <c r="Y264" s="102"/>
      <c r="Z264" s="102"/>
      <c r="AA264" s="102"/>
      <c r="AB264" s="102"/>
      <c r="AC264" s="102"/>
      <c r="AD264" s="102"/>
      <c r="AE264" s="102"/>
      <c r="AF264" s="102"/>
      <c r="AG264" s="102"/>
      <c r="AH264" s="102"/>
      <c r="AI264" s="102"/>
      <c r="AJ264" s="102"/>
      <c r="AK264" s="102"/>
      <c r="AL264" s="102"/>
      <c r="AM264" s="102"/>
      <c r="AN264" s="102"/>
      <c r="AO264" s="102"/>
      <c r="AP264" s="102"/>
      <c r="AQ264" s="102"/>
      <c r="AR264" s="102"/>
      <c r="AS264" s="102"/>
      <c r="AT264" s="102"/>
      <c r="AU264" s="102"/>
      <c r="AV264" s="102"/>
      <c r="AW264" s="102"/>
      <c r="AY264" s="102"/>
      <c r="AZ264" s="102"/>
      <c r="BA264" s="102"/>
      <c r="BB264" s="102"/>
      <c r="BC264" s="102"/>
      <c r="BD264" s="102"/>
      <c r="BE264" s="102"/>
      <c r="BF264" s="102"/>
      <c r="BG264" s="102"/>
      <c r="BH264" s="102"/>
      <c r="BI264" s="102"/>
      <c r="BJ264" s="102"/>
      <c r="BK264" s="102"/>
      <c r="BL264" s="102"/>
      <c r="BM264" s="102"/>
      <c r="BN264" s="102"/>
    </row>
    <row r="265" spans="2:66" s="64" customFormat="1" ht="20.25" customHeight="1">
      <c r="B265" s="102"/>
      <c r="C265" s="102"/>
      <c r="D265" s="102"/>
      <c r="E265" s="102"/>
      <c r="F265" s="102"/>
      <c r="G265" s="102"/>
      <c r="H265" s="102"/>
      <c r="I265" s="102"/>
      <c r="J265" s="102"/>
      <c r="K265" s="102"/>
      <c r="L265" s="102"/>
      <c r="M265" s="102"/>
      <c r="N265" s="102"/>
      <c r="O265" s="102"/>
      <c r="P265" s="102"/>
      <c r="Q265" s="102"/>
      <c r="R265" s="102"/>
      <c r="S265" s="102"/>
      <c r="T265" s="102"/>
      <c r="U265" s="102"/>
      <c r="V265" s="102"/>
      <c r="W265" s="102"/>
      <c r="X265" s="102"/>
      <c r="Y265" s="102"/>
      <c r="Z265" s="102"/>
      <c r="AA265" s="102"/>
      <c r="AB265" s="102"/>
      <c r="AC265" s="102"/>
      <c r="AD265" s="102"/>
      <c r="AE265" s="102"/>
      <c r="AF265" s="102"/>
      <c r="AG265" s="102"/>
      <c r="AH265" s="102"/>
      <c r="AI265" s="102"/>
      <c r="AJ265" s="102"/>
      <c r="AK265" s="102"/>
      <c r="AL265" s="102"/>
      <c r="AM265" s="102"/>
      <c r="AN265" s="102"/>
      <c r="AO265" s="102"/>
      <c r="AP265" s="102"/>
      <c r="AQ265" s="102"/>
      <c r="AR265" s="102"/>
      <c r="AS265" s="102"/>
      <c r="AT265" s="102"/>
      <c r="AU265" s="102"/>
      <c r="AV265" s="102"/>
      <c r="AW265" s="102"/>
      <c r="AY265" s="102"/>
      <c r="AZ265" s="102"/>
      <c r="BA265" s="102"/>
      <c r="BB265" s="102"/>
      <c r="BC265" s="102"/>
      <c r="BD265" s="102"/>
      <c r="BE265" s="102"/>
      <c r="BF265" s="102"/>
      <c r="BG265" s="102"/>
      <c r="BH265" s="102"/>
      <c r="BI265" s="102"/>
      <c r="BJ265" s="102"/>
      <c r="BK265" s="102"/>
      <c r="BL265" s="102"/>
      <c r="BM265" s="102"/>
      <c r="BN265" s="102"/>
    </row>
    <row r="266" spans="2:66" s="64" customFormat="1" ht="20.25" customHeight="1">
      <c r="B266" s="102"/>
      <c r="C266" s="102"/>
      <c r="D266" s="102"/>
      <c r="E266" s="102"/>
      <c r="F266" s="102"/>
      <c r="G266" s="102"/>
      <c r="H266" s="102"/>
      <c r="I266" s="102"/>
      <c r="J266" s="102"/>
      <c r="K266" s="102"/>
      <c r="L266" s="102"/>
      <c r="M266" s="102"/>
      <c r="N266" s="102"/>
      <c r="O266" s="102"/>
      <c r="P266" s="102"/>
      <c r="Q266" s="102"/>
      <c r="R266" s="102"/>
      <c r="S266" s="102"/>
      <c r="T266" s="102"/>
      <c r="U266" s="102"/>
      <c r="V266" s="102"/>
      <c r="W266" s="102"/>
      <c r="X266" s="102"/>
      <c r="Y266" s="102"/>
      <c r="Z266" s="102"/>
      <c r="AA266" s="102"/>
      <c r="AB266" s="102"/>
      <c r="AC266" s="102"/>
      <c r="AD266" s="102"/>
      <c r="AE266" s="102"/>
      <c r="AF266" s="102"/>
      <c r="AG266" s="102"/>
      <c r="AH266" s="102"/>
      <c r="AI266" s="102"/>
      <c r="AJ266" s="102"/>
      <c r="AK266" s="102"/>
      <c r="AL266" s="102"/>
      <c r="AM266" s="102"/>
      <c r="AN266" s="102"/>
      <c r="AO266" s="102"/>
      <c r="AP266" s="102"/>
      <c r="AQ266" s="102"/>
      <c r="AR266" s="102"/>
      <c r="AS266" s="102"/>
      <c r="AT266" s="102"/>
      <c r="AU266" s="102"/>
      <c r="AV266" s="102"/>
      <c r="AW266" s="102"/>
      <c r="AY266" s="102"/>
      <c r="AZ266" s="102"/>
      <c r="BA266" s="102"/>
      <c r="BB266" s="102"/>
      <c r="BC266" s="102"/>
      <c r="BD266" s="102"/>
      <c r="BE266" s="102"/>
      <c r="BF266" s="102"/>
      <c r="BG266" s="102"/>
      <c r="BH266" s="102"/>
      <c r="BI266" s="102"/>
      <c r="BJ266" s="102"/>
      <c r="BK266" s="102"/>
      <c r="BL266" s="102"/>
      <c r="BM266" s="102"/>
      <c r="BN266" s="102"/>
    </row>
    <row r="267" spans="2:66" s="64" customFormat="1" ht="20.25" customHeight="1">
      <c r="B267" s="102"/>
      <c r="C267" s="102"/>
      <c r="D267" s="102"/>
      <c r="E267" s="102"/>
      <c r="F267" s="102"/>
      <c r="G267" s="102"/>
      <c r="H267" s="102"/>
      <c r="I267" s="102"/>
      <c r="J267" s="102"/>
      <c r="K267" s="102"/>
      <c r="L267" s="102"/>
      <c r="M267" s="102"/>
      <c r="N267" s="102"/>
      <c r="O267" s="102"/>
      <c r="P267" s="102"/>
      <c r="Q267" s="102"/>
      <c r="R267" s="102"/>
      <c r="S267" s="102"/>
      <c r="T267" s="102"/>
      <c r="U267" s="102"/>
      <c r="V267" s="102"/>
      <c r="W267" s="102"/>
      <c r="X267" s="102"/>
      <c r="Y267" s="102"/>
      <c r="Z267" s="102"/>
      <c r="AA267" s="102"/>
      <c r="AB267" s="102"/>
      <c r="AC267" s="102"/>
      <c r="AD267" s="102"/>
      <c r="AE267" s="102"/>
      <c r="AF267" s="102"/>
      <c r="AG267" s="102"/>
      <c r="AH267" s="102"/>
      <c r="AI267" s="102"/>
      <c r="AJ267" s="102"/>
      <c r="AK267" s="102"/>
      <c r="AL267" s="102"/>
      <c r="AM267" s="102"/>
      <c r="AN267" s="102"/>
      <c r="AO267" s="102"/>
      <c r="AP267" s="102"/>
      <c r="AQ267" s="102"/>
      <c r="AR267" s="102"/>
      <c r="AS267" s="102"/>
      <c r="AT267" s="102"/>
      <c r="AU267" s="102"/>
      <c r="AV267" s="102"/>
      <c r="AW267" s="102"/>
      <c r="AY267" s="102"/>
      <c r="AZ267" s="102"/>
      <c r="BA267" s="102"/>
      <c r="BB267" s="102"/>
      <c r="BC267" s="102"/>
      <c r="BD267" s="102"/>
      <c r="BE267" s="102"/>
      <c r="BF267" s="102"/>
      <c r="BG267" s="102"/>
      <c r="BH267" s="102"/>
      <c r="BI267" s="102"/>
      <c r="BJ267" s="102"/>
      <c r="BK267" s="102"/>
      <c r="BL267" s="102"/>
      <c r="BM267" s="102"/>
      <c r="BN267" s="102"/>
    </row>
    <row r="268" spans="2:66" s="64" customFormat="1" ht="20.25" customHeight="1">
      <c r="B268" s="102"/>
      <c r="C268" s="102"/>
      <c r="D268" s="102"/>
      <c r="E268" s="102"/>
      <c r="F268" s="102"/>
      <c r="G268" s="102"/>
      <c r="H268" s="102"/>
      <c r="I268" s="102"/>
      <c r="J268" s="102"/>
      <c r="K268" s="102"/>
      <c r="L268" s="102"/>
      <c r="M268" s="102"/>
      <c r="N268" s="102"/>
      <c r="O268" s="102"/>
      <c r="P268" s="102"/>
      <c r="Q268" s="102"/>
      <c r="R268" s="102"/>
      <c r="S268" s="102"/>
      <c r="T268" s="102"/>
      <c r="U268" s="102"/>
      <c r="V268" s="102"/>
      <c r="W268" s="102"/>
      <c r="X268" s="102"/>
      <c r="Y268" s="102"/>
      <c r="Z268" s="102"/>
      <c r="AA268" s="102"/>
      <c r="AB268" s="102"/>
      <c r="AC268" s="102"/>
      <c r="AD268" s="102"/>
      <c r="AE268" s="102"/>
      <c r="AF268" s="102"/>
      <c r="AG268" s="102"/>
      <c r="AH268" s="102"/>
      <c r="AI268" s="102"/>
      <c r="AJ268" s="102"/>
      <c r="AK268" s="102"/>
      <c r="AL268" s="102"/>
      <c r="AM268" s="102"/>
      <c r="AN268" s="102"/>
      <c r="AO268" s="102"/>
      <c r="AP268" s="102"/>
      <c r="AQ268" s="102"/>
      <c r="AR268" s="102"/>
      <c r="AS268" s="102"/>
      <c r="AT268" s="102"/>
      <c r="AU268" s="102"/>
      <c r="AV268" s="102"/>
      <c r="AW268" s="102"/>
      <c r="AY268" s="102"/>
      <c r="AZ268" s="102"/>
      <c r="BA268" s="102"/>
      <c r="BB268" s="102"/>
      <c r="BC268" s="102"/>
      <c r="BD268" s="102"/>
      <c r="BE268" s="102"/>
      <c r="BF268" s="102"/>
      <c r="BG268" s="102"/>
      <c r="BH268" s="102"/>
      <c r="BI268" s="102"/>
      <c r="BJ268" s="102"/>
      <c r="BK268" s="102"/>
      <c r="BL268" s="102"/>
      <c r="BM268" s="102"/>
      <c r="BN268" s="102"/>
    </row>
    <row r="269" spans="2:66" s="64" customFormat="1" ht="20.25" customHeight="1">
      <c r="B269" s="102"/>
      <c r="C269" s="102"/>
      <c r="D269" s="102"/>
      <c r="E269" s="102"/>
      <c r="F269" s="102"/>
      <c r="G269" s="102"/>
      <c r="H269" s="102"/>
      <c r="I269" s="102"/>
      <c r="J269" s="102"/>
      <c r="K269" s="102"/>
      <c r="L269" s="102"/>
      <c r="M269" s="102"/>
      <c r="N269" s="102"/>
      <c r="O269" s="102"/>
      <c r="P269" s="102"/>
      <c r="Q269" s="102"/>
      <c r="R269" s="102"/>
      <c r="S269" s="102"/>
      <c r="T269" s="102"/>
      <c r="U269" s="102"/>
      <c r="V269" s="102"/>
      <c r="W269" s="102"/>
      <c r="X269" s="102"/>
      <c r="Y269" s="102"/>
      <c r="Z269" s="102"/>
      <c r="AA269" s="102"/>
      <c r="AB269" s="102"/>
      <c r="AC269" s="102"/>
      <c r="AD269" s="102"/>
      <c r="AE269" s="102"/>
      <c r="AF269" s="102"/>
      <c r="AG269" s="102"/>
      <c r="AH269" s="102"/>
      <c r="AI269" s="102"/>
      <c r="AJ269" s="102"/>
      <c r="AK269" s="102"/>
      <c r="AL269" s="102"/>
      <c r="AM269" s="102"/>
      <c r="AN269" s="102"/>
      <c r="AO269" s="102"/>
      <c r="AP269" s="102"/>
      <c r="AQ269" s="102"/>
      <c r="AR269" s="102"/>
      <c r="AS269" s="102"/>
      <c r="AT269" s="102"/>
      <c r="AU269" s="102"/>
      <c r="AV269" s="102"/>
      <c r="AW269" s="102"/>
      <c r="AY269" s="102"/>
      <c r="AZ269" s="102"/>
      <c r="BA269" s="102"/>
      <c r="BB269" s="102"/>
      <c r="BC269" s="102"/>
      <c r="BD269" s="102"/>
      <c r="BE269" s="102"/>
      <c r="BF269" s="102"/>
      <c r="BG269" s="102"/>
      <c r="BH269" s="102"/>
      <c r="BI269" s="102"/>
      <c r="BJ269" s="102"/>
      <c r="BK269" s="102"/>
      <c r="BL269" s="102"/>
      <c r="BM269" s="102"/>
      <c r="BN269" s="102"/>
    </row>
    <row r="270" spans="2:66" s="64" customFormat="1" ht="20.25" customHeight="1">
      <c r="B270" s="102"/>
      <c r="C270" s="102"/>
      <c r="D270" s="102"/>
      <c r="E270" s="102"/>
      <c r="F270" s="102"/>
      <c r="G270" s="102"/>
      <c r="H270" s="102"/>
      <c r="I270" s="102"/>
      <c r="J270" s="102"/>
      <c r="K270" s="102"/>
      <c r="L270" s="102"/>
      <c r="M270" s="102"/>
      <c r="N270" s="102"/>
      <c r="O270" s="102"/>
      <c r="P270" s="102"/>
      <c r="Q270" s="102"/>
      <c r="R270" s="102"/>
      <c r="S270" s="102"/>
      <c r="T270" s="102"/>
      <c r="U270" s="102"/>
      <c r="V270" s="102"/>
      <c r="W270" s="102"/>
      <c r="X270" s="102"/>
      <c r="Y270" s="102"/>
      <c r="Z270" s="102"/>
      <c r="AA270" s="102"/>
      <c r="AB270" s="102"/>
      <c r="AC270" s="102"/>
      <c r="AD270" s="102"/>
      <c r="AE270" s="102"/>
      <c r="AF270" s="102"/>
      <c r="AG270" s="102"/>
      <c r="AH270" s="102"/>
      <c r="AI270" s="102"/>
      <c r="AJ270" s="102"/>
      <c r="AK270" s="102"/>
      <c r="AL270" s="102"/>
      <c r="AM270" s="102"/>
      <c r="AN270" s="102"/>
      <c r="AO270" s="102"/>
      <c r="AP270" s="102"/>
      <c r="AQ270" s="102"/>
      <c r="AR270" s="102"/>
      <c r="AS270" s="102"/>
      <c r="AT270" s="102"/>
      <c r="AU270" s="102"/>
      <c r="AV270" s="102"/>
      <c r="AW270" s="102"/>
      <c r="AY270" s="102"/>
      <c r="AZ270" s="102"/>
      <c r="BA270" s="102"/>
      <c r="BB270" s="102"/>
      <c r="BC270" s="102"/>
      <c r="BD270" s="102"/>
      <c r="BE270" s="102"/>
      <c r="BF270" s="102"/>
      <c r="BG270" s="102"/>
      <c r="BH270" s="102"/>
      <c r="BI270" s="102"/>
      <c r="BJ270" s="102"/>
      <c r="BK270" s="102"/>
      <c r="BL270" s="102"/>
      <c r="BM270" s="102"/>
      <c r="BN270" s="102"/>
    </row>
    <row r="271" spans="2:66" s="64" customFormat="1" ht="20.25" customHeight="1">
      <c r="B271" s="102"/>
      <c r="C271" s="102"/>
      <c r="D271" s="102"/>
      <c r="E271" s="102"/>
      <c r="F271" s="102"/>
      <c r="G271" s="102"/>
      <c r="H271" s="102"/>
      <c r="I271" s="102"/>
      <c r="J271" s="102"/>
      <c r="K271" s="102"/>
      <c r="L271" s="102"/>
      <c r="M271" s="102"/>
      <c r="N271" s="102"/>
      <c r="O271" s="102"/>
      <c r="P271" s="102"/>
      <c r="Q271" s="102"/>
      <c r="R271" s="102"/>
      <c r="S271" s="102"/>
      <c r="T271" s="102"/>
      <c r="U271" s="102"/>
      <c r="V271" s="102"/>
      <c r="W271" s="102"/>
      <c r="X271" s="102"/>
      <c r="Y271" s="102"/>
      <c r="Z271" s="102"/>
      <c r="AA271" s="102"/>
      <c r="AB271" s="102"/>
      <c r="AC271" s="102"/>
      <c r="AD271" s="102"/>
      <c r="AE271" s="102"/>
      <c r="AF271" s="102"/>
      <c r="AG271" s="102"/>
      <c r="AH271" s="102"/>
      <c r="AI271" s="102"/>
      <c r="AJ271" s="102"/>
      <c r="AK271" s="102"/>
      <c r="AL271" s="102"/>
      <c r="AM271" s="102"/>
      <c r="AN271" s="102"/>
      <c r="AO271" s="102"/>
      <c r="AP271" s="102"/>
      <c r="AQ271" s="102"/>
      <c r="AR271" s="102"/>
      <c r="AS271" s="102"/>
      <c r="AT271" s="102"/>
      <c r="AU271" s="102"/>
      <c r="AV271" s="102"/>
      <c r="AW271" s="102"/>
      <c r="AY271" s="102"/>
      <c r="AZ271" s="102"/>
      <c r="BA271" s="102"/>
      <c r="BB271" s="102"/>
      <c r="BC271" s="102"/>
      <c r="BD271" s="102"/>
      <c r="BE271" s="102"/>
      <c r="BF271" s="102"/>
      <c r="BG271" s="102"/>
      <c r="BH271" s="102"/>
      <c r="BI271" s="102"/>
      <c r="BJ271" s="102"/>
      <c r="BK271" s="102"/>
      <c r="BL271" s="102"/>
      <c r="BM271" s="102"/>
      <c r="BN271" s="102"/>
    </row>
    <row r="272" spans="2:66" s="64" customFormat="1" ht="20.25" customHeight="1">
      <c r="B272" s="102"/>
      <c r="C272" s="102"/>
      <c r="D272" s="102"/>
      <c r="E272" s="102"/>
      <c r="F272" s="102"/>
      <c r="G272" s="102"/>
      <c r="H272" s="102"/>
      <c r="I272" s="102"/>
      <c r="J272" s="102"/>
      <c r="K272" s="102"/>
      <c r="L272" s="102"/>
      <c r="M272" s="102"/>
      <c r="N272" s="102"/>
      <c r="O272" s="102"/>
      <c r="P272" s="102"/>
      <c r="Q272" s="102"/>
      <c r="R272" s="102"/>
      <c r="S272" s="102"/>
      <c r="T272" s="102"/>
      <c r="U272" s="102"/>
      <c r="V272" s="102"/>
      <c r="W272" s="102"/>
      <c r="X272" s="102"/>
      <c r="Y272" s="102"/>
      <c r="Z272" s="102"/>
      <c r="AA272" s="102"/>
      <c r="AB272" s="102"/>
      <c r="AC272" s="102"/>
      <c r="AD272" s="102"/>
      <c r="AE272" s="102"/>
      <c r="AF272" s="102"/>
      <c r="AG272" s="102"/>
      <c r="AH272" s="102"/>
      <c r="AI272" s="102"/>
      <c r="AJ272" s="102"/>
      <c r="AK272" s="102"/>
      <c r="AL272" s="102"/>
      <c r="AM272" s="102"/>
      <c r="AN272" s="102"/>
      <c r="AO272" s="102"/>
      <c r="AP272" s="102"/>
      <c r="AQ272" s="102"/>
      <c r="AR272" s="102"/>
      <c r="AS272" s="102"/>
      <c r="AT272" s="102"/>
      <c r="AU272" s="102"/>
      <c r="AV272" s="102"/>
      <c r="AW272" s="102"/>
      <c r="AY272" s="102"/>
      <c r="AZ272" s="102"/>
      <c r="BA272" s="102"/>
      <c r="BB272" s="102"/>
      <c r="BC272" s="102"/>
      <c r="BD272" s="102"/>
      <c r="BE272" s="102"/>
      <c r="BF272" s="102"/>
      <c r="BG272" s="102"/>
      <c r="BH272" s="102"/>
      <c r="BI272" s="102"/>
      <c r="BJ272" s="102"/>
      <c r="BK272" s="102"/>
      <c r="BL272" s="102"/>
      <c r="BM272" s="102"/>
      <c r="BN272" s="102"/>
    </row>
    <row r="273" spans="2:66" s="64" customFormat="1" ht="20.25" customHeight="1">
      <c r="B273" s="102"/>
      <c r="C273" s="102"/>
      <c r="D273" s="102"/>
      <c r="E273" s="102"/>
      <c r="F273" s="102"/>
      <c r="G273" s="102"/>
      <c r="H273" s="102"/>
      <c r="I273" s="102"/>
      <c r="J273" s="102"/>
      <c r="K273" s="102"/>
      <c r="L273" s="102"/>
      <c r="M273" s="102"/>
      <c r="N273" s="102"/>
      <c r="O273" s="102"/>
      <c r="P273" s="102"/>
      <c r="Q273" s="102"/>
      <c r="R273" s="102"/>
      <c r="S273" s="102"/>
      <c r="T273" s="102"/>
      <c r="U273" s="102"/>
      <c r="V273" s="102"/>
      <c r="W273" s="102"/>
      <c r="X273" s="102"/>
      <c r="Y273" s="102"/>
      <c r="Z273" s="102"/>
      <c r="AA273" s="102"/>
      <c r="AB273" s="102"/>
      <c r="AC273" s="102"/>
      <c r="AD273" s="102"/>
      <c r="AE273" s="102"/>
      <c r="AF273" s="102"/>
      <c r="AG273" s="102"/>
      <c r="AH273" s="102"/>
      <c r="AI273" s="102"/>
      <c r="AJ273" s="102"/>
      <c r="AK273" s="102"/>
      <c r="AL273" s="102"/>
      <c r="AM273" s="102"/>
      <c r="AN273" s="102"/>
      <c r="AO273" s="102"/>
      <c r="AP273" s="102"/>
      <c r="AQ273" s="102"/>
      <c r="AR273" s="102"/>
      <c r="AS273" s="102"/>
      <c r="AT273" s="102"/>
      <c r="AU273" s="102"/>
      <c r="AV273" s="102"/>
      <c r="AW273" s="102"/>
      <c r="AY273" s="102"/>
      <c r="AZ273" s="102"/>
      <c r="BA273" s="102"/>
      <c r="BB273" s="102"/>
      <c r="BC273" s="102"/>
      <c r="BD273" s="102"/>
      <c r="BE273" s="102"/>
      <c r="BF273" s="102"/>
      <c r="BG273" s="102"/>
      <c r="BH273" s="102"/>
      <c r="BI273" s="102"/>
      <c r="BJ273" s="102"/>
      <c r="BK273" s="102"/>
      <c r="BL273" s="102"/>
      <c r="BM273" s="102"/>
      <c r="BN273" s="102"/>
    </row>
    <row r="274" spans="2:66" s="64" customFormat="1" ht="20.25" customHeight="1">
      <c r="B274" s="102"/>
      <c r="C274" s="102"/>
      <c r="D274" s="102"/>
      <c r="E274" s="102"/>
      <c r="F274" s="102"/>
      <c r="G274" s="102"/>
      <c r="H274" s="102"/>
      <c r="I274" s="102"/>
      <c r="J274" s="102"/>
      <c r="K274" s="102"/>
      <c r="L274" s="102"/>
      <c r="M274" s="102"/>
      <c r="N274" s="102"/>
      <c r="O274" s="102"/>
      <c r="P274" s="102"/>
      <c r="Q274" s="102"/>
      <c r="R274" s="102"/>
      <c r="S274" s="102"/>
      <c r="T274" s="102"/>
      <c r="U274" s="102"/>
      <c r="V274" s="102"/>
      <c r="W274" s="102"/>
      <c r="X274" s="102"/>
      <c r="Y274" s="102"/>
      <c r="Z274" s="102"/>
      <c r="AA274" s="102"/>
      <c r="AB274" s="102"/>
      <c r="AC274" s="102"/>
      <c r="AD274" s="102"/>
      <c r="AE274" s="102"/>
      <c r="AF274" s="102"/>
      <c r="AG274" s="102"/>
      <c r="AH274" s="102"/>
      <c r="AI274" s="102"/>
      <c r="AJ274" s="102"/>
      <c r="AK274" s="102"/>
      <c r="AL274" s="102"/>
      <c r="AM274" s="102"/>
      <c r="AN274" s="102"/>
      <c r="AO274" s="102"/>
      <c r="AP274" s="102"/>
      <c r="AQ274" s="102"/>
      <c r="AR274" s="102"/>
      <c r="AS274" s="102"/>
      <c r="AT274" s="102"/>
      <c r="AU274" s="102"/>
      <c r="AV274" s="102"/>
      <c r="AW274" s="102"/>
      <c r="AY274" s="102"/>
      <c r="AZ274" s="102"/>
      <c r="BA274" s="102"/>
      <c r="BB274" s="102"/>
      <c r="BC274" s="102"/>
      <c r="BD274" s="102"/>
      <c r="BE274" s="102"/>
      <c r="BF274" s="102"/>
      <c r="BG274" s="102"/>
      <c r="BH274" s="102"/>
      <c r="BI274" s="102"/>
      <c r="BJ274" s="102"/>
      <c r="BK274" s="102"/>
      <c r="BL274" s="102"/>
      <c r="BM274" s="102"/>
      <c r="BN274" s="102"/>
    </row>
    <row r="275" spans="2:66" s="64" customFormat="1" ht="20.25" customHeight="1">
      <c r="B275" s="102"/>
      <c r="C275" s="102"/>
      <c r="D275" s="102"/>
      <c r="E275" s="102"/>
      <c r="F275" s="102"/>
      <c r="G275" s="102"/>
      <c r="H275" s="102"/>
      <c r="I275" s="102"/>
      <c r="J275" s="102"/>
      <c r="K275" s="102"/>
      <c r="L275" s="102"/>
      <c r="M275" s="102"/>
      <c r="N275" s="102"/>
      <c r="O275" s="102"/>
      <c r="P275" s="102"/>
      <c r="Q275" s="102"/>
      <c r="R275" s="102"/>
      <c r="S275" s="102"/>
      <c r="T275" s="102"/>
      <c r="U275" s="102"/>
      <c r="V275" s="102"/>
      <c r="W275" s="102"/>
      <c r="X275" s="102"/>
      <c r="Y275" s="102"/>
      <c r="Z275" s="102"/>
      <c r="AA275" s="102"/>
      <c r="AB275" s="102"/>
      <c r="AC275" s="102"/>
      <c r="AD275" s="102"/>
      <c r="AE275" s="102"/>
      <c r="AF275" s="102"/>
      <c r="AG275" s="102"/>
      <c r="AH275" s="102"/>
      <c r="AI275" s="102"/>
      <c r="AJ275" s="102"/>
      <c r="AK275" s="102"/>
      <c r="AL275" s="102"/>
      <c r="AM275" s="102"/>
      <c r="AN275" s="102"/>
      <c r="AO275" s="102"/>
      <c r="AP275" s="102"/>
      <c r="AQ275" s="102"/>
      <c r="AR275" s="102"/>
      <c r="AS275" s="102"/>
      <c r="AT275" s="102"/>
      <c r="AU275" s="102"/>
      <c r="AV275" s="102"/>
      <c r="AW275" s="102"/>
      <c r="AY275" s="102"/>
      <c r="AZ275" s="102"/>
      <c r="BA275" s="102"/>
      <c r="BB275" s="102"/>
      <c r="BC275" s="102"/>
      <c r="BD275" s="102"/>
      <c r="BE275" s="102"/>
      <c r="BF275" s="102"/>
      <c r="BG275" s="102"/>
      <c r="BH275" s="102"/>
      <c r="BI275" s="102"/>
      <c r="BJ275" s="102"/>
      <c r="BK275" s="102"/>
      <c r="BL275" s="102"/>
      <c r="BM275" s="102"/>
      <c r="BN275" s="102"/>
    </row>
    <row r="276" spans="2:66" s="64" customFormat="1" ht="20.25" customHeight="1">
      <c r="B276" s="102"/>
      <c r="C276" s="102"/>
      <c r="D276" s="102"/>
      <c r="E276" s="102"/>
      <c r="F276" s="102"/>
      <c r="G276" s="102"/>
      <c r="H276" s="102"/>
      <c r="I276" s="102"/>
      <c r="J276" s="102"/>
      <c r="K276" s="102"/>
      <c r="L276" s="102"/>
      <c r="M276" s="102"/>
      <c r="N276" s="102"/>
      <c r="O276" s="102"/>
      <c r="P276" s="102"/>
      <c r="Q276" s="102"/>
      <c r="R276" s="102"/>
      <c r="S276" s="102"/>
      <c r="T276" s="102"/>
      <c r="U276" s="102"/>
      <c r="V276" s="102"/>
      <c r="W276" s="102"/>
      <c r="X276" s="102"/>
      <c r="Y276" s="102"/>
      <c r="Z276" s="102"/>
      <c r="AA276" s="102"/>
      <c r="AB276" s="102"/>
      <c r="AC276" s="102"/>
      <c r="AD276" s="102"/>
      <c r="AE276" s="102"/>
      <c r="AF276" s="102"/>
      <c r="AG276" s="102"/>
      <c r="AH276" s="102"/>
      <c r="AI276" s="102"/>
      <c r="AJ276" s="102"/>
      <c r="AK276" s="102"/>
      <c r="AL276" s="102"/>
      <c r="AM276" s="102"/>
      <c r="AN276" s="102"/>
      <c r="AO276" s="102"/>
      <c r="AP276" s="102"/>
      <c r="AQ276" s="102"/>
      <c r="AR276" s="102"/>
      <c r="AS276" s="102"/>
      <c r="AT276" s="102"/>
      <c r="AU276" s="102"/>
      <c r="AV276" s="102"/>
      <c r="AW276" s="102"/>
      <c r="AY276" s="102"/>
      <c r="AZ276" s="102"/>
      <c r="BA276" s="102"/>
      <c r="BB276" s="102"/>
      <c r="BC276" s="102"/>
      <c r="BD276" s="102"/>
      <c r="BE276" s="102"/>
      <c r="BF276" s="102"/>
      <c r="BG276" s="102"/>
      <c r="BH276" s="102"/>
      <c r="BI276" s="102"/>
      <c r="BJ276" s="102"/>
      <c r="BK276" s="102"/>
      <c r="BL276" s="102"/>
      <c r="BM276" s="102"/>
      <c r="BN276" s="102"/>
    </row>
    <row r="277" spans="2:66" s="64" customFormat="1" ht="20.25" customHeight="1">
      <c r="B277" s="102"/>
      <c r="C277" s="102"/>
      <c r="D277" s="102"/>
      <c r="E277" s="102"/>
      <c r="F277" s="102"/>
      <c r="G277" s="102"/>
      <c r="H277" s="102"/>
      <c r="I277" s="102"/>
      <c r="J277" s="102"/>
      <c r="K277" s="102"/>
      <c r="L277" s="102"/>
      <c r="M277" s="102"/>
      <c r="N277" s="102"/>
      <c r="O277" s="102"/>
      <c r="P277" s="102"/>
      <c r="Q277" s="102"/>
      <c r="R277" s="102"/>
      <c r="S277" s="102"/>
      <c r="T277" s="102"/>
      <c r="U277" s="102"/>
      <c r="V277" s="102"/>
      <c r="W277" s="102"/>
      <c r="X277" s="102"/>
      <c r="Y277" s="102"/>
      <c r="Z277" s="102"/>
      <c r="AA277" s="102"/>
      <c r="AB277" s="102"/>
      <c r="AC277" s="102"/>
      <c r="AD277" s="102"/>
      <c r="AE277" s="102"/>
      <c r="AF277" s="102"/>
      <c r="AG277" s="102"/>
      <c r="AH277" s="102"/>
      <c r="AI277" s="102"/>
      <c r="AJ277" s="102"/>
      <c r="AK277" s="102"/>
      <c r="AL277" s="102"/>
      <c r="AM277" s="102"/>
      <c r="AN277" s="102"/>
      <c r="AO277" s="102"/>
      <c r="AP277" s="102"/>
      <c r="AQ277" s="102"/>
      <c r="AR277" s="102"/>
      <c r="AS277" s="102"/>
      <c r="AT277" s="102"/>
      <c r="AU277" s="102"/>
      <c r="AV277" s="102"/>
      <c r="AW277" s="102"/>
      <c r="AY277" s="102"/>
      <c r="AZ277" s="102"/>
      <c r="BA277" s="102"/>
      <c r="BB277" s="102"/>
      <c r="BC277" s="102"/>
      <c r="BD277" s="102"/>
      <c r="BE277" s="102"/>
      <c r="BF277" s="102"/>
      <c r="BG277" s="102"/>
      <c r="BH277" s="102"/>
      <c r="BI277" s="102"/>
      <c r="BJ277" s="102"/>
      <c r="BK277" s="102"/>
      <c r="BL277" s="102"/>
      <c r="BM277" s="102"/>
      <c r="BN277" s="102"/>
    </row>
    <row r="278" spans="2:66" s="64" customFormat="1" ht="20.25" customHeight="1">
      <c r="B278" s="102"/>
      <c r="C278" s="102"/>
      <c r="D278" s="102"/>
      <c r="E278" s="102"/>
      <c r="F278" s="102"/>
      <c r="G278" s="102"/>
      <c r="H278" s="102"/>
      <c r="I278" s="102"/>
      <c r="J278" s="102"/>
      <c r="K278" s="102"/>
      <c r="L278" s="102"/>
      <c r="M278" s="102"/>
      <c r="N278" s="102"/>
      <c r="O278" s="102"/>
      <c r="P278" s="102"/>
      <c r="Q278" s="102"/>
      <c r="R278" s="102"/>
      <c r="S278" s="102"/>
      <c r="T278" s="102"/>
      <c r="U278" s="102"/>
      <c r="V278" s="102"/>
      <c r="W278" s="102"/>
      <c r="X278" s="102"/>
      <c r="Y278" s="102"/>
      <c r="Z278" s="102"/>
      <c r="AA278" s="102"/>
      <c r="AB278" s="102"/>
      <c r="AC278" s="102"/>
      <c r="AD278" s="102"/>
      <c r="AE278" s="102"/>
      <c r="AF278" s="102"/>
      <c r="AG278" s="102"/>
      <c r="AH278" s="102"/>
      <c r="AI278" s="102"/>
      <c r="AJ278" s="102"/>
      <c r="AK278" s="102"/>
      <c r="AL278" s="102"/>
      <c r="AM278" s="102"/>
      <c r="AN278" s="102"/>
      <c r="AO278" s="102"/>
      <c r="AP278" s="102"/>
      <c r="AQ278" s="102"/>
      <c r="AR278" s="102"/>
      <c r="AS278" s="102"/>
      <c r="AT278" s="102"/>
      <c r="AU278" s="102"/>
      <c r="AV278" s="102"/>
      <c r="AW278" s="102"/>
      <c r="AY278" s="102"/>
      <c r="AZ278" s="102"/>
      <c r="BA278" s="102"/>
      <c r="BB278" s="102"/>
      <c r="BC278" s="102"/>
      <c r="BD278" s="102"/>
      <c r="BE278" s="102"/>
      <c r="BF278" s="102"/>
      <c r="BG278" s="102"/>
      <c r="BH278" s="102"/>
      <c r="BI278" s="102"/>
      <c r="BJ278" s="102"/>
      <c r="BK278" s="102"/>
      <c r="BL278" s="102"/>
      <c r="BM278" s="102"/>
      <c r="BN278" s="102"/>
    </row>
    <row r="279" spans="2:66" s="64" customFormat="1" ht="20.25" customHeight="1">
      <c r="B279" s="102"/>
      <c r="C279" s="102"/>
      <c r="D279" s="102"/>
      <c r="E279" s="102"/>
      <c r="F279" s="102"/>
      <c r="G279" s="102"/>
      <c r="H279" s="102"/>
      <c r="I279" s="102"/>
      <c r="J279" s="102"/>
      <c r="K279" s="102"/>
      <c r="L279" s="102"/>
      <c r="M279" s="102"/>
      <c r="N279" s="102"/>
      <c r="O279" s="102"/>
      <c r="P279" s="102"/>
      <c r="Q279" s="102"/>
      <c r="R279" s="102"/>
      <c r="S279" s="102"/>
      <c r="T279" s="102"/>
      <c r="U279" s="102"/>
      <c r="V279" s="102"/>
      <c r="W279" s="102"/>
      <c r="X279" s="102"/>
      <c r="Y279" s="102"/>
      <c r="Z279" s="102"/>
      <c r="AA279" s="102"/>
      <c r="AB279" s="102"/>
      <c r="AC279" s="102"/>
      <c r="AD279" s="102"/>
      <c r="AE279" s="102"/>
      <c r="AF279" s="102"/>
      <c r="AG279" s="102"/>
      <c r="AH279" s="102"/>
      <c r="AI279" s="102"/>
      <c r="AJ279" s="102"/>
      <c r="AK279" s="102"/>
      <c r="AL279" s="102"/>
      <c r="AM279" s="102"/>
      <c r="AN279" s="102"/>
      <c r="AO279" s="102"/>
      <c r="AP279" s="102"/>
      <c r="AQ279" s="102"/>
      <c r="AR279" s="102"/>
      <c r="AS279" s="102"/>
      <c r="AT279" s="102"/>
      <c r="AU279" s="102"/>
      <c r="AV279" s="102"/>
      <c r="AW279" s="102"/>
      <c r="AY279" s="102"/>
      <c r="AZ279" s="102"/>
      <c r="BA279" s="102"/>
      <c r="BB279" s="102"/>
      <c r="BC279" s="102"/>
      <c r="BD279" s="102"/>
      <c r="BE279" s="102"/>
      <c r="BF279" s="102"/>
      <c r="BG279" s="102"/>
      <c r="BH279" s="102"/>
      <c r="BI279" s="102"/>
      <c r="BJ279" s="102"/>
      <c r="BK279" s="102"/>
      <c r="BL279" s="102"/>
      <c r="BM279" s="102"/>
      <c r="BN279" s="102"/>
    </row>
    <row r="280" spans="2:66" s="64" customFormat="1" ht="20.25" customHeight="1">
      <c r="B280" s="102"/>
      <c r="C280" s="102"/>
      <c r="D280" s="102"/>
      <c r="E280" s="102"/>
      <c r="F280" s="102"/>
      <c r="G280" s="102"/>
      <c r="H280" s="102"/>
      <c r="I280" s="102"/>
      <c r="J280" s="102"/>
      <c r="K280" s="102"/>
      <c r="L280" s="102"/>
      <c r="M280" s="102"/>
      <c r="N280" s="102"/>
      <c r="O280" s="102"/>
      <c r="P280" s="102"/>
      <c r="Q280" s="102"/>
      <c r="R280" s="102"/>
      <c r="S280" s="102"/>
      <c r="T280" s="102"/>
      <c r="U280" s="102"/>
      <c r="V280" s="102"/>
      <c r="W280" s="102"/>
      <c r="X280" s="102"/>
      <c r="Y280" s="102"/>
      <c r="Z280" s="102"/>
      <c r="AA280" s="102"/>
      <c r="AB280" s="102"/>
      <c r="AC280" s="102"/>
      <c r="AD280" s="102"/>
      <c r="AE280" s="102"/>
      <c r="AF280" s="102"/>
      <c r="AG280" s="102"/>
      <c r="AH280" s="102"/>
      <c r="AI280" s="102"/>
      <c r="AJ280" s="102"/>
      <c r="AK280" s="102"/>
      <c r="AL280" s="102"/>
      <c r="AM280" s="102"/>
      <c r="AN280" s="102"/>
      <c r="AO280" s="102"/>
      <c r="AP280" s="102"/>
      <c r="AQ280" s="102"/>
      <c r="AR280" s="102"/>
      <c r="AS280" s="102"/>
      <c r="AT280" s="102"/>
      <c r="AU280" s="102"/>
      <c r="AV280" s="102"/>
      <c r="AW280" s="102"/>
      <c r="AY280" s="102"/>
      <c r="AZ280" s="102"/>
      <c r="BA280" s="102"/>
      <c r="BB280" s="102"/>
      <c r="BC280" s="102"/>
      <c r="BD280" s="102"/>
      <c r="BE280" s="102"/>
      <c r="BF280" s="102"/>
      <c r="BG280" s="102"/>
      <c r="BH280" s="102"/>
      <c r="BI280" s="102"/>
      <c r="BJ280" s="102"/>
      <c r="BK280" s="102"/>
      <c r="BL280" s="102"/>
      <c r="BM280" s="102"/>
      <c r="BN280" s="102"/>
    </row>
    <row r="281" spans="2:66" s="64" customFormat="1" ht="20.25" customHeight="1">
      <c r="B281" s="102"/>
      <c r="C281" s="102"/>
      <c r="D281" s="102"/>
      <c r="E281" s="102"/>
      <c r="F281" s="102"/>
      <c r="G281" s="102"/>
      <c r="H281" s="102"/>
      <c r="I281" s="102"/>
      <c r="J281" s="102"/>
      <c r="K281" s="102"/>
      <c r="L281" s="102"/>
      <c r="M281" s="102"/>
      <c r="N281" s="102"/>
      <c r="O281" s="102"/>
      <c r="P281" s="102"/>
      <c r="Q281" s="102"/>
      <c r="R281" s="102"/>
      <c r="S281" s="102"/>
      <c r="T281" s="102"/>
      <c r="U281" s="102"/>
      <c r="V281" s="102"/>
      <c r="W281" s="102"/>
      <c r="X281" s="102"/>
      <c r="Y281" s="102"/>
      <c r="Z281" s="102"/>
      <c r="AA281" s="102"/>
      <c r="AB281" s="102"/>
      <c r="AC281" s="102"/>
      <c r="AD281" s="102"/>
      <c r="AE281" s="102"/>
      <c r="AF281" s="102"/>
      <c r="AG281" s="102"/>
      <c r="AH281" s="102"/>
      <c r="AI281" s="102"/>
      <c r="AJ281" s="102"/>
      <c r="AK281" s="102"/>
      <c r="AL281" s="102"/>
      <c r="AM281" s="102"/>
      <c r="AN281" s="102"/>
      <c r="AO281" s="102"/>
      <c r="AP281" s="102"/>
      <c r="AQ281" s="102"/>
      <c r="AR281" s="102"/>
      <c r="AS281" s="102"/>
      <c r="AT281" s="102"/>
      <c r="AU281" s="102"/>
      <c r="AV281" s="102"/>
      <c r="AW281" s="102"/>
      <c r="AY281" s="102"/>
      <c r="AZ281" s="102"/>
      <c r="BA281" s="102"/>
      <c r="BB281" s="102"/>
      <c r="BC281" s="102"/>
      <c r="BD281" s="102"/>
      <c r="BE281" s="102"/>
      <c r="BF281" s="102"/>
      <c r="BG281" s="102"/>
      <c r="BH281" s="102"/>
      <c r="BI281" s="102"/>
      <c r="BJ281" s="102"/>
      <c r="BK281" s="102"/>
      <c r="BL281" s="102"/>
      <c r="BM281" s="102"/>
      <c r="BN281" s="102"/>
    </row>
    <row r="282" spans="2:66" s="64" customFormat="1" ht="20.25" customHeight="1">
      <c r="B282" s="102"/>
      <c r="C282" s="102"/>
      <c r="D282" s="102"/>
      <c r="E282" s="102"/>
      <c r="F282" s="102"/>
      <c r="G282" s="102"/>
      <c r="H282" s="102"/>
      <c r="I282" s="102"/>
      <c r="J282" s="102"/>
      <c r="K282" s="102"/>
      <c r="L282" s="102"/>
      <c r="M282" s="102"/>
      <c r="N282" s="102"/>
      <c r="O282" s="102"/>
      <c r="P282" s="102"/>
      <c r="Q282" s="102"/>
      <c r="R282" s="102"/>
      <c r="S282" s="102"/>
      <c r="T282" s="102"/>
      <c r="U282" s="102"/>
      <c r="V282" s="102"/>
      <c r="W282" s="102"/>
      <c r="X282" s="102"/>
      <c r="Y282" s="102"/>
      <c r="Z282" s="102"/>
      <c r="AA282" s="102"/>
      <c r="AB282" s="102"/>
      <c r="AC282" s="102"/>
      <c r="AD282" s="102"/>
      <c r="AE282" s="102"/>
      <c r="AF282" s="102"/>
      <c r="AG282" s="102"/>
      <c r="AH282" s="102"/>
      <c r="AI282" s="102"/>
      <c r="AJ282" s="102"/>
      <c r="AK282" s="102"/>
      <c r="AL282" s="102"/>
      <c r="AM282" s="102"/>
      <c r="AN282" s="102"/>
      <c r="AO282" s="102"/>
      <c r="AP282" s="102"/>
      <c r="AQ282" s="102"/>
      <c r="AR282" s="102"/>
      <c r="AS282" s="102"/>
      <c r="AT282" s="102"/>
      <c r="AU282" s="102"/>
      <c r="AV282" s="102"/>
      <c r="AW282" s="102"/>
      <c r="AY282" s="102"/>
      <c r="AZ282" s="102"/>
      <c r="BA282" s="102"/>
      <c r="BB282" s="102"/>
      <c r="BC282" s="102"/>
      <c r="BD282" s="102"/>
      <c r="BE282" s="102"/>
      <c r="BF282" s="102"/>
      <c r="BG282" s="102"/>
      <c r="BH282" s="102"/>
      <c r="BI282" s="102"/>
      <c r="BJ282" s="102"/>
      <c r="BK282" s="102"/>
      <c r="BL282" s="102"/>
      <c r="BM282" s="102"/>
      <c r="BN282" s="102"/>
    </row>
    <row r="283" spans="2:66" s="64" customFormat="1" ht="20.25" customHeight="1">
      <c r="B283" s="102"/>
      <c r="C283" s="102"/>
      <c r="D283" s="102"/>
      <c r="E283" s="102"/>
      <c r="F283" s="102"/>
      <c r="G283" s="102"/>
      <c r="H283" s="102"/>
      <c r="I283" s="102"/>
      <c r="J283" s="102"/>
      <c r="K283" s="102"/>
      <c r="L283" s="102"/>
      <c r="M283" s="102"/>
      <c r="N283" s="102"/>
      <c r="O283" s="102"/>
      <c r="P283" s="102"/>
      <c r="Q283" s="102"/>
      <c r="R283" s="102"/>
      <c r="S283" s="102"/>
      <c r="T283" s="102"/>
      <c r="U283" s="102"/>
      <c r="V283" s="102"/>
      <c r="W283" s="102"/>
      <c r="X283" s="102"/>
      <c r="Y283" s="102"/>
      <c r="Z283" s="102"/>
      <c r="AA283" s="102"/>
      <c r="AB283" s="102"/>
      <c r="AC283" s="102"/>
      <c r="AD283" s="102"/>
      <c r="AE283" s="102"/>
      <c r="AF283" s="102"/>
      <c r="AG283" s="102"/>
      <c r="AH283" s="102"/>
      <c r="AI283" s="102"/>
      <c r="AJ283" s="102"/>
      <c r="AK283" s="102"/>
      <c r="AL283" s="102"/>
      <c r="AM283" s="102"/>
      <c r="AN283" s="102"/>
      <c r="AO283" s="102"/>
      <c r="AP283" s="102"/>
      <c r="AQ283" s="102"/>
      <c r="AR283" s="102"/>
      <c r="AS283" s="102"/>
      <c r="AT283" s="102"/>
      <c r="AU283" s="102"/>
      <c r="AV283" s="102"/>
      <c r="AW283" s="102"/>
      <c r="AY283" s="102"/>
      <c r="AZ283" s="102"/>
      <c r="BA283" s="102"/>
      <c r="BB283" s="102"/>
      <c r="BC283" s="102"/>
      <c r="BD283" s="102"/>
      <c r="BE283" s="102"/>
      <c r="BF283" s="102"/>
      <c r="BG283" s="102"/>
      <c r="BH283" s="102"/>
      <c r="BI283" s="102"/>
      <c r="BJ283" s="102"/>
      <c r="BK283" s="102"/>
      <c r="BL283" s="102"/>
      <c r="BM283" s="102"/>
      <c r="BN283" s="102"/>
    </row>
    <row r="284" spans="2:66" s="64" customFormat="1" ht="20.25" customHeight="1">
      <c r="B284" s="102"/>
      <c r="C284" s="102"/>
      <c r="D284" s="102"/>
      <c r="E284" s="102"/>
      <c r="F284" s="102"/>
      <c r="G284" s="102"/>
      <c r="H284" s="102"/>
      <c r="I284" s="102"/>
      <c r="J284" s="102"/>
      <c r="K284" s="102"/>
      <c r="L284" s="102"/>
      <c r="M284" s="102"/>
      <c r="N284" s="102"/>
      <c r="O284" s="102"/>
      <c r="P284" s="102"/>
      <c r="Q284" s="102"/>
      <c r="R284" s="102"/>
      <c r="S284" s="102"/>
      <c r="T284" s="102"/>
      <c r="U284" s="102"/>
      <c r="V284" s="102"/>
      <c r="W284" s="102"/>
      <c r="X284" s="102"/>
      <c r="Y284" s="102"/>
      <c r="Z284" s="102"/>
      <c r="AA284" s="102"/>
      <c r="AB284" s="102"/>
      <c r="AC284" s="102"/>
      <c r="AD284" s="102"/>
      <c r="AE284" s="102"/>
      <c r="AF284" s="102"/>
      <c r="AG284" s="102"/>
      <c r="AH284" s="102"/>
      <c r="AI284" s="102"/>
      <c r="AJ284" s="102"/>
      <c r="AK284" s="102"/>
      <c r="AL284" s="102"/>
      <c r="AM284" s="102"/>
      <c r="AN284" s="102"/>
      <c r="AO284" s="102"/>
      <c r="AP284" s="102"/>
      <c r="AQ284" s="102"/>
      <c r="AR284" s="102"/>
      <c r="AS284" s="102"/>
      <c r="AT284" s="102"/>
      <c r="AU284" s="102"/>
      <c r="AV284" s="102"/>
      <c r="AW284" s="102"/>
      <c r="AY284" s="102"/>
      <c r="AZ284" s="102"/>
      <c r="BA284" s="102"/>
      <c r="BB284" s="102"/>
      <c r="BC284" s="102"/>
      <c r="BD284" s="102"/>
      <c r="BE284" s="102"/>
      <c r="BF284" s="102"/>
      <c r="BG284" s="102"/>
      <c r="BH284" s="102"/>
      <c r="BI284" s="102"/>
      <c r="BJ284" s="102"/>
      <c r="BK284" s="102"/>
      <c r="BL284" s="102"/>
      <c r="BM284" s="102"/>
      <c r="BN284" s="102"/>
    </row>
    <row r="285" spans="2:66" s="64" customFormat="1" ht="20.25" customHeight="1">
      <c r="B285" s="102"/>
      <c r="C285" s="102"/>
      <c r="D285" s="102"/>
      <c r="E285" s="102"/>
      <c r="F285" s="102"/>
      <c r="G285" s="102"/>
      <c r="H285" s="102"/>
      <c r="I285" s="102"/>
      <c r="J285" s="102"/>
      <c r="K285" s="102"/>
      <c r="L285" s="102"/>
      <c r="M285" s="102"/>
      <c r="N285" s="102"/>
      <c r="O285" s="102"/>
      <c r="P285" s="102"/>
      <c r="Q285" s="102"/>
      <c r="R285" s="102"/>
      <c r="S285" s="102"/>
      <c r="T285" s="102"/>
      <c r="U285" s="102"/>
      <c r="V285" s="102"/>
      <c r="W285" s="102"/>
      <c r="X285" s="102"/>
      <c r="Y285" s="102"/>
      <c r="Z285" s="102"/>
      <c r="AA285" s="102"/>
      <c r="AB285" s="102"/>
      <c r="AC285" s="102"/>
      <c r="AD285" s="102"/>
      <c r="AE285" s="102"/>
      <c r="AF285" s="102"/>
      <c r="AG285" s="102"/>
      <c r="AH285" s="102"/>
      <c r="AI285" s="102"/>
      <c r="AJ285" s="102"/>
      <c r="AK285" s="102"/>
      <c r="AL285" s="102"/>
      <c r="AM285" s="102"/>
      <c r="AN285" s="102"/>
      <c r="AO285" s="102"/>
      <c r="AP285" s="102"/>
      <c r="AQ285" s="102"/>
      <c r="AR285" s="102"/>
      <c r="AS285" s="102"/>
      <c r="AT285" s="102"/>
      <c r="AU285" s="102"/>
      <c r="AV285" s="102"/>
      <c r="AW285" s="102"/>
      <c r="AY285" s="102"/>
      <c r="AZ285" s="102"/>
      <c r="BA285" s="102"/>
      <c r="BB285" s="102"/>
      <c r="BC285" s="102"/>
      <c r="BD285" s="102"/>
      <c r="BE285" s="102"/>
      <c r="BF285" s="102"/>
      <c r="BG285" s="102"/>
      <c r="BH285" s="102"/>
      <c r="BI285" s="102"/>
      <c r="BJ285" s="102"/>
      <c r="BK285" s="102"/>
      <c r="BL285" s="102"/>
      <c r="BM285" s="102"/>
      <c r="BN285" s="102"/>
    </row>
    <row r="286" spans="2:66" s="64" customFormat="1" ht="20.25" customHeight="1">
      <c r="B286" s="102"/>
      <c r="C286" s="102"/>
      <c r="D286" s="102"/>
      <c r="E286" s="102"/>
      <c r="F286" s="102"/>
      <c r="G286" s="102"/>
      <c r="H286" s="102"/>
      <c r="I286" s="102"/>
      <c r="J286" s="102"/>
      <c r="K286" s="102"/>
      <c r="L286" s="102"/>
      <c r="M286" s="102"/>
      <c r="N286" s="102"/>
      <c r="O286" s="102"/>
      <c r="P286" s="102"/>
      <c r="Q286" s="102"/>
      <c r="R286" s="102"/>
      <c r="S286" s="102"/>
      <c r="T286" s="102"/>
      <c r="U286" s="102"/>
      <c r="V286" s="102"/>
      <c r="W286" s="102"/>
      <c r="X286" s="102"/>
      <c r="Y286" s="102"/>
      <c r="Z286" s="102"/>
      <c r="AA286" s="102"/>
      <c r="AB286" s="102"/>
      <c r="AC286" s="102"/>
      <c r="AD286" s="102"/>
      <c r="AE286" s="102"/>
      <c r="AF286" s="102"/>
      <c r="AG286" s="102"/>
      <c r="AH286" s="102"/>
      <c r="AI286" s="102"/>
      <c r="AJ286" s="102"/>
      <c r="AK286" s="102"/>
      <c r="AL286" s="102"/>
      <c r="AM286" s="102"/>
      <c r="AN286" s="102"/>
      <c r="AO286" s="102"/>
      <c r="AP286" s="102"/>
      <c r="AQ286" s="102"/>
      <c r="AR286" s="102"/>
      <c r="AS286" s="102"/>
      <c r="AT286" s="102"/>
      <c r="AU286" s="102"/>
      <c r="AV286" s="102"/>
      <c r="AW286" s="102"/>
      <c r="AY286" s="102"/>
      <c r="AZ286" s="102"/>
      <c r="BA286" s="102"/>
      <c r="BB286" s="102"/>
      <c r="BC286" s="102"/>
      <c r="BD286" s="102"/>
      <c r="BE286" s="102"/>
      <c r="BF286" s="102"/>
      <c r="BG286" s="102"/>
      <c r="BH286" s="102"/>
      <c r="BI286" s="102"/>
      <c r="BJ286" s="102"/>
      <c r="BK286" s="102"/>
      <c r="BL286" s="102"/>
      <c r="BM286" s="102"/>
      <c r="BN286" s="102"/>
    </row>
    <row r="287" spans="2:66" s="64" customFormat="1" ht="20.25" customHeight="1">
      <c r="B287" s="102"/>
      <c r="C287" s="102"/>
      <c r="D287" s="102"/>
      <c r="E287" s="102"/>
      <c r="F287" s="102"/>
      <c r="G287" s="102"/>
      <c r="H287" s="102"/>
      <c r="I287" s="102"/>
      <c r="J287" s="102"/>
      <c r="K287" s="102"/>
      <c r="L287" s="102"/>
      <c r="M287" s="102"/>
      <c r="N287" s="102"/>
      <c r="O287" s="102"/>
      <c r="P287" s="102"/>
      <c r="Q287" s="102"/>
      <c r="R287" s="102"/>
      <c r="S287" s="102"/>
      <c r="T287" s="102"/>
      <c r="U287" s="102"/>
      <c r="V287" s="102"/>
      <c r="W287" s="102"/>
      <c r="X287" s="102"/>
      <c r="Y287" s="102"/>
      <c r="Z287" s="102"/>
      <c r="AA287" s="102"/>
      <c r="AB287" s="102"/>
      <c r="AC287" s="102"/>
      <c r="AD287" s="102"/>
      <c r="AE287" s="102"/>
      <c r="AF287" s="102"/>
      <c r="AG287" s="102"/>
      <c r="AH287" s="102"/>
      <c r="AI287" s="102"/>
      <c r="AJ287" s="102"/>
      <c r="AK287" s="102"/>
      <c r="AL287" s="102"/>
      <c r="AM287" s="102"/>
      <c r="AN287" s="102"/>
      <c r="AO287" s="102"/>
      <c r="AP287" s="102"/>
      <c r="AQ287" s="102"/>
      <c r="AR287" s="102"/>
      <c r="AS287" s="102"/>
      <c r="AT287" s="102"/>
      <c r="AU287" s="102"/>
      <c r="AV287" s="102"/>
      <c r="AW287" s="102"/>
      <c r="AY287" s="102"/>
      <c r="AZ287" s="102"/>
      <c r="BA287" s="102"/>
      <c r="BB287" s="102"/>
      <c r="BC287" s="102"/>
      <c r="BD287" s="102"/>
      <c r="BE287" s="102"/>
      <c r="BF287" s="102"/>
      <c r="BG287" s="102"/>
      <c r="BH287" s="102"/>
      <c r="BI287" s="102"/>
      <c r="BJ287" s="102"/>
      <c r="BK287" s="102"/>
      <c r="BL287" s="102"/>
      <c r="BM287" s="102"/>
      <c r="BN287" s="102"/>
    </row>
    <row r="288" spans="2:66" s="64" customFormat="1" ht="20.25" customHeight="1">
      <c r="B288" s="102"/>
      <c r="C288" s="102"/>
      <c r="D288" s="102"/>
      <c r="E288" s="102"/>
      <c r="F288" s="102"/>
      <c r="G288" s="102"/>
      <c r="H288" s="102"/>
      <c r="I288" s="102"/>
      <c r="J288" s="102"/>
      <c r="K288" s="102"/>
      <c r="L288" s="102"/>
      <c r="M288" s="102"/>
      <c r="N288" s="102"/>
      <c r="O288" s="102"/>
      <c r="P288" s="102"/>
      <c r="Q288" s="102"/>
      <c r="R288" s="102"/>
      <c r="S288" s="102"/>
      <c r="T288" s="102"/>
      <c r="U288" s="102"/>
      <c r="V288" s="102"/>
      <c r="W288" s="102"/>
      <c r="X288" s="102"/>
      <c r="Y288" s="102"/>
      <c r="Z288" s="102"/>
      <c r="AA288" s="102"/>
      <c r="AB288" s="102"/>
      <c r="AC288" s="102"/>
      <c r="AD288" s="102"/>
      <c r="AE288" s="102"/>
      <c r="AF288" s="102"/>
      <c r="AG288" s="102"/>
      <c r="AH288" s="102"/>
      <c r="AI288" s="102"/>
      <c r="AJ288" s="102"/>
      <c r="AK288" s="102"/>
      <c r="AL288" s="102"/>
      <c r="AM288" s="102"/>
      <c r="AN288" s="102"/>
      <c r="AO288" s="102"/>
      <c r="AP288" s="102"/>
      <c r="AQ288" s="102"/>
      <c r="AR288" s="102"/>
      <c r="AS288" s="102"/>
      <c r="AT288" s="102"/>
      <c r="AU288" s="102"/>
      <c r="AV288" s="102"/>
      <c r="AW288" s="102"/>
      <c r="AY288" s="102"/>
      <c r="AZ288" s="102"/>
      <c r="BA288" s="102"/>
      <c r="BB288" s="102"/>
      <c r="BC288" s="102"/>
      <c r="BD288" s="102"/>
      <c r="BE288" s="102"/>
      <c r="BF288" s="102"/>
      <c r="BG288" s="102"/>
      <c r="BH288" s="102"/>
      <c r="BI288" s="102"/>
      <c r="BJ288" s="102"/>
      <c r="BK288" s="102"/>
      <c r="BL288" s="102"/>
      <c r="BM288" s="102"/>
      <c r="BN288" s="102"/>
    </row>
    <row r="289" spans="2:66" s="64" customFormat="1" ht="20.25" customHeight="1">
      <c r="B289" s="102"/>
      <c r="C289" s="102"/>
      <c r="D289" s="102"/>
      <c r="E289" s="102"/>
      <c r="F289" s="102"/>
      <c r="G289" s="102"/>
      <c r="H289" s="102"/>
      <c r="I289" s="102"/>
      <c r="J289" s="102"/>
      <c r="K289" s="102"/>
      <c r="L289" s="102"/>
      <c r="M289" s="102"/>
      <c r="N289" s="102"/>
      <c r="O289" s="102"/>
      <c r="P289" s="102"/>
      <c r="Q289" s="102"/>
      <c r="R289" s="102"/>
      <c r="S289" s="102"/>
      <c r="T289" s="102"/>
      <c r="U289" s="102"/>
      <c r="V289" s="102"/>
      <c r="W289" s="102"/>
      <c r="X289" s="102"/>
      <c r="Y289" s="102"/>
      <c r="Z289" s="102"/>
      <c r="AA289" s="102"/>
      <c r="AB289" s="102"/>
      <c r="AC289" s="102"/>
      <c r="AD289" s="102"/>
      <c r="AE289" s="102"/>
      <c r="AF289" s="102"/>
      <c r="AG289" s="102"/>
      <c r="AH289" s="102"/>
      <c r="AI289" s="102"/>
      <c r="AJ289" s="102"/>
      <c r="AK289" s="102"/>
      <c r="AL289" s="102"/>
      <c r="AM289" s="102"/>
      <c r="AN289" s="102"/>
      <c r="AO289" s="102"/>
      <c r="AP289" s="102"/>
      <c r="AQ289" s="102"/>
      <c r="AR289" s="102"/>
      <c r="AS289" s="102"/>
      <c r="AT289" s="102"/>
      <c r="AU289" s="102"/>
      <c r="AV289" s="102"/>
      <c r="AW289" s="102"/>
      <c r="AY289" s="102"/>
      <c r="AZ289" s="102"/>
      <c r="BA289" s="102"/>
      <c r="BB289" s="102"/>
      <c r="BC289" s="102"/>
      <c r="BD289" s="102"/>
      <c r="BE289" s="102"/>
      <c r="BF289" s="102"/>
      <c r="BG289" s="102"/>
      <c r="BH289" s="102"/>
      <c r="BI289" s="102"/>
      <c r="BJ289" s="102"/>
      <c r="BK289" s="102"/>
      <c r="BL289" s="102"/>
      <c r="BM289" s="102"/>
      <c r="BN289" s="102"/>
    </row>
    <row r="290" spans="2:66" s="64" customFormat="1" ht="20.25" customHeight="1">
      <c r="B290" s="102"/>
      <c r="C290" s="102"/>
      <c r="D290" s="102"/>
      <c r="E290" s="102"/>
      <c r="F290" s="102"/>
      <c r="G290" s="102"/>
      <c r="H290" s="102"/>
      <c r="I290" s="102"/>
      <c r="J290" s="102"/>
      <c r="K290" s="102"/>
      <c r="L290" s="102"/>
      <c r="M290" s="102"/>
      <c r="N290" s="102"/>
      <c r="O290" s="102"/>
      <c r="P290" s="102"/>
      <c r="Q290" s="102"/>
      <c r="R290" s="102"/>
      <c r="S290" s="102"/>
      <c r="T290" s="102"/>
      <c r="U290" s="102"/>
      <c r="V290" s="102"/>
      <c r="W290" s="102"/>
      <c r="X290" s="102"/>
      <c r="Y290" s="102"/>
      <c r="Z290" s="102"/>
      <c r="AA290" s="102"/>
      <c r="AB290" s="102"/>
      <c r="AC290" s="102"/>
      <c r="AD290" s="102"/>
      <c r="AE290" s="102"/>
      <c r="AF290" s="102"/>
      <c r="AG290" s="102"/>
      <c r="AH290" s="102"/>
      <c r="AI290" s="102"/>
      <c r="AJ290" s="102"/>
      <c r="AK290" s="102"/>
      <c r="AL290" s="102"/>
      <c r="AM290" s="102"/>
      <c r="AN290" s="102"/>
      <c r="AO290" s="102"/>
      <c r="AP290" s="102"/>
      <c r="AQ290" s="102"/>
      <c r="AR290" s="102"/>
      <c r="AS290" s="102"/>
      <c r="AT290" s="102"/>
      <c r="AU290" s="102"/>
      <c r="AV290" s="102"/>
      <c r="AW290" s="102"/>
      <c r="AY290" s="102"/>
      <c r="AZ290" s="102"/>
      <c r="BA290" s="102"/>
      <c r="BB290" s="102"/>
      <c r="BC290" s="102"/>
      <c r="BD290" s="102"/>
      <c r="BE290" s="102"/>
      <c r="BF290" s="102"/>
      <c r="BG290" s="102"/>
      <c r="BH290" s="102"/>
      <c r="BI290" s="102"/>
      <c r="BJ290" s="102"/>
      <c r="BK290" s="102"/>
      <c r="BL290" s="102"/>
      <c r="BM290" s="102"/>
      <c r="BN290" s="102"/>
    </row>
    <row r="291" spans="2:66" s="64" customFormat="1" ht="20.25" customHeight="1">
      <c r="B291" s="102"/>
      <c r="C291" s="102"/>
      <c r="D291" s="102"/>
      <c r="E291" s="102"/>
      <c r="F291" s="102"/>
      <c r="G291" s="102"/>
      <c r="H291" s="102"/>
      <c r="I291" s="102"/>
      <c r="J291" s="102"/>
      <c r="K291" s="102"/>
      <c r="L291" s="102"/>
      <c r="M291" s="102"/>
      <c r="N291" s="102"/>
      <c r="O291" s="102"/>
      <c r="P291" s="102"/>
      <c r="Q291" s="102"/>
      <c r="R291" s="102"/>
      <c r="S291" s="102"/>
      <c r="T291" s="102"/>
      <c r="U291" s="102"/>
      <c r="V291" s="102"/>
      <c r="W291" s="102"/>
      <c r="X291" s="102"/>
      <c r="Y291" s="102"/>
      <c r="Z291" s="102"/>
      <c r="AA291" s="102"/>
      <c r="AB291" s="102"/>
      <c r="AC291" s="102"/>
      <c r="AD291" s="102"/>
      <c r="AE291" s="102"/>
      <c r="AF291" s="102"/>
      <c r="AG291" s="102"/>
      <c r="AH291" s="102"/>
      <c r="AI291" s="102"/>
      <c r="AJ291" s="102"/>
      <c r="AK291" s="102"/>
      <c r="AL291" s="102"/>
      <c r="AM291" s="102"/>
      <c r="AN291" s="102"/>
      <c r="AO291" s="102"/>
      <c r="AP291" s="102"/>
      <c r="AQ291" s="102"/>
      <c r="AR291" s="102"/>
      <c r="AS291" s="102"/>
      <c r="AT291" s="102"/>
      <c r="AU291" s="102"/>
      <c r="AV291" s="102"/>
      <c r="AW291" s="102"/>
      <c r="AY291" s="102"/>
      <c r="AZ291" s="102"/>
      <c r="BA291" s="102"/>
      <c r="BB291" s="102"/>
      <c r="BC291" s="102"/>
      <c r="BD291" s="102"/>
      <c r="BE291" s="102"/>
      <c r="BF291" s="102"/>
      <c r="BG291" s="102"/>
      <c r="BH291" s="102"/>
      <c r="BI291" s="102"/>
      <c r="BJ291" s="102"/>
      <c r="BK291" s="102"/>
      <c r="BL291" s="102"/>
      <c r="BM291" s="102"/>
      <c r="BN291" s="102"/>
    </row>
    <row r="292" spans="2:66" s="64" customFormat="1" ht="20.25" customHeight="1">
      <c r="B292" s="102"/>
      <c r="C292" s="102"/>
      <c r="D292" s="102"/>
      <c r="E292" s="102"/>
      <c r="F292" s="102"/>
      <c r="G292" s="102"/>
      <c r="H292" s="102"/>
      <c r="I292" s="102"/>
      <c r="J292" s="102"/>
      <c r="K292" s="102"/>
      <c r="L292" s="102"/>
      <c r="M292" s="102"/>
      <c r="N292" s="102"/>
      <c r="O292" s="102"/>
      <c r="P292" s="102"/>
      <c r="Q292" s="102"/>
      <c r="R292" s="102"/>
      <c r="S292" s="102"/>
      <c r="T292" s="102"/>
      <c r="U292" s="102"/>
      <c r="V292" s="102"/>
      <c r="W292" s="102"/>
      <c r="X292" s="102"/>
      <c r="Y292" s="102"/>
      <c r="Z292" s="102"/>
      <c r="AA292" s="102"/>
      <c r="AB292" s="102"/>
      <c r="AC292" s="102"/>
      <c r="AD292" s="102"/>
      <c r="AE292" s="102"/>
      <c r="AF292" s="102"/>
      <c r="AG292" s="102"/>
      <c r="AH292" s="102"/>
      <c r="AI292" s="102"/>
      <c r="AJ292" s="102"/>
      <c r="AK292" s="102"/>
      <c r="AL292" s="102"/>
      <c r="AM292" s="102"/>
      <c r="AN292" s="102"/>
      <c r="AO292" s="102"/>
      <c r="AP292" s="102"/>
      <c r="AQ292" s="102"/>
      <c r="AR292" s="102"/>
      <c r="AS292" s="102"/>
      <c r="AT292" s="102"/>
      <c r="AU292" s="102"/>
      <c r="AV292" s="102"/>
      <c r="AW292" s="102"/>
      <c r="AY292" s="102"/>
      <c r="AZ292" s="102"/>
      <c r="BA292" s="102"/>
      <c r="BB292" s="102"/>
      <c r="BC292" s="102"/>
      <c r="BD292" s="102"/>
      <c r="BE292" s="102"/>
      <c r="BF292" s="102"/>
      <c r="BG292" s="102"/>
      <c r="BH292" s="102"/>
      <c r="BI292" s="102"/>
      <c r="BJ292" s="102"/>
      <c r="BK292" s="102"/>
      <c r="BL292" s="102"/>
      <c r="BM292" s="102"/>
      <c r="BN292" s="102"/>
    </row>
    <row r="293" spans="2:66" s="64" customFormat="1" ht="20.25" customHeight="1">
      <c r="B293" s="102"/>
      <c r="C293" s="102"/>
      <c r="D293" s="102"/>
      <c r="E293" s="102"/>
      <c r="F293" s="102"/>
      <c r="G293" s="102"/>
      <c r="H293" s="102"/>
      <c r="I293" s="102"/>
      <c r="J293" s="102"/>
      <c r="K293" s="102"/>
      <c r="L293" s="102"/>
      <c r="M293" s="102"/>
      <c r="N293" s="102"/>
      <c r="O293" s="102"/>
      <c r="P293" s="102"/>
      <c r="Q293" s="102"/>
      <c r="R293" s="102"/>
      <c r="S293" s="102"/>
      <c r="T293" s="102"/>
      <c r="U293" s="102"/>
      <c r="V293" s="102"/>
      <c r="W293" s="102"/>
      <c r="X293" s="102"/>
      <c r="Y293" s="102"/>
      <c r="Z293" s="102"/>
      <c r="AA293" s="102"/>
      <c r="AB293" s="102"/>
      <c r="AC293" s="102"/>
      <c r="AD293" s="102"/>
      <c r="AE293" s="102"/>
      <c r="AF293" s="102"/>
      <c r="AG293" s="102"/>
      <c r="AH293" s="102"/>
      <c r="AI293" s="102"/>
      <c r="AJ293" s="102"/>
      <c r="AK293" s="102"/>
      <c r="AL293" s="102"/>
      <c r="AM293" s="102"/>
      <c r="AN293" s="102"/>
      <c r="AO293" s="102"/>
      <c r="AP293" s="102"/>
      <c r="AQ293" s="102"/>
      <c r="AR293" s="102"/>
      <c r="AS293" s="102"/>
      <c r="AT293" s="102"/>
      <c r="AU293" s="102"/>
      <c r="AV293" s="102"/>
      <c r="AW293" s="102"/>
      <c r="AY293" s="102"/>
      <c r="AZ293" s="102"/>
      <c r="BA293" s="102"/>
      <c r="BB293" s="102"/>
      <c r="BC293" s="102"/>
      <c r="BD293" s="102"/>
      <c r="BE293" s="102"/>
      <c r="BF293" s="102"/>
      <c r="BG293" s="102"/>
      <c r="BH293" s="102"/>
      <c r="BI293" s="102"/>
      <c r="BJ293" s="102"/>
      <c r="BK293" s="102"/>
      <c r="BL293" s="102"/>
      <c r="BM293" s="102"/>
      <c r="BN293" s="102"/>
    </row>
    <row r="294" spans="2:66" s="64" customFormat="1" ht="20.25" customHeight="1">
      <c r="B294" s="102"/>
      <c r="C294" s="102"/>
      <c r="D294" s="102"/>
      <c r="E294" s="102"/>
      <c r="F294" s="102"/>
      <c r="G294" s="102"/>
      <c r="H294" s="102"/>
      <c r="I294" s="102"/>
      <c r="J294" s="102"/>
      <c r="K294" s="102"/>
      <c r="L294" s="102"/>
      <c r="M294" s="102"/>
      <c r="N294" s="102"/>
      <c r="O294" s="102"/>
      <c r="P294" s="102"/>
      <c r="Q294" s="102"/>
      <c r="R294" s="102"/>
      <c r="S294" s="102"/>
      <c r="T294" s="102"/>
      <c r="U294" s="102"/>
      <c r="V294" s="102"/>
      <c r="W294" s="102"/>
      <c r="X294" s="102"/>
      <c r="Y294" s="102"/>
      <c r="Z294" s="102"/>
      <c r="AA294" s="102"/>
      <c r="AB294" s="102"/>
      <c r="AC294" s="102"/>
      <c r="AD294" s="102"/>
      <c r="AE294" s="102"/>
      <c r="AF294" s="102"/>
      <c r="AG294" s="102"/>
      <c r="AH294" s="102"/>
      <c r="AI294" s="102"/>
      <c r="AJ294" s="102"/>
      <c r="AK294" s="102"/>
      <c r="AL294" s="102"/>
      <c r="AM294" s="102"/>
      <c r="AN294" s="102"/>
      <c r="AO294" s="102"/>
      <c r="AP294" s="102"/>
      <c r="AQ294" s="102"/>
      <c r="AR294" s="102"/>
      <c r="AS294" s="102"/>
      <c r="AT294" s="102"/>
      <c r="AU294" s="102"/>
      <c r="AV294" s="102"/>
      <c r="AW294" s="102"/>
      <c r="AY294" s="102"/>
      <c r="AZ294" s="102"/>
      <c r="BA294" s="102"/>
      <c r="BB294" s="102"/>
      <c r="BC294" s="102"/>
      <c r="BD294" s="102"/>
      <c r="BE294" s="102"/>
      <c r="BF294" s="102"/>
      <c r="BG294" s="102"/>
      <c r="BH294" s="102"/>
      <c r="BI294" s="102"/>
      <c r="BJ294" s="102"/>
      <c r="BK294" s="102"/>
      <c r="BL294" s="102"/>
      <c r="BM294" s="102"/>
      <c r="BN294" s="102"/>
    </row>
    <row r="295" spans="2:66" s="64" customFormat="1" ht="20.25" customHeight="1">
      <c r="B295" s="102"/>
      <c r="C295" s="102"/>
      <c r="D295" s="102"/>
      <c r="E295" s="102"/>
      <c r="F295" s="102"/>
      <c r="G295" s="102"/>
      <c r="H295" s="102"/>
      <c r="I295" s="102"/>
      <c r="J295" s="102"/>
      <c r="K295" s="102"/>
      <c r="L295" s="102"/>
      <c r="M295" s="102"/>
      <c r="N295" s="102"/>
      <c r="O295" s="102"/>
      <c r="P295" s="102"/>
      <c r="Q295" s="102"/>
      <c r="R295" s="102"/>
      <c r="S295" s="102"/>
      <c r="T295" s="102"/>
      <c r="U295" s="102"/>
      <c r="V295" s="102"/>
      <c r="W295" s="102"/>
      <c r="X295" s="102"/>
      <c r="Y295" s="102"/>
      <c r="Z295" s="102"/>
      <c r="AA295" s="102"/>
      <c r="AB295" s="102"/>
      <c r="AC295" s="102"/>
      <c r="AD295" s="102"/>
      <c r="AE295" s="102"/>
      <c r="AF295" s="102"/>
      <c r="AG295" s="102"/>
      <c r="AH295" s="102"/>
      <c r="AI295" s="102"/>
      <c r="AJ295" s="102"/>
      <c r="AK295" s="102"/>
      <c r="AL295" s="102"/>
      <c r="AM295" s="102"/>
      <c r="AN295" s="102"/>
      <c r="AO295" s="102"/>
      <c r="AP295" s="102"/>
      <c r="AQ295" s="102"/>
      <c r="AR295" s="102"/>
      <c r="AS295" s="102"/>
      <c r="AT295" s="102"/>
      <c r="AU295" s="102"/>
      <c r="AV295" s="102"/>
      <c r="AW295" s="102"/>
      <c r="AY295" s="102"/>
      <c r="AZ295" s="102"/>
      <c r="BA295" s="102"/>
      <c r="BB295" s="102"/>
      <c r="BC295" s="102"/>
      <c r="BD295" s="102"/>
      <c r="BE295" s="102"/>
      <c r="BF295" s="102"/>
      <c r="BG295" s="102"/>
      <c r="BH295" s="102"/>
      <c r="BI295" s="102"/>
      <c r="BJ295" s="102"/>
      <c r="BK295" s="102"/>
      <c r="BL295" s="102"/>
      <c r="BM295" s="102"/>
      <c r="BN295" s="102"/>
    </row>
    <row r="296" spans="2:66" s="64" customFormat="1" ht="20.25" customHeight="1">
      <c r="B296" s="102"/>
      <c r="C296" s="102"/>
      <c r="D296" s="102"/>
      <c r="E296" s="102"/>
      <c r="F296" s="102"/>
      <c r="G296" s="102"/>
      <c r="H296" s="102"/>
      <c r="I296" s="102"/>
      <c r="J296" s="102"/>
      <c r="K296" s="102"/>
      <c r="L296" s="102"/>
      <c r="M296" s="102"/>
      <c r="N296" s="102"/>
      <c r="O296" s="102"/>
      <c r="P296" s="102"/>
      <c r="Q296" s="102"/>
      <c r="R296" s="102"/>
      <c r="S296" s="102"/>
      <c r="T296" s="102"/>
      <c r="U296" s="102"/>
      <c r="V296" s="102"/>
      <c r="W296" s="102"/>
      <c r="X296" s="102"/>
      <c r="Y296" s="102"/>
      <c r="Z296" s="102"/>
      <c r="AA296" s="102"/>
      <c r="AB296" s="102"/>
      <c r="AC296" s="102"/>
      <c r="AD296" s="102"/>
      <c r="AE296" s="102"/>
      <c r="AF296" s="102"/>
      <c r="AG296" s="102"/>
      <c r="AH296" s="102"/>
      <c r="AI296" s="102"/>
      <c r="AJ296" s="102"/>
      <c r="AK296" s="102"/>
      <c r="AL296" s="102"/>
      <c r="AM296" s="102"/>
      <c r="AN296" s="102"/>
      <c r="AO296" s="102"/>
      <c r="AP296" s="102"/>
      <c r="AQ296" s="102"/>
      <c r="AR296" s="102"/>
      <c r="AS296" s="102"/>
      <c r="AT296" s="102"/>
      <c r="AU296" s="102"/>
      <c r="AV296" s="102"/>
      <c r="AW296" s="102"/>
      <c r="AY296" s="102"/>
      <c r="AZ296" s="102"/>
      <c r="BA296" s="102"/>
      <c r="BB296" s="102"/>
      <c r="BC296" s="102"/>
      <c r="BD296" s="102"/>
      <c r="BE296" s="102"/>
      <c r="BF296" s="102"/>
      <c r="BG296" s="102"/>
      <c r="BH296" s="102"/>
      <c r="BI296" s="102"/>
      <c r="BJ296" s="102"/>
      <c r="BK296" s="102"/>
      <c r="BL296" s="102"/>
      <c r="BM296" s="102"/>
      <c r="BN296" s="102"/>
    </row>
    <row r="297" spans="2:66" s="64" customFormat="1" ht="20.25" customHeight="1">
      <c r="B297" s="102"/>
      <c r="C297" s="102"/>
      <c r="D297" s="102"/>
      <c r="E297" s="102"/>
      <c r="F297" s="102"/>
      <c r="G297" s="102"/>
      <c r="H297" s="102"/>
      <c r="I297" s="102"/>
      <c r="J297" s="102"/>
      <c r="K297" s="102"/>
      <c r="L297" s="102"/>
      <c r="M297" s="102"/>
      <c r="N297" s="102"/>
      <c r="O297" s="102"/>
      <c r="P297" s="102"/>
      <c r="Q297" s="102"/>
      <c r="R297" s="102"/>
      <c r="S297" s="102"/>
      <c r="T297" s="102"/>
      <c r="U297" s="102"/>
      <c r="V297" s="102"/>
      <c r="W297" s="102"/>
      <c r="X297" s="102"/>
      <c r="Y297" s="102"/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102"/>
      <c r="AR297" s="102"/>
      <c r="AS297" s="102"/>
      <c r="AT297" s="102"/>
      <c r="AU297" s="102"/>
      <c r="AV297" s="102"/>
      <c r="AW297" s="102"/>
      <c r="AY297" s="102"/>
      <c r="AZ297" s="102"/>
      <c r="BA297" s="102"/>
      <c r="BB297" s="102"/>
      <c r="BC297" s="102"/>
      <c r="BD297" s="102"/>
      <c r="BE297" s="102"/>
      <c r="BF297" s="102"/>
      <c r="BG297" s="102"/>
      <c r="BH297" s="102"/>
      <c r="BI297" s="102"/>
      <c r="BJ297" s="102"/>
      <c r="BK297" s="102"/>
      <c r="BL297" s="102"/>
      <c r="BM297" s="102"/>
      <c r="BN297" s="102"/>
    </row>
    <row r="298" spans="2:66" s="64" customFormat="1" ht="20.25" customHeight="1">
      <c r="B298" s="102"/>
      <c r="C298" s="102"/>
      <c r="D298" s="102"/>
      <c r="E298" s="102"/>
      <c r="F298" s="102"/>
      <c r="G298" s="102"/>
      <c r="H298" s="102"/>
      <c r="I298" s="102"/>
      <c r="J298" s="102"/>
      <c r="K298" s="102"/>
      <c r="L298" s="102"/>
      <c r="M298" s="102"/>
      <c r="N298" s="102"/>
      <c r="O298" s="102"/>
      <c r="P298" s="102"/>
      <c r="Q298" s="102"/>
      <c r="R298" s="102"/>
      <c r="S298" s="102"/>
      <c r="T298" s="102"/>
      <c r="U298" s="102"/>
      <c r="V298" s="102"/>
      <c r="W298" s="102"/>
      <c r="X298" s="102"/>
      <c r="Y298" s="102"/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102"/>
      <c r="AR298" s="102"/>
      <c r="AS298" s="102"/>
      <c r="AT298" s="102"/>
      <c r="AU298" s="102"/>
      <c r="AV298" s="102"/>
      <c r="AW298" s="102"/>
      <c r="AY298" s="102"/>
      <c r="AZ298" s="102"/>
      <c r="BA298" s="102"/>
      <c r="BB298" s="102"/>
      <c r="BC298" s="102"/>
      <c r="BD298" s="102"/>
      <c r="BE298" s="102"/>
      <c r="BF298" s="102"/>
      <c r="BG298" s="102"/>
      <c r="BH298" s="102"/>
      <c r="BI298" s="102"/>
      <c r="BJ298" s="102"/>
      <c r="BK298" s="102"/>
      <c r="BL298" s="102"/>
      <c r="BM298" s="102"/>
      <c r="BN298" s="102"/>
    </row>
    <row r="299" spans="2:66" s="64" customFormat="1" ht="20.25" customHeight="1">
      <c r="B299" s="102"/>
      <c r="C299" s="102"/>
      <c r="D299" s="102"/>
      <c r="E299" s="102"/>
      <c r="F299" s="102"/>
      <c r="G299" s="102"/>
      <c r="H299" s="102"/>
      <c r="I299" s="102"/>
      <c r="J299" s="102"/>
      <c r="K299" s="102"/>
      <c r="L299" s="102"/>
      <c r="M299" s="102"/>
      <c r="N299" s="102"/>
      <c r="O299" s="102"/>
      <c r="P299" s="102"/>
      <c r="Q299" s="102"/>
      <c r="R299" s="102"/>
      <c r="S299" s="102"/>
      <c r="T299" s="102"/>
      <c r="U299" s="102"/>
      <c r="V299" s="102"/>
      <c r="W299" s="102"/>
      <c r="X299" s="102"/>
      <c r="Y299" s="102"/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102"/>
      <c r="AR299" s="102"/>
      <c r="AS299" s="102"/>
      <c r="AT299" s="102"/>
      <c r="AU299" s="102"/>
      <c r="AV299" s="102"/>
      <c r="AW299" s="102"/>
      <c r="AY299" s="102"/>
      <c r="AZ299" s="102"/>
      <c r="BA299" s="102"/>
      <c r="BB299" s="102"/>
      <c r="BC299" s="102"/>
      <c r="BD299" s="102"/>
      <c r="BE299" s="102"/>
      <c r="BF299" s="102"/>
      <c r="BG299" s="102"/>
      <c r="BH299" s="102"/>
      <c r="BI299" s="102"/>
      <c r="BJ299" s="102"/>
      <c r="BK299" s="102"/>
      <c r="BL299" s="102"/>
      <c r="BM299" s="102"/>
      <c r="BN299" s="102"/>
    </row>
    <row r="300" spans="2:66" s="64" customFormat="1" ht="20.25" customHeight="1">
      <c r="B300" s="102"/>
      <c r="C300" s="102"/>
      <c r="D300" s="102"/>
      <c r="E300" s="102"/>
      <c r="F300" s="102"/>
      <c r="G300" s="102"/>
      <c r="H300" s="102"/>
      <c r="I300" s="102"/>
      <c r="J300" s="102"/>
      <c r="K300" s="102"/>
      <c r="L300" s="102"/>
      <c r="M300" s="102"/>
      <c r="N300" s="102"/>
      <c r="O300" s="102"/>
      <c r="P300" s="102"/>
      <c r="Q300" s="102"/>
      <c r="R300" s="102"/>
      <c r="S300" s="102"/>
      <c r="T300" s="102"/>
      <c r="U300" s="102"/>
      <c r="V300" s="102"/>
      <c r="W300" s="102"/>
      <c r="X300" s="102"/>
      <c r="Y300" s="102"/>
      <c r="Z300" s="102"/>
      <c r="AA300" s="102"/>
      <c r="AB300" s="102"/>
      <c r="AC300" s="102"/>
      <c r="AD300" s="102"/>
      <c r="AE300" s="102"/>
      <c r="AF300" s="102"/>
      <c r="AG300" s="102"/>
      <c r="AH300" s="102"/>
      <c r="AI300" s="102"/>
      <c r="AJ300" s="102"/>
      <c r="AK300" s="102"/>
      <c r="AL300" s="102"/>
      <c r="AM300" s="102"/>
      <c r="AN300" s="102"/>
      <c r="AO300" s="102"/>
      <c r="AP300" s="102"/>
      <c r="AQ300" s="102"/>
      <c r="AR300" s="102"/>
      <c r="AS300" s="102"/>
      <c r="AT300" s="102"/>
      <c r="AU300" s="102"/>
      <c r="AV300" s="102"/>
      <c r="AW300" s="102"/>
      <c r="AY300" s="102"/>
      <c r="AZ300" s="102"/>
      <c r="BA300" s="102"/>
      <c r="BB300" s="102"/>
      <c r="BC300" s="102"/>
      <c r="BD300" s="102"/>
      <c r="BE300" s="102"/>
      <c r="BF300" s="102"/>
      <c r="BG300" s="102"/>
      <c r="BH300" s="102"/>
      <c r="BI300" s="102"/>
      <c r="BJ300" s="102"/>
      <c r="BK300" s="102"/>
      <c r="BL300" s="102"/>
      <c r="BM300" s="102"/>
      <c r="BN300" s="102"/>
    </row>
    <row r="301" spans="2:66" s="64" customFormat="1" ht="20.25" customHeight="1">
      <c r="B301" s="102"/>
      <c r="C301" s="102"/>
      <c r="D301" s="102"/>
      <c r="E301" s="102"/>
      <c r="F301" s="102"/>
      <c r="G301" s="102"/>
      <c r="H301" s="102"/>
      <c r="I301" s="102"/>
      <c r="J301" s="102"/>
      <c r="K301" s="102"/>
      <c r="L301" s="102"/>
      <c r="M301" s="102"/>
      <c r="N301" s="102"/>
      <c r="O301" s="102"/>
      <c r="P301" s="102"/>
      <c r="Q301" s="102"/>
      <c r="R301" s="102"/>
      <c r="S301" s="102"/>
      <c r="T301" s="102"/>
      <c r="U301" s="102"/>
      <c r="V301" s="102"/>
      <c r="W301" s="102"/>
      <c r="X301" s="102"/>
      <c r="Y301" s="102"/>
      <c r="Z301" s="102"/>
      <c r="AA301" s="102"/>
      <c r="AB301" s="102"/>
      <c r="AC301" s="102"/>
      <c r="AD301" s="102"/>
      <c r="AE301" s="102"/>
      <c r="AF301" s="102"/>
      <c r="AG301" s="102"/>
      <c r="AH301" s="102"/>
      <c r="AI301" s="102"/>
      <c r="AJ301" s="102"/>
      <c r="AK301" s="102"/>
      <c r="AL301" s="102"/>
      <c r="AM301" s="102"/>
      <c r="AN301" s="102"/>
      <c r="AO301" s="102"/>
      <c r="AP301" s="102"/>
      <c r="AQ301" s="102"/>
      <c r="AR301" s="102"/>
      <c r="AS301" s="102"/>
      <c r="AT301" s="102"/>
      <c r="AU301" s="102"/>
      <c r="AV301" s="102"/>
      <c r="AW301" s="102"/>
      <c r="AY301" s="102"/>
      <c r="AZ301" s="102"/>
      <c r="BA301" s="102"/>
      <c r="BB301" s="102"/>
      <c r="BC301" s="102"/>
      <c r="BD301" s="102"/>
      <c r="BE301" s="102"/>
      <c r="BF301" s="102"/>
      <c r="BG301" s="102"/>
      <c r="BH301" s="102"/>
      <c r="BI301" s="102"/>
      <c r="BJ301" s="102"/>
      <c r="BK301" s="102"/>
      <c r="BL301" s="102"/>
      <c r="BM301" s="102"/>
      <c r="BN301" s="102"/>
    </row>
    <row r="302" spans="2:66" s="64" customFormat="1" ht="20.25" customHeight="1">
      <c r="B302" s="102"/>
      <c r="C302" s="102"/>
      <c r="D302" s="102"/>
      <c r="E302" s="102"/>
      <c r="F302" s="102"/>
      <c r="G302" s="102"/>
      <c r="H302" s="102"/>
      <c r="I302" s="102"/>
      <c r="J302" s="102"/>
      <c r="K302" s="102"/>
      <c r="L302" s="102"/>
      <c r="M302" s="102"/>
      <c r="N302" s="102"/>
      <c r="O302" s="102"/>
      <c r="P302" s="102"/>
      <c r="Q302" s="102"/>
      <c r="R302" s="102"/>
      <c r="S302" s="102"/>
      <c r="T302" s="102"/>
      <c r="U302" s="102"/>
      <c r="V302" s="102"/>
      <c r="W302" s="102"/>
      <c r="X302" s="102"/>
      <c r="Y302" s="102"/>
      <c r="Z302" s="102"/>
      <c r="AA302" s="102"/>
      <c r="AB302" s="102"/>
      <c r="AC302" s="102"/>
      <c r="AD302" s="102"/>
      <c r="AE302" s="102"/>
      <c r="AF302" s="102"/>
      <c r="AG302" s="102"/>
      <c r="AH302" s="102"/>
      <c r="AI302" s="102"/>
      <c r="AJ302" s="102"/>
      <c r="AK302" s="102"/>
      <c r="AL302" s="102"/>
      <c r="AM302" s="102"/>
      <c r="AN302" s="102"/>
      <c r="AO302" s="102"/>
      <c r="AP302" s="102"/>
      <c r="AQ302" s="102"/>
      <c r="AR302" s="102"/>
      <c r="AS302" s="102"/>
      <c r="AT302" s="102"/>
      <c r="AU302" s="102"/>
      <c r="AV302" s="102"/>
      <c r="AW302" s="102"/>
      <c r="AY302" s="102"/>
      <c r="AZ302" s="102"/>
      <c r="BA302" s="102"/>
      <c r="BB302" s="102"/>
      <c r="BC302" s="102"/>
      <c r="BD302" s="102"/>
      <c r="BE302" s="102"/>
      <c r="BF302" s="102"/>
      <c r="BG302" s="102"/>
      <c r="BH302" s="102"/>
      <c r="BI302" s="102"/>
      <c r="BJ302" s="102"/>
      <c r="BK302" s="102"/>
      <c r="BL302" s="102"/>
      <c r="BM302" s="102"/>
      <c r="BN302" s="102"/>
    </row>
    <row r="303" spans="2:66" s="64" customFormat="1" ht="20.25" customHeight="1">
      <c r="B303" s="102"/>
      <c r="C303" s="102"/>
      <c r="D303" s="102"/>
      <c r="E303" s="102"/>
      <c r="F303" s="102"/>
      <c r="G303" s="102"/>
      <c r="H303" s="102"/>
      <c r="I303" s="102"/>
      <c r="J303" s="102"/>
      <c r="K303" s="102"/>
      <c r="L303" s="102"/>
      <c r="M303" s="102"/>
      <c r="N303" s="102"/>
      <c r="O303" s="102"/>
      <c r="P303" s="102"/>
      <c r="Q303" s="102"/>
      <c r="R303" s="102"/>
      <c r="S303" s="102"/>
      <c r="T303" s="102"/>
      <c r="U303" s="102"/>
      <c r="V303" s="102"/>
      <c r="W303" s="102"/>
      <c r="X303" s="102"/>
      <c r="Y303" s="102"/>
      <c r="Z303" s="102"/>
      <c r="AA303" s="102"/>
      <c r="AB303" s="102"/>
      <c r="AC303" s="102"/>
      <c r="AD303" s="102"/>
      <c r="AE303" s="102"/>
      <c r="AF303" s="102"/>
      <c r="AG303" s="102"/>
      <c r="AH303" s="102"/>
      <c r="AI303" s="102"/>
      <c r="AJ303" s="102"/>
      <c r="AK303" s="102"/>
      <c r="AL303" s="102"/>
      <c r="AM303" s="102"/>
      <c r="AN303" s="102"/>
      <c r="AO303" s="102"/>
      <c r="AP303" s="102"/>
      <c r="AQ303" s="102"/>
      <c r="AR303" s="102"/>
      <c r="AS303" s="102"/>
      <c r="AT303" s="102"/>
      <c r="AU303" s="102"/>
      <c r="AV303" s="102"/>
      <c r="AW303" s="102"/>
      <c r="AY303" s="102"/>
      <c r="AZ303" s="102"/>
      <c r="BA303" s="102"/>
      <c r="BB303" s="102"/>
      <c r="BC303" s="102"/>
      <c r="BD303" s="102"/>
      <c r="BE303" s="102"/>
      <c r="BF303" s="102"/>
      <c r="BG303" s="102"/>
      <c r="BH303" s="102"/>
      <c r="BI303" s="102"/>
      <c r="BJ303" s="102"/>
      <c r="BK303" s="102"/>
      <c r="BL303" s="102"/>
      <c r="BM303" s="102"/>
      <c r="BN303" s="102"/>
    </row>
    <row r="304" spans="2:66" s="64" customFormat="1" ht="20.25" customHeight="1">
      <c r="B304" s="102"/>
      <c r="C304" s="102"/>
      <c r="D304" s="102"/>
      <c r="E304" s="102"/>
      <c r="F304" s="102"/>
      <c r="G304" s="102"/>
      <c r="H304" s="102"/>
      <c r="I304" s="102"/>
      <c r="J304" s="102"/>
      <c r="K304" s="102"/>
      <c r="L304" s="102"/>
      <c r="M304" s="102"/>
      <c r="N304" s="102"/>
      <c r="O304" s="102"/>
      <c r="P304" s="102"/>
      <c r="Q304" s="102"/>
      <c r="R304" s="102"/>
      <c r="S304" s="102"/>
      <c r="T304" s="102"/>
      <c r="U304" s="102"/>
      <c r="V304" s="102"/>
      <c r="W304" s="102"/>
      <c r="X304" s="102"/>
      <c r="Y304" s="102"/>
      <c r="Z304" s="102"/>
      <c r="AA304" s="102"/>
      <c r="AB304" s="102"/>
      <c r="AC304" s="102"/>
      <c r="AD304" s="102"/>
      <c r="AE304" s="102"/>
      <c r="AF304" s="102"/>
      <c r="AG304" s="102"/>
      <c r="AH304" s="102"/>
      <c r="AI304" s="102"/>
      <c r="AJ304" s="102"/>
      <c r="AK304" s="102"/>
      <c r="AL304" s="102"/>
      <c r="AM304" s="102"/>
      <c r="AN304" s="102"/>
      <c r="AO304" s="102"/>
      <c r="AP304" s="102"/>
      <c r="AQ304" s="102"/>
      <c r="AR304" s="102"/>
      <c r="AS304" s="102"/>
      <c r="AT304" s="102"/>
      <c r="AU304" s="102"/>
      <c r="AV304" s="102"/>
      <c r="AW304" s="102"/>
      <c r="AY304" s="102"/>
      <c r="AZ304" s="102"/>
      <c r="BA304" s="102"/>
      <c r="BB304" s="102"/>
      <c r="BC304" s="102"/>
      <c r="BD304" s="102"/>
      <c r="BE304" s="102"/>
      <c r="BF304" s="102"/>
      <c r="BG304" s="102"/>
      <c r="BH304" s="102"/>
      <c r="BI304" s="102"/>
      <c r="BJ304" s="102"/>
      <c r="BK304" s="102"/>
      <c r="BL304" s="102"/>
      <c r="BM304" s="102"/>
      <c r="BN304" s="102"/>
    </row>
    <row r="305" spans="2:66" s="64" customFormat="1" ht="20.25" customHeight="1">
      <c r="B305" s="102"/>
      <c r="C305" s="102"/>
      <c r="D305" s="102"/>
      <c r="E305" s="102"/>
      <c r="F305" s="102"/>
      <c r="G305" s="102"/>
      <c r="H305" s="102"/>
      <c r="I305" s="102"/>
      <c r="J305" s="102"/>
      <c r="K305" s="102"/>
      <c r="L305" s="102"/>
      <c r="M305" s="102"/>
      <c r="N305" s="102"/>
      <c r="O305" s="102"/>
      <c r="P305" s="102"/>
      <c r="Q305" s="102"/>
      <c r="R305" s="102"/>
      <c r="S305" s="102"/>
      <c r="T305" s="102"/>
      <c r="U305" s="102"/>
      <c r="V305" s="102"/>
      <c r="W305" s="102"/>
      <c r="X305" s="102"/>
      <c r="Y305" s="102"/>
      <c r="Z305" s="102"/>
      <c r="AA305" s="102"/>
      <c r="AB305" s="102"/>
      <c r="AC305" s="102"/>
      <c r="AD305" s="102"/>
      <c r="AE305" s="102"/>
      <c r="AF305" s="102"/>
      <c r="AG305" s="102"/>
      <c r="AH305" s="102"/>
      <c r="AI305" s="102"/>
      <c r="AJ305" s="102"/>
      <c r="AK305" s="102"/>
      <c r="AL305" s="102"/>
      <c r="AM305" s="102"/>
      <c r="AN305" s="102"/>
      <c r="AO305" s="102"/>
      <c r="AP305" s="102"/>
      <c r="AQ305" s="102"/>
      <c r="AR305" s="102"/>
      <c r="AS305" s="102"/>
      <c r="AT305" s="102"/>
      <c r="AU305" s="102"/>
      <c r="AV305" s="102"/>
      <c r="AW305" s="102"/>
      <c r="AY305" s="102"/>
      <c r="AZ305" s="102"/>
      <c r="BA305" s="102"/>
      <c r="BB305" s="102"/>
      <c r="BC305" s="102"/>
      <c r="BD305" s="102"/>
      <c r="BE305" s="102"/>
      <c r="BF305" s="102"/>
      <c r="BG305" s="102"/>
      <c r="BH305" s="102"/>
      <c r="BI305" s="102"/>
      <c r="BJ305" s="102"/>
      <c r="BK305" s="102"/>
      <c r="BL305" s="102"/>
      <c r="BM305" s="102"/>
      <c r="BN305" s="102"/>
    </row>
    <row r="306" spans="2:66" s="64" customFormat="1" ht="20.25" customHeight="1">
      <c r="B306" s="102"/>
      <c r="C306" s="102"/>
      <c r="D306" s="102"/>
      <c r="E306" s="102"/>
      <c r="F306" s="102"/>
      <c r="G306" s="102"/>
      <c r="H306" s="102"/>
      <c r="I306" s="102"/>
      <c r="J306" s="102"/>
      <c r="K306" s="102"/>
      <c r="L306" s="102"/>
      <c r="M306" s="102"/>
      <c r="N306" s="102"/>
      <c r="O306" s="102"/>
      <c r="P306" s="102"/>
      <c r="Q306" s="102"/>
      <c r="R306" s="102"/>
      <c r="S306" s="102"/>
      <c r="T306" s="102"/>
      <c r="U306" s="102"/>
      <c r="V306" s="102"/>
      <c r="W306" s="102"/>
      <c r="X306" s="102"/>
      <c r="Y306" s="102"/>
      <c r="Z306" s="102"/>
      <c r="AA306" s="102"/>
      <c r="AB306" s="102"/>
      <c r="AC306" s="102"/>
      <c r="AD306" s="102"/>
      <c r="AE306" s="102"/>
      <c r="AF306" s="102"/>
      <c r="AG306" s="102"/>
      <c r="AH306" s="102"/>
      <c r="AI306" s="102"/>
      <c r="AJ306" s="102"/>
      <c r="AK306" s="102"/>
      <c r="AL306" s="102"/>
      <c r="AM306" s="102"/>
      <c r="AN306" s="102"/>
      <c r="AO306" s="102"/>
      <c r="AP306" s="102"/>
      <c r="AQ306" s="102"/>
      <c r="AR306" s="102"/>
      <c r="AS306" s="102"/>
      <c r="AT306" s="102"/>
      <c r="AU306" s="102"/>
      <c r="AV306" s="102"/>
      <c r="AW306" s="102"/>
      <c r="AY306" s="102"/>
      <c r="AZ306" s="102"/>
      <c r="BA306" s="102"/>
      <c r="BB306" s="102"/>
      <c r="BC306" s="102"/>
      <c r="BD306" s="102"/>
      <c r="BE306" s="102"/>
      <c r="BF306" s="102"/>
      <c r="BG306" s="102"/>
      <c r="BH306" s="102"/>
      <c r="BI306" s="102"/>
      <c r="BJ306" s="102"/>
      <c r="BK306" s="102"/>
      <c r="BL306" s="102"/>
      <c r="BM306" s="102"/>
      <c r="BN306" s="102"/>
    </row>
    <row r="307" spans="2:66" s="64" customFormat="1" ht="20.25" customHeight="1">
      <c r="B307" s="102"/>
      <c r="C307" s="102"/>
      <c r="D307" s="102"/>
      <c r="E307" s="102"/>
      <c r="F307" s="102"/>
      <c r="G307" s="102"/>
      <c r="H307" s="102"/>
      <c r="I307" s="102"/>
      <c r="J307" s="102"/>
      <c r="K307" s="102"/>
      <c r="L307" s="102"/>
      <c r="M307" s="102"/>
      <c r="N307" s="102"/>
      <c r="O307" s="102"/>
      <c r="P307" s="102"/>
      <c r="Q307" s="102"/>
      <c r="R307" s="102"/>
      <c r="S307" s="102"/>
      <c r="T307" s="102"/>
      <c r="U307" s="102"/>
      <c r="V307" s="102"/>
      <c r="W307" s="102"/>
      <c r="X307" s="102"/>
      <c r="Y307" s="102"/>
      <c r="Z307" s="102"/>
      <c r="AA307" s="102"/>
      <c r="AB307" s="102"/>
      <c r="AC307" s="102"/>
      <c r="AD307" s="102"/>
      <c r="AE307" s="102"/>
      <c r="AF307" s="102"/>
      <c r="AG307" s="102"/>
      <c r="AH307" s="102"/>
      <c r="AI307" s="102"/>
      <c r="AJ307" s="102"/>
      <c r="AK307" s="102"/>
      <c r="AL307" s="102"/>
      <c r="AM307" s="102"/>
      <c r="AN307" s="102"/>
      <c r="AO307" s="102"/>
      <c r="AP307" s="102"/>
      <c r="AQ307" s="102"/>
      <c r="AR307" s="102"/>
      <c r="AS307" s="102"/>
      <c r="AT307" s="102"/>
      <c r="AU307" s="102"/>
      <c r="AV307" s="102"/>
      <c r="AW307" s="102"/>
      <c r="AY307" s="102"/>
      <c r="AZ307" s="102"/>
      <c r="BA307" s="102"/>
      <c r="BB307" s="102"/>
      <c r="BC307" s="102"/>
      <c r="BD307" s="102"/>
      <c r="BE307" s="102"/>
      <c r="BF307" s="102"/>
      <c r="BG307" s="102"/>
      <c r="BH307" s="102"/>
      <c r="BI307" s="102"/>
      <c r="BJ307" s="102"/>
      <c r="BK307" s="102"/>
      <c r="BL307" s="102"/>
      <c r="BM307" s="102"/>
      <c r="BN307" s="102"/>
    </row>
    <row r="308" spans="2:66" s="64" customFormat="1" ht="20.25" customHeight="1">
      <c r="B308" s="102"/>
      <c r="C308" s="102"/>
      <c r="D308" s="102"/>
      <c r="E308" s="102"/>
      <c r="F308" s="102"/>
      <c r="G308" s="102"/>
      <c r="H308" s="102"/>
      <c r="I308" s="102"/>
      <c r="J308" s="102"/>
      <c r="K308" s="102"/>
      <c r="L308" s="102"/>
      <c r="M308" s="102"/>
      <c r="N308" s="102"/>
      <c r="O308" s="102"/>
      <c r="P308" s="102"/>
      <c r="Q308" s="102"/>
      <c r="R308" s="102"/>
      <c r="S308" s="102"/>
      <c r="T308" s="102"/>
      <c r="U308" s="102"/>
      <c r="V308" s="102"/>
      <c r="W308" s="102"/>
      <c r="X308" s="102"/>
      <c r="Y308" s="102"/>
      <c r="Z308" s="102"/>
      <c r="AA308" s="102"/>
      <c r="AB308" s="102"/>
      <c r="AC308" s="102"/>
      <c r="AD308" s="102"/>
      <c r="AE308" s="102"/>
      <c r="AF308" s="102"/>
      <c r="AG308" s="102"/>
      <c r="AH308" s="102"/>
      <c r="AI308" s="102"/>
      <c r="AJ308" s="102"/>
      <c r="AK308" s="102"/>
      <c r="AL308" s="102"/>
      <c r="AM308" s="102"/>
      <c r="AN308" s="102"/>
      <c r="AO308" s="102"/>
      <c r="AP308" s="102"/>
      <c r="AQ308" s="102"/>
      <c r="AR308" s="102"/>
      <c r="AS308" s="102"/>
      <c r="AT308" s="102"/>
      <c r="AU308" s="102"/>
      <c r="AV308" s="102"/>
      <c r="AW308" s="102"/>
      <c r="AY308" s="102"/>
      <c r="AZ308" s="102"/>
      <c r="BA308" s="102"/>
      <c r="BB308" s="102"/>
      <c r="BC308" s="102"/>
      <c r="BD308" s="102"/>
      <c r="BE308" s="102"/>
      <c r="BF308" s="102"/>
      <c r="BG308" s="102"/>
      <c r="BH308" s="102"/>
      <c r="BI308" s="102"/>
      <c r="BJ308" s="102"/>
      <c r="BK308" s="102"/>
      <c r="BL308" s="102"/>
      <c r="BM308" s="102"/>
      <c r="BN308" s="102"/>
    </row>
    <row r="309" spans="2:66" s="64" customFormat="1" ht="20.25" customHeight="1">
      <c r="B309" s="102"/>
      <c r="C309" s="102"/>
      <c r="D309" s="102"/>
      <c r="E309" s="102"/>
      <c r="F309" s="102"/>
      <c r="G309" s="102"/>
      <c r="H309" s="102"/>
      <c r="I309" s="102"/>
      <c r="J309" s="102"/>
      <c r="K309" s="102"/>
      <c r="L309" s="102"/>
      <c r="M309" s="102"/>
      <c r="N309" s="102"/>
      <c r="O309" s="102"/>
      <c r="P309" s="102"/>
      <c r="Q309" s="102"/>
      <c r="R309" s="102"/>
      <c r="S309" s="102"/>
      <c r="T309" s="102"/>
      <c r="U309" s="102"/>
      <c r="V309" s="102"/>
      <c r="W309" s="102"/>
      <c r="X309" s="102"/>
      <c r="Y309" s="102"/>
      <c r="Z309" s="102"/>
      <c r="AA309" s="102"/>
      <c r="AB309" s="102"/>
      <c r="AC309" s="102"/>
      <c r="AD309" s="102"/>
      <c r="AE309" s="102"/>
      <c r="AF309" s="102"/>
      <c r="AG309" s="102"/>
      <c r="AH309" s="102"/>
      <c r="AI309" s="102"/>
      <c r="AJ309" s="102"/>
      <c r="AK309" s="102"/>
      <c r="AL309" s="102"/>
      <c r="AM309" s="102"/>
      <c r="AN309" s="102"/>
      <c r="AO309" s="102"/>
      <c r="AP309" s="102"/>
      <c r="AQ309" s="102"/>
      <c r="AR309" s="102"/>
      <c r="AS309" s="102"/>
      <c r="AT309" s="102"/>
      <c r="AU309" s="102"/>
      <c r="AV309" s="102"/>
      <c r="AW309" s="102"/>
      <c r="AY309" s="102"/>
      <c r="AZ309" s="102"/>
      <c r="BA309" s="102"/>
      <c r="BB309" s="102"/>
      <c r="BC309" s="102"/>
      <c r="BD309" s="102"/>
      <c r="BE309" s="102"/>
      <c r="BF309" s="102"/>
      <c r="BG309" s="102"/>
      <c r="BH309" s="102"/>
      <c r="BI309" s="102"/>
      <c r="BJ309" s="102"/>
      <c r="BK309" s="102"/>
      <c r="BL309" s="102"/>
      <c r="BM309" s="102"/>
      <c r="BN309" s="102"/>
    </row>
    <row r="310" spans="2:66" s="64" customFormat="1" ht="20.25" customHeight="1">
      <c r="B310" s="102"/>
      <c r="C310" s="102"/>
      <c r="D310" s="102"/>
      <c r="E310" s="102"/>
      <c r="F310" s="102"/>
      <c r="G310" s="102"/>
      <c r="H310" s="102"/>
      <c r="I310" s="102"/>
      <c r="J310" s="102"/>
      <c r="K310" s="102"/>
      <c r="L310" s="102"/>
      <c r="M310" s="102"/>
      <c r="N310" s="102"/>
      <c r="O310" s="102"/>
      <c r="P310" s="102"/>
      <c r="Q310" s="102"/>
      <c r="R310" s="102"/>
      <c r="S310" s="102"/>
      <c r="T310" s="102"/>
      <c r="U310" s="102"/>
      <c r="V310" s="102"/>
      <c r="W310" s="102"/>
      <c r="X310" s="102"/>
      <c r="Y310" s="102"/>
      <c r="Z310" s="102"/>
      <c r="AA310" s="102"/>
      <c r="AB310" s="102"/>
      <c r="AC310" s="102"/>
      <c r="AD310" s="102"/>
      <c r="AE310" s="102"/>
      <c r="AF310" s="102"/>
      <c r="AG310" s="102"/>
      <c r="AH310" s="102"/>
      <c r="AI310" s="102"/>
      <c r="AJ310" s="102"/>
      <c r="AK310" s="102"/>
      <c r="AL310" s="102"/>
      <c r="AM310" s="102"/>
      <c r="AN310" s="102"/>
      <c r="AO310" s="102"/>
      <c r="AP310" s="102"/>
      <c r="AQ310" s="102"/>
      <c r="AR310" s="102"/>
      <c r="AS310" s="102"/>
      <c r="AT310" s="102"/>
      <c r="AU310" s="102"/>
      <c r="AV310" s="102"/>
      <c r="AW310" s="102"/>
      <c r="AY310" s="102"/>
      <c r="AZ310" s="102"/>
      <c r="BA310" s="102"/>
      <c r="BB310" s="102"/>
      <c r="BC310" s="102"/>
      <c r="BD310" s="102"/>
      <c r="BE310" s="102"/>
      <c r="BF310" s="102"/>
      <c r="BG310" s="102"/>
      <c r="BH310" s="102"/>
      <c r="BI310" s="102"/>
      <c r="BJ310" s="102"/>
      <c r="BK310" s="102"/>
      <c r="BL310" s="102"/>
      <c r="BM310" s="102"/>
      <c r="BN310" s="102"/>
    </row>
    <row r="311" spans="2:66" s="64" customFormat="1" ht="20.25" customHeight="1">
      <c r="B311" s="102"/>
      <c r="C311" s="102"/>
      <c r="D311" s="102"/>
      <c r="E311" s="102"/>
      <c r="F311" s="102"/>
      <c r="G311" s="102"/>
      <c r="H311" s="102"/>
      <c r="I311" s="102"/>
      <c r="J311" s="102"/>
      <c r="K311" s="102"/>
      <c r="L311" s="102"/>
      <c r="M311" s="102"/>
      <c r="N311" s="102"/>
      <c r="O311" s="102"/>
      <c r="P311" s="102"/>
      <c r="Q311" s="102"/>
      <c r="R311" s="102"/>
      <c r="S311" s="102"/>
      <c r="T311" s="102"/>
      <c r="U311" s="102"/>
      <c r="V311" s="102"/>
      <c r="W311" s="102"/>
      <c r="X311" s="102"/>
      <c r="Y311" s="102"/>
      <c r="Z311" s="102"/>
      <c r="AA311" s="102"/>
      <c r="AB311" s="102"/>
      <c r="AC311" s="102"/>
      <c r="AD311" s="102"/>
      <c r="AE311" s="102"/>
      <c r="AF311" s="102"/>
      <c r="AG311" s="102"/>
      <c r="AH311" s="102"/>
      <c r="AI311" s="102"/>
      <c r="AJ311" s="102"/>
      <c r="AK311" s="102"/>
      <c r="AL311" s="102"/>
      <c r="AM311" s="102"/>
      <c r="AN311" s="102"/>
      <c r="AO311" s="102"/>
      <c r="AP311" s="102"/>
      <c r="AQ311" s="102"/>
      <c r="AR311" s="102"/>
      <c r="AS311" s="102"/>
      <c r="AT311" s="102"/>
      <c r="AU311" s="102"/>
      <c r="AV311" s="102"/>
      <c r="AW311" s="102"/>
      <c r="AY311" s="102"/>
      <c r="AZ311" s="102"/>
      <c r="BA311" s="102"/>
      <c r="BB311" s="102"/>
      <c r="BC311" s="102"/>
      <c r="BD311" s="102"/>
      <c r="BE311" s="102"/>
      <c r="BF311" s="102"/>
      <c r="BG311" s="102"/>
      <c r="BH311" s="102"/>
      <c r="BI311" s="102"/>
      <c r="BJ311" s="102"/>
      <c r="BK311" s="102"/>
      <c r="BL311" s="102"/>
      <c r="BM311" s="102"/>
      <c r="BN311" s="102"/>
    </row>
    <row r="312" spans="2:66" s="64" customFormat="1" ht="20.25" customHeight="1">
      <c r="B312" s="102"/>
      <c r="C312" s="102"/>
      <c r="D312" s="102"/>
      <c r="E312" s="102"/>
      <c r="F312" s="102"/>
      <c r="G312" s="102"/>
      <c r="H312" s="102"/>
      <c r="I312" s="102"/>
      <c r="J312" s="102"/>
      <c r="K312" s="102"/>
      <c r="L312" s="102"/>
      <c r="M312" s="102"/>
      <c r="N312" s="102"/>
      <c r="O312" s="102"/>
      <c r="P312" s="102"/>
      <c r="Q312" s="102"/>
      <c r="R312" s="102"/>
      <c r="S312" s="102"/>
      <c r="T312" s="102"/>
      <c r="U312" s="102"/>
      <c r="V312" s="102"/>
      <c r="W312" s="102"/>
      <c r="X312" s="102"/>
      <c r="Y312" s="102"/>
      <c r="Z312" s="102"/>
      <c r="AA312" s="102"/>
      <c r="AB312" s="102"/>
      <c r="AC312" s="102"/>
      <c r="AD312" s="102"/>
      <c r="AE312" s="102"/>
      <c r="AF312" s="102"/>
      <c r="AG312" s="102"/>
      <c r="AH312" s="102"/>
      <c r="AI312" s="102"/>
      <c r="AJ312" s="102"/>
      <c r="AK312" s="102"/>
      <c r="AL312" s="102"/>
      <c r="AM312" s="102"/>
      <c r="AN312" s="102"/>
      <c r="AO312" s="102"/>
      <c r="AP312" s="102"/>
      <c r="AQ312" s="102"/>
      <c r="AR312" s="102"/>
      <c r="AS312" s="102"/>
      <c r="AT312" s="102"/>
      <c r="AU312" s="102"/>
      <c r="AV312" s="102"/>
      <c r="AW312" s="102"/>
      <c r="AY312" s="102"/>
      <c r="AZ312" s="102"/>
      <c r="BA312" s="102"/>
      <c r="BB312" s="102"/>
      <c r="BC312" s="102"/>
      <c r="BD312" s="102"/>
      <c r="BE312" s="102"/>
      <c r="BF312" s="102"/>
      <c r="BG312" s="102"/>
      <c r="BH312" s="102"/>
      <c r="BI312" s="102"/>
      <c r="BJ312" s="102"/>
      <c r="BK312" s="102"/>
      <c r="BL312" s="102"/>
      <c r="BM312" s="102"/>
      <c r="BN312" s="102"/>
    </row>
    <row r="313" spans="2:66" s="64" customFormat="1" ht="20.25" customHeight="1">
      <c r="B313" s="102"/>
      <c r="C313" s="102"/>
      <c r="D313" s="102"/>
      <c r="E313" s="102"/>
      <c r="F313" s="102"/>
      <c r="G313" s="102"/>
      <c r="H313" s="102"/>
      <c r="I313" s="102"/>
      <c r="J313" s="102"/>
      <c r="K313" s="102"/>
      <c r="L313" s="102"/>
      <c r="M313" s="102"/>
      <c r="N313" s="102"/>
      <c r="O313" s="102"/>
      <c r="P313" s="102"/>
      <c r="Q313" s="102"/>
      <c r="R313" s="102"/>
      <c r="S313" s="102"/>
      <c r="T313" s="102"/>
      <c r="U313" s="102"/>
      <c r="V313" s="102"/>
      <c r="W313" s="102"/>
      <c r="X313" s="102"/>
      <c r="Y313" s="102"/>
      <c r="Z313" s="102"/>
      <c r="AA313" s="102"/>
      <c r="AB313" s="102"/>
      <c r="AC313" s="102"/>
      <c r="AD313" s="102"/>
      <c r="AE313" s="102"/>
      <c r="AF313" s="102"/>
      <c r="AG313" s="102"/>
      <c r="AH313" s="102"/>
      <c r="AI313" s="102"/>
      <c r="AJ313" s="102"/>
      <c r="AK313" s="102"/>
      <c r="AL313" s="102"/>
      <c r="AM313" s="102"/>
      <c r="AN313" s="102"/>
      <c r="AO313" s="102"/>
      <c r="AP313" s="102"/>
      <c r="AQ313" s="102"/>
      <c r="AR313" s="102"/>
      <c r="AS313" s="102"/>
      <c r="AT313" s="102"/>
      <c r="AU313" s="102"/>
      <c r="AV313" s="102"/>
      <c r="AW313" s="102"/>
      <c r="AY313" s="102"/>
      <c r="AZ313" s="102"/>
      <c r="BA313" s="102"/>
      <c r="BB313" s="102"/>
      <c r="BC313" s="102"/>
      <c r="BD313" s="102"/>
      <c r="BE313" s="102"/>
      <c r="BF313" s="102"/>
      <c r="BG313" s="102"/>
      <c r="BH313" s="102"/>
      <c r="BI313" s="102"/>
      <c r="BJ313" s="102"/>
      <c r="BK313" s="102"/>
      <c r="BL313" s="102"/>
      <c r="BM313" s="102"/>
      <c r="BN313" s="102"/>
    </row>
    <row r="314" spans="2:66" s="64" customFormat="1" ht="20.25" customHeight="1">
      <c r="B314" s="102"/>
      <c r="C314" s="102"/>
      <c r="D314" s="102"/>
      <c r="E314" s="102"/>
      <c r="F314" s="102"/>
      <c r="G314" s="102"/>
      <c r="H314" s="102"/>
      <c r="I314" s="102"/>
      <c r="J314" s="102"/>
      <c r="K314" s="102"/>
      <c r="L314" s="102"/>
      <c r="M314" s="102"/>
      <c r="N314" s="102"/>
      <c r="O314" s="102"/>
      <c r="P314" s="102"/>
      <c r="Q314" s="102"/>
      <c r="R314" s="102"/>
      <c r="S314" s="102"/>
      <c r="T314" s="102"/>
      <c r="U314" s="102"/>
      <c r="V314" s="102"/>
      <c r="W314" s="102"/>
      <c r="X314" s="102"/>
      <c r="Y314" s="102"/>
      <c r="Z314" s="102"/>
      <c r="AA314" s="102"/>
      <c r="AB314" s="102"/>
      <c r="AC314" s="102"/>
      <c r="AD314" s="102"/>
      <c r="AE314" s="102"/>
      <c r="AF314" s="102"/>
      <c r="AG314" s="102"/>
      <c r="AH314" s="102"/>
      <c r="AI314" s="102"/>
      <c r="AJ314" s="102"/>
      <c r="AK314" s="102"/>
      <c r="AL314" s="102"/>
      <c r="AM314" s="102"/>
      <c r="AN314" s="102"/>
      <c r="AO314" s="102"/>
      <c r="AP314" s="102"/>
      <c r="AQ314" s="102"/>
      <c r="AR314" s="102"/>
      <c r="AS314" s="102"/>
      <c r="AT314" s="102"/>
      <c r="AU314" s="102"/>
      <c r="AV314" s="102"/>
      <c r="AW314" s="102"/>
      <c r="AY314" s="102"/>
      <c r="AZ314" s="102"/>
      <c r="BA314" s="102"/>
      <c r="BB314" s="102"/>
      <c r="BC314" s="102"/>
      <c r="BD314" s="102"/>
      <c r="BE314" s="102"/>
      <c r="BF314" s="102"/>
      <c r="BG314" s="102"/>
      <c r="BH314" s="102"/>
      <c r="BI314" s="102"/>
      <c r="BJ314" s="102"/>
      <c r="BK314" s="102"/>
      <c r="BL314" s="102"/>
      <c r="BM314" s="102"/>
      <c r="BN314" s="102"/>
    </row>
    <row r="315" spans="2:66" s="64" customFormat="1" ht="20.25" customHeight="1">
      <c r="B315" s="102"/>
      <c r="C315" s="102"/>
      <c r="D315" s="102"/>
      <c r="E315" s="102"/>
      <c r="F315" s="102"/>
      <c r="G315" s="102"/>
      <c r="H315" s="102"/>
      <c r="I315" s="102"/>
      <c r="J315" s="102"/>
      <c r="K315" s="102"/>
      <c r="L315" s="102"/>
      <c r="M315" s="102"/>
      <c r="N315" s="102"/>
      <c r="O315" s="102"/>
      <c r="P315" s="102"/>
      <c r="Q315" s="102"/>
      <c r="R315" s="102"/>
      <c r="S315" s="102"/>
      <c r="T315" s="102"/>
      <c r="U315" s="102"/>
      <c r="V315" s="102"/>
      <c r="W315" s="102"/>
      <c r="X315" s="102"/>
      <c r="Y315" s="102"/>
      <c r="Z315" s="102"/>
      <c r="AA315" s="102"/>
      <c r="AB315" s="102"/>
      <c r="AC315" s="102"/>
      <c r="AD315" s="102"/>
      <c r="AE315" s="102"/>
      <c r="AF315" s="102"/>
      <c r="AG315" s="102"/>
      <c r="AH315" s="102"/>
      <c r="AI315" s="102"/>
      <c r="AJ315" s="102"/>
      <c r="AK315" s="102"/>
      <c r="AL315" s="102"/>
      <c r="AM315" s="102"/>
      <c r="AN315" s="102"/>
      <c r="AO315" s="102"/>
      <c r="AP315" s="102"/>
      <c r="AQ315" s="102"/>
      <c r="AR315" s="102"/>
      <c r="AS315" s="102"/>
      <c r="AT315" s="102"/>
      <c r="AU315" s="102"/>
      <c r="AV315" s="102"/>
      <c r="AW315" s="102"/>
      <c r="AY315" s="102"/>
      <c r="AZ315" s="102"/>
      <c r="BA315" s="102"/>
      <c r="BB315" s="102"/>
      <c r="BC315" s="102"/>
      <c r="BD315" s="102"/>
      <c r="BE315" s="102"/>
      <c r="BF315" s="102"/>
      <c r="BG315" s="102"/>
      <c r="BH315" s="102"/>
      <c r="BI315" s="102"/>
      <c r="BJ315" s="102"/>
      <c r="BK315" s="102"/>
      <c r="BL315" s="102"/>
      <c r="BM315" s="102"/>
      <c r="BN315" s="102"/>
    </row>
    <row r="316" spans="2:66" s="64" customFormat="1" ht="20.25" customHeight="1">
      <c r="B316" s="102"/>
      <c r="C316" s="102"/>
      <c r="D316" s="102"/>
      <c r="E316" s="102"/>
      <c r="F316" s="102"/>
      <c r="G316" s="102"/>
      <c r="H316" s="102"/>
      <c r="I316" s="102"/>
      <c r="J316" s="102"/>
      <c r="K316" s="102"/>
      <c r="L316" s="102"/>
      <c r="M316" s="102"/>
      <c r="N316" s="102"/>
      <c r="O316" s="102"/>
      <c r="P316" s="102"/>
      <c r="Q316" s="102"/>
      <c r="R316" s="102"/>
      <c r="S316" s="102"/>
      <c r="T316" s="102"/>
      <c r="U316" s="102"/>
      <c r="V316" s="102"/>
      <c r="W316" s="102"/>
      <c r="X316" s="102"/>
      <c r="Y316" s="102"/>
      <c r="Z316" s="102"/>
      <c r="AA316" s="102"/>
      <c r="AB316" s="102"/>
      <c r="AC316" s="102"/>
      <c r="AD316" s="102"/>
      <c r="AE316" s="102"/>
      <c r="AF316" s="102"/>
      <c r="AG316" s="102"/>
      <c r="AH316" s="102"/>
      <c r="AI316" s="102"/>
      <c r="AJ316" s="102"/>
      <c r="AK316" s="102"/>
      <c r="AL316" s="102"/>
      <c r="AM316" s="102"/>
      <c r="AN316" s="102"/>
      <c r="AO316" s="102"/>
      <c r="AP316" s="102"/>
      <c r="AQ316" s="102"/>
      <c r="AR316" s="102"/>
      <c r="AS316" s="102"/>
      <c r="AT316" s="102"/>
      <c r="AU316" s="102"/>
      <c r="AV316" s="102"/>
      <c r="AW316" s="102"/>
      <c r="AY316" s="102"/>
      <c r="AZ316" s="102"/>
      <c r="BA316" s="102"/>
      <c r="BB316" s="102"/>
      <c r="BC316" s="102"/>
      <c r="BD316" s="102"/>
      <c r="BE316" s="102"/>
      <c r="BF316" s="102"/>
      <c r="BG316" s="102"/>
      <c r="BH316" s="102"/>
      <c r="BI316" s="102"/>
      <c r="BJ316" s="102"/>
      <c r="BK316" s="102"/>
      <c r="BL316" s="102"/>
      <c r="BM316" s="102"/>
      <c r="BN316" s="102"/>
    </row>
    <row r="317" spans="2:66" s="64" customFormat="1" ht="20.25" customHeight="1">
      <c r="B317" s="102"/>
      <c r="C317" s="102"/>
      <c r="D317" s="102"/>
      <c r="E317" s="102"/>
      <c r="F317" s="102"/>
      <c r="G317" s="102"/>
      <c r="H317" s="102"/>
      <c r="I317" s="102"/>
      <c r="J317" s="102"/>
      <c r="K317" s="102"/>
      <c r="L317" s="102"/>
      <c r="M317" s="102"/>
      <c r="N317" s="102"/>
      <c r="O317" s="102"/>
      <c r="P317" s="102"/>
      <c r="Q317" s="102"/>
      <c r="R317" s="102"/>
      <c r="S317" s="102"/>
      <c r="T317" s="102"/>
      <c r="U317" s="102"/>
      <c r="V317" s="102"/>
      <c r="W317" s="102"/>
      <c r="X317" s="102"/>
      <c r="Y317" s="102"/>
      <c r="Z317" s="102"/>
      <c r="AA317" s="102"/>
      <c r="AB317" s="102"/>
      <c r="AC317" s="102"/>
      <c r="AD317" s="102"/>
      <c r="AE317" s="102"/>
      <c r="AF317" s="102"/>
      <c r="AG317" s="102"/>
      <c r="AH317" s="102"/>
      <c r="AI317" s="102"/>
      <c r="AJ317" s="102"/>
      <c r="AK317" s="102"/>
      <c r="AL317" s="102"/>
      <c r="AM317" s="102"/>
      <c r="AN317" s="102"/>
      <c r="AO317" s="102"/>
      <c r="AP317" s="102"/>
      <c r="AQ317" s="102"/>
      <c r="AR317" s="102"/>
      <c r="AS317" s="102"/>
      <c r="AT317" s="102"/>
      <c r="AU317" s="102"/>
      <c r="AV317" s="102"/>
      <c r="AW317" s="102"/>
      <c r="AY317" s="102"/>
      <c r="AZ317" s="102"/>
      <c r="BA317" s="102"/>
      <c r="BB317" s="102"/>
      <c r="BC317" s="102"/>
      <c r="BD317" s="102"/>
      <c r="BE317" s="102"/>
      <c r="BF317" s="102"/>
      <c r="BG317" s="102"/>
      <c r="BH317" s="102"/>
      <c r="BI317" s="102"/>
      <c r="BJ317" s="102"/>
      <c r="BK317" s="102"/>
      <c r="BL317" s="102"/>
      <c r="BM317" s="102"/>
      <c r="BN317" s="102"/>
    </row>
    <row r="318" spans="2:66" s="64" customFormat="1" ht="20.25" customHeight="1">
      <c r="B318" s="102"/>
      <c r="C318" s="102"/>
      <c r="D318" s="102"/>
      <c r="E318" s="102"/>
      <c r="F318" s="102"/>
      <c r="G318" s="102"/>
      <c r="H318" s="102"/>
      <c r="I318" s="102"/>
      <c r="J318" s="102"/>
      <c r="K318" s="102"/>
      <c r="L318" s="102"/>
      <c r="M318" s="102"/>
      <c r="N318" s="102"/>
      <c r="O318" s="102"/>
      <c r="P318" s="102"/>
      <c r="Q318" s="102"/>
      <c r="R318" s="102"/>
      <c r="S318" s="102"/>
      <c r="T318" s="102"/>
      <c r="U318" s="102"/>
      <c r="V318" s="102"/>
      <c r="W318" s="102"/>
      <c r="X318" s="102"/>
      <c r="Y318" s="102"/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102"/>
      <c r="AR318" s="102"/>
      <c r="AS318" s="102"/>
      <c r="AT318" s="102"/>
      <c r="AU318" s="102"/>
      <c r="AV318" s="102"/>
      <c r="AW318" s="102"/>
      <c r="AY318" s="102"/>
      <c r="AZ318" s="102"/>
      <c r="BA318" s="102"/>
      <c r="BB318" s="102"/>
      <c r="BC318" s="102"/>
      <c r="BD318" s="102"/>
      <c r="BE318" s="102"/>
      <c r="BF318" s="102"/>
      <c r="BG318" s="102"/>
      <c r="BH318" s="102"/>
      <c r="BI318" s="102"/>
      <c r="BJ318" s="102"/>
      <c r="BK318" s="102"/>
      <c r="BL318" s="102"/>
      <c r="BM318" s="102"/>
      <c r="BN318" s="102"/>
    </row>
    <row r="319" spans="2:66" s="64" customFormat="1" ht="20.25" customHeight="1">
      <c r="B319" s="102"/>
      <c r="C319" s="102"/>
      <c r="D319" s="102"/>
      <c r="E319" s="102"/>
      <c r="F319" s="102"/>
      <c r="G319" s="102"/>
      <c r="H319" s="102"/>
      <c r="I319" s="102"/>
      <c r="J319" s="102"/>
      <c r="K319" s="102"/>
      <c r="L319" s="102"/>
      <c r="M319" s="102"/>
      <c r="N319" s="102"/>
      <c r="O319" s="102"/>
      <c r="P319" s="102"/>
      <c r="Q319" s="102"/>
      <c r="R319" s="102"/>
      <c r="S319" s="102"/>
      <c r="T319" s="102"/>
      <c r="U319" s="102"/>
      <c r="V319" s="102"/>
      <c r="W319" s="102"/>
      <c r="X319" s="102"/>
      <c r="Y319" s="102"/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102"/>
      <c r="AR319" s="102"/>
      <c r="AS319" s="102"/>
      <c r="AT319" s="102"/>
      <c r="AU319" s="102"/>
      <c r="AV319" s="102"/>
      <c r="AW319" s="102"/>
      <c r="AY319" s="102"/>
      <c r="AZ319" s="102"/>
      <c r="BA319" s="102"/>
      <c r="BB319" s="102"/>
      <c r="BC319" s="102"/>
      <c r="BD319" s="102"/>
      <c r="BE319" s="102"/>
      <c r="BF319" s="102"/>
      <c r="BG319" s="102"/>
      <c r="BH319" s="102"/>
      <c r="BI319" s="102"/>
      <c r="BJ319" s="102"/>
      <c r="BK319" s="102"/>
      <c r="BL319" s="102"/>
      <c r="BM319" s="102"/>
      <c r="BN319" s="102"/>
    </row>
    <row r="320" spans="2:66" s="64" customFormat="1" ht="20.25" customHeight="1">
      <c r="B320" s="102"/>
      <c r="C320" s="102"/>
      <c r="D320" s="102"/>
      <c r="E320" s="102"/>
      <c r="F320" s="102"/>
      <c r="G320" s="102"/>
      <c r="H320" s="102"/>
      <c r="I320" s="102"/>
      <c r="J320" s="102"/>
      <c r="K320" s="102"/>
      <c r="L320" s="102"/>
      <c r="M320" s="102"/>
      <c r="N320" s="102"/>
      <c r="O320" s="102"/>
      <c r="P320" s="102"/>
      <c r="Q320" s="102"/>
      <c r="R320" s="102"/>
      <c r="S320" s="102"/>
      <c r="T320" s="102"/>
      <c r="U320" s="102"/>
      <c r="V320" s="102"/>
      <c r="W320" s="102"/>
      <c r="X320" s="102"/>
      <c r="Y320" s="102"/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102"/>
      <c r="AR320" s="102"/>
      <c r="AS320" s="102"/>
      <c r="AT320" s="102"/>
      <c r="AU320" s="102"/>
      <c r="AV320" s="102"/>
      <c r="AW320" s="102"/>
      <c r="AY320" s="102"/>
      <c r="AZ320" s="102"/>
      <c r="BA320" s="102"/>
      <c r="BB320" s="102"/>
      <c r="BC320" s="102"/>
      <c r="BD320" s="102"/>
      <c r="BE320" s="102"/>
      <c r="BF320" s="102"/>
      <c r="BG320" s="102"/>
      <c r="BH320" s="102"/>
      <c r="BI320" s="102"/>
      <c r="BJ320" s="102"/>
      <c r="BK320" s="102"/>
      <c r="BL320" s="102"/>
      <c r="BM320" s="102"/>
      <c r="BN320" s="102"/>
    </row>
    <row r="321" spans="2:66" s="64" customFormat="1" ht="20.25" customHeight="1">
      <c r="B321" s="102"/>
      <c r="C321" s="102"/>
      <c r="D321" s="102"/>
      <c r="E321" s="102"/>
      <c r="F321" s="102"/>
      <c r="G321" s="102"/>
      <c r="H321" s="102"/>
      <c r="I321" s="102"/>
      <c r="J321" s="102"/>
      <c r="K321" s="102"/>
      <c r="L321" s="102"/>
      <c r="M321" s="102"/>
      <c r="N321" s="102"/>
      <c r="O321" s="102"/>
      <c r="P321" s="102"/>
      <c r="Q321" s="102"/>
      <c r="R321" s="102"/>
      <c r="S321" s="102"/>
      <c r="T321" s="102"/>
      <c r="U321" s="102"/>
      <c r="V321" s="102"/>
      <c r="W321" s="102"/>
      <c r="X321" s="102"/>
      <c r="Y321" s="102"/>
      <c r="Z321" s="102"/>
      <c r="AA321" s="102"/>
      <c r="AB321" s="102"/>
      <c r="AC321" s="102"/>
      <c r="AD321" s="102"/>
      <c r="AE321" s="102"/>
      <c r="AF321" s="102"/>
      <c r="AG321" s="102"/>
      <c r="AH321" s="102"/>
      <c r="AI321" s="102"/>
      <c r="AJ321" s="102"/>
      <c r="AK321" s="102"/>
      <c r="AL321" s="102"/>
      <c r="AM321" s="102"/>
      <c r="AN321" s="102"/>
      <c r="AO321" s="102"/>
      <c r="AP321" s="102"/>
      <c r="AQ321" s="102"/>
      <c r="AR321" s="102"/>
      <c r="AS321" s="102"/>
      <c r="AT321" s="102"/>
      <c r="AU321" s="102"/>
      <c r="AV321" s="102"/>
      <c r="AW321" s="102"/>
      <c r="AY321" s="102"/>
      <c r="AZ321" s="102"/>
      <c r="BA321" s="102"/>
      <c r="BB321" s="102"/>
      <c r="BC321" s="102"/>
      <c r="BD321" s="102"/>
      <c r="BE321" s="102"/>
      <c r="BF321" s="102"/>
      <c r="BG321" s="102"/>
      <c r="BH321" s="102"/>
      <c r="BI321" s="102"/>
      <c r="BJ321" s="102"/>
      <c r="BK321" s="102"/>
      <c r="BL321" s="102"/>
      <c r="BM321" s="102"/>
      <c r="BN321" s="102"/>
    </row>
    <row r="322" spans="2:66" s="64" customFormat="1" ht="20.25" customHeight="1">
      <c r="B322" s="102"/>
      <c r="C322" s="102"/>
      <c r="D322" s="102"/>
      <c r="E322" s="102"/>
      <c r="F322" s="102"/>
      <c r="G322" s="102"/>
      <c r="H322" s="102"/>
      <c r="I322" s="102"/>
      <c r="J322" s="102"/>
      <c r="K322" s="102"/>
      <c r="L322" s="102"/>
      <c r="M322" s="102"/>
      <c r="N322" s="102"/>
      <c r="O322" s="102"/>
      <c r="P322" s="102"/>
      <c r="Q322" s="102"/>
      <c r="R322" s="102"/>
      <c r="S322" s="102"/>
      <c r="T322" s="102"/>
      <c r="U322" s="102"/>
      <c r="V322" s="102"/>
      <c r="W322" s="102"/>
      <c r="X322" s="102"/>
      <c r="Y322" s="102"/>
      <c r="Z322" s="102"/>
      <c r="AA322" s="102"/>
      <c r="AB322" s="102"/>
      <c r="AC322" s="102"/>
      <c r="AD322" s="102"/>
      <c r="AE322" s="102"/>
      <c r="AF322" s="102"/>
      <c r="AG322" s="102"/>
      <c r="AH322" s="102"/>
      <c r="AI322" s="102"/>
      <c r="AJ322" s="102"/>
      <c r="AK322" s="102"/>
      <c r="AL322" s="102"/>
      <c r="AM322" s="102"/>
      <c r="AN322" s="102"/>
      <c r="AO322" s="102"/>
      <c r="AP322" s="102"/>
      <c r="AQ322" s="102"/>
      <c r="AR322" s="102"/>
      <c r="AS322" s="102"/>
      <c r="AT322" s="102"/>
      <c r="AU322" s="102"/>
      <c r="AV322" s="102"/>
      <c r="AW322" s="102"/>
      <c r="AY322" s="102"/>
      <c r="AZ322" s="102"/>
      <c r="BA322" s="102"/>
      <c r="BB322" s="102"/>
      <c r="BC322" s="102"/>
      <c r="BD322" s="102"/>
      <c r="BE322" s="102"/>
      <c r="BF322" s="102"/>
      <c r="BG322" s="102"/>
      <c r="BH322" s="102"/>
      <c r="BI322" s="102"/>
      <c r="BJ322" s="102"/>
      <c r="BK322" s="102"/>
      <c r="BL322" s="102"/>
      <c r="BM322" s="102"/>
      <c r="BN322" s="102"/>
    </row>
    <row r="323" spans="2:66" s="64" customFormat="1" ht="20.25" customHeight="1">
      <c r="B323" s="102"/>
      <c r="C323" s="102"/>
      <c r="D323" s="102"/>
      <c r="E323" s="102"/>
      <c r="F323" s="102"/>
      <c r="G323" s="102"/>
      <c r="H323" s="102"/>
      <c r="I323" s="102"/>
      <c r="J323" s="102"/>
      <c r="K323" s="102"/>
      <c r="L323" s="102"/>
      <c r="M323" s="102"/>
      <c r="N323" s="102"/>
      <c r="O323" s="102"/>
      <c r="P323" s="102"/>
      <c r="Q323" s="102"/>
      <c r="R323" s="102"/>
      <c r="S323" s="102"/>
      <c r="T323" s="102"/>
      <c r="U323" s="102"/>
      <c r="V323" s="102"/>
      <c r="W323" s="102"/>
      <c r="X323" s="102"/>
      <c r="Y323" s="102"/>
      <c r="Z323" s="102"/>
      <c r="AA323" s="102"/>
      <c r="AB323" s="102"/>
      <c r="AC323" s="102"/>
      <c r="AD323" s="102"/>
      <c r="AE323" s="102"/>
      <c r="AF323" s="102"/>
      <c r="AG323" s="102"/>
      <c r="AH323" s="102"/>
      <c r="AI323" s="102"/>
      <c r="AJ323" s="102"/>
      <c r="AK323" s="102"/>
      <c r="AL323" s="102"/>
      <c r="AM323" s="102"/>
      <c r="AN323" s="102"/>
      <c r="AO323" s="102"/>
      <c r="AP323" s="102"/>
      <c r="AQ323" s="102"/>
      <c r="AR323" s="102"/>
      <c r="AS323" s="102"/>
      <c r="AT323" s="102"/>
      <c r="AU323" s="102"/>
      <c r="AV323" s="102"/>
      <c r="AW323" s="102"/>
      <c r="AY323" s="102"/>
      <c r="AZ323" s="102"/>
      <c r="BA323" s="102"/>
      <c r="BB323" s="102"/>
      <c r="BC323" s="102"/>
      <c r="BD323" s="102"/>
      <c r="BE323" s="102"/>
      <c r="BF323" s="102"/>
      <c r="BG323" s="102"/>
      <c r="BH323" s="102"/>
      <c r="BI323" s="102"/>
      <c r="BJ323" s="102"/>
      <c r="BK323" s="102"/>
      <c r="BL323" s="102"/>
      <c r="BM323" s="102"/>
      <c r="BN323" s="102"/>
    </row>
    <row r="324" spans="2:66" s="64" customFormat="1" ht="20.25" customHeight="1">
      <c r="B324" s="102"/>
      <c r="C324" s="102"/>
      <c r="D324" s="102"/>
      <c r="E324" s="102"/>
      <c r="F324" s="102"/>
      <c r="G324" s="102"/>
      <c r="H324" s="102"/>
      <c r="I324" s="102"/>
      <c r="J324" s="102"/>
      <c r="K324" s="102"/>
      <c r="L324" s="102"/>
      <c r="M324" s="102"/>
      <c r="N324" s="102"/>
      <c r="O324" s="102"/>
      <c r="P324" s="102"/>
      <c r="Q324" s="102"/>
      <c r="R324" s="102"/>
      <c r="S324" s="102"/>
      <c r="T324" s="102"/>
      <c r="U324" s="102"/>
      <c r="V324" s="102"/>
      <c r="W324" s="102"/>
      <c r="X324" s="102"/>
      <c r="Y324" s="102"/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102"/>
      <c r="AR324" s="102"/>
      <c r="AS324" s="102"/>
      <c r="AT324" s="102"/>
      <c r="AU324" s="102"/>
      <c r="AV324" s="102"/>
      <c r="AW324" s="102"/>
      <c r="AY324" s="102"/>
      <c r="AZ324" s="102"/>
      <c r="BA324" s="102"/>
      <c r="BB324" s="102"/>
      <c r="BC324" s="102"/>
      <c r="BD324" s="102"/>
      <c r="BE324" s="102"/>
      <c r="BF324" s="102"/>
      <c r="BG324" s="102"/>
      <c r="BH324" s="102"/>
      <c r="BI324" s="102"/>
      <c r="BJ324" s="102"/>
      <c r="BK324" s="102"/>
      <c r="BL324" s="102"/>
      <c r="BM324" s="102"/>
      <c r="BN324" s="102"/>
    </row>
    <row r="325" spans="2:66" s="64" customFormat="1" ht="20.25" customHeight="1">
      <c r="B325" s="102"/>
      <c r="C325" s="102"/>
      <c r="D325" s="102"/>
      <c r="E325" s="102"/>
      <c r="F325" s="102"/>
      <c r="G325" s="102"/>
      <c r="H325" s="102"/>
      <c r="I325" s="102"/>
      <c r="J325" s="102"/>
      <c r="K325" s="102"/>
      <c r="L325" s="102"/>
      <c r="M325" s="102"/>
      <c r="N325" s="102"/>
      <c r="O325" s="102"/>
      <c r="P325" s="102"/>
      <c r="Q325" s="102"/>
      <c r="R325" s="102"/>
      <c r="S325" s="102"/>
      <c r="T325" s="102"/>
      <c r="U325" s="102"/>
      <c r="V325" s="102"/>
      <c r="W325" s="102"/>
      <c r="X325" s="102"/>
      <c r="Y325" s="102"/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102"/>
      <c r="AR325" s="102"/>
      <c r="AS325" s="102"/>
      <c r="AT325" s="102"/>
      <c r="AU325" s="102"/>
      <c r="AV325" s="102"/>
      <c r="AW325" s="102"/>
      <c r="AY325" s="102"/>
      <c r="AZ325" s="102"/>
      <c r="BA325" s="102"/>
      <c r="BB325" s="102"/>
      <c r="BC325" s="102"/>
      <c r="BD325" s="102"/>
      <c r="BE325" s="102"/>
      <c r="BF325" s="102"/>
      <c r="BG325" s="102"/>
      <c r="BH325" s="102"/>
      <c r="BI325" s="102"/>
      <c r="BJ325" s="102"/>
      <c r="BK325" s="102"/>
      <c r="BL325" s="102"/>
      <c r="BM325" s="102"/>
      <c r="BN325" s="102"/>
    </row>
    <row r="326" spans="2:66" s="64" customFormat="1" ht="20.25" customHeight="1">
      <c r="B326" s="102"/>
      <c r="C326" s="102"/>
      <c r="D326" s="102"/>
      <c r="E326" s="102"/>
      <c r="F326" s="102"/>
      <c r="G326" s="102"/>
      <c r="H326" s="102"/>
      <c r="I326" s="102"/>
      <c r="J326" s="102"/>
      <c r="K326" s="102"/>
      <c r="L326" s="102"/>
      <c r="M326" s="102"/>
      <c r="N326" s="102"/>
      <c r="O326" s="102"/>
      <c r="P326" s="102"/>
      <c r="Q326" s="102"/>
      <c r="R326" s="102"/>
      <c r="S326" s="102"/>
      <c r="T326" s="102"/>
      <c r="U326" s="102"/>
      <c r="V326" s="102"/>
      <c r="W326" s="102"/>
      <c r="X326" s="102"/>
      <c r="Y326" s="102"/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102"/>
      <c r="AR326" s="102"/>
      <c r="AS326" s="102"/>
      <c r="AT326" s="102"/>
      <c r="AU326" s="102"/>
      <c r="AV326" s="102"/>
      <c r="AW326" s="102"/>
      <c r="AY326" s="102"/>
      <c r="AZ326" s="102"/>
      <c r="BA326" s="102"/>
      <c r="BB326" s="102"/>
      <c r="BC326" s="102"/>
      <c r="BD326" s="102"/>
      <c r="BE326" s="102"/>
      <c r="BF326" s="102"/>
      <c r="BG326" s="102"/>
      <c r="BH326" s="102"/>
      <c r="BI326" s="102"/>
      <c r="BJ326" s="102"/>
      <c r="BK326" s="102"/>
      <c r="BL326" s="102"/>
      <c r="BM326" s="102"/>
      <c r="BN326" s="102"/>
    </row>
    <row r="327" spans="2:66" s="64" customFormat="1" ht="20.25" customHeight="1">
      <c r="B327" s="102"/>
      <c r="C327" s="102"/>
      <c r="D327" s="102"/>
      <c r="E327" s="102"/>
      <c r="F327" s="102"/>
      <c r="G327" s="102"/>
      <c r="H327" s="102"/>
      <c r="I327" s="102"/>
      <c r="J327" s="102"/>
      <c r="K327" s="102"/>
      <c r="L327" s="102"/>
      <c r="M327" s="102"/>
      <c r="N327" s="102"/>
      <c r="O327" s="102"/>
      <c r="P327" s="102"/>
      <c r="Q327" s="102"/>
      <c r="R327" s="102"/>
      <c r="S327" s="102"/>
      <c r="T327" s="102"/>
      <c r="U327" s="102"/>
      <c r="V327" s="102"/>
      <c r="W327" s="102"/>
      <c r="X327" s="102"/>
      <c r="Y327" s="102"/>
      <c r="Z327" s="102"/>
      <c r="AA327" s="102"/>
      <c r="AB327" s="102"/>
      <c r="AC327" s="102"/>
      <c r="AD327" s="102"/>
      <c r="AE327" s="102"/>
      <c r="AF327" s="102"/>
      <c r="AG327" s="102"/>
      <c r="AH327" s="102"/>
      <c r="AI327" s="102"/>
      <c r="AJ327" s="102"/>
      <c r="AK327" s="102"/>
      <c r="AL327" s="102"/>
      <c r="AM327" s="102"/>
      <c r="AN327" s="102"/>
      <c r="AO327" s="102"/>
      <c r="AP327" s="102"/>
      <c r="AQ327" s="102"/>
      <c r="AR327" s="102"/>
      <c r="AS327" s="102"/>
      <c r="AT327" s="102"/>
      <c r="AU327" s="102"/>
      <c r="AV327" s="102"/>
      <c r="AW327" s="102"/>
      <c r="AY327" s="102"/>
      <c r="AZ327" s="102"/>
      <c r="BA327" s="102"/>
      <c r="BB327" s="102"/>
      <c r="BC327" s="102"/>
      <c r="BD327" s="102"/>
      <c r="BE327" s="102"/>
      <c r="BF327" s="102"/>
      <c r="BG327" s="102"/>
      <c r="BH327" s="102"/>
      <c r="BI327" s="102"/>
      <c r="BJ327" s="102"/>
      <c r="BK327" s="102"/>
      <c r="BL327" s="102"/>
      <c r="BM327" s="102"/>
      <c r="BN327" s="102"/>
    </row>
    <row r="328" spans="2:66" s="64" customFormat="1" ht="20.25" customHeight="1">
      <c r="B328" s="102"/>
      <c r="C328" s="102"/>
      <c r="D328" s="102"/>
      <c r="E328" s="102"/>
      <c r="F328" s="102"/>
      <c r="G328" s="102"/>
      <c r="H328" s="102"/>
      <c r="I328" s="102"/>
      <c r="J328" s="102"/>
      <c r="K328" s="102"/>
      <c r="L328" s="102"/>
      <c r="M328" s="102"/>
      <c r="N328" s="102"/>
      <c r="O328" s="102"/>
      <c r="P328" s="102"/>
      <c r="Q328" s="102"/>
      <c r="R328" s="102"/>
      <c r="S328" s="102"/>
      <c r="T328" s="102"/>
      <c r="U328" s="102"/>
      <c r="V328" s="102"/>
      <c r="W328" s="102"/>
      <c r="X328" s="102"/>
      <c r="Y328" s="102"/>
      <c r="Z328" s="102"/>
      <c r="AA328" s="102"/>
      <c r="AB328" s="102"/>
      <c r="AC328" s="102"/>
      <c r="AD328" s="102"/>
      <c r="AE328" s="102"/>
      <c r="AF328" s="102"/>
      <c r="AG328" s="102"/>
      <c r="AH328" s="102"/>
      <c r="AI328" s="102"/>
      <c r="AJ328" s="102"/>
      <c r="AK328" s="102"/>
      <c r="AL328" s="102"/>
      <c r="AM328" s="102"/>
      <c r="AN328" s="102"/>
      <c r="AO328" s="102"/>
      <c r="AP328" s="102"/>
      <c r="AQ328" s="102"/>
      <c r="AR328" s="102"/>
      <c r="AS328" s="102"/>
      <c r="AT328" s="102"/>
      <c r="AU328" s="102"/>
      <c r="AV328" s="102"/>
      <c r="AW328" s="102"/>
      <c r="AY328" s="102"/>
      <c r="AZ328" s="102"/>
      <c r="BA328" s="102"/>
      <c r="BB328" s="102"/>
      <c r="BC328" s="102"/>
      <c r="BD328" s="102"/>
      <c r="BE328" s="102"/>
      <c r="BF328" s="102"/>
      <c r="BG328" s="102"/>
      <c r="BH328" s="102"/>
      <c r="BI328" s="102"/>
      <c r="BJ328" s="102"/>
      <c r="BK328" s="102"/>
      <c r="BL328" s="102"/>
      <c r="BM328" s="102"/>
      <c r="BN328" s="102"/>
    </row>
    <row r="329" spans="2:66" s="64" customFormat="1" ht="20.25" customHeight="1">
      <c r="B329" s="102"/>
      <c r="C329" s="102"/>
      <c r="D329" s="102"/>
      <c r="E329" s="102"/>
      <c r="F329" s="102"/>
      <c r="G329" s="102"/>
      <c r="H329" s="102"/>
      <c r="I329" s="102"/>
      <c r="J329" s="102"/>
      <c r="K329" s="102"/>
      <c r="L329" s="102"/>
      <c r="M329" s="102"/>
      <c r="N329" s="102"/>
      <c r="O329" s="102"/>
      <c r="P329" s="102"/>
      <c r="Q329" s="102"/>
      <c r="R329" s="102"/>
      <c r="S329" s="102"/>
      <c r="T329" s="102"/>
      <c r="U329" s="102"/>
      <c r="V329" s="102"/>
      <c r="W329" s="102"/>
      <c r="X329" s="102"/>
      <c r="Y329" s="102"/>
      <c r="Z329" s="102"/>
      <c r="AA329" s="102"/>
      <c r="AB329" s="102"/>
      <c r="AC329" s="102"/>
      <c r="AD329" s="102"/>
      <c r="AE329" s="102"/>
      <c r="AF329" s="102"/>
      <c r="AG329" s="102"/>
      <c r="AH329" s="102"/>
      <c r="AI329" s="102"/>
      <c r="AJ329" s="102"/>
      <c r="AK329" s="102"/>
      <c r="AL329" s="102"/>
      <c r="AM329" s="102"/>
      <c r="AN329" s="102"/>
      <c r="AO329" s="102"/>
      <c r="AP329" s="102"/>
      <c r="AQ329" s="102"/>
      <c r="AR329" s="102"/>
      <c r="AS329" s="102"/>
      <c r="AT329" s="102"/>
      <c r="AU329" s="102"/>
      <c r="AV329" s="102"/>
      <c r="AW329" s="102"/>
      <c r="AY329" s="102"/>
      <c r="AZ329" s="102"/>
      <c r="BA329" s="102"/>
      <c r="BB329" s="102"/>
      <c r="BC329" s="102"/>
      <c r="BD329" s="102"/>
      <c r="BE329" s="102"/>
      <c r="BF329" s="102"/>
      <c r="BG329" s="102"/>
      <c r="BH329" s="102"/>
      <c r="BI329" s="102"/>
      <c r="BJ329" s="102"/>
      <c r="BK329" s="102"/>
      <c r="BL329" s="102"/>
      <c r="BM329" s="102"/>
      <c r="BN329" s="102"/>
    </row>
    <row r="330" spans="2:66" s="64" customFormat="1" ht="20.25" customHeight="1">
      <c r="B330" s="102"/>
      <c r="C330" s="102"/>
      <c r="D330" s="102"/>
      <c r="E330" s="102"/>
      <c r="F330" s="102"/>
      <c r="G330" s="102"/>
      <c r="H330" s="102"/>
      <c r="I330" s="102"/>
      <c r="J330" s="102"/>
      <c r="K330" s="102"/>
      <c r="L330" s="102"/>
      <c r="M330" s="102"/>
      <c r="N330" s="102"/>
      <c r="O330" s="102"/>
      <c r="P330" s="102"/>
      <c r="Q330" s="102"/>
      <c r="R330" s="102"/>
      <c r="S330" s="102"/>
      <c r="T330" s="102"/>
      <c r="U330" s="102"/>
      <c r="V330" s="102"/>
      <c r="W330" s="102"/>
      <c r="X330" s="102"/>
      <c r="Y330" s="102"/>
      <c r="Z330" s="102"/>
      <c r="AA330" s="102"/>
      <c r="AB330" s="102"/>
      <c r="AC330" s="102"/>
      <c r="AD330" s="102"/>
      <c r="AE330" s="102"/>
      <c r="AF330" s="102"/>
      <c r="AG330" s="102"/>
      <c r="AH330" s="102"/>
      <c r="AI330" s="102"/>
      <c r="AJ330" s="102"/>
      <c r="AK330" s="102"/>
      <c r="AL330" s="102"/>
      <c r="AM330" s="102"/>
      <c r="AN330" s="102"/>
      <c r="AO330" s="102"/>
      <c r="AP330" s="102"/>
      <c r="AQ330" s="102"/>
      <c r="AR330" s="102"/>
      <c r="AS330" s="102"/>
      <c r="AT330" s="102"/>
      <c r="AU330" s="102"/>
      <c r="AV330" s="102"/>
      <c r="AW330" s="102"/>
      <c r="AY330" s="102"/>
      <c r="AZ330" s="102"/>
      <c r="BA330" s="102"/>
      <c r="BB330" s="102"/>
      <c r="BC330" s="102"/>
      <c r="BD330" s="102"/>
      <c r="BE330" s="102"/>
      <c r="BF330" s="102"/>
      <c r="BG330" s="102"/>
      <c r="BH330" s="102"/>
      <c r="BI330" s="102"/>
      <c r="BJ330" s="102"/>
      <c r="BK330" s="102"/>
      <c r="BL330" s="102"/>
      <c r="BM330" s="102"/>
      <c r="BN330" s="102"/>
    </row>
    <row r="331" spans="2:66" s="64" customFormat="1" ht="20.25" customHeight="1">
      <c r="B331" s="102"/>
      <c r="C331" s="102"/>
      <c r="D331" s="102"/>
      <c r="E331" s="102"/>
      <c r="F331" s="102"/>
      <c r="G331" s="102"/>
      <c r="H331" s="102"/>
      <c r="I331" s="102"/>
      <c r="J331" s="102"/>
      <c r="K331" s="102"/>
      <c r="L331" s="102"/>
      <c r="M331" s="102"/>
      <c r="N331" s="102"/>
      <c r="O331" s="102"/>
      <c r="P331" s="102"/>
      <c r="Q331" s="102"/>
      <c r="R331" s="102"/>
      <c r="S331" s="102"/>
      <c r="T331" s="102"/>
      <c r="U331" s="102"/>
      <c r="V331" s="102"/>
      <c r="W331" s="102"/>
      <c r="X331" s="102"/>
      <c r="Y331" s="102"/>
      <c r="Z331" s="102"/>
      <c r="AA331" s="102"/>
      <c r="AB331" s="102"/>
      <c r="AC331" s="102"/>
      <c r="AD331" s="102"/>
      <c r="AE331" s="102"/>
      <c r="AF331" s="102"/>
      <c r="AG331" s="102"/>
      <c r="AH331" s="102"/>
      <c r="AI331" s="102"/>
      <c r="AJ331" s="102"/>
      <c r="AK331" s="102"/>
      <c r="AL331" s="102"/>
      <c r="AM331" s="102"/>
      <c r="AN331" s="102"/>
      <c r="AO331" s="102"/>
      <c r="AP331" s="102"/>
      <c r="AQ331" s="102"/>
      <c r="AR331" s="102"/>
      <c r="AS331" s="102"/>
      <c r="AT331" s="102"/>
      <c r="AU331" s="102"/>
      <c r="AV331" s="102"/>
      <c r="AW331" s="102"/>
      <c r="AY331" s="102"/>
      <c r="AZ331" s="102"/>
      <c r="BA331" s="102"/>
      <c r="BB331" s="102"/>
      <c r="BC331" s="102"/>
      <c r="BD331" s="102"/>
      <c r="BE331" s="102"/>
      <c r="BF331" s="102"/>
      <c r="BG331" s="102"/>
      <c r="BH331" s="102"/>
      <c r="BI331" s="102"/>
      <c r="BJ331" s="102"/>
      <c r="BK331" s="102"/>
      <c r="BL331" s="102"/>
      <c r="BM331" s="102"/>
      <c r="BN331" s="102"/>
    </row>
    <row r="332" spans="2:66" s="64" customFormat="1" ht="20.25" customHeight="1">
      <c r="B332" s="102"/>
      <c r="C332" s="102"/>
      <c r="D332" s="102"/>
      <c r="E332" s="102"/>
      <c r="F332" s="102"/>
      <c r="G332" s="102"/>
      <c r="H332" s="102"/>
      <c r="I332" s="102"/>
      <c r="J332" s="102"/>
      <c r="K332" s="102"/>
      <c r="L332" s="102"/>
      <c r="M332" s="102"/>
      <c r="N332" s="102"/>
      <c r="O332" s="102"/>
      <c r="P332" s="102"/>
      <c r="Q332" s="102"/>
      <c r="R332" s="102"/>
      <c r="S332" s="102"/>
      <c r="T332" s="102"/>
      <c r="U332" s="102"/>
      <c r="V332" s="102"/>
      <c r="W332" s="102"/>
      <c r="X332" s="102"/>
      <c r="Y332" s="102"/>
      <c r="Z332" s="102"/>
      <c r="AA332" s="102"/>
      <c r="AB332" s="102"/>
      <c r="AC332" s="102"/>
      <c r="AD332" s="102"/>
      <c r="AE332" s="102"/>
      <c r="AF332" s="102"/>
      <c r="AG332" s="102"/>
      <c r="AH332" s="102"/>
      <c r="AI332" s="102"/>
      <c r="AJ332" s="102"/>
      <c r="AK332" s="102"/>
      <c r="AL332" s="102"/>
      <c r="AM332" s="102"/>
      <c r="AN332" s="102"/>
      <c r="AO332" s="102"/>
      <c r="AP332" s="102"/>
      <c r="AQ332" s="102"/>
      <c r="AR332" s="102"/>
      <c r="AS332" s="102"/>
      <c r="AT332" s="102"/>
      <c r="AU332" s="102"/>
      <c r="AV332" s="102"/>
      <c r="AW332" s="102"/>
      <c r="AY332" s="102"/>
      <c r="AZ332" s="102"/>
      <c r="BA332" s="102"/>
      <c r="BB332" s="102"/>
      <c r="BC332" s="102"/>
      <c r="BD332" s="102"/>
      <c r="BE332" s="102"/>
      <c r="BF332" s="102"/>
      <c r="BG332" s="102"/>
      <c r="BH332" s="102"/>
      <c r="BI332" s="102"/>
      <c r="BJ332" s="102"/>
      <c r="BK332" s="102"/>
      <c r="BL332" s="102"/>
      <c r="BM332" s="102"/>
      <c r="BN332" s="102"/>
    </row>
    <row r="333" spans="2:66" s="64" customFormat="1" ht="20.25" customHeight="1">
      <c r="B333" s="102"/>
      <c r="C333" s="102"/>
      <c r="D333" s="102"/>
      <c r="E333" s="102"/>
      <c r="F333" s="102"/>
      <c r="G333" s="102"/>
      <c r="H333" s="102"/>
      <c r="I333" s="102"/>
      <c r="J333" s="102"/>
      <c r="K333" s="102"/>
      <c r="L333" s="102"/>
      <c r="M333" s="102"/>
      <c r="N333" s="102"/>
      <c r="O333" s="102"/>
      <c r="P333" s="102"/>
      <c r="Q333" s="102"/>
      <c r="R333" s="102"/>
      <c r="S333" s="102"/>
      <c r="T333" s="102"/>
      <c r="U333" s="102"/>
      <c r="V333" s="102"/>
      <c r="W333" s="102"/>
      <c r="X333" s="102"/>
      <c r="Y333" s="102"/>
      <c r="Z333" s="102"/>
      <c r="AA333" s="102"/>
      <c r="AB333" s="102"/>
      <c r="AC333" s="102"/>
      <c r="AD333" s="102"/>
      <c r="AE333" s="102"/>
      <c r="AF333" s="102"/>
      <c r="AG333" s="102"/>
      <c r="AH333" s="102"/>
      <c r="AI333" s="102"/>
      <c r="AJ333" s="102"/>
      <c r="AK333" s="102"/>
      <c r="AL333" s="102"/>
      <c r="AM333" s="102"/>
      <c r="AN333" s="102"/>
      <c r="AO333" s="102"/>
      <c r="AP333" s="102"/>
      <c r="AQ333" s="102"/>
      <c r="AR333" s="102"/>
      <c r="AS333" s="102"/>
      <c r="AT333" s="102"/>
      <c r="AU333" s="102"/>
      <c r="AV333" s="102"/>
      <c r="AW333" s="102"/>
      <c r="AY333" s="102"/>
      <c r="AZ333" s="102"/>
      <c r="BA333" s="102"/>
      <c r="BB333" s="102"/>
      <c r="BC333" s="102"/>
      <c r="BD333" s="102"/>
      <c r="BE333" s="102"/>
      <c r="BF333" s="102"/>
      <c r="BG333" s="102"/>
      <c r="BH333" s="102"/>
      <c r="BI333" s="102"/>
      <c r="BJ333" s="102"/>
      <c r="BK333" s="102"/>
      <c r="BL333" s="102"/>
      <c r="BM333" s="102"/>
      <c r="BN333" s="102"/>
    </row>
    <row r="334" spans="2:66" s="64" customFormat="1" ht="20.25" customHeight="1">
      <c r="B334" s="102"/>
      <c r="C334" s="102"/>
      <c r="D334" s="102"/>
      <c r="E334" s="102"/>
      <c r="F334" s="102"/>
      <c r="G334" s="102"/>
      <c r="H334" s="102"/>
      <c r="I334" s="102"/>
      <c r="J334" s="102"/>
      <c r="K334" s="102"/>
      <c r="L334" s="102"/>
      <c r="M334" s="102"/>
      <c r="N334" s="102"/>
      <c r="O334" s="102"/>
      <c r="P334" s="102"/>
      <c r="Q334" s="102"/>
      <c r="R334" s="102"/>
      <c r="S334" s="102"/>
      <c r="T334" s="102"/>
      <c r="U334" s="102"/>
      <c r="V334" s="102"/>
      <c r="W334" s="102"/>
      <c r="X334" s="102"/>
      <c r="Y334" s="102"/>
      <c r="Z334" s="102"/>
      <c r="AA334" s="102"/>
      <c r="AB334" s="102"/>
      <c r="AC334" s="102"/>
      <c r="AD334" s="102"/>
      <c r="AE334" s="102"/>
      <c r="AF334" s="102"/>
      <c r="AG334" s="102"/>
      <c r="AH334" s="102"/>
      <c r="AI334" s="102"/>
      <c r="AJ334" s="102"/>
      <c r="AK334" s="102"/>
      <c r="AL334" s="102"/>
      <c r="AM334" s="102"/>
      <c r="AN334" s="102"/>
      <c r="AO334" s="102"/>
      <c r="AP334" s="102"/>
      <c r="AQ334" s="102"/>
      <c r="AR334" s="102"/>
      <c r="AS334" s="102"/>
      <c r="AT334" s="102"/>
      <c r="AU334" s="102"/>
      <c r="AV334" s="102"/>
      <c r="AW334" s="102"/>
      <c r="AY334" s="102"/>
      <c r="AZ334" s="102"/>
      <c r="BA334" s="102"/>
      <c r="BB334" s="102"/>
      <c r="BC334" s="102"/>
      <c r="BD334" s="102"/>
      <c r="BE334" s="102"/>
      <c r="BF334" s="102"/>
      <c r="BG334" s="102"/>
      <c r="BH334" s="102"/>
      <c r="BI334" s="102"/>
      <c r="BJ334" s="102"/>
      <c r="BK334" s="102"/>
      <c r="BL334" s="102"/>
      <c r="BM334" s="102"/>
      <c r="BN334" s="102"/>
    </row>
    <row r="335" spans="2:66" s="64" customFormat="1" ht="20.25" customHeight="1">
      <c r="B335" s="102"/>
      <c r="C335" s="102"/>
      <c r="D335" s="102"/>
      <c r="E335" s="102"/>
      <c r="F335" s="102"/>
      <c r="G335" s="102"/>
      <c r="H335" s="102"/>
      <c r="I335" s="102"/>
      <c r="J335" s="102"/>
      <c r="K335" s="102"/>
      <c r="L335" s="102"/>
      <c r="M335" s="102"/>
      <c r="N335" s="102"/>
      <c r="O335" s="102"/>
      <c r="P335" s="102"/>
      <c r="Q335" s="102"/>
      <c r="R335" s="102"/>
      <c r="S335" s="102"/>
      <c r="T335" s="102"/>
      <c r="U335" s="102"/>
      <c r="V335" s="102"/>
      <c r="W335" s="102"/>
      <c r="X335" s="102"/>
      <c r="Y335" s="102"/>
      <c r="Z335" s="102"/>
      <c r="AA335" s="102"/>
      <c r="AB335" s="102"/>
      <c r="AC335" s="102"/>
      <c r="AD335" s="102"/>
      <c r="AE335" s="102"/>
      <c r="AF335" s="102"/>
      <c r="AG335" s="102"/>
      <c r="AH335" s="102"/>
      <c r="AI335" s="102"/>
      <c r="AJ335" s="102"/>
      <c r="AK335" s="102"/>
      <c r="AL335" s="102"/>
      <c r="AM335" s="102"/>
      <c r="AN335" s="102"/>
      <c r="AO335" s="102"/>
      <c r="AP335" s="102"/>
      <c r="AQ335" s="102"/>
      <c r="AR335" s="102"/>
      <c r="AS335" s="102"/>
      <c r="AT335" s="102"/>
      <c r="AU335" s="102"/>
      <c r="AV335" s="102"/>
      <c r="AW335" s="102"/>
      <c r="AY335" s="102"/>
      <c r="AZ335" s="102"/>
      <c r="BA335" s="102"/>
      <c r="BB335" s="102"/>
      <c r="BC335" s="102"/>
      <c r="BD335" s="102"/>
      <c r="BE335" s="102"/>
      <c r="BF335" s="102"/>
      <c r="BG335" s="102"/>
      <c r="BH335" s="102"/>
      <c r="BI335" s="102"/>
      <c r="BJ335" s="102"/>
      <c r="BK335" s="102"/>
      <c r="BL335" s="102"/>
      <c r="BM335" s="102"/>
      <c r="BN335" s="102"/>
    </row>
    <row r="336" spans="2:66" s="64" customFormat="1" ht="20.25" customHeight="1">
      <c r="B336" s="102"/>
      <c r="C336" s="102"/>
      <c r="D336" s="102"/>
      <c r="E336" s="102"/>
      <c r="F336" s="102"/>
      <c r="G336" s="102"/>
      <c r="H336" s="102"/>
      <c r="I336" s="102"/>
      <c r="J336" s="102"/>
      <c r="K336" s="102"/>
      <c r="L336" s="102"/>
      <c r="M336" s="102"/>
      <c r="N336" s="102"/>
      <c r="O336" s="102"/>
      <c r="P336" s="102"/>
      <c r="Q336" s="102"/>
      <c r="R336" s="102"/>
      <c r="S336" s="102"/>
      <c r="T336" s="102"/>
      <c r="U336" s="102"/>
      <c r="V336" s="102"/>
      <c r="W336" s="102"/>
      <c r="X336" s="102"/>
      <c r="Y336" s="102"/>
      <c r="Z336" s="102"/>
      <c r="AA336" s="102"/>
      <c r="AB336" s="102"/>
      <c r="AC336" s="102"/>
      <c r="AD336" s="102"/>
      <c r="AE336" s="102"/>
      <c r="AF336" s="102"/>
      <c r="AG336" s="102"/>
      <c r="AH336" s="102"/>
      <c r="AI336" s="102"/>
      <c r="AJ336" s="102"/>
      <c r="AK336" s="102"/>
      <c r="AL336" s="102"/>
      <c r="AM336" s="102"/>
      <c r="AN336" s="102"/>
      <c r="AO336" s="102"/>
      <c r="AP336" s="102"/>
      <c r="AQ336" s="102"/>
      <c r="AR336" s="102"/>
      <c r="AS336" s="102"/>
      <c r="AT336" s="102"/>
      <c r="AU336" s="102"/>
      <c r="AV336" s="102"/>
      <c r="AW336" s="102"/>
      <c r="AY336" s="102"/>
      <c r="AZ336" s="102"/>
      <c r="BA336" s="102"/>
      <c r="BB336" s="102"/>
      <c r="BC336" s="102"/>
      <c r="BD336" s="102"/>
      <c r="BE336" s="102"/>
      <c r="BF336" s="102"/>
      <c r="BG336" s="102"/>
      <c r="BH336" s="102"/>
      <c r="BI336" s="102"/>
      <c r="BJ336" s="102"/>
      <c r="BK336" s="102"/>
      <c r="BL336" s="102"/>
      <c r="BM336" s="102"/>
      <c r="BN336" s="102"/>
    </row>
    <row r="337" spans="2:66" s="64" customFormat="1" ht="20.25" customHeight="1">
      <c r="B337" s="102"/>
      <c r="C337" s="102"/>
      <c r="D337" s="102"/>
      <c r="E337" s="102"/>
      <c r="F337" s="102"/>
      <c r="G337" s="102"/>
      <c r="H337" s="102"/>
      <c r="I337" s="102"/>
      <c r="J337" s="102"/>
      <c r="K337" s="102"/>
      <c r="L337" s="102"/>
      <c r="M337" s="102"/>
      <c r="N337" s="102"/>
      <c r="O337" s="102"/>
      <c r="P337" s="102"/>
      <c r="Q337" s="102"/>
      <c r="R337" s="102"/>
      <c r="S337" s="102"/>
      <c r="T337" s="102"/>
      <c r="U337" s="102"/>
      <c r="V337" s="102"/>
      <c r="W337" s="102"/>
      <c r="X337" s="102"/>
      <c r="Y337" s="102"/>
      <c r="Z337" s="102"/>
      <c r="AA337" s="102"/>
      <c r="AB337" s="102"/>
      <c r="AC337" s="102"/>
      <c r="AD337" s="102"/>
      <c r="AE337" s="102"/>
      <c r="AF337" s="102"/>
      <c r="AG337" s="102"/>
      <c r="AH337" s="102"/>
      <c r="AI337" s="102"/>
      <c r="AJ337" s="102"/>
      <c r="AK337" s="102"/>
      <c r="AL337" s="102"/>
      <c r="AM337" s="102"/>
      <c r="AN337" s="102"/>
      <c r="AO337" s="102"/>
      <c r="AP337" s="102"/>
      <c r="AQ337" s="102"/>
      <c r="AR337" s="102"/>
      <c r="AS337" s="102"/>
      <c r="AT337" s="102"/>
      <c r="AU337" s="102"/>
      <c r="AV337" s="102"/>
      <c r="AW337" s="102"/>
      <c r="AY337" s="102"/>
      <c r="AZ337" s="102"/>
      <c r="BA337" s="102"/>
      <c r="BB337" s="102"/>
      <c r="BC337" s="102"/>
      <c r="BD337" s="102"/>
      <c r="BE337" s="102"/>
      <c r="BF337" s="102"/>
      <c r="BG337" s="102"/>
      <c r="BH337" s="102"/>
      <c r="BI337" s="102"/>
      <c r="BJ337" s="102"/>
      <c r="BK337" s="102"/>
      <c r="BL337" s="102"/>
      <c r="BM337" s="102"/>
      <c r="BN337" s="102"/>
    </row>
    <row r="338" spans="2:66" s="64" customFormat="1" ht="20.25" customHeight="1">
      <c r="B338" s="102"/>
      <c r="C338" s="102"/>
      <c r="D338" s="102"/>
      <c r="E338" s="102"/>
      <c r="F338" s="102"/>
      <c r="G338" s="102"/>
      <c r="H338" s="102"/>
      <c r="I338" s="102"/>
      <c r="J338" s="102"/>
      <c r="K338" s="102"/>
      <c r="L338" s="102"/>
      <c r="M338" s="102"/>
      <c r="N338" s="102"/>
      <c r="O338" s="102"/>
      <c r="P338" s="102"/>
      <c r="Q338" s="102"/>
      <c r="R338" s="102"/>
      <c r="S338" s="102"/>
      <c r="T338" s="102"/>
      <c r="U338" s="102"/>
      <c r="V338" s="102"/>
      <c r="W338" s="102"/>
      <c r="X338" s="102"/>
      <c r="Y338" s="102"/>
      <c r="Z338" s="102"/>
      <c r="AA338" s="102"/>
      <c r="AB338" s="102"/>
      <c r="AC338" s="102"/>
      <c r="AD338" s="102"/>
      <c r="AE338" s="102"/>
      <c r="AF338" s="102"/>
      <c r="AG338" s="102"/>
      <c r="AH338" s="102"/>
      <c r="AI338" s="102"/>
      <c r="AJ338" s="102"/>
      <c r="AK338" s="102"/>
      <c r="AL338" s="102"/>
      <c r="AM338" s="102"/>
      <c r="AN338" s="102"/>
      <c r="AO338" s="102"/>
      <c r="AP338" s="102"/>
      <c r="AQ338" s="102"/>
      <c r="AR338" s="102"/>
      <c r="AS338" s="102"/>
      <c r="AT338" s="102"/>
      <c r="AU338" s="102"/>
      <c r="AV338" s="102"/>
      <c r="AW338" s="102"/>
      <c r="AY338" s="102"/>
      <c r="AZ338" s="102"/>
      <c r="BA338" s="102"/>
      <c r="BB338" s="102"/>
      <c r="BC338" s="102"/>
      <c r="BD338" s="102"/>
      <c r="BE338" s="102"/>
      <c r="BF338" s="102"/>
      <c r="BG338" s="102"/>
      <c r="BH338" s="102"/>
      <c r="BI338" s="102"/>
      <c r="BJ338" s="102"/>
      <c r="BK338" s="102"/>
      <c r="BL338" s="102"/>
      <c r="BM338" s="102"/>
      <c r="BN338" s="102"/>
    </row>
    <row r="339" spans="2:66" s="64" customFormat="1" ht="20.25" customHeight="1">
      <c r="B339" s="102"/>
      <c r="C339" s="102"/>
      <c r="D339" s="102"/>
      <c r="E339" s="102"/>
      <c r="F339" s="102"/>
      <c r="G339" s="102"/>
      <c r="H339" s="102"/>
      <c r="I339" s="102"/>
      <c r="J339" s="102"/>
      <c r="K339" s="102"/>
      <c r="L339" s="102"/>
      <c r="M339" s="102"/>
      <c r="N339" s="102"/>
      <c r="O339" s="102"/>
      <c r="P339" s="102"/>
      <c r="Q339" s="102"/>
      <c r="R339" s="102"/>
      <c r="S339" s="102"/>
      <c r="T339" s="102"/>
      <c r="U339" s="102"/>
      <c r="V339" s="102"/>
      <c r="W339" s="102"/>
      <c r="X339" s="102"/>
      <c r="Y339" s="102"/>
      <c r="Z339" s="102"/>
      <c r="AA339" s="102"/>
      <c r="AB339" s="102"/>
      <c r="AC339" s="102"/>
      <c r="AD339" s="102"/>
      <c r="AE339" s="102"/>
      <c r="AF339" s="102"/>
      <c r="AG339" s="102"/>
      <c r="AH339" s="102"/>
      <c r="AI339" s="102"/>
      <c r="AJ339" s="102"/>
      <c r="AK339" s="102"/>
      <c r="AL339" s="102"/>
      <c r="AM339" s="102"/>
      <c r="AN339" s="102"/>
      <c r="AO339" s="102"/>
      <c r="AP339" s="102"/>
      <c r="AQ339" s="102"/>
      <c r="AR339" s="102"/>
      <c r="AS339" s="102"/>
      <c r="AT339" s="102"/>
      <c r="AU339" s="102"/>
      <c r="AV339" s="102"/>
      <c r="AW339" s="102"/>
      <c r="AY339" s="102"/>
      <c r="AZ339" s="102"/>
      <c r="BA339" s="102"/>
      <c r="BB339" s="102"/>
      <c r="BC339" s="102"/>
      <c r="BD339" s="102"/>
      <c r="BE339" s="102"/>
      <c r="BF339" s="102"/>
      <c r="BG339" s="102"/>
      <c r="BH339" s="102"/>
      <c r="BI339" s="102"/>
      <c r="BJ339" s="102"/>
      <c r="BK339" s="102"/>
      <c r="BL339" s="102"/>
      <c r="BM339" s="102"/>
      <c r="BN339" s="102"/>
    </row>
    <row r="340" spans="2:66" s="64" customFormat="1" ht="20.25" customHeight="1">
      <c r="B340" s="102"/>
      <c r="C340" s="102"/>
      <c r="D340" s="102"/>
      <c r="E340" s="102"/>
      <c r="F340" s="102"/>
      <c r="G340" s="102"/>
      <c r="H340" s="102"/>
      <c r="I340" s="102"/>
      <c r="J340" s="102"/>
      <c r="K340" s="102"/>
      <c r="L340" s="102"/>
      <c r="M340" s="102"/>
      <c r="N340" s="102"/>
      <c r="O340" s="102"/>
      <c r="P340" s="102"/>
      <c r="Q340" s="102"/>
      <c r="R340" s="102"/>
      <c r="S340" s="102"/>
      <c r="T340" s="102"/>
      <c r="U340" s="102"/>
      <c r="V340" s="102"/>
      <c r="W340" s="102"/>
      <c r="X340" s="102"/>
      <c r="Y340" s="102"/>
      <c r="Z340" s="102"/>
      <c r="AA340" s="102"/>
      <c r="AB340" s="102"/>
      <c r="AC340" s="102"/>
      <c r="AD340" s="102"/>
      <c r="AE340" s="102"/>
      <c r="AF340" s="102"/>
      <c r="AG340" s="102"/>
      <c r="AH340" s="102"/>
      <c r="AI340" s="102"/>
      <c r="AJ340" s="102"/>
      <c r="AK340" s="102"/>
      <c r="AL340" s="102"/>
      <c r="AM340" s="102"/>
      <c r="AN340" s="102"/>
      <c r="AO340" s="102"/>
      <c r="AP340" s="102"/>
      <c r="AQ340" s="102"/>
      <c r="AR340" s="102"/>
      <c r="AS340" s="102"/>
      <c r="AT340" s="102"/>
      <c r="AU340" s="102"/>
      <c r="AV340" s="102"/>
      <c r="AW340" s="102"/>
      <c r="AY340" s="102"/>
      <c r="AZ340" s="102"/>
      <c r="BA340" s="102"/>
      <c r="BB340" s="102"/>
      <c r="BC340" s="102"/>
      <c r="BD340" s="102"/>
      <c r="BE340" s="102"/>
      <c r="BF340" s="102"/>
      <c r="BG340" s="102"/>
      <c r="BH340" s="102"/>
      <c r="BI340" s="102"/>
      <c r="BJ340" s="102"/>
      <c r="BK340" s="102"/>
      <c r="BL340" s="102"/>
      <c r="BM340" s="102"/>
      <c r="BN340" s="102"/>
    </row>
    <row r="341" spans="2:66" s="64" customFormat="1" ht="20.25" customHeight="1">
      <c r="B341" s="102"/>
      <c r="C341" s="102"/>
      <c r="D341" s="102"/>
      <c r="E341" s="102"/>
      <c r="F341" s="102"/>
      <c r="G341" s="102"/>
      <c r="H341" s="102"/>
      <c r="I341" s="102"/>
      <c r="J341" s="102"/>
      <c r="K341" s="102"/>
      <c r="L341" s="102"/>
      <c r="M341" s="102"/>
      <c r="N341" s="102"/>
      <c r="O341" s="102"/>
      <c r="P341" s="102"/>
      <c r="Q341" s="102"/>
      <c r="R341" s="102"/>
      <c r="S341" s="102"/>
      <c r="T341" s="102"/>
      <c r="U341" s="102"/>
      <c r="V341" s="102"/>
      <c r="W341" s="102"/>
      <c r="X341" s="102"/>
      <c r="Y341" s="102"/>
      <c r="Z341" s="102"/>
      <c r="AA341" s="102"/>
      <c r="AB341" s="102"/>
      <c r="AC341" s="102"/>
      <c r="AD341" s="102"/>
      <c r="AE341" s="102"/>
      <c r="AF341" s="102"/>
      <c r="AG341" s="102"/>
      <c r="AH341" s="102"/>
      <c r="AI341" s="102"/>
      <c r="AJ341" s="102"/>
      <c r="AK341" s="102"/>
      <c r="AL341" s="102"/>
      <c r="AM341" s="102"/>
      <c r="AN341" s="102"/>
      <c r="AO341" s="102"/>
      <c r="AP341" s="102"/>
      <c r="AQ341" s="102"/>
      <c r="AR341" s="102"/>
      <c r="AS341" s="102"/>
      <c r="AT341" s="102"/>
      <c r="AU341" s="102"/>
      <c r="AV341" s="102"/>
      <c r="AW341" s="102"/>
      <c r="AY341" s="102"/>
      <c r="AZ341" s="102"/>
      <c r="BA341" s="102"/>
      <c r="BB341" s="102"/>
      <c r="BC341" s="102"/>
      <c r="BD341" s="102"/>
      <c r="BE341" s="102"/>
      <c r="BF341" s="102"/>
      <c r="BG341" s="102"/>
      <c r="BH341" s="102"/>
      <c r="BI341" s="102"/>
      <c r="BJ341" s="102"/>
      <c r="BK341" s="102"/>
      <c r="BL341" s="102"/>
      <c r="BM341" s="102"/>
      <c r="BN341" s="102"/>
    </row>
    <row r="342" spans="2:66" s="64" customFormat="1" ht="20.25" customHeight="1">
      <c r="B342" s="102"/>
      <c r="C342" s="102"/>
      <c r="D342" s="102"/>
      <c r="E342" s="102"/>
      <c r="F342" s="102"/>
      <c r="G342" s="102"/>
      <c r="H342" s="102"/>
      <c r="I342" s="102"/>
      <c r="J342" s="102"/>
      <c r="K342" s="102"/>
      <c r="L342" s="102"/>
      <c r="M342" s="102"/>
      <c r="N342" s="102"/>
      <c r="O342" s="102"/>
      <c r="P342" s="102"/>
      <c r="Q342" s="102"/>
      <c r="R342" s="102"/>
      <c r="S342" s="102"/>
      <c r="T342" s="102"/>
      <c r="U342" s="102"/>
      <c r="V342" s="102"/>
      <c r="W342" s="102"/>
      <c r="X342" s="102"/>
      <c r="Y342" s="102"/>
      <c r="Z342" s="102"/>
      <c r="AA342" s="102"/>
      <c r="AB342" s="102"/>
      <c r="AC342" s="102"/>
      <c r="AD342" s="102"/>
      <c r="AE342" s="102"/>
      <c r="AF342" s="102"/>
      <c r="AG342" s="102"/>
      <c r="AH342" s="102"/>
      <c r="AI342" s="102"/>
      <c r="AJ342" s="102"/>
      <c r="AK342" s="102"/>
      <c r="AL342" s="102"/>
      <c r="AM342" s="102"/>
      <c r="AN342" s="102"/>
      <c r="AO342" s="102"/>
      <c r="AP342" s="102"/>
      <c r="AQ342" s="102"/>
      <c r="AR342" s="102"/>
      <c r="AS342" s="102"/>
      <c r="AT342" s="102"/>
      <c r="AU342" s="102"/>
      <c r="AV342" s="102"/>
      <c r="AW342" s="102"/>
      <c r="AY342" s="102"/>
      <c r="AZ342" s="102"/>
      <c r="BA342" s="102"/>
      <c r="BB342" s="102"/>
      <c r="BC342" s="102"/>
      <c r="BD342" s="102"/>
      <c r="BE342" s="102"/>
      <c r="BF342" s="102"/>
      <c r="BG342" s="102"/>
      <c r="BH342" s="102"/>
      <c r="BI342" s="102"/>
      <c r="BJ342" s="102"/>
      <c r="BK342" s="102"/>
      <c r="BL342" s="102"/>
      <c r="BM342" s="102"/>
      <c r="BN342" s="102"/>
    </row>
    <row r="343" spans="2:66" s="64" customFormat="1" ht="20.25" customHeight="1">
      <c r="B343" s="102"/>
      <c r="C343" s="102"/>
      <c r="D343" s="102"/>
      <c r="E343" s="102"/>
      <c r="F343" s="102"/>
      <c r="G343" s="102"/>
      <c r="H343" s="102"/>
      <c r="I343" s="102"/>
      <c r="J343" s="102"/>
      <c r="K343" s="102"/>
      <c r="L343" s="102"/>
      <c r="M343" s="102"/>
      <c r="N343" s="102"/>
      <c r="O343" s="102"/>
      <c r="P343" s="102"/>
      <c r="Q343" s="102"/>
      <c r="R343" s="102"/>
      <c r="S343" s="102"/>
      <c r="T343" s="102"/>
      <c r="U343" s="102"/>
      <c r="V343" s="102"/>
      <c r="W343" s="102"/>
      <c r="X343" s="102"/>
      <c r="Y343" s="102"/>
      <c r="Z343" s="102"/>
      <c r="AA343" s="102"/>
      <c r="AB343" s="102"/>
      <c r="AC343" s="102"/>
      <c r="AD343" s="102"/>
      <c r="AE343" s="102"/>
      <c r="AF343" s="102"/>
      <c r="AG343" s="102"/>
      <c r="AH343" s="102"/>
      <c r="AI343" s="102"/>
      <c r="AJ343" s="102"/>
      <c r="AK343" s="102"/>
      <c r="AL343" s="102"/>
      <c r="AM343" s="102"/>
      <c r="AN343" s="102"/>
      <c r="AO343" s="102"/>
      <c r="AP343" s="102"/>
      <c r="AQ343" s="102"/>
      <c r="AR343" s="102"/>
      <c r="AS343" s="102"/>
      <c r="AT343" s="102"/>
      <c r="AU343" s="102"/>
      <c r="AV343" s="102"/>
      <c r="AW343" s="102"/>
      <c r="AY343" s="102"/>
      <c r="AZ343" s="102"/>
      <c r="BA343" s="102"/>
      <c r="BB343" s="102"/>
      <c r="BC343" s="102"/>
      <c r="BD343" s="102"/>
      <c r="BE343" s="102"/>
      <c r="BF343" s="102"/>
      <c r="BG343" s="102"/>
      <c r="BH343" s="102"/>
      <c r="BI343" s="102"/>
      <c r="BJ343" s="102"/>
      <c r="BK343" s="102"/>
      <c r="BL343" s="102"/>
      <c r="BM343" s="102"/>
      <c r="BN343" s="102"/>
    </row>
    <row r="344" spans="2:66" s="64" customFormat="1" ht="20.25" customHeight="1">
      <c r="B344" s="102"/>
      <c r="C344" s="102"/>
      <c r="D344" s="102"/>
      <c r="E344" s="102"/>
      <c r="F344" s="102"/>
      <c r="G344" s="102"/>
      <c r="H344" s="102"/>
      <c r="I344" s="102"/>
      <c r="J344" s="102"/>
      <c r="K344" s="102"/>
      <c r="L344" s="102"/>
      <c r="M344" s="102"/>
      <c r="N344" s="102"/>
      <c r="O344" s="102"/>
      <c r="P344" s="102"/>
      <c r="Q344" s="102"/>
      <c r="R344" s="102"/>
      <c r="S344" s="102"/>
      <c r="T344" s="102"/>
      <c r="U344" s="102"/>
      <c r="V344" s="102"/>
      <c r="W344" s="102"/>
      <c r="X344" s="102"/>
      <c r="Y344" s="102"/>
      <c r="Z344" s="102"/>
      <c r="AA344" s="102"/>
      <c r="AB344" s="102"/>
      <c r="AC344" s="102"/>
      <c r="AD344" s="102"/>
      <c r="AE344" s="102"/>
      <c r="AF344" s="102"/>
      <c r="AG344" s="102"/>
      <c r="AH344" s="102"/>
      <c r="AI344" s="102"/>
      <c r="AJ344" s="102"/>
      <c r="AK344" s="102"/>
      <c r="AL344" s="102"/>
      <c r="AM344" s="102"/>
      <c r="AN344" s="102"/>
      <c r="AO344" s="102"/>
      <c r="AP344" s="102"/>
      <c r="AQ344" s="102"/>
      <c r="AR344" s="102"/>
      <c r="AS344" s="102"/>
      <c r="AT344" s="102"/>
      <c r="AU344" s="102"/>
      <c r="AV344" s="102"/>
      <c r="AW344" s="102"/>
      <c r="AY344" s="102"/>
      <c r="AZ344" s="102"/>
      <c r="BA344" s="102"/>
      <c r="BB344" s="102"/>
      <c r="BC344" s="102"/>
      <c r="BD344" s="102"/>
      <c r="BE344" s="102"/>
      <c r="BF344" s="102"/>
      <c r="BG344" s="102"/>
      <c r="BH344" s="102"/>
      <c r="BI344" s="102"/>
      <c r="BJ344" s="102"/>
      <c r="BK344" s="102"/>
      <c r="BL344" s="102"/>
      <c r="BM344" s="102"/>
      <c r="BN344" s="102"/>
    </row>
    <row r="345" spans="2:66" s="64" customFormat="1" ht="20.25" customHeight="1">
      <c r="B345" s="102"/>
      <c r="C345" s="102"/>
      <c r="D345" s="102"/>
      <c r="E345" s="102"/>
      <c r="F345" s="102"/>
      <c r="G345" s="102"/>
      <c r="H345" s="102"/>
      <c r="I345" s="102"/>
      <c r="J345" s="102"/>
      <c r="K345" s="102"/>
      <c r="L345" s="102"/>
      <c r="M345" s="102"/>
      <c r="N345" s="102"/>
      <c r="O345" s="102"/>
      <c r="P345" s="102"/>
      <c r="Q345" s="102"/>
      <c r="R345" s="102"/>
      <c r="S345" s="102"/>
      <c r="T345" s="102"/>
      <c r="U345" s="102"/>
      <c r="V345" s="102"/>
      <c r="W345" s="102"/>
      <c r="X345" s="102"/>
      <c r="Y345" s="102"/>
      <c r="Z345" s="102"/>
      <c r="AA345" s="102"/>
      <c r="AB345" s="102"/>
      <c r="AC345" s="102"/>
      <c r="AD345" s="102"/>
      <c r="AE345" s="102"/>
      <c r="AF345" s="102"/>
      <c r="AG345" s="102"/>
      <c r="AH345" s="102"/>
      <c r="AI345" s="102"/>
      <c r="AJ345" s="102"/>
      <c r="AK345" s="102"/>
      <c r="AL345" s="102"/>
      <c r="AM345" s="102"/>
      <c r="AN345" s="102"/>
      <c r="AO345" s="102"/>
      <c r="AP345" s="102"/>
      <c r="AQ345" s="102"/>
      <c r="AR345" s="102"/>
      <c r="AS345" s="102"/>
      <c r="AT345" s="102"/>
      <c r="AU345" s="102"/>
      <c r="AV345" s="102"/>
      <c r="AW345" s="102"/>
      <c r="AY345" s="102"/>
      <c r="AZ345" s="102"/>
      <c r="BA345" s="102"/>
      <c r="BB345" s="102"/>
      <c r="BC345" s="102"/>
      <c r="BD345" s="102"/>
      <c r="BE345" s="102"/>
      <c r="BF345" s="102"/>
      <c r="BG345" s="102"/>
      <c r="BH345" s="102"/>
      <c r="BI345" s="102"/>
      <c r="BJ345" s="102"/>
      <c r="BK345" s="102"/>
      <c r="BL345" s="102"/>
      <c r="BM345" s="102"/>
      <c r="BN345" s="102"/>
    </row>
    <row r="346" spans="2:66" s="64" customFormat="1" ht="20.25" customHeight="1">
      <c r="B346" s="102"/>
      <c r="C346" s="102"/>
      <c r="D346" s="102"/>
      <c r="E346" s="102"/>
      <c r="F346" s="102"/>
      <c r="G346" s="102"/>
      <c r="H346" s="102"/>
      <c r="I346" s="102"/>
      <c r="J346" s="102"/>
      <c r="K346" s="102"/>
      <c r="L346" s="102"/>
      <c r="M346" s="102"/>
      <c r="N346" s="102"/>
      <c r="O346" s="102"/>
      <c r="P346" s="102"/>
      <c r="Q346" s="102"/>
      <c r="R346" s="102"/>
      <c r="S346" s="102"/>
      <c r="T346" s="102"/>
      <c r="U346" s="102"/>
      <c r="V346" s="102"/>
      <c r="W346" s="102"/>
      <c r="X346" s="102"/>
      <c r="Y346" s="102"/>
      <c r="Z346" s="102"/>
      <c r="AA346" s="102"/>
      <c r="AB346" s="102"/>
      <c r="AC346" s="102"/>
      <c r="AD346" s="102"/>
      <c r="AE346" s="102"/>
      <c r="AF346" s="102"/>
      <c r="AG346" s="102"/>
      <c r="AH346" s="102"/>
      <c r="AI346" s="102"/>
      <c r="AJ346" s="102"/>
      <c r="AK346" s="102"/>
      <c r="AL346" s="102"/>
      <c r="AM346" s="102"/>
      <c r="AN346" s="102"/>
      <c r="AO346" s="102"/>
      <c r="AP346" s="102"/>
      <c r="AQ346" s="102"/>
      <c r="AR346" s="102"/>
      <c r="AS346" s="102"/>
      <c r="AT346" s="102"/>
      <c r="AU346" s="102"/>
      <c r="AV346" s="102"/>
      <c r="AW346" s="102"/>
      <c r="AY346" s="102"/>
      <c r="AZ346" s="102"/>
      <c r="BA346" s="102"/>
      <c r="BB346" s="102"/>
      <c r="BC346" s="102"/>
      <c r="BD346" s="102"/>
      <c r="BE346" s="102"/>
      <c r="BF346" s="102"/>
      <c r="BG346" s="102"/>
      <c r="BH346" s="102"/>
      <c r="BI346" s="102"/>
      <c r="BJ346" s="102"/>
      <c r="BK346" s="102"/>
      <c r="BL346" s="102"/>
      <c r="BM346" s="102"/>
      <c r="BN346" s="102"/>
    </row>
    <row r="347" spans="2:66" s="64" customFormat="1" ht="20.25" customHeight="1">
      <c r="B347" s="102"/>
      <c r="C347" s="102"/>
      <c r="D347" s="102"/>
      <c r="E347" s="102"/>
      <c r="F347" s="102"/>
      <c r="G347" s="102"/>
      <c r="H347" s="102"/>
      <c r="I347" s="102"/>
      <c r="J347" s="102"/>
      <c r="K347" s="102"/>
      <c r="L347" s="102"/>
      <c r="M347" s="102"/>
      <c r="N347" s="102"/>
      <c r="O347" s="102"/>
      <c r="P347" s="102"/>
      <c r="Q347" s="102"/>
      <c r="R347" s="102"/>
      <c r="S347" s="102"/>
      <c r="T347" s="102"/>
      <c r="U347" s="102"/>
      <c r="V347" s="102"/>
      <c r="W347" s="102"/>
      <c r="X347" s="102"/>
      <c r="Y347" s="102"/>
      <c r="Z347" s="102"/>
      <c r="AA347" s="102"/>
      <c r="AB347" s="102"/>
      <c r="AC347" s="102"/>
      <c r="AD347" s="102"/>
      <c r="AE347" s="102"/>
      <c r="AF347" s="102"/>
      <c r="AG347" s="102"/>
      <c r="AH347" s="102"/>
      <c r="AI347" s="102"/>
      <c r="AJ347" s="102"/>
      <c r="AK347" s="102"/>
      <c r="AL347" s="102"/>
      <c r="AM347" s="102"/>
      <c r="AN347" s="102"/>
      <c r="AO347" s="102"/>
      <c r="AP347" s="102"/>
      <c r="AQ347" s="102"/>
      <c r="AR347" s="102"/>
      <c r="AS347" s="102"/>
      <c r="AT347" s="102"/>
      <c r="AU347" s="102"/>
      <c r="AV347" s="102"/>
      <c r="AW347" s="102"/>
      <c r="AY347" s="102"/>
      <c r="AZ347" s="102"/>
      <c r="BA347" s="102"/>
      <c r="BB347" s="102"/>
      <c r="BC347" s="102"/>
      <c r="BD347" s="102"/>
      <c r="BE347" s="102"/>
      <c r="BF347" s="102"/>
      <c r="BG347" s="102"/>
      <c r="BH347" s="102"/>
      <c r="BI347" s="102"/>
      <c r="BJ347" s="102"/>
      <c r="BK347" s="102"/>
      <c r="BL347" s="102"/>
      <c r="BM347" s="102"/>
      <c r="BN347" s="102"/>
    </row>
    <row r="348" spans="2:66" s="64" customFormat="1" ht="20.25" customHeight="1">
      <c r="B348" s="102"/>
      <c r="C348" s="102"/>
      <c r="D348" s="102"/>
      <c r="E348" s="102"/>
      <c r="F348" s="102"/>
      <c r="G348" s="102"/>
      <c r="H348" s="102"/>
      <c r="I348" s="102"/>
      <c r="J348" s="102"/>
      <c r="K348" s="102"/>
      <c r="L348" s="102"/>
      <c r="M348" s="102"/>
      <c r="N348" s="102"/>
      <c r="O348" s="102"/>
      <c r="P348" s="102"/>
      <c r="Q348" s="102"/>
      <c r="R348" s="102"/>
      <c r="S348" s="102"/>
      <c r="T348" s="102"/>
      <c r="U348" s="102"/>
      <c r="V348" s="102"/>
      <c r="W348" s="102"/>
      <c r="X348" s="102"/>
      <c r="Y348" s="102"/>
      <c r="Z348" s="102"/>
      <c r="AA348" s="102"/>
      <c r="AB348" s="102"/>
      <c r="AC348" s="102"/>
      <c r="AD348" s="102"/>
      <c r="AE348" s="102"/>
      <c r="AF348" s="102"/>
      <c r="AG348" s="102"/>
      <c r="AH348" s="102"/>
      <c r="AI348" s="102"/>
      <c r="AJ348" s="102"/>
      <c r="AK348" s="102"/>
      <c r="AL348" s="102"/>
      <c r="AM348" s="102"/>
      <c r="AN348" s="102"/>
      <c r="AO348" s="102"/>
      <c r="AP348" s="102"/>
      <c r="AQ348" s="102"/>
      <c r="AR348" s="102"/>
      <c r="AS348" s="102"/>
      <c r="AT348" s="102"/>
      <c r="AU348" s="102"/>
      <c r="AV348" s="102"/>
      <c r="AW348" s="102"/>
      <c r="AY348" s="102"/>
      <c r="AZ348" s="102"/>
      <c r="BA348" s="102"/>
      <c r="BB348" s="102"/>
      <c r="BC348" s="102"/>
      <c r="BD348" s="102"/>
      <c r="BE348" s="102"/>
      <c r="BF348" s="102"/>
      <c r="BG348" s="102"/>
      <c r="BH348" s="102"/>
      <c r="BI348" s="102"/>
      <c r="BJ348" s="102"/>
      <c r="BK348" s="102"/>
      <c r="BL348" s="102"/>
      <c r="BM348" s="102"/>
      <c r="BN348" s="102"/>
    </row>
    <row r="349" spans="2:66" s="64" customFormat="1" ht="20.25" customHeight="1">
      <c r="B349" s="102"/>
      <c r="C349" s="102"/>
      <c r="D349" s="102"/>
      <c r="E349" s="102"/>
      <c r="F349" s="102"/>
      <c r="G349" s="102"/>
      <c r="H349" s="102"/>
      <c r="I349" s="102"/>
      <c r="J349" s="102"/>
      <c r="K349" s="102"/>
      <c r="L349" s="102"/>
      <c r="M349" s="102"/>
      <c r="N349" s="102"/>
      <c r="O349" s="102"/>
      <c r="P349" s="102"/>
      <c r="Q349" s="102"/>
      <c r="R349" s="102"/>
      <c r="S349" s="102"/>
      <c r="T349" s="102"/>
      <c r="U349" s="102"/>
      <c r="V349" s="102"/>
      <c r="W349" s="102"/>
      <c r="X349" s="102"/>
      <c r="Y349" s="102"/>
      <c r="Z349" s="102"/>
      <c r="AA349" s="102"/>
      <c r="AB349" s="102"/>
      <c r="AC349" s="102"/>
      <c r="AD349" s="102"/>
      <c r="AE349" s="102"/>
      <c r="AF349" s="102"/>
      <c r="AG349" s="102"/>
      <c r="AH349" s="102"/>
      <c r="AI349" s="102"/>
      <c r="AJ349" s="102"/>
      <c r="AK349" s="102"/>
      <c r="AL349" s="102"/>
      <c r="AM349" s="102"/>
      <c r="AN349" s="102"/>
      <c r="AO349" s="102"/>
      <c r="AP349" s="102"/>
      <c r="AQ349" s="102"/>
      <c r="AR349" s="102"/>
      <c r="AS349" s="102"/>
      <c r="AT349" s="102"/>
      <c r="AU349" s="102"/>
      <c r="AV349" s="102"/>
      <c r="AW349" s="102"/>
      <c r="AY349" s="102"/>
      <c r="AZ349" s="102"/>
      <c r="BA349" s="102"/>
      <c r="BB349" s="102"/>
      <c r="BC349" s="102"/>
      <c r="BD349" s="102"/>
      <c r="BE349" s="102"/>
      <c r="BF349" s="102"/>
      <c r="BG349" s="102"/>
      <c r="BH349" s="102"/>
      <c r="BI349" s="102"/>
      <c r="BJ349" s="102"/>
      <c r="BK349" s="102"/>
      <c r="BL349" s="102"/>
      <c r="BM349" s="102"/>
      <c r="BN349" s="102"/>
    </row>
    <row r="350" spans="2:66" s="64" customFormat="1" ht="20.25" customHeight="1">
      <c r="B350" s="102"/>
      <c r="C350" s="102"/>
      <c r="D350" s="102"/>
      <c r="E350" s="102"/>
      <c r="F350" s="102"/>
      <c r="G350" s="102"/>
      <c r="H350" s="102"/>
      <c r="I350" s="102"/>
      <c r="J350" s="102"/>
      <c r="K350" s="102"/>
      <c r="L350" s="102"/>
      <c r="M350" s="102"/>
      <c r="N350" s="102"/>
      <c r="O350" s="102"/>
      <c r="P350" s="102"/>
      <c r="Q350" s="102"/>
      <c r="R350" s="102"/>
      <c r="S350" s="102"/>
      <c r="T350" s="102"/>
      <c r="U350" s="102"/>
      <c r="V350" s="102"/>
      <c r="W350" s="102"/>
      <c r="X350" s="102"/>
      <c r="Y350" s="102"/>
      <c r="Z350" s="102"/>
      <c r="AA350" s="102"/>
      <c r="AB350" s="102"/>
      <c r="AC350" s="102"/>
      <c r="AD350" s="102"/>
      <c r="AE350" s="102"/>
      <c r="AF350" s="102"/>
      <c r="AG350" s="102"/>
      <c r="AH350" s="102"/>
      <c r="AI350" s="102"/>
      <c r="AJ350" s="102"/>
      <c r="AK350" s="102"/>
      <c r="AL350" s="102"/>
      <c r="AM350" s="102"/>
      <c r="AN350" s="102"/>
      <c r="AO350" s="102"/>
      <c r="AP350" s="102"/>
      <c r="AQ350" s="102"/>
      <c r="AR350" s="102"/>
      <c r="AS350" s="102"/>
      <c r="AT350" s="102"/>
      <c r="AU350" s="102"/>
      <c r="AV350" s="102"/>
      <c r="AW350" s="102"/>
      <c r="AY350" s="102"/>
      <c r="AZ350" s="102"/>
      <c r="BA350" s="102"/>
      <c r="BB350" s="102"/>
      <c r="BC350" s="102"/>
      <c r="BD350" s="102"/>
      <c r="BE350" s="102"/>
      <c r="BF350" s="102"/>
      <c r="BG350" s="102"/>
      <c r="BH350" s="102"/>
      <c r="BI350" s="102"/>
      <c r="BJ350" s="102"/>
      <c r="BK350" s="102"/>
      <c r="BL350" s="102"/>
      <c r="BM350" s="102"/>
      <c r="BN350" s="102"/>
    </row>
    <row r="351" spans="2:66" s="64" customFormat="1" ht="20.25" customHeight="1">
      <c r="B351" s="102"/>
      <c r="C351" s="102"/>
      <c r="D351" s="102"/>
      <c r="E351" s="102"/>
      <c r="F351" s="102"/>
      <c r="G351" s="102"/>
      <c r="H351" s="102"/>
      <c r="I351" s="102"/>
      <c r="J351" s="102"/>
      <c r="K351" s="102"/>
      <c r="L351" s="102"/>
      <c r="M351" s="102"/>
      <c r="N351" s="102"/>
      <c r="O351" s="102"/>
      <c r="P351" s="102"/>
      <c r="Q351" s="102"/>
      <c r="R351" s="102"/>
      <c r="S351" s="102"/>
      <c r="T351" s="102"/>
      <c r="U351" s="102"/>
      <c r="V351" s="102"/>
      <c r="W351" s="102"/>
      <c r="X351" s="102"/>
      <c r="Y351" s="102"/>
      <c r="Z351" s="102"/>
      <c r="AA351" s="102"/>
      <c r="AB351" s="102"/>
      <c r="AC351" s="102"/>
      <c r="AD351" s="102"/>
      <c r="AE351" s="102"/>
      <c r="AF351" s="102"/>
      <c r="AG351" s="102"/>
      <c r="AH351" s="102"/>
      <c r="AI351" s="102"/>
      <c r="AJ351" s="102"/>
      <c r="AK351" s="102"/>
      <c r="AL351" s="102"/>
      <c r="AM351" s="102"/>
      <c r="AN351" s="102"/>
      <c r="AO351" s="102"/>
      <c r="AP351" s="102"/>
      <c r="AQ351" s="102"/>
      <c r="AR351" s="102"/>
      <c r="AS351" s="102"/>
      <c r="AT351" s="102"/>
      <c r="AU351" s="102"/>
      <c r="AV351" s="102"/>
      <c r="AW351" s="102"/>
      <c r="AY351" s="102"/>
      <c r="AZ351" s="102"/>
      <c r="BA351" s="102"/>
      <c r="BB351" s="102"/>
      <c r="BC351" s="102"/>
      <c r="BD351" s="102"/>
      <c r="BE351" s="102"/>
      <c r="BF351" s="102"/>
      <c r="BG351" s="102"/>
      <c r="BH351" s="102"/>
      <c r="BI351" s="102"/>
      <c r="BJ351" s="102"/>
      <c r="BK351" s="102"/>
      <c r="BL351" s="102"/>
      <c r="BM351" s="102"/>
      <c r="BN351" s="102"/>
    </row>
    <row r="352" spans="2:66" s="64" customFormat="1" ht="20.25" customHeight="1">
      <c r="B352" s="102"/>
      <c r="C352" s="102"/>
      <c r="D352" s="102"/>
      <c r="E352" s="102"/>
      <c r="F352" s="102"/>
      <c r="G352" s="102"/>
      <c r="H352" s="102"/>
      <c r="I352" s="102"/>
      <c r="J352" s="102"/>
      <c r="K352" s="102"/>
      <c r="L352" s="102"/>
      <c r="M352" s="102"/>
      <c r="N352" s="102"/>
      <c r="O352" s="102"/>
      <c r="P352" s="102"/>
      <c r="Q352" s="102"/>
      <c r="R352" s="102"/>
      <c r="S352" s="102"/>
      <c r="T352" s="102"/>
      <c r="U352" s="102"/>
      <c r="V352" s="102"/>
      <c r="W352" s="102"/>
      <c r="X352" s="102"/>
      <c r="Y352" s="102"/>
      <c r="Z352" s="102"/>
      <c r="AA352" s="102"/>
      <c r="AB352" s="102"/>
      <c r="AC352" s="102"/>
      <c r="AD352" s="102"/>
      <c r="AE352" s="102"/>
      <c r="AF352" s="102"/>
      <c r="AG352" s="102"/>
      <c r="AH352" s="102"/>
      <c r="AI352" s="102"/>
      <c r="AJ352" s="102"/>
      <c r="AK352" s="102"/>
      <c r="AL352" s="102"/>
      <c r="AM352" s="102"/>
      <c r="AN352" s="102"/>
      <c r="AO352" s="102"/>
      <c r="AP352" s="102"/>
      <c r="AQ352" s="102"/>
      <c r="AR352" s="102"/>
      <c r="AS352" s="102"/>
      <c r="AT352" s="102"/>
      <c r="AU352" s="102"/>
      <c r="AV352" s="102"/>
      <c r="AW352" s="102"/>
      <c r="AY352" s="102"/>
      <c r="AZ352" s="102"/>
      <c r="BA352" s="102"/>
      <c r="BB352" s="102"/>
      <c r="BC352" s="102"/>
      <c r="BD352" s="102"/>
      <c r="BE352" s="102"/>
      <c r="BF352" s="102"/>
      <c r="BG352" s="102"/>
      <c r="BH352" s="102"/>
      <c r="BI352" s="102"/>
      <c r="BJ352" s="102"/>
      <c r="BK352" s="102"/>
      <c r="BL352" s="102"/>
      <c r="BM352" s="102"/>
      <c r="BN352" s="102"/>
    </row>
    <row r="353" spans="2:66" s="64" customFormat="1" ht="20.25" customHeight="1">
      <c r="B353" s="102"/>
      <c r="C353" s="102"/>
      <c r="D353" s="102"/>
      <c r="E353" s="102"/>
      <c r="F353" s="102"/>
      <c r="G353" s="102"/>
      <c r="H353" s="102"/>
      <c r="I353" s="102"/>
      <c r="J353" s="102"/>
      <c r="K353" s="102"/>
      <c r="L353" s="102"/>
      <c r="M353" s="102"/>
      <c r="N353" s="102"/>
      <c r="O353" s="102"/>
      <c r="P353" s="102"/>
      <c r="Q353" s="102"/>
      <c r="R353" s="102"/>
      <c r="S353" s="102"/>
      <c r="T353" s="102"/>
      <c r="U353" s="102"/>
      <c r="V353" s="102"/>
      <c r="W353" s="102"/>
      <c r="X353" s="102"/>
      <c r="Y353" s="102"/>
      <c r="Z353" s="102"/>
      <c r="AA353" s="102"/>
      <c r="AB353" s="102"/>
      <c r="AC353" s="102"/>
      <c r="AD353" s="102"/>
      <c r="AE353" s="102"/>
      <c r="AF353" s="102"/>
      <c r="AG353" s="102"/>
      <c r="AH353" s="102"/>
      <c r="AI353" s="102"/>
      <c r="AJ353" s="102"/>
      <c r="AK353" s="102"/>
      <c r="AL353" s="102"/>
      <c r="AM353" s="102"/>
      <c r="AN353" s="102"/>
      <c r="AO353" s="102"/>
      <c r="AP353" s="102"/>
      <c r="AQ353" s="102"/>
      <c r="AR353" s="102"/>
      <c r="AS353" s="102"/>
      <c r="AT353" s="102"/>
      <c r="AU353" s="102"/>
      <c r="AV353" s="102"/>
      <c r="AW353" s="102"/>
      <c r="AY353" s="102"/>
      <c r="AZ353" s="102"/>
      <c r="BA353" s="102"/>
      <c r="BB353" s="102"/>
      <c r="BC353" s="102"/>
      <c r="BD353" s="102"/>
      <c r="BE353" s="102"/>
      <c r="BF353" s="102"/>
      <c r="BG353" s="102"/>
      <c r="BH353" s="102"/>
      <c r="BI353" s="102"/>
      <c r="BJ353" s="102"/>
      <c r="BK353" s="102"/>
      <c r="BL353" s="102"/>
      <c r="BM353" s="102"/>
      <c r="BN353" s="102"/>
    </row>
    <row r="354" spans="2:66" s="64" customFormat="1" ht="20.25" customHeight="1">
      <c r="B354" s="102"/>
      <c r="C354" s="102"/>
      <c r="D354" s="102"/>
      <c r="E354" s="102"/>
      <c r="F354" s="102"/>
      <c r="G354" s="102"/>
      <c r="H354" s="102"/>
      <c r="I354" s="102"/>
      <c r="J354" s="102"/>
      <c r="K354" s="102"/>
      <c r="L354" s="102"/>
      <c r="M354" s="102"/>
      <c r="N354" s="102"/>
      <c r="O354" s="102"/>
      <c r="P354" s="102"/>
      <c r="Q354" s="102"/>
      <c r="R354" s="102"/>
      <c r="S354" s="102"/>
      <c r="T354" s="102"/>
      <c r="U354" s="102"/>
      <c r="V354" s="102"/>
      <c r="W354" s="102"/>
      <c r="X354" s="102"/>
      <c r="Y354" s="102"/>
      <c r="Z354" s="102"/>
      <c r="AA354" s="102"/>
      <c r="AB354" s="102"/>
      <c r="AC354" s="102"/>
      <c r="AD354" s="102"/>
      <c r="AE354" s="102"/>
      <c r="AF354" s="102"/>
      <c r="AG354" s="102"/>
      <c r="AH354" s="102"/>
      <c r="AI354" s="102"/>
      <c r="AJ354" s="102"/>
      <c r="AK354" s="102"/>
      <c r="AL354" s="102"/>
      <c r="AM354" s="102"/>
      <c r="AN354" s="102"/>
      <c r="AO354" s="102"/>
      <c r="AP354" s="102"/>
      <c r="AQ354" s="102"/>
      <c r="AR354" s="102"/>
      <c r="AS354" s="102"/>
      <c r="AT354" s="102"/>
      <c r="AU354" s="102"/>
      <c r="AV354" s="102"/>
      <c r="AW354" s="102"/>
      <c r="AY354" s="102"/>
      <c r="AZ354" s="102"/>
      <c r="BA354" s="102"/>
      <c r="BB354" s="102"/>
      <c r="BC354" s="102"/>
      <c r="BD354" s="102"/>
      <c r="BE354" s="102"/>
      <c r="BF354" s="102"/>
      <c r="BG354" s="102"/>
      <c r="BH354" s="102"/>
      <c r="BI354" s="102"/>
      <c r="BJ354" s="102"/>
      <c r="BK354" s="102"/>
      <c r="BL354" s="102"/>
      <c r="BM354" s="102"/>
      <c r="BN354" s="102"/>
    </row>
    <row r="355" spans="2:66" s="64" customFormat="1" ht="20.25" customHeight="1">
      <c r="B355" s="102"/>
      <c r="C355" s="102"/>
      <c r="D355" s="102"/>
      <c r="E355" s="102"/>
      <c r="F355" s="102"/>
      <c r="G355" s="102"/>
      <c r="H355" s="102"/>
      <c r="I355" s="102"/>
      <c r="J355" s="102"/>
      <c r="K355" s="102"/>
      <c r="L355" s="102"/>
      <c r="M355" s="102"/>
      <c r="N355" s="102"/>
      <c r="O355" s="102"/>
      <c r="P355" s="102"/>
      <c r="Q355" s="102"/>
      <c r="R355" s="102"/>
      <c r="S355" s="102"/>
      <c r="T355" s="102"/>
      <c r="U355" s="102"/>
      <c r="V355" s="102"/>
      <c r="W355" s="102"/>
      <c r="X355" s="102"/>
      <c r="Y355" s="102"/>
      <c r="Z355" s="102"/>
      <c r="AA355" s="102"/>
      <c r="AB355" s="102"/>
      <c r="AC355" s="102"/>
      <c r="AD355" s="102"/>
      <c r="AE355" s="102"/>
      <c r="AF355" s="102"/>
      <c r="AG355" s="102"/>
      <c r="AH355" s="102"/>
      <c r="AI355" s="102"/>
      <c r="AJ355" s="102"/>
      <c r="AK355" s="102"/>
      <c r="AL355" s="102"/>
      <c r="AM355" s="102"/>
      <c r="AN355" s="102"/>
      <c r="AO355" s="102"/>
      <c r="AP355" s="102"/>
      <c r="AQ355" s="102"/>
      <c r="AR355" s="102"/>
      <c r="AS355" s="102"/>
      <c r="AT355" s="102"/>
      <c r="AU355" s="102"/>
      <c r="AV355" s="102"/>
      <c r="AW355" s="102"/>
      <c r="AY355" s="102"/>
      <c r="AZ355" s="102"/>
      <c r="BA355" s="102"/>
      <c r="BB355" s="102"/>
      <c r="BC355" s="102"/>
      <c r="BD355" s="102"/>
      <c r="BE355" s="102"/>
      <c r="BF355" s="102"/>
      <c r="BG355" s="102"/>
      <c r="BH355" s="102"/>
      <c r="BI355" s="102"/>
      <c r="BJ355" s="102"/>
      <c r="BK355" s="102"/>
      <c r="BL355" s="102"/>
      <c r="BM355" s="102"/>
      <c r="BN355" s="102"/>
    </row>
    <row r="356" spans="2:66" s="64" customFormat="1" ht="20.25" customHeight="1">
      <c r="B356" s="102"/>
      <c r="C356" s="102"/>
      <c r="D356" s="102"/>
      <c r="E356" s="102"/>
      <c r="F356" s="102"/>
      <c r="G356" s="102"/>
      <c r="H356" s="102"/>
      <c r="I356" s="102"/>
      <c r="J356" s="102"/>
      <c r="K356" s="102"/>
      <c r="L356" s="102"/>
      <c r="M356" s="102"/>
      <c r="N356" s="102"/>
      <c r="O356" s="102"/>
      <c r="P356" s="102"/>
      <c r="Q356" s="102"/>
      <c r="R356" s="102"/>
      <c r="S356" s="102"/>
      <c r="T356" s="102"/>
      <c r="U356" s="102"/>
      <c r="V356" s="102"/>
      <c r="W356" s="102"/>
      <c r="X356" s="102"/>
      <c r="Y356" s="102"/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102"/>
      <c r="AR356" s="102"/>
      <c r="AS356" s="102"/>
      <c r="AT356" s="102"/>
      <c r="AU356" s="102"/>
      <c r="AV356" s="102"/>
      <c r="AW356" s="102"/>
      <c r="AY356" s="102"/>
      <c r="AZ356" s="102"/>
      <c r="BA356" s="102"/>
      <c r="BB356" s="102"/>
      <c r="BC356" s="102"/>
      <c r="BD356" s="102"/>
      <c r="BE356" s="102"/>
      <c r="BF356" s="102"/>
      <c r="BG356" s="102"/>
      <c r="BH356" s="102"/>
      <c r="BI356" s="102"/>
      <c r="BJ356" s="102"/>
      <c r="BK356" s="102"/>
      <c r="BL356" s="102"/>
      <c r="BM356" s="102"/>
      <c r="BN356" s="102"/>
    </row>
    <row r="357" spans="2:66" s="64" customFormat="1" ht="20.25" customHeight="1">
      <c r="B357" s="102"/>
      <c r="C357" s="102"/>
      <c r="D357" s="102"/>
      <c r="E357" s="102"/>
      <c r="F357" s="102"/>
      <c r="G357" s="102"/>
      <c r="H357" s="102"/>
      <c r="I357" s="102"/>
      <c r="J357" s="102"/>
      <c r="K357" s="102"/>
      <c r="L357" s="102"/>
      <c r="M357" s="102"/>
      <c r="N357" s="102"/>
      <c r="O357" s="102"/>
      <c r="P357" s="102"/>
      <c r="Q357" s="102"/>
      <c r="R357" s="102"/>
      <c r="S357" s="102"/>
      <c r="T357" s="102"/>
      <c r="U357" s="102"/>
      <c r="V357" s="102"/>
      <c r="W357" s="102"/>
      <c r="X357" s="102"/>
      <c r="Y357" s="102"/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102"/>
      <c r="AR357" s="102"/>
      <c r="AS357" s="102"/>
      <c r="AT357" s="102"/>
      <c r="AU357" s="102"/>
      <c r="AV357" s="102"/>
      <c r="AW357" s="102"/>
      <c r="AY357" s="102"/>
      <c r="AZ357" s="102"/>
      <c r="BA357" s="102"/>
      <c r="BB357" s="102"/>
      <c r="BC357" s="102"/>
      <c r="BD357" s="102"/>
      <c r="BE357" s="102"/>
      <c r="BF357" s="102"/>
      <c r="BG357" s="102"/>
      <c r="BH357" s="102"/>
      <c r="BI357" s="102"/>
      <c r="BJ357" s="102"/>
      <c r="BK357" s="102"/>
      <c r="BL357" s="102"/>
      <c r="BM357" s="102"/>
      <c r="BN357" s="102"/>
    </row>
    <row r="358" spans="2:66" s="64" customFormat="1" ht="20.25" customHeight="1">
      <c r="B358" s="102"/>
      <c r="C358" s="102"/>
      <c r="D358" s="102"/>
      <c r="E358" s="102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02"/>
      <c r="S358" s="102"/>
      <c r="T358" s="102"/>
      <c r="U358" s="102"/>
      <c r="V358" s="102"/>
      <c r="W358" s="102"/>
      <c r="X358" s="102"/>
      <c r="Y358" s="102"/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102"/>
      <c r="AR358" s="102"/>
      <c r="AS358" s="102"/>
      <c r="AT358" s="102"/>
      <c r="AU358" s="102"/>
      <c r="AV358" s="102"/>
      <c r="AW358" s="102"/>
      <c r="AY358" s="102"/>
      <c r="AZ358" s="102"/>
      <c r="BA358" s="102"/>
      <c r="BB358" s="102"/>
      <c r="BC358" s="102"/>
      <c r="BD358" s="102"/>
      <c r="BE358" s="102"/>
      <c r="BF358" s="102"/>
      <c r="BG358" s="102"/>
      <c r="BH358" s="102"/>
      <c r="BI358" s="102"/>
      <c r="BJ358" s="102"/>
      <c r="BK358" s="102"/>
      <c r="BL358" s="102"/>
      <c r="BM358" s="102"/>
      <c r="BN358" s="102"/>
    </row>
    <row r="359" spans="2:66" s="64" customFormat="1" ht="20.25" customHeight="1">
      <c r="B359" s="102"/>
      <c r="C359" s="102"/>
      <c r="D359" s="102"/>
      <c r="E359" s="102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02"/>
      <c r="S359" s="102"/>
      <c r="T359" s="102"/>
      <c r="U359" s="102"/>
      <c r="V359" s="102"/>
      <c r="W359" s="102"/>
      <c r="X359" s="102"/>
      <c r="Y359" s="102"/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102"/>
      <c r="AR359" s="102"/>
      <c r="AS359" s="102"/>
      <c r="AT359" s="102"/>
      <c r="AU359" s="102"/>
      <c r="AV359" s="102"/>
      <c r="AW359" s="102"/>
      <c r="AY359" s="102"/>
      <c r="AZ359" s="102"/>
      <c r="BA359" s="102"/>
      <c r="BB359" s="102"/>
      <c r="BC359" s="102"/>
      <c r="BD359" s="102"/>
      <c r="BE359" s="102"/>
      <c r="BF359" s="102"/>
      <c r="BG359" s="102"/>
      <c r="BH359" s="102"/>
      <c r="BI359" s="102"/>
      <c r="BJ359" s="102"/>
      <c r="BK359" s="102"/>
      <c r="BL359" s="102"/>
      <c r="BM359" s="102"/>
      <c r="BN359" s="102"/>
    </row>
    <row r="360" spans="2:66" s="64" customFormat="1" ht="20.25" customHeight="1">
      <c r="B360" s="102"/>
      <c r="C360" s="102"/>
      <c r="D360" s="102"/>
      <c r="E360" s="102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02"/>
      <c r="S360" s="102"/>
      <c r="T360" s="102"/>
      <c r="U360" s="102"/>
      <c r="V360" s="102"/>
      <c r="W360" s="102"/>
      <c r="X360" s="102"/>
      <c r="Y360" s="102"/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102"/>
      <c r="AR360" s="102"/>
      <c r="AS360" s="102"/>
      <c r="AT360" s="102"/>
      <c r="AU360" s="102"/>
      <c r="AV360" s="102"/>
      <c r="AW360" s="102"/>
      <c r="AY360" s="102"/>
      <c r="AZ360" s="102"/>
      <c r="BA360" s="102"/>
      <c r="BB360" s="102"/>
      <c r="BC360" s="102"/>
      <c r="BD360" s="102"/>
      <c r="BE360" s="102"/>
      <c r="BF360" s="102"/>
      <c r="BG360" s="102"/>
      <c r="BH360" s="102"/>
      <c r="BI360" s="102"/>
      <c r="BJ360" s="102"/>
      <c r="BK360" s="102"/>
      <c r="BL360" s="102"/>
      <c r="BM360" s="102"/>
      <c r="BN360" s="102"/>
    </row>
    <row r="361" spans="2:66" s="64" customFormat="1" ht="20.25" customHeight="1">
      <c r="B361" s="102"/>
      <c r="C361" s="102"/>
      <c r="D361" s="102"/>
      <c r="E361" s="102"/>
      <c r="F361" s="102"/>
      <c r="G361" s="102"/>
      <c r="H361" s="102"/>
      <c r="I361" s="102"/>
      <c r="J361" s="102"/>
      <c r="K361" s="102"/>
      <c r="L361" s="102"/>
      <c r="M361" s="102"/>
      <c r="N361" s="102"/>
      <c r="O361" s="102"/>
      <c r="P361" s="102"/>
      <c r="Q361" s="102"/>
      <c r="R361" s="102"/>
      <c r="S361" s="102"/>
      <c r="T361" s="102"/>
      <c r="U361" s="102"/>
      <c r="V361" s="102"/>
      <c r="W361" s="102"/>
      <c r="X361" s="102"/>
      <c r="Y361" s="102"/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102"/>
      <c r="AR361" s="102"/>
      <c r="AS361" s="102"/>
      <c r="AT361" s="102"/>
      <c r="AU361" s="102"/>
      <c r="AV361" s="102"/>
      <c r="AW361" s="102"/>
      <c r="AY361" s="102"/>
      <c r="AZ361" s="102"/>
      <c r="BA361" s="102"/>
      <c r="BB361" s="102"/>
      <c r="BC361" s="102"/>
      <c r="BD361" s="102"/>
      <c r="BE361" s="102"/>
      <c r="BF361" s="102"/>
      <c r="BG361" s="102"/>
      <c r="BH361" s="102"/>
      <c r="BI361" s="102"/>
      <c r="BJ361" s="102"/>
      <c r="BK361" s="102"/>
      <c r="BL361" s="102"/>
      <c r="BM361" s="102"/>
      <c r="BN361" s="102"/>
    </row>
    <row r="362" spans="2:66" s="64" customFormat="1" ht="20.25" customHeight="1">
      <c r="B362" s="102"/>
      <c r="C362" s="102"/>
      <c r="D362" s="102"/>
      <c r="E362" s="102"/>
      <c r="F362" s="102"/>
      <c r="G362" s="102"/>
      <c r="H362" s="102"/>
      <c r="I362" s="102"/>
      <c r="J362" s="102"/>
      <c r="K362" s="102"/>
      <c r="L362" s="102"/>
      <c r="M362" s="102"/>
      <c r="N362" s="102"/>
      <c r="O362" s="102"/>
      <c r="P362" s="102"/>
      <c r="Q362" s="102"/>
      <c r="R362" s="102"/>
      <c r="S362" s="102"/>
      <c r="T362" s="102"/>
      <c r="U362" s="102"/>
      <c r="V362" s="102"/>
      <c r="W362" s="102"/>
      <c r="X362" s="102"/>
      <c r="Y362" s="102"/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102"/>
      <c r="AR362" s="102"/>
      <c r="AS362" s="102"/>
      <c r="AT362" s="102"/>
      <c r="AU362" s="102"/>
      <c r="AV362" s="102"/>
      <c r="AW362" s="102"/>
      <c r="AY362" s="102"/>
      <c r="AZ362" s="102"/>
      <c r="BA362" s="102"/>
      <c r="BB362" s="102"/>
      <c r="BC362" s="102"/>
      <c r="BD362" s="102"/>
      <c r="BE362" s="102"/>
      <c r="BF362" s="102"/>
      <c r="BG362" s="102"/>
      <c r="BH362" s="102"/>
      <c r="BI362" s="102"/>
      <c r="BJ362" s="102"/>
      <c r="BK362" s="102"/>
      <c r="BL362" s="102"/>
      <c r="BM362" s="102"/>
      <c r="BN362" s="102"/>
    </row>
    <row r="363" spans="2:66" s="64" customFormat="1" ht="20.25" customHeight="1">
      <c r="B363" s="102"/>
      <c r="C363" s="102"/>
      <c r="D363" s="102"/>
      <c r="E363" s="102"/>
      <c r="F363" s="102"/>
      <c r="G363" s="102"/>
      <c r="H363" s="102"/>
      <c r="I363" s="102"/>
      <c r="J363" s="102"/>
      <c r="K363" s="102"/>
      <c r="L363" s="102"/>
      <c r="M363" s="102"/>
      <c r="N363" s="102"/>
      <c r="O363" s="102"/>
      <c r="P363" s="102"/>
      <c r="Q363" s="102"/>
      <c r="R363" s="102"/>
      <c r="S363" s="102"/>
      <c r="T363" s="102"/>
      <c r="U363" s="102"/>
      <c r="V363" s="102"/>
      <c r="W363" s="102"/>
      <c r="X363" s="102"/>
      <c r="Y363" s="102"/>
      <c r="Z363" s="102"/>
      <c r="AA363" s="102"/>
      <c r="AB363" s="102"/>
      <c r="AC363" s="102"/>
      <c r="AD363" s="102"/>
      <c r="AE363" s="102"/>
      <c r="AF363" s="102"/>
      <c r="AG363" s="102"/>
      <c r="AH363" s="102"/>
      <c r="AI363" s="102"/>
      <c r="AJ363" s="102"/>
      <c r="AK363" s="102"/>
      <c r="AL363" s="102"/>
      <c r="AM363" s="102"/>
      <c r="AN363" s="102"/>
      <c r="AO363" s="102"/>
      <c r="AP363" s="102"/>
      <c r="AQ363" s="102"/>
      <c r="AR363" s="102"/>
      <c r="AS363" s="102"/>
      <c r="AT363" s="102"/>
      <c r="AU363" s="102"/>
      <c r="AV363" s="102"/>
      <c r="AW363" s="102"/>
      <c r="AY363" s="102"/>
      <c r="AZ363" s="102"/>
      <c r="BA363" s="102"/>
      <c r="BB363" s="102"/>
      <c r="BC363" s="102"/>
      <c r="BD363" s="102"/>
      <c r="BE363" s="102"/>
      <c r="BF363" s="102"/>
      <c r="BG363" s="102"/>
      <c r="BH363" s="102"/>
      <c r="BI363" s="102"/>
      <c r="BJ363" s="102"/>
      <c r="BK363" s="102"/>
      <c r="BL363" s="102"/>
      <c r="BM363" s="102"/>
      <c r="BN363" s="102"/>
    </row>
    <row r="364" spans="2:66" s="64" customFormat="1" ht="20.25" customHeight="1">
      <c r="B364" s="102"/>
      <c r="C364" s="102"/>
      <c r="D364" s="102"/>
      <c r="E364" s="102"/>
      <c r="F364" s="102"/>
      <c r="G364" s="102"/>
      <c r="H364" s="102"/>
      <c r="I364" s="102"/>
      <c r="J364" s="102"/>
      <c r="K364" s="102"/>
      <c r="L364" s="102"/>
      <c r="M364" s="102"/>
      <c r="N364" s="102"/>
      <c r="O364" s="102"/>
      <c r="P364" s="102"/>
      <c r="Q364" s="102"/>
      <c r="R364" s="102"/>
      <c r="S364" s="102"/>
      <c r="T364" s="102"/>
      <c r="U364" s="102"/>
      <c r="V364" s="102"/>
      <c r="W364" s="102"/>
      <c r="X364" s="102"/>
      <c r="Y364" s="102"/>
      <c r="Z364" s="102"/>
      <c r="AA364" s="102"/>
      <c r="AB364" s="102"/>
      <c r="AC364" s="102"/>
      <c r="AD364" s="102"/>
      <c r="AE364" s="102"/>
      <c r="AF364" s="102"/>
      <c r="AG364" s="102"/>
      <c r="AH364" s="102"/>
      <c r="AI364" s="102"/>
      <c r="AJ364" s="102"/>
      <c r="AK364" s="102"/>
      <c r="AL364" s="102"/>
      <c r="AM364" s="102"/>
      <c r="AN364" s="102"/>
      <c r="AO364" s="102"/>
      <c r="AP364" s="102"/>
      <c r="AQ364" s="102"/>
      <c r="AR364" s="102"/>
      <c r="AS364" s="102"/>
      <c r="AT364" s="102"/>
      <c r="AU364" s="102"/>
      <c r="AV364" s="102"/>
      <c r="AW364" s="102"/>
      <c r="AY364" s="102"/>
      <c r="AZ364" s="102"/>
      <c r="BA364" s="102"/>
      <c r="BB364" s="102"/>
      <c r="BC364" s="102"/>
      <c r="BD364" s="102"/>
      <c r="BE364" s="102"/>
      <c r="BF364" s="102"/>
      <c r="BG364" s="102"/>
      <c r="BH364" s="102"/>
      <c r="BI364" s="102"/>
      <c r="BJ364" s="102"/>
      <c r="BK364" s="102"/>
      <c r="BL364" s="102"/>
      <c r="BM364" s="102"/>
      <c r="BN364" s="102"/>
    </row>
    <row r="365" spans="2:66" s="64" customFormat="1" ht="20.25" customHeight="1">
      <c r="B365" s="102"/>
      <c r="C365" s="102"/>
      <c r="D365" s="102"/>
      <c r="E365" s="102"/>
      <c r="F365" s="102"/>
      <c r="G365" s="102"/>
      <c r="H365" s="102"/>
      <c r="I365" s="102"/>
      <c r="J365" s="102"/>
      <c r="K365" s="102"/>
      <c r="L365" s="102"/>
      <c r="M365" s="102"/>
      <c r="N365" s="102"/>
      <c r="O365" s="102"/>
      <c r="P365" s="102"/>
      <c r="Q365" s="102"/>
      <c r="R365" s="102"/>
      <c r="S365" s="102"/>
      <c r="T365" s="102"/>
      <c r="U365" s="102"/>
      <c r="V365" s="102"/>
      <c r="W365" s="102"/>
      <c r="X365" s="102"/>
      <c r="Y365" s="102"/>
      <c r="Z365" s="102"/>
      <c r="AA365" s="102"/>
      <c r="AB365" s="102"/>
      <c r="AC365" s="102"/>
      <c r="AD365" s="102"/>
      <c r="AE365" s="102"/>
      <c r="AF365" s="102"/>
      <c r="AG365" s="102"/>
      <c r="AH365" s="102"/>
      <c r="AI365" s="102"/>
      <c r="AJ365" s="102"/>
      <c r="AK365" s="102"/>
      <c r="AL365" s="102"/>
      <c r="AM365" s="102"/>
      <c r="AN365" s="102"/>
      <c r="AO365" s="102"/>
      <c r="AP365" s="102"/>
      <c r="AQ365" s="102"/>
      <c r="AR365" s="102"/>
      <c r="AS365" s="102"/>
      <c r="AT365" s="102"/>
      <c r="AU365" s="102"/>
      <c r="AV365" s="102"/>
      <c r="AW365" s="102"/>
      <c r="AY365" s="102"/>
      <c r="AZ365" s="102"/>
      <c r="BA365" s="102"/>
      <c r="BB365" s="102"/>
      <c r="BC365" s="102"/>
      <c r="BD365" s="102"/>
      <c r="BE365" s="102"/>
      <c r="BF365" s="102"/>
      <c r="BG365" s="102"/>
      <c r="BH365" s="102"/>
      <c r="BI365" s="102"/>
      <c r="BJ365" s="102"/>
      <c r="BK365" s="102"/>
      <c r="BL365" s="102"/>
      <c r="BM365" s="102"/>
      <c r="BN365" s="102"/>
    </row>
    <row r="366" spans="2:66" s="64" customFormat="1" ht="20.25" customHeight="1">
      <c r="B366" s="102"/>
      <c r="C366" s="102"/>
      <c r="D366" s="102"/>
      <c r="E366" s="102"/>
      <c r="F366" s="102"/>
      <c r="G366" s="102"/>
      <c r="H366" s="102"/>
      <c r="I366" s="102"/>
      <c r="J366" s="102"/>
      <c r="K366" s="102"/>
      <c r="L366" s="102"/>
      <c r="M366" s="102"/>
      <c r="N366" s="102"/>
      <c r="O366" s="102"/>
      <c r="P366" s="102"/>
      <c r="Q366" s="102"/>
      <c r="R366" s="102"/>
      <c r="S366" s="102"/>
      <c r="T366" s="102"/>
      <c r="U366" s="102"/>
      <c r="V366" s="102"/>
      <c r="W366" s="102"/>
      <c r="X366" s="102"/>
      <c r="Y366" s="102"/>
      <c r="Z366" s="102"/>
      <c r="AA366" s="102"/>
      <c r="AB366" s="102"/>
      <c r="AC366" s="102"/>
      <c r="AD366" s="102"/>
      <c r="AE366" s="102"/>
      <c r="AF366" s="102"/>
      <c r="AG366" s="102"/>
      <c r="AH366" s="102"/>
      <c r="AI366" s="102"/>
      <c r="AJ366" s="102"/>
      <c r="AK366" s="102"/>
      <c r="AL366" s="102"/>
      <c r="AM366" s="102"/>
      <c r="AN366" s="102"/>
      <c r="AO366" s="102"/>
      <c r="AP366" s="102"/>
      <c r="AQ366" s="102"/>
      <c r="AR366" s="102"/>
      <c r="AS366" s="102"/>
      <c r="AT366" s="102"/>
      <c r="AU366" s="102"/>
      <c r="AV366" s="102"/>
      <c r="AW366" s="102"/>
      <c r="AY366" s="102"/>
      <c r="AZ366" s="102"/>
      <c r="BA366" s="102"/>
      <c r="BB366" s="102"/>
      <c r="BC366" s="102"/>
      <c r="BD366" s="102"/>
      <c r="BE366" s="102"/>
      <c r="BF366" s="102"/>
      <c r="BG366" s="102"/>
      <c r="BH366" s="102"/>
      <c r="BI366" s="102"/>
      <c r="BJ366" s="102"/>
      <c r="BK366" s="102"/>
      <c r="BL366" s="102"/>
      <c r="BM366" s="102"/>
      <c r="BN366" s="102"/>
    </row>
    <row r="367" spans="2:66" s="64" customFormat="1" ht="20.25" customHeight="1">
      <c r="B367" s="102"/>
      <c r="C367" s="102"/>
      <c r="D367" s="102"/>
      <c r="E367" s="102"/>
      <c r="F367" s="102"/>
      <c r="G367" s="102"/>
      <c r="H367" s="102"/>
      <c r="I367" s="102"/>
      <c r="J367" s="102"/>
      <c r="K367" s="102"/>
      <c r="L367" s="102"/>
      <c r="M367" s="102"/>
      <c r="N367" s="102"/>
      <c r="O367" s="102"/>
      <c r="P367" s="102"/>
      <c r="Q367" s="102"/>
      <c r="R367" s="102"/>
      <c r="S367" s="102"/>
      <c r="T367" s="102"/>
      <c r="U367" s="102"/>
      <c r="V367" s="102"/>
      <c r="W367" s="102"/>
      <c r="X367" s="102"/>
      <c r="Y367" s="102"/>
      <c r="Z367" s="102"/>
      <c r="AA367" s="102"/>
      <c r="AB367" s="102"/>
      <c r="AC367" s="102"/>
      <c r="AD367" s="102"/>
      <c r="AE367" s="102"/>
      <c r="AF367" s="102"/>
      <c r="AG367" s="102"/>
      <c r="AH367" s="102"/>
      <c r="AI367" s="102"/>
      <c r="AJ367" s="102"/>
      <c r="AK367" s="102"/>
      <c r="AL367" s="102"/>
      <c r="AM367" s="102"/>
      <c r="AN367" s="102"/>
      <c r="AO367" s="102"/>
      <c r="AP367" s="102"/>
      <c r="AQ367" s="102"/>
      <c r="AR367" s="102"/>
      <c r="AS367" s="102"/>
      <c r="AT367" s="102"/>
      <c r="AU367" s="102"/>
      <c r="AV367" s="102"/>
      <c r="AW367" s="102"/>
      <c r="AY367" s="102"/>
      <c r="AZ367" s="102"/>
      <c r="BA367" s="102"/>
      <c r="BB367" s="102"/>
      <c r="BC367" s="102"/>
      <c r="BD367" s="102"/>
      <c r="BE367" s="102"/>
      <c r="BF367" s="102"/>
      <c r="BG367" s="102"/>
      <c r="BH367" s="102"/>
      <c r="BI367" s="102"/>
      <c r="BJ367" s="102"/>
      <c r="BK367" s="102"/>
      <c r="BL367" s="102"/>
      <c r="BM367" s="102"/>
      <c r="BN367" s="102"/>
    </row>
    <row r="368" spans="2:66" s="64" customFormat="1" ht="20.25" customHeight="1">
      <c r="B368" s="102"/>
      <c r="C368" s="102"/>
      <c r="D368" s="102"/>
      <c r="E368" s="102"/>
      <c r="F368" s="102"/>
      <c r="G368" s="102"/>
      <c r="H368" s="102"/>
      <c r="I368" s="102"/>
      <c r="J368" s="102"/>
      <c r="K368" s="102"/>
      <c r="L368" s="102"/>
      <c r="M368" s="102"/>
      <c r="N368" s="102"/>
      <c r="O368" s="102"/>
      <c r="P368" s="102"/>
      <c r="Q368" s="102"/>
      <c r="R368" s="102"/>
      <c r="S368" s="102"/>
      <c r="T368" s="102"/>
      <c r="U368" s="102"/>
      <c r="V368" s="102"/>
      <c r="W368" s="102"/>
      <c r="X368" s="102"/>
      <c r="Y368" s="102"/>
      <c r="Z368" s="102"/>
      <c r="AA368" s="102"/>
      <c r="AB368" s="102"/>
      <c r="AC368" s="102"/>
      <c r="AD368" s="102"/>
      <c r="AE368" s="102"/>
      <c r="AF368" s="102"/>
      <c r="AG368" s="102"/>
      <c r="AH368" s="102"/>
      <c r="AI368" s="102"/>
      <c r="AJ368" s="102"/>
      <c r="AK368" s="102"/>
      <c r="AL368" s="102"/>
      <c r="AM368" s="102"/>
      <c r="AN368" s="102"/>
      <c r="AO368" s="102"/>
      <c r="AP368" s="102"/>
      <c r="AQ368" s="102"/>
      <c r="AR368" s="102"/>
      <c r="AS368" s="102"/>
      <c r="AT368" s="102"/>
      <c r="AU368" s="102"/>
      <c r="AV368" s="102"/>
      <c r="AW368" s="102"/>
      <c r="AY368" s="102"/>
      <c r="AZ368" s="102"/>
      <c r="BA368" s="102"/>
      <c r="BB368" s="102"/>
      <c r="BC368" s="102"/>
      <c r="BD368" s="102"/>
      <c r="BE368" s="102"/>
      <c r="BF368" s="102"/>
      <c r="BG368" s="102"/>
      <c r="BH368" s="102"/>
      <c r="BI368" s="102"/>
      <c r="BJ368" s="102"/>
      <c r="BK368" s="102"/>
      <c r="BL368" s="102"/>
      <c r="BM368" s="102"/>
      <c r="BN368" s="102"/>
    </row>
    <row r="369" spans="2:66" s="64" customFormat="1" ht="20.25" customHeight="1">
      <c r="B369" s="102"/>
      <c r="C369" s="102"/>
      <c r="D369" s="102"/>
      <c r="E369" s="102"/>
      <c r="F369" s="102"/>
      <c r="G369" s="102"/>
      <c r="H369" s="102"/>
      <c r="I369" s="102"/>
      <c r="J369" s="102"/>
      <c r="K369" s="102"/>
      <c r="L369" s="102"/>
      <c r="M369" s="102"/>
      <c r="N369" s="102"/>
      <c r="O369" s="102"/>
      <c r="P369" s="102"/>
      <c r="Q369" s="102"/>
      <c r="R369" s="102"/>
      <c r="S369" s="102"/>
      <c r="T369" s="102"/>
      <c r="U369" s="102"/>
      <c r="V369" s="102"/>
      <c r="W369" s="102"/>
      <c r="X369" s="102"/>
      <c r="Y369" s="102"/>
      <c r="Z369" s="102"/>
      <c r="AA369" s="102"/>
      <c r="AB369" s="102"/>
      <c r="AC369" s="102"/>
      <c r="AD369" s="102"/>
      <c r="AE369" s="102"/>
      <c r="AF369" s="102"/>
      <c r="AG369" s="102"/>
      <c r="AH369" s="102"/>
      <c r="AI369" s="102"/>
      <c r="AJ369" s="102"/>
      <c r="AK369" s="102"/>
      <c r="AL369" s="102"/>
      <c r="AM369" s="102"/>
      <c r="AN369" s="102"/>
      <c r="AO369" s="102"/>
      <c r="AP369" s="102"/>
      <c r="AQ369" s="102"/>
      <c r="AR369" s="102"/>
      <c r="AS369" s="102"/>
      <c r="AT369" s="102"/>
      <c r="AU369" s="102"/>
      <c r="AV369" s="102"/>
      <c r="AW369" s="102"/>
      <c r="AY369" s="102"/>
      <c r="AZ369" s="102"/>
      <c r="BA369" s="102"/>
      <c r="BB369" s="102"/>
      <c r="BC369" s="102"/>
      <c r="BD369" s="102"/>
      <c r="BE369" s="102"/>
      <c r="BF369" s="102"/>
      <c r="BG369" s="102"/>
      <c r="BH369" s="102"/>
      <c r="BI369" s="102"/>
      <c r="BJ369" s="102"/>
      <c r="BK369" s="102"/>
      <c r="BL369" s="102"/>
      <c r="BM369" s="102"/>
      <c r="BN369" s="102"/>
    </row>
    <row r="370" spans="2:66" s="64" customFormat="1" ht="20.25" customHeight="1">
      <c r="B370" s="102"/>
      <c r="C370" s="102"/>
      <c r="D370" s="102"/>
      <c r="E370" s="102"/>
      <c r="F370" s="102"/>
      <c r="G370" s="102"/>
      <c r="H370" s="102"/>
      <c r="I370" s="102"/>
      <c r="J370" s="102"/>
      <c r="K370" s="102"/>
      <c r="L370" s="102"/>
      <c r="M370" s="102"/>
      <c r="N370" s="102"/>
      <c r="O370" s="102"/>
      <c r="P370" s="102"/>
      <c r="Q370" s="102"/>
      <c r="R370" s="102"/>
      <c r="S370" s="102"/>
      <c r="T370" s="102"/>
      <c r="U370" s="102"/>
      <c r="V370" s="102"/>
      <c r="W370" s="102"/>
      <c r="X370" s="102"/>
      <c r="Y370" s="102"/>
      <c r="Z370" s="102"/>
      <c r="AA370" s="102"/>
      <c r="AB370" s="102"/>
      <c r="AC370" s="102"/>
      <c r="AD370" s="102"/>
      <c r="AE370" s="102"/>
      <c r="AF370" s="102"/>
      <c r="AG370" s="102"/>
      <c r="AH370" s="102"/>
      <c r="AI370" s="102"/>
      <c r="AJ370" s="102"/>
      <c r="AK370" s="102"/>
      <c r="AL370" s="102"/>
      <c r="AM370" s="102"/>
      <c r="AN370" s="102"/>
      <c r="AO370" s="102"/>
      <c r="AP370" s="102"/>
      <c r="AQ370" s="102"/>
      <c r="AR370" s="102"/>
      <c r="AS370" s="102"/>
      <c r="AT370" s="102"/>
      <c r="AU370" s="102"/>
      <c r="AV370" s="102"/>
      <c r="AW370" s="102"/>
      <c r="AY370" s="102"/>
      <c r="AZ370" s="102"/>
      <c r="BA370" s="102"/>
      <c r="BB370" s="102"/>
      <c r="BC370" s="102"/>
      <c r="BD370" s="102"/>
      <c r="BE370" s="102"/>
      <c r="BF370" s="102"/>
      <c r="BG370" s="102"/>
      <c r="BH370" s="102"/>
      <c r="BI370" s="102"/>
      <c r="BJ370" s="102"/>
      <c r="BK370" s="102"/>
      <c r="BL370" s="102"/>
      <c r="BM370" s="102"/>
      <c r="BN370" s="102"/>
    </row>
    <row r="371" spans="2:66" s="64" customFormat="1" ht="20.25" customHeight="1">
      <c r="B371" s="102"/>
      <c r="C371" s="102"/>
      <c r="D371" s="102"/>
      <c r="E371" s="102"/>
      <c r="F371" s="102"/>
      <c r="G371" s="102"/>
      <c r="H371" s="102"/>
      <c r="I371" s="102"/>
      <c r="J371" s="102"/>
      <c r="K371" s="102"/>
      <c r="L371" s="102"/>
      <c r="M371" s="102"/>
      <c r="N371" s="102"/>
      <c r="O371" s="102"/>
      <c r="P371" s="102"/>
      <c r="Q371" s="102"/>
      <c r="R371" s="102"/>
      <c r="S371" s="102"/>
      <c r="T371" s="102"/>
      <c r="U371" s="102"/>
      <c r="V371" s="102"/>
      <c r="W371" s="102"/>
      <c r="X371" s="102"/>
      <c r="Y371" s="102"/>
      <c r="Z371" s="102"/>
      <c r="AA371" s="102"/>
      <c r="AB371" s="102"/>
      <c r="AC371" s="102"/>
      <c r="AD371" s="102"/>
      <c r="AE371" s="102"/>
      <c r="AF371" s="102"/>
      <c r="AG371" s="102"/>
      <c r="AH371" s="102"/>
      <c r="AI371" s="102"/>
      <c r="AJ371" s="102"/>
      <c r="AK371" s="102"/>
      <c r="AL371" s="102"/>
      <c r="AM371" s="102"/>
      <c r="AN371" s="102"/>
      <c r="AO371" s="102"/>
      <c r="AP371" s="102"/>
      <c r="AQ371" s="102"/>
      <c r="AR371" s="102"/>
      <c r="AS371" s="102"/>
      <c r="AT371" s="102"/>
      <c r="AU371" s="102"/>
      <c r="AV371" s="102"/>
      <c r="AW371" s="102"/>
      <c r="AY371" s="102"/>
      <c r="AZ371" s="102"/>
      <c r="BA371" s="102"/>
      <c r="BB371" s="102"/>
      <c r="BC371" s="102"/>
      <c r="BD371" s="102"/>
      <c r="BE371" s="102"/>
      <c r="BF371" s="102"/>
      <c r="BG371" s="102"/>
      <c r="BH371" s="102"/>
      <c r="BI371" s="102"/>
      <c r="BJ371" s="102"/>
      <c r="BK371" s="102"/>
      <c r="BL371" s="102"/>
      <c r="BM371" s="102"/>
      <c r="BN371" s="102"/>
    </row>
    <row r="372" spans="2:66" s="64" customFormat="1" ht="20.25" customHeight="1">
      <c r="B372" s="102"/>
      <c r="C372" s="102"/>
      <c r="D372" s="102"/>
      <c r="E372" s="102"/>
      <c r="F372" s="102"/>
      <c r="G372" s="102"/>
      <c r="H372" s="102"/>
      <c r="I372" s="102"/>
      <c r="J372" s="102"/>
      <c r="K372" s="102"/>
      <c r="L372" s="102"/>
      <c r="M372" s="102"/>
      <c r="N372" s="102"/>
      <c r="O372" s="102"/>
      <c r="P372" s="102"/>
      <c r="Q372" s="102"/>
      <c r="R372" s="102"/>
      <c r="S372" s="102"/>
      <c r="T372" s="102"/>
      <c r="U372" s="102"/>
      <c r="V372" s="102"/>
      <c r="W372" s="102"/>
      <c r="X372" s="102"/>
      <c r="Y372" s="102"/>
      <c r="Z372" s="102"/>
      <c r="AA372" s="102"/>
      <c r="AB372" s="102"/>
      <c r="AC372" s="102"/>
      <c r="AD372" s="102"/>
      <c r="AE372" s="102"/>
      <c r="AF372" s="102"/>
      <c r="AG372" s="102"/>
      <c r="AH372" s="102"/>
      <c r="AI372" s="102"/>
      <c r="AJ372" s="102"/>
      <c r="AK372" s="102"/>
      <c r="AL372" s="102"/>
      <c r="AM372" s="102"/>
      <c r="AN372" s="102"/>
      <c r="AO372" s="102"/>
      <c r="AP372" s="102"/>
      <c r="AQ372" s="102"/>
      <c r="AR372" s="102"/>
      <c r="AS372" s="102"/>
      <c r="AT372" s="102"/>
      <c r="AU372" s="102"/>
      <c r="AV372" s="102"/>
      <c r="AW372" s="102"/>
      <c r="AY372" s="102"/>
      <c r="AZ372" s="102"/>
      <c r="BA372" s="102"/>
      <c r="BB372" s="102"/>
      <c r="BC372" s="102"/>
      <c r="BD372" s="102"/>
      <c r="BE372" s="102"/>
      <c r="BF372" s="102"/>
      <c r="BG372" s="102"/>
      <c r="BH372" s="102"/>
      <c r="BI372" s="102"/>
      <c r="BJ372" s="102"/>
      <c r="BK372" s="102"/>
      <c r="BL372" s="102"/>
      <c r="BM372" s="102"/>
      <c r="BN372" s="102"/>
    </row>
    <row r="373" spans="2:66" s="64" customFormat="1" ht="20.25" customHeight="1">
      <c r="B373" s="102"/>
      <c r="C373" s="102"/>
      <c r="D373" s="102"/>
      <c r="E373" s="102"/>
      <c r="F373" s="102"/>
      <c r="G373" s="102"/>
      <c r="H373" s="102"/>
      <c r="I373" s="102"/>
      <c r="J373" s="102"/>
      <c r="K373" s="102"/>
      <c r="L373" s="102"/>
      <c r="M373" s="102"/>
      <c r="N373" s="102"/>
      <c r="O373" s="102"/>
      <c r="P373" s="102"/>
      <c r="Q373" s="102"/>
      <c r="R373" s="102"/>
      <c r="S373" s="102"/>
      <c r="T373" s="102"/>
      <c r="U373" s="102"/>
      <c r="V373" s="102"/>
      <c r="W373" s="102"/>
      <c r="X373" s="102"/>
      <c r="Y373" s="102"/>
      <c r="Z373" s="102"/>
      <c r="AA373" s="102"/>
      <c r="AB373" s="102"/>
      <c r="AC373" s="102"/>
      <c r="AD373" s="102"/>
      <c r="AE373" s="102"/>
      <c r="AF373" s="102"/>
      <c r="AG373" s="102"/>
      <c r="AH373" s="102"/>
      <c r="AI373" s="102"/>
      <c r="AJ373" s="102"/>
      <c r="AK373" s="102"/>
      <c r="AL373" s="102"/>
      <c r="AM373" s="102"/>
      <c r="AN373" s="102"/>
      <c r="AO373" s="102"/>
      <c r="AP373" s="102"/>
      <c r="AQ373" s="102"/>
      <c r="AR373" s="102"/>
      <c r="AS373" s="102"/>
      <c r="AT373" s="102"/>
      <c r="AU373" s="102"/>
      <c r="AV373" s="102"/>
      <c r="AW373" s="102"/>
      <c r="AY373" s="102"/>
      <c r="AZ373" s="102"/>
      <c r="BA373" s="102"/>
      <c r="BB373" s="102"/>
      <c r="BC373" s="102"/>
      <c r="BD373" s="102"/>
      <c r="BE373" s="102"/>
      <c r="BF373" s="102"/>
      <c r="BG373" s="102"/>
      <c r="BH373" s="102"/>
      <c r="BI373" s="102"/>
      <c r="BJ373" s="102"/>
      <c r="BK373" s="102"/>
      <c r="BL373" s="102"/>
      <c r="BM373" s="102"/>
      <c r="BN373" s="102"/>
    </row>
    <row r="374" spans="2:66" s="64" customFormat="1" ht="20.25" customHeight="1">
      <c r="B374" s="102"/>
      <c r="C374" s="102"/>
      <c r="D374" s="102"/>
      <c r="E374" s="102"/>
      <c r="F374" s="102"/>
      <c r="G374" s="102"/>
      <c r="H374" s="102"/>
      <c r="I374" s="102"/>
      <c r="J374" s="102"/>
      <c r="K374" s="102"/>
      <c r="L374" s="102"/>
      <c r="M374" s="102"/>
      <c r="N374" s="102"/>
      <c r="O374" s="102"/>
      <c r="P374" s="102"/>
      <c r="Q374" s="102"/>
      <c r="R374" s="102"/>
      <c r="S374" s="102"/>
      <c r="T374" s="102"/>
      <c r="U374" s="102"/>
      <c r="V374" s="102"/>
      <c r="W374" s="102"/>
      <c r="X374" s="102"/>
      <c r="Y374" s="102"/>
      <c r="Z374" s="102"/>
      <c r="AA374" s="102"/>
      <c r="AB374" s="102"/>
      <c r="AC374" s="102"/>
      <c r="AD374" s="102"/>
      <c r="AE374" s="102"/>
      <c r="AF374" s="102"/>
      <c r="AG374" s="102"/>
      <c r="AH374" s="102"/>
      <c r="AI374" s="102"/>
      <c r="AJ374" s="102"/>
      <c r="AK374" s="102"/>
      <c r="AL374" s="102"/>
      <c r="AM374" s="102"/>
      <c r="AN374" s="102"/>
      <c r="AO374" s="102"/>
      <c r="AP374" s="102"/>
      <c r="AQ374" s="102"/>
      <c r="AR374" s="102"/>
      <c r="AS374" s="102"/>
      <c r="AT374" s="102"/>
      <c r="AU374" s="102"/>
      <c r="AV374" s="102"/>
      <c r="AW374" s="102"/>
      <c r="AY374" s="102"/>
      <c r="AZ374" s="102"/>
      <c r="BA374" s="102"/>
      <c r="BB374" s="102"/>
      <c r="BC374" s="102"/>
      <c r="BD374" s="102"/>
      <c r="BE374" s="102"/>
      <c r="BF374" s="102"/>
      <c r="BG374" s="102"/>
      <c r="BH374" s="102"/>
      <c r="BI374" s="102"/>
      <c r="BJ374" s="102"/>
      <c r="BK374" s="102"/>
      <c r="BL374" s="102"/>
      <c r="BM374" s="102"/>
      <c r="BN374" s="102"/>
    </row>
    <row r="375" spans="2:66" s="64" customFormat="1" ht="20.25" customHeight="1">
      <c r="B375" s="102"/>
      <c r="C375" s="102"/>
      <c r="D375" s="102"/>
      <c r="E375" s="102"/>
      <c r="F375" s="102"/>
      <c r="G375" s="102"/>
      <c r="H375" s="102"/>
      <c r="I375" s="102"/>
      <c r="J375" s="102"/>
      <c r="K375" s="102"/>
      <c r="L375" s="102"/>
      <c r="M375" s="102"/>
      <c r="N375" s="102"/>
      <c r="O375" s="102"/>
      <c r="P375" s="102"/>
      <c r="Q375" s="102"/>
      <c r="R375" s="102"/>
      <c r="S375" s="102"/>
      <c r="T375" s="102"/>
      <c r="U375" s="102"/>
      <c r="V375" s="102"/>
      <c r="W375" s="102"/>
      <c r="X375" s="102"/>
      <c r="Y375" s="102"/>
      <c r="Z375" s="102"/>
      <c r="AA375" s="102"/>
      <c r="AB375" s="102"/>
      <c r="AC375" s="102"/>
      <c r="AD375" s="102"/>
      <c r="AE375" s="102"/>
      <c r="AF375" s="102"/>
      <c r="AG375" s="102"/>
      <c r="AH375" s="102"/>
      <c r="AI375" s="102"/>
      <c r="AJ375" s="102"/>
      <c r="AK375" s="102"/>
      <c r="AL375" s="102"/>
      <c r="AM375" s="102"/>
      <c r="AN375" s="102"/>
      <c r="AO375" s="102"/>
      <c r="AP375" s="102"/>
      <c r="AQ375" s="102"/>
      <c r="AR375" s="102"/>
      <c r="AS375" s="102"/>
      <c r="AT375" s="102"/>
      <c r="AU375" s="102"/>
      <c r="AV375" s="102"/>
      <c r="AW375" s="102"/>
      <c r="AY375" s="102"/>
      <c r="AZ375" s="102"/>
      <c r="BA375" s="102"/>
      <c r="BB375" s="102"/>
      <c r="BC375" s="102"/>
      <c r="BD375" s="102"/>
      <c r="BE375" s="102"/>
      <c r="BF375" s="102"/>
      <c r="BG375" s="102"/>
      <c r="BH375" s="102"/>
      <c r="BI375" s="102"/>
      <c r="BJ375" s="102"/>
      <c r="BK375" s="102"/>
      <c r="BL375" s="102"/>
      <c r="BM375" s="102"/>
      <c r="BN375" s="102"/>
    </row>
    <row r="376" spans="2:66" s="64" customFormat="1" ht="20.25" customHeight="1">
      <c r="B376" s="102"/>
      <c r="C376" s="102"/>
      <c r="D376" s="102"/>
      <c r="E376" s="102"/>
      <c r="F376" s="102"/>
      <c r="G376" s="102"/>
      <c r="H376" s="102"/>
      <c r="I376" s="102"/>
      <c r="J376" s="102"/>
      <c r="K376" s="102"/>
      <c r="L376" s="102"/>
      <c r="M376" s="102"/>
      <c r="N376" s="102"/>
      <c r="O376" s="102"/>
      <c r="P376" s="102"/>
      <c r="Q376" s="102"/>
      <c r="R376" s="102"/>
      <c r="S376" s="102"/>
      <c r="T376" s="102"/>
      <c r="U376" s="102"/>
      <c r="V376" s="102"/>
      <c r="W376" s="102"/>
      <c r="X376" s="102"/>
      <c r="Y376" s="102"/>
      <c r="Z376" s="102"/>
      <c r="AA376" s="102"/>
      <c r="AB376" s="102"/>
      <c r="AC376" s="102"/>
      <c r="AD376" s="102"/>
      <c r="AE376" s="102"/>
      <c r="AF376" s="102"/>
      <c r="AG376" s="102"/>
      <c r="AH376" s="102"/>
      <c r="AI376" s="102"/>
      <c r="AJ376" s="102"/>
      <c r="AK376" s="102"/>
      <c r="AL376" s="102"/>
      <c r="AM376" s="102"/>
      <c r="AN376" s="102"/>
      <c r="AO376" s="102"/>
      <c r="AP376" s="102"/>
      <c r="AQ376" s="102"/>
      <c r="AR376" s="102"/>
      <c r="AS376" s="102"/>
      <c r="AT376" s="102"/>
      <c r="AU376" s="102"/>
      <c r="AV376" s="102"/>
      <c r="AW376" s="102"/>
      <c r="AY376" s="102"/>
      <c r="AZ376" s="102"/>
      <c r="BA376" s="102"/>
      <c r="BB376" s="102"/>
      <c r="BC376" s="102"/>
      <c r="BD376" s="102"/>
      <c r="BE376" s="102"/>
      <c r="BF376" s="102"/>
      <c r="BG376" s="102"/>
      <c r="BH376" s="102"/>
      <c r="BI376" s="102"/>
      <c r="BJ376" s="102"/>
      <c r="BK376" s="102"/>
      <c r="BL376" s="102"/>
      <c r="BM376" s="102"/>
      <c r="BN376" s="102"/>
    </row>
    <row r="377" spans="2:66" s="64" customFormat="1" ht="20.25" customHeight="1">
      <c r="B377" s="102"/>
      <c r="C377" s="102"/>
      <c r="D377" s="102"/>
      <c r="E377" s="102"/>
      <c r="F377" s="102"/>
      <c r="G377" s="102"/>
      <c r="H377" s="102"/>
      <c r="I377" s="102"/>
      <c r="J377" s="102"/>
      <c r="K377" s="102"/>
      <c r="L377" s="102"/>
      <c r="M377" s="102"/>
      <c r="N377" s="102"/>
      <c r="O377" s="102"/>
      <c r="P377" s="102"/>
      <c r="Q377" s="102"/>
      <c r="R377" s="102"/>
      <c r="S377" s="102"/>
      <c r="T377" s="102"/>
      <c r="U377" s="102"/>
      <c r="V377" s="102"/>
      <c r="W377" s="102"/>
      <c r="X377" s="102"/>
      <c r="Y377" s="102"/>
      <c r="Z377" s="102"/>
      <c r="AA377" s="102"/>
      <c r="AB377" s="102"/>
      <c r="AC377" s="102"/>
      <c r="AD377" s="102"/>
      <c r="AE377" s="102"/>
      <c r="AF377" s="102"/>
      <c r="AG377" s="102"/>
      <c r="AH377" s="102"/>
      <c r="AI377" s="102"/>
      <c r="AJ377" s="102"/>
      <c r="AK377" s="102"/>
      <c r="AL377" s="102"/>
      <c r="AM377" s="102"/>
      <c r="AN377" s="102"/>
      <c r="AO377" s="102"/>
      <c r="AP377" s="102"/>
      <c r="AQ377" s="102"/>
      <c r="AR377" s="102"/>
      <c r="AS377" s="102"/>
      <c r="AT377" s="102"/>
      <c r="AU377" s="102"/>
      <c r="AV377" s="102"/>
      <c r="AW377" s="102"/>
      <c r="AY377" s="102"/>
      <c r="AZ377" s="102"/>
      <c r="BA377" s="102"/>
      <c r="BB377" s="102"/>
      <c r="BC377" s="102"/>
      <c r="BD377" s="102"/>
      <c r="BE377" s="102"/>
      <c r="BF377" s="102"/>
      <c r="BG377" s="102"/>
      <c r="BH377" s="102"/>
      <c r="BI377" s="102"/>
      <c r="BJ377" s="102"/>
      <c r="BK377" s="102"/>
      <c r="BL377" s="102"/>
      <c r="BM377" s="102"/>
      <c r="BN377" s="102"/>
    </row>
    <row r="378" spans="2:66" s="64" customFormat="1" ht="20.25" customHeight="1">
      <c r="B378" s="102"/>
      <c r="C378" s="102"/>
      <c r="D378" s="102"/>
      <c r="E378" s="102"/>
      <c r="F378" s="102"/>
      <c r="G378" s="102"/>
      <c r="H378" s="102"/>
      <c r="I378" s="102"/>
      <c r="J378" s="102"/>
      <c r="K378" s="102"/>
      <c r="L378" s="102"/>
      <c r="M378" s="102"/>
      <c r="N378" s="102"/>
      <c r="O378" s="102"/>
      <c r="P378" s="102"/>
      <c r="Q378" s="102"/>
      <c r="R378" s="102"/>
      <c r="S378" s="102"/>
      <c r="T378" s="102"/>
      <c r="U378" s="102"/>
      <c r="V378" s="102"/>
      <c r="W378" s="102"/>
      <c r="X378" s="102"/>
      <c r="Y378" s="102"/>
      <c r="Z378" s="102"/>
      <c r="AA378" s="102"/>
      <c r="AB378" s="102"/>
      <c r="AC378" s="102"/>
      <c r="AD378" s="102"/>
      <c r="AE378" s="102"/>
      <c r="AF378" s="102"/>
      <c r="AG378" s="102"/>
      <c r="AH378" s="102"/>
      <c r="AI378" s="102"/>
      <c r="AJ378" s="102"/>
      <c r="AK378" s="102"/>
      <c r="AL378" s="102"/>
      <c r="AM378" s="102"/>
      <c r="AN378" s="102"/>
      <c r="AO378" s="102"/>
      <c r="AP378" s="102"/>
      <c r="AQ378" s="102"/>
      <c r="AR378" s="102"/>
      <c r="AS378" s="102"/>
      <c r="AT378" s="102"/>
      <c r="AU378" s="102"/>
      <c r="AV378" s="102"/>
      <c r="AW378" s="102"/>
      <c r="AY378" s="102"/>
      <c r="AZ378" s="102"/>
      <c r="BA378" s="102"/>
      <c r="BB378" s="102"/>
      <c r="BC378" s="102"/>
      <c r="BD378" s="102"/>
      <c r="BE378" s="102"/>
      <c r="BF378" s="102"/>
      <c r="BG378" s="102"/>
      <c r="BH378" s="102"/>
      <c r="BI378" s="102"/>
      <c r="BJ378" s="102"/>
      <c r="BK378" s="102"/>
      <c r="BL378" s="102"/>
      <c r="BM378" s="102"/>
      <c r="BN378" s="102"/>
    </row>
    <row r="379" spans="2:66" s="64" customFormat="1" ht="20.25" customHeight="1">
      <c r="B379" s="102"/>
      <c r="C379" s="102"/>
      <c r="D379" s="102"/>
      <c r="E379" s="102"/>
      <c r="F379" s="102"/>
      <c r="G379" s="102"/>
      <c r="H379" s="102"/>
      <c r="I379" s="102"/>
      <c r="J379" s="102"/>
      <c r="K379" s="102"/>
      <c r="L379" s="102"/>
      <c r="M379" s="102"/>
      <c r="N379" s="102"/>
      <c r="O379" s="102"/>
      <c r="P379" s="102"/>
      <c r="Q379" s="102"/>
      <c r="R379" s="102"/>
      <c r="S379" s="102"/>
      <c r="T379" s="102"/>
      <c r="U379" s="102"/>
      <c r="V379" s="102"/>
      <c r="W379" s="102"/>
      <c r="X379" s="102"/>
      <c r="Y379" s="102"/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102"/>
      <c r="AR379" s="102"/>
      <c r="AS379" s="102"/>
      <c r="AT379" s="102"/>
      <c r="AU379" s="102"/>
      <c r="AV379" s="102"/>
      <c r="AW379" s="102"/>
      <c r="AY379" s="102"/>
      <c r="AZ379" s="102"/>
      <c r="BA379" s="102"/>
      <c r="BB379" s="102"/>
      <c r="BC379" s="102"/>
      <c r="BD379" s="102"/>
      <c r="BE379" s="102"/>
      <c r="BF379" s="102"/>
      <c r="BG379" s="102"/>
      <c r="BH379" s="102"/>
      <c r="BI379" s="102"/>
      <c r="BJ379" s="102"/>
      <c r="BK379" s="102"/>
      <c r="BL379" s="102"/>
      <c r="BM379" s="102"/>
      <c r="BN379" s="102"/>
    </row>
    <row r="380" spans="2:66" s="64" customFormat="1" ht="20.25" customHeight="1">
      <c r="B380" s="102"/>
      <c r="C380" s="102"/>
      <c r="D380" s="102"/>
      <c r="E380" s="102"/>
      <c r="F380" s="102"/>
      <c r="G380" s="102"/>
      <c r="H380" s="102"/>
      <c r="I380" s="102"/>
      <c r="J380" s="102"/>
      <c r="K380" s="102"/>
      <c r="L380" s="102"/>
      <c r="M380" s="102"/>
      <c r="N380" s="102"/>
      <c r="O380" s="102"/>
      <c r="P380" s="102"/>
      <c r="Q380" s="102"/>
      <c r="R380" s="102"/>
      <c r="S380" s="102"/>
      <c r="T380" s="102"/>
      <c r="U380" s="102"/>
      <c r="V380" s="102"/>
      <c r="W380" s="102"/>
      <c r="X380" s="102"/>
      <c r="Y380" s="102"/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102"/>
      <c r="AR380" s="102"/>
      <c r="AS380" s="102"/>
      <c r="AT380" s="102"/>
      <c r="AU380" s="102"/>
      <c r="AV380" s="102"/>
      <c r="AW380" s="102"/>
      <c r="AY380" s="102"/>
      <c r="AZ380" s="102"/>
      <c r="BA380" s="102"/>
      <c r="BB380" s="102"/>
      <c r="BC380" s="102"/>
      <c r="BD380" s="102"/>
      <c r="BE380" s="102"/>
      <c r="BF380" s="102"/>
      <c r="BG380" s="102"/>
      <c r="BH380" s="102"/>
      <c r="BI380" s="102"/>
      <c r="BJ380" s="102"/>
      <c r="BK380" s="102"/>
      <c r="BL380" s="102"/>
      <c r="BM380" s="102"/>
      <c r="BN380" s="102"/>
    </row>
    <row r="381" spans="2:66" s="64" customFormat="1" ht="20.25" customHeight="1">
      <c r="B381" s="102"/>
      <c r="C381" s="102"/>
      <c r="D381" s="102"/>
      <c r="E381" s="102"/>
      <c r="F381" s="102"/>
      <c r="G381" s="102"/>
      <c r="H381" s="102"/>
      <c r="I381" s="102"/>
      <c r="J381" s="102"/>
      <c r="K381" s="102"/>
      <c r="L381" s="102"/>
      <c r="M381" s="102"/>
      <c r="N381" s="102"/>
      <c r="O381" s="102"/>
      <c r="P381" s="102"/>
      <c r="Q381" s="102"/>
      <c r="R381" s="102"/>
      <c r="S381" s="102"/>
      <c r="T381" s="102"/>
      <c r="U381" s="102"/>
      <c r="V381" s="102"/>
      <c r="W381" s="102"/>
      <c r="X381" s="102"/>
      <c r="Y381" s="102"/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102"/>
      <c r="AR381" s="102"/>
      <c r="AS381" s="102"/>
      <c r="AT381" s="102"/>
      <c r="AU381" s="102"/>
      <c r="AV381" s="102"/>
      <c r="AW381" s="102"/>
      <c r="AY381" s="102"/>
      <c r="AZ381" s="102"/>
      <c r="BA381" s="102"/>
      <c r="BB381" s="102"/>
      <c r="BC381" s="102"/>
      <c r="BD381" s="102"/>
      <c r="BE381" s="102"/>
      <c r="BF381" s="102"/>
      <c r="BG381" s="102"/>
      <c r="BH381" s="102"/>
      <c r="BI381" s="102"/>
      <c r="BJ381" s="102"/>
      <c r="BK381" s="102"/>
      <c r="BL381" s="102"/>
      <c r="BM381" s="102"/>
      <c r="BN381" s="102"/>
    </row>
    <row r="382" spans="2:66" s="64" customFormat="1" ht="20.25" customHeight="1">
      <c r="B382" s="102"/>
      <c r="C382" s="102"/>
      <c r="D382" s="102"/>
      <c r="E382" s="102"/>
      <c r="F382" s="102"/>
      <c r="G382" s="102"/>
      <c r="H382" s="102"/>
      <c r="I382" s="102"/>
      <c r="J382" s="102"/>
      <c r="K382" s="102"/>
      <c r="L382" s="102"/>
      <c r="M382" s="102"/>
      <c r="N382" s="102"/>
      <c r="O382" s="102"/>
      <c r="P382" s="102"/>
      <c r="Q382" s="102"/>
      <c r="R382" s="102"/>
      <c r="S382" s="102"/>
      <c r="T382" s="102"/>
      <c r="U382" s="102"/>
      <c r="V382" s="102"/>
      <c r="W382" s="102"/>
      <c r="X382" s="102"/>
      <c r="Y382" s="102"/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102"/>
      <c r="AR382" s="102"/>
      <c r="AS382" s="102"/>
      <c r="AT382" s="102"/>
      <c r="AU382" s="102"/>
      <c r="AV382" s="102"/>
      <c r="AW382" s="102"/>
      <c r="AY382" s="102"/>
      <c r="AZ382" s="102"/>
      <c r="BA382" s="102"/>
      <c r="BB382" s="102"/>
      <c r="BC382" s="102"/>
      <c r="BD382" s="102"/>
      <c r="BE382" s="102"/>
      <c r="BF382" s="102"/>
      <c r="BG382" s="102"/>
      <c r="BH382" s="102"/>
      <c r="BI382" s="102"/>
      <c r="BJ382" s="102"/>
      <c r="BK382" s="102"/>
      <c r="BL382" s="102"/>
      <c r="BM382" s="102"/>
      <c r="BN382" s="102"/>
    </row>
    <row r="383" spans="2:66" s="64" customFormat="1" ht="20.25" customHeight="1">
      <c r="B383" s="102"/>
      <c r="C383" s="102"/>
      <c r="D383" s="102"/>
      <c r="E383" s="102"/>
      <c r="F383" s="102"/>
      <c r="G383" s="102"/>
      <c r="H383" s="102"/>
      <c r="I383" s="102"/>
      <c r="J383" s="102"/>
      <c r="K383" s="102"/>
      <c r="L383" s="102"/>
      <c r="M383" s="102"/>
      <c r="N383" s="102"/>
      <c r="O383" s="102"/>
      <c r="P383" s="102"/>
      <c r="Q383" s="102"/>
      <c r="R383" s="102"/>
      <c r="S383" s="102"/>
      <c r="T383" s="102"/>
      <c r="U383" s="102"/>
      <c r="V383" s="102"/>
      <c r="W383" s="102"/>
      <c r="X383" s="102"/>
      <c r="Y383" s="102"/>
      <c r="Z383" s="102"/>
      <c r="AA383" s="102"/>
      <c r="AB383" s="102"/>
      <c r="AC383" s="102"/>
      <c r="AD383" s="102"/>
      <c r="AE383" s="102"/>
      <c r="AF383" s="102"/>
      <c r="AG383" s="102"/>
      <c r="AH383" s="102"/>
      <c r="AI383" s="102"/>
      <c r="AJ383" s="102"/>
      <c r="AK383" s="102"/>
      <c r="AL383" s="102"/>
      <c r="AM383" s="102"/>
      <c r="AN383" s="102"/>
      <c r="AO383" s="102"/>
      <c r="AP383" s="102"/>
      <c r="AQ383" s="102"/>
      <c r="AR383" s="102"/>
      <c r="AS383" s="102"/>
      <c r="AT383" s="102"/>
      <c r="AU383" s="102"/>
      <c r="AV383" s="102"/>
      <c r="AW383" s="102"/>
      <c r="AY383" s="102"/>
      <c r="AZ383" s="102"/>
      <c r="BA383" s="102"/>
      <c r="BB383" s="102"/>
      <c r="BC383" s="102"/>
      <c r="BD383" s="102"/>
      <c r="BE383" s="102"/>
      <c r="BF383" s="102"/>
      <c r="BG383" s="102"/>
      <c r="BH383" s="102"/>
      <c r="BI383" s="102"/>
      <c r="BJ383" s="102"/>
      <c r="BK383" s="102"/>
      <c r="BL383" s="102"/>
      <c r="BM383" s="102"/>
      <c r="BN383" s="102"/>
    </row>
    <row r="384" spans="2:66" s="64" customFormat="1" ht="20.25" customHeight="1">
      <c r="B384" s="102"/>
      <c r="C384" s="102"/>
      <c r="D384" s="102"/>
      <c r="E384" s="102"/>
      <c r="F384" s="102"/>
      <c r="G384" s="102"/>
      <c r="H384" s="102"/>
      <c r="I384" s="102"/>
      <c r="J384" s="102"/>
      <c r="K384" s="102"/>
      <c r="L384" s="102"/>
      <c r="M384" s="102"/>
      <c r="N384" s="102"/>
      <c r="O384" s="102"/>
      <c r="P384" s="102"/>
      <c r="Q384" s="102"/>
      <c r="R384" s="102"/>
      <c r="S384" s="102"/>
      <c r="T384" s="102"/>
      <c r="U384" s="102"/>
      <c r="V384" s="102"/>
      <c r="W384" s="102"/>
      <c r="X384" s="102"/>
      <c r="Y384" s="102"/>
      <c r="Z384" s="102"/>
      <c r="AA384" s="102"/>
      <c r="AB384" s="102"/>
      <c r="AC384" s="102"/>
      <c r="AD384" s="102"/>
      <c r="AE384" s="102"/>
      <c r="AF384" s="102"/>
      <c r="AG384" s="102"/>
      <c r="AH384" s="102"/>
      <c r="AI384" s="102"/>
      <c r="AJ384" s="102"/>
      <c r="AK384" s="102"/>
      <c r="AL384" s="102"/>
      <c r="AM384" s="102"/>
      <c r="AN384" s="102"/>
      <c r="AO384" s="102"/>
      <c r="AP384" s="102"/>
      <c r="AQ384" s="102"/>
      <c r="AR384" s="102"/>
      <c r="AS384" s="102"/>
      <c r="AT384" s="102"/>
      <c r="AU384" s="102"/>
      <c r="AV384" s="102"/>
      <c r="AW384" s="102"/>
      <c r="AY384" s="102"/>
      <c r="AZ384" s="102"/>
      <c r="BA384" s="102"/>
      <c r="BB384" s="102"/>
      <c r="BC384" s="102"/>
      <c r="BD384" s="102"/>
      <c r="BE384" s="102"/>
      <c r="BF384" s="102"/>
      <c r="BG384" s="102"/>
      <c r="BH384" s="102"/>
      <c r="BI384" s="102"/>
      <c r="BJ384" s="102"/>
      <c r="BK384" s="102"/>
      <c r="BL384" s="102"/>
      <c r="BM384" s="102"/>
      <c r="BN384" s="102"/>
    </row>
    <row r="385" spans="2:66" s="64" customFormat="1" ht="20.25" customHeight="1">
      <c r="B385" s="102"/>
      <c r="C385" s="102"/>
      <c r="D385" s="102"/>
      <c r="E385" s="102"/>
      <c r="F385" s="102"/>
      <c r="G385" s="102"/>
      <c r="H385" s="102"/>
      <c r="I385" s="102"/>
      <c r="J385" s="102"/>
      <c r="K385" s="102"/>
      <c r="L385" s="102"/>
      <c r="M385" s="102"/>
      <c r="N385" s="102"/>
      <c r="O385" s="102"/>
      <c r="P385" s="102"/>
      <c r="Q385" s="102"/>
      <c r="R385" s="102"/>
      <c r="S385" s="102"/>
      <c r="T385" s="102"/>
      <c r="U385" s="102"/>
      <c r="V385" s="102"/>
      <c r="W385" s="102"/>
      <c r="X385" s="102"/>
      <c r="Y385" s="102"/>
      <c r="Z385" s="102"/>
      <c r="AA385" s="102"/>
      <c r="AB385" s="102"/>
      <c r="AC385" s="102"/>
      <c r="AD385" s="102"/>
      <c r="AE385" s="102"/>
      <c r="AF385" s="102"/>
      <c r="AG385" s="102"/>
      <c r="AH385" s="102"/>
      <c r="AI385" s="102"/>
      <c r="AJ385" s="102"/>
      <c r="AK385" s="102"/>
      <c r="AL385" s="102"/>
      <c r="AM385" s="102"/>
      <c r="AN385" s="102"/>
      <c r="AO385" s="102"/>
      <c r="AP385" s="102"/>
      <c r="AQ385" s="102"/>
      <c r="AR385" s="102"/>
      <c r="AS385" s="102"/>
      <c r="AT385" s="102"/>
      <c r="AU385" s="102"/>
      <c r="AV385" s="102"/>
      <c r="AW385" s="102"/>
      <c r="AY385" s="102"/>
      <c r="AZ385" s="102"/>
      <c r="BA385" s="102"/>
      <c r="BB385" s="102"/>
      <c r="BC385" s="102"/>
      <c r="BD385" s="102"/>
      <c r="BE385" s="102"/>
      <c r="BF385" s="102"/>
      <c r="BG385" s="102"/>
      <c r="BH385" s="102"/>
      <c r="BI385" s="102"/>
      <c r="BJ385" s="102"/>
      <c r="BK385" s="102"/>
      <c r="BL385" s="102"/>
      <c r="BM385" s="102"/>
      <c r="BN385" s="102"/>
    </row>
    <row r="386" spans="2:66" s="64" customFormat="1" ht="20.25" customHeight="1">
      <c r="B386" s="102"/>
      <c r="C386" s="102"/>
      <c r="D386" s="102"/>
      <c r="E386" s="102"/>
      <c r="F386" s="102"/>
      <c r="G386" s="102"/>
      <c r="H386" s="102"/>
      <c r="I386" s="102"/>
      <c r="J386" s="102"/>
      <c r="K386" s="102"/>
      <c r="L386" s="102"/>
      <c r="M386" s="102"/>
      <c r="N386" s="102"/>
      <c r="O386" s="102"/>
      <c r="P386" s="102"/>
      <c r="Q386" s="102"/>
      <c r="R386" s="102"/>
      <c r="S386" s="102"/>
      <c r="T386" s="102"/>
      <c r="U386" s="102"/>
      <c r="V386" s="102"/>
      <c r="W386" s="102"/>
      <c r="X386" s="102"/>
      <c r="Y386" s="102"/>
      <c r="Z386" s="102"/>
      <c r="AA386" s="102"/>
      <c r="AB386" s="102"/>
      <c r="AC386" s="102"/>
      <c r="AD386" s="102"/>
      <c r="AE386" s="102"/>
      <c r="AF386" s="102"/>
      <c r="AG386" s="102"/>
      <c r="AH386" s="102"/>
      <c r="AI386" s="102"/>
      <c r="AJ386" s="102"/>
      <c r="AK386" s="102"/>
      <c r="AL386" s="102"/>
      <c r="AM386" s="102"/>
      <c r="AN386" s="102"/>
      <c r="AO386" s="102"/>
      <c r="AP386" s="102"/>
      <c r="AQ386" s="102"/>
      <c r="AR386" s="102"/>
      <c r="AS386" s="102"/>
      <c r="AT386" s="102"/>
      <c r="AU386" s="102"/>
      <c r="AV386" s="102"/>
      <c r="AW386" s="102"/>
      <c r="AY386" s="102"/>
      <c r="AZ386" s="102"/>
      <c r="BA386" s="102"/>
      <c r="BB386" s="102"/>
      <c r="BC386" s="102"/>
      <c r="BD386" s="102"/>
      <c r="BE386" s="102"/>
      <c r="BF386" s="102"/>
      <c r="BG386" s="102"/>
      <c r="BH386" s="102"/>
      <c r="BI386" s="102"/>
      <c r="BJ386" s="102"/>
      <c r="BK386" s="102"/>
      <c r="BL386" s="102"/>
      <c r="BM386" s="102"/>
      <c r="BN386" s="102"/>
    </row>
    <row r="387" spans="2:66" s="64" customFormat="1" ht="20.25" customHeight="1">
      <c r="B387" s="102"/>
      <c r="C387" s="102"/>
      <c r="D387" s="102"/>
      <c r="E387" s="102"/>
      <c r="F387" s="102"/>
      <c r="G387" s="102"/>
      <c r="H387" s="102"/>
      <c r="I387" s="102"/>
      <c r="J387" s="102"/>
      <c r="K387" s="102"/>
      <c r="L387" s="102"/>
      <c r="M387" s="102"/>
      <c r="N387" s="102"/>
      <c r="O387" s="102"/>
      <c r="P387" s="102"/>
      <c r="Q387" s="102"/>
      <c r="R387" s="102"/>
      <c r="S387" s="102"/>
      <c r="T387" s="102"/>
      <c r="U387" s="102"/>
      <c r="V387" s="102"/>
      <c r="W387" s="102"/>
      <c r="X387" s="102"/>
      <c r="Y387" s="102"/>
      <c r="Z387" s="102"/>
      <c r="AA387" s="102"/>
      <c r="AB387" s="102"/>
      <c r="AC387" s="102"/>
      <c r="AD387" s="102"/>
      <c r="AE387" s="102"/>
      <c r="AF387" s="102"/>
      <c r="AG387" s="102"/>
      <c r="AH387" s="102"/>
      <c r="AI387" s="102"/>
      <c r="AJ387" s="102"/>
      <c r="AK387" s="102"/>
      <c r="AL387" s="102"/>
      <c r="AM387" s="102"/>
      <c r="AN387" s="102"/>
      <c r="AO387" s="102"/>
      <c r="AP387" s="102"/>
      <c r="AQ387" s="102"/>
      <c r="AR387" s="102"/>
      <c r="AS387" s="102"/>
      <c r="AT387" s="102"/>
      <c r="AU387" s="102"/>
      <c r="AV387" s="102"/>
      <c r="AW387" s="102"/>
      <c r="AY387" s="102"/>
      <c r="AZ387" s="102"/>
      <c r="BA387" s="102"/>
      <c r="BB387" s="102"/>
      <c r="BC387" s="102"/>
      <c r="BD387" s="102"/>
      <c r="BE387" s="102"/>
      <c r="BF387" s="102"/>
      <c r="BG387" s="102"/>
      <c r="BH387" s="102"/>
      <c r="BI387" s="102"/>
      <c r="BJ387" s="102"/>
      <c r="BK387" s="102"/>
      <c r="BL387" s="102"/>
      <c r="BM387" s="102"/>
      <c r="BN387" s="102"/>
    </row>
    <row r="388" spans="2:66" s="64" customFormat="1" ht="20.25" customHeight="1">
      <c r="B388" s="102"/>
      <c r="C388" s="102"/>
      <c r="D388" s="102"/>
      <c r="E388" s="102"/>
      <c r="F388" s="102"/>
      <c r="G388" s="102"/>
      <c r="H388" s="102"/>
      <c r="I388" s="102"/>
      <c r="J388" s="102"/>
      <c r="K388" s="102"/>
      <c r="L388" s="102"/>
      <c r="M388" s="102"/>
      <c r="N388" s="102"/>
      <c r="O388" s="102"/>
      <c r="P388" s="102"/>
      <c r="Q388" s="102"/>
      <c r="R388" s="102"/>
      <c r="S388" s="102"/>
      <c r="T388" s="102"/>
      <c r="U388" s="102"/>
      <c r="V388" s="102"/>
      <c r="W388" s="102"/>
      <c r="X388" s="102"/>
      <c r="Y388" s="102"/>
      <c r="Z388" s="102"/>
      <c r="AA388" s="102"/>
      <c r="AB388" s="102"/>
      <c r="AC388" s="102"/>
      <c r="AD388" s="102"/>
      <c r="AE388" s="102"/>
      <c r="AF388" s="102"/>
      <c r="AG388" s="102"/>
      <c r="AH388" s="102"/>
      <c r="AI388" s="102"/>
      <c r="AJ388" s="102"/>
      <c r="AK388" s="102"/>
      <c r="AL388" s="102"/>
      <c r="AM388" s="102"/>
      <c r="AN388" s="102"/>
      <c r="AO388" s="102"/>
      <c r="AP388" s="102"/>
      <c r="AQ388" s="102"/>
      <c r="AR388" s="102"/>
      <c r="AS388" s="102"/>
      <c r="AT388" s="102"/>
      <c r="AU388" s="102"/>
      <c r="AV388" s="102"/>
      <c r="AW388" s="102"/>
      <c r="AY388" s="102"/>
      <c r="AZ388" s="102"/>
      <c r="BA388" s="102"/>
      <c r="BB388" s="102"/>
      <c r="BC388" s="102"/>
      <c r="BD388" s="102"/>
      <c r="BE388" s="102"/>
      <c r="BF388" s="102"/>
      <c r="BG388" s="102"/>
      <c r="BH388" s="102"/>
      <c r="BI388" s="102"/>
      <c r="BJ388" s="102"/>
      <c r="BK388" s="102"/>
      <c r="BL388" s="102"/>
      <c r="BM388" s="102"/>
      <c r="BN388" s="102"/>
    </row>
    <row r="389" spans="2:66" s="64" customFormat="1" ht="20.25" customHeight="1">
      <c r="B389" s="102"/>
      <c r="C389" s="102"/>
      <c r="D389" s="102"/>
      <c r="E389" s="102"/>
      <c r="F389" s="102"/>
      <c r="G389" s="102"/>
      <c r="H389" s="102"/>
      <c r="I389" s="102"/>
      <c r="J389" s="102"/>
      <c r="K389" s="102"/>
      <c r="L389" s="102"/>
      <c r="M389" s="102"/>
      <c r="N389" s="102"/>
      <c r="O389" s="102"/>
      <c r="P389" s="102"/>
      <c r="Q389" s="102"/>
      <c r="R389" s="102"/>
      <c r="S389" s="102"/>
      <c r="T389" s="102"/>
      <c r="U389" s="102"/>
      <c r="V389" s="102"/>
      <c r="W389" s="102"/>
      <c r="X389" s="102"/>
      <c r="Y389" s="102"/>
      <c r="Z389" s="102"/>
      <c r="AA389" s="102"/>
      <c r="AB389" s="102"/>
      <c r="AC389" s="102"/>
      <c r="AD389" s="102"/>
      <c r="AE389" s="102"/>
      <c r="AF389" s="102"/>
      <c r="AG389" s="102"/>
      <c r="AH389" s="102"/>
      <c r="AI389" s="102"/>
      <c r="AJ389" s="102"/>
      <c r="AK389" s="102"/>
      <c r="AL389" s="102"/>
      <c r="AM389" s="102"/>
      <c r="AN389" s="102"/>
      <c r="AO389" s="102"/>
      <c r="AP389" s="102"/>
      <c r="AQ389" s="102"/>
      <c r="AR389" s="102"/>
      <c r="AS389" s="102"/>
      <c r="AT389" s="102"/>
      <c r="AU389" s="102"/>
      <c r="AV389" s="102"/>
      <c r="AW389" s="102"/>
      <c r="AY389" s="102"/>
      <c r="AZ389" s="102"/>
      <c r="BA389" s="102"/>
      <c r="BB389" s="102"/>
      <c r="BC389" s="102"/>
      <c r="BD389" s="102"/>
      <c r="BE389" s="102"/>
      <c r="BF389" s="102"/>
      <c r="BG389" s="102"/>
      <c r="BH389" s="102"/>
      <c r="BI389" s="102"/>
      <c r="BJ389" s="102"/>
      <c r="BK389" s="102"/>
      <c r="BL389" s="102"/>
      <c r="BM389" s="102"/>
      <c r="BN389" s="102"/>
    </row>
    <row r="390" spans="2:66" s="64" customFormat="1" ht="20.25" customHeight="1">
      <c r="B390" s="102"/>
      <c r="C390" s="102"/>
      <c r="D390" s="102"/>
      <c r="E390" s="102"/>
      <c r="F390" s="102"/>
      <c r="G390" s="102"/>
      <c r="H390" s="102"/>
      <c r="I390" s="102"/>
      <c r="J390" s="102"/>
      <c r="K390" s="102"/>
      <c r="L390" s="102"/>
      <c r="M390" s="102"/>
      <c r="N390" s="102"/>
      <c r="O390" s="102"/>
      <c r="P390" s="102"/>
      <c r="Q390" s="102"/>
      <c r="R390" s="102"/>
      <c r="S390" s="102"/>
      <c r="T390" s="102"/>
      <c r="U390" s="102"/>
      <c r="V390" s="102"/>
      <c r="W390" s="102"/>
      <c r="X390" s="102"/>
      <c r="Y390" s="102"/>
      <c r="Z390" s="102"/>
      <c r="AA390" s="102"/>
      <c r="AB390" s="102"/>
      <c r="AC390" s="102"/>
      <c r="AD390" s="102"/>
      <c r="AE390" s="102"/>
      <c r="AF390" s="102"/>
      <c r="AG390" s="102"/>
      <c r="AH390" s="102"/>
      <c r="AI390" s="102"/>
      <c r="AJ390" s="102"/>
      <c r="AK390" s="102"/>
      <c r="AL390" s="102"/>
      <c r="AM390" s="102"/>
      <c r="AN390" s="102"/>
      <c r="AO390" s="102"/>
      <c r="AP390" s="102"/>
      <c r="AQ390" s="102"/>
      <c r="AR390" s="102"/>
      <c r="AS390" s="102"/>
      <c r="AT390" s="102"/>
      <c r="AU390" s="102"/>
      <c r="AV390" s="102"/>
      <c r="AW390" s="102"/>
      <c r="AY390" s="102"/>
      <c r="AZ390" s="102"/>
      <c r="BA390" s="102"/>
      <c r="BB390" s="102"/>
      <c r="BC390" s="102"/>
      <c r="BD390" s="102"/>
      <c r="BE390" s="102"/>
      <c r="BF390" s="102"/>
      <c r="BG390" s="102"/>
      <c r="BH390" s="102"/>
      <c r="BI390" s="102"/>
      <c r="BJ390" s="102"/>
      <c r="BK390" s="102"/>
      <c r="BL390" s="102"/>
      <c r="BM390" s="102"/>
      <c r="BN390" s="102"/>
    </row>
    <row r="391" spans="2:66" s="64" customFormat="1" ht="20.25" customHeight="1">
      <c r="B391" s="102"/>
      <c r="C391" s="102"/>
      <c r="D391" s="102"/>
      <c r="E391" s="102"/>
      <c r="F391" s="102"/>
      <c r="G391" s="102"/>
      <c r="H391" s="102"/>
      <c r="I391" s="102"/>
      <c r="J391" s="102"/>
      <c r="K391" s="102"/>
      <c r="L391" s="102"/>
      <c r="M391" s="102"/>
      <c r="N391" s="102"/>
      <c r="O391" s="102"/>
      <c r="P391" s="102"/>
      <c r="Q391" s="102"/>
      <c r="R391" s="102"/>
      <c r="S391" s="102"/>
      <c r="T391" s="102"/>
      <c r="U391" s="102"/>
      <c r="V391" s="102"/>
      <c r="W391" s="102"/>
      <c r="X391" s="102"/>
      <c r="Y391" s="102"/>
      <c r="Z391" s="102"/>
      <c r="AA391" s="102"/>
      <c r="AB391" s="102"/>
      <c r="AC391" s="102"/>
      <c r="AD391" s="102"/>
      <c r="AE391" s="102"/>
      <c r="AF391" s="102"/>
      <c r="AG391" s="102"/>
      <c r="AH391" s="102"/>
      <c r="AI391" s="102"/>
      <c r="AJ391" s="102"/>
      <c r="AK391" s="102"/>
      <c r="AL391" s="102"/>
      <c r="AM391" s="102"/>
      <c r="AN391" s="102"/>
      <c r="AO391" s="102"/>
      <c r="AP391" s="102"/>
      <c r="AQ391" s="102"/>
      <c r="AR391" s="102"/>
      <c r="AS391" s="102"/>
      <c r="AT391" s="102"/>
      <c r="AU391" s="102"/>
      <c r="AV391" s="102"/>
      <c r="AW391" s="102"/>
      <c r="AY391" s="102"/>
      <c r="AZ391" s="102"/>
      <c r="BA391" s="102"/>
      <c r="BB391" s="102"/>
      <c r="BC391" s="102"/>
      <c r="BD391" s="102"/>
      <c r="BE391" s="102"/>
      <c r="BF391" s="102"/>
      <c r="BG391" s="102"/>
      <c r="BH391" s="102"/>
      <c r="BI391" s="102"/>
      <c r="BJ391" s="102"/>
      <c r="BK391" s="102"/>
      <c r="BL391" s="102"/>
      <c r="BM391" s="102"/>
      <c r="BN391" s="102"/>
    </row>
    <row r="392" spans="2:66" s="64" customFormat="1" ht="20.25" customHeight="1">
      <c r="B392" s="102"/>
      <c r="C392" s="102"/>
      <c r="D392" s="102"/>
      <c r="E392" s="102"/>
      <c r="F392" s="102"/>
      <c r="G392" s="102"/>
      <c r="H392" s="102"/>
      <c r="I392" s="102"/>
      <c r="J392" s="102"/>
      <c r="K392" s="102"/>
      <c r="L392" s="102"/>
      <c r="M392" s="102"/>
      <c r="N392" s="102"/>
      <c r="O392" s="102"/>
      <c r="P392" s="102"/>
      <c r="Q392" s="102"/>
      <c r="R392" s="102"/>
      <c r="S392" s="102"/>
      <c r="T392" s="102"/>
      <c r="U392" s="102"/>
      <c r="V392" s="102"/>
      <c r="W392" s="102"/>
      <c r="X392" s="102"/>
      <c r="Y392" s="102"/>
      <c r="Z392" s="102"/>
      <c r="AA392" s="102"/>
      <c r="AB392" s="102"/>
      <c r="AC392" s="102"/>
      <c r="AD392" s="102"/>
      <c r="AE392" s="102"/>
      <c r="AF392" s="102"/>
      <c r="AG392" s="102"/>
      <c r="AH392" s="102"/>
      <c r="AI392" s="102"/>
      <c r="AJ392" s="102"/>
      <c r="AK392" s="102"/>
      <c r="AL392" s="102"/>
      <c r="AM392" s="102"/>
      <c r="AN392" s="102"/>
      <c r="AO392" s="102"/>
      <c r="AP392" s="102"/>
      <c r="AQ392" s="102"/>
      <c r="AR392" s="102"/>
      <c r="AS392" s="102"/>
      <c r="AT392" s="102"/>
      <c r="AU392" s="102"/>
      <c r="AV392" s="102"/>
      <c r="AW392" s="102"/>
      <c r="AY392" s="102"/>
      <c r="AZ392" s="102"/>
      <c r="BA392" s="102"/>
      <c r="BB392" s="102"/>
      <c r="BC392" s="102"/>
      <c r="BD392" s="102"/>
      <c r="BE392" s="102"/>
      <c r="BF392" s="102"/>
      <c r="BG392" s="102"/>
      <c r="BH392" s="102"/>
      <c r="BI392" s="102"/>
      <c r="BJ392" s="102"/>
      <c r="BK392" s="102"/>
      <c r="BL392" s="102"/>
      <c r="BM392" s="102"/>
      <c r="BN392" s="102"/>
    </row>
    <row r="393" spans="2:66" s="64" customFormat="1" ht="20.25" customHeight="1">
      <c r="B393" s="102"/>
      <c r="C393" s="102"/>
      <c r="D393" s="102"/>
      <c r="E393" s="102"/>
      <c r="F393" s="102"/>
      <c r="G393" s="102"/>
      <c r="H393" s="102"/>
      <c r="I393" s="102"/>
      <c r="J393" s="102"/>
      <c r="K393" s="102"/>
      <c r="L393" s="102"/>
      <c r="M393" s="102"/>
      <c r="N393" s="102"/>
      <c r="O393" s="102"/>
      <c r="P393" s="102"/>
      <c r="Q393" s="102"/>
      <c r="R393" s="102"/>
      <c r="S393" s="102"/>
      <c r="T393" s="102"/>
      <c r="U393" s="102"/>
      <c r="V393" s="102"/>
      <c r="W393" s="102"/>
      <c r="X393" s="102"/>
      <c r="Y393" s="102"/>
      <c r="Z393" s="102"/>
      <c r="AA393" s="102"/>
      <c r="AB393" s="102"/>
      <c r="AC393" s="102"/>
      <c r="AD393" s="102"/>
      <c r="AE393" s="102"/>
      <c r="AF393" s="102"/>
      <c r="AG393" s="102"/>
      <c r="AH393" s="102"/>
      <c r="AI393" s="102"/>
      <c r="AJ393" s="102"/>
      <c r="AK393" s="102"/>
      <c r="AL393" s="102"/>
      <c r="AM393" s="102"/>
      <c r="AN393" s="102"/>
      <c r="AO393" s="102"/>
      <c r="AP393" s="102"/>
      <c r="AQ393" s="102"/>
      <c r="AR393" s="102"/>
      <c r="AS393" s="102"/>
      <c r="AT393" s="102"/>
      <c r="AU393" s="102"/>
      <c r="AV393" s="102"/>
      <c r="AW393" s="102"/>
      <c r="AY393" s="102"/>
      <c r="AZ393" s="102"/>
      <c r="BA393" s="102"/>
      <c r="BB393" s="102"/>
      <c r="BC393" s="102"/>
      <c r="BD393" s="102"/>
      <c r="BE393" s="102"/>
      <c r="BF393" s="102"/>
      <c r="BG393" s="102"/>
      <c r="BH393" s="102"/>
      <c r="BI393" s="102"/>
      <c r="BJ393" s="102"/>
      <c r="BK393" s="102"/>
      <c r="BL393" s="102"/>
      <c r="BM393" s="102"/>
      <c r="BN393" s="102"/>
    </row>
    <row r="394" spans="2:66" s="64" customFormat="1" ht="20.25" customHeight="1">
      <c r="B394" s="102"/>
      <c r="C394" s="102"/>
      <c r="D394" s="102"/>
      <c r="E394" s="102"/>
      <c r="F394" s="102"/>
      <c r="G394" s="102"/>
      <c r="H394" s="102"/>
      <c r="I394" s="102"/>
      <c r="J394" s="102"/>
      <c r="K394" s="102"/>
      <c r="L394" s="102"/>
      <c r="M394" s="102"/>
      <c r="N394" s="102"/>
      <c r="O394" s="102"/>
      <c r="P394" s="102"/>
      <c r="Q394" s="102"/>
      <c r="R394" s="102"/>
      <c r="S394" s="102"/>
      <c r="T394" s="102"/>
      <c r="U394" s="102"/>
      <c r="V394" s="102"/>
      <c r="W394" s="102"/>
      <c r="X394" s="102"/>
      <c r="Y394" s="102"/>
      <c r="Z394" s="102"/>
      <c r="AA394" s="102"/>
      <c r="AB394" s="102"/>
      <c r="AC394" s="102"/>
      <c r="AD394" s="102"/>
      <c r="AE394" s="102"/>
      <c r="AF394" s="102"/>
      <c r="AG394" s="102"/>
      <c r="AH394" s="102"/>
      <c r="AI394" s="102"/>
      <c r="AJ394" s="102"/>
      <c r="AK394" s="102"/>
      <c r="AL394" s="102"/>
      <c r="AM394" s="102"/>
      <c r="AN394" s="102"/>
      <c r="AO394" s="102"/>
      <c r="AP394" s="102"/>
      <c r="AQ394" s="102"/>
      <c r="AR394" s="102"/>
      <c r="AS394" s="102"/>
      <c r="AT394" s="102"/>
      <c r="AU394" s="102"/>
      <c r="AV394" s="102"/>
      <c r="AW394" s="102"/>
      <c r="AY394" s="102"/>
      <c r="AZ394" s="102"/>
      <c r="BA394" s="102"/>
      <c r="BB394" s="102"/>
      <c r="BC394" s="102"/>
      <c r="BD394" s="102"/>
      <c r="BE394" s="102"/>
      <c r="BF394" s="102"/>
      <c r="BG394" s="102"/>
      <c r="BH394" s="102"/>
      <c r="BI394" s="102"/>
      <c r="BJ394" s="102"/>
      <c r="BK394" s="102"/>
      <c r="BL394" s="102"/>
      <c r="BM394" s="102"/>
      <c r="BN394" s="102"/>
    </row>
    <row r="395" spans="2:66" s="64" customFormat="1" ht="20.25" customHeight="1">
      <c r="B395" s="102"/>
      <c r="C395" s="102"/>
      <c r="D395" s="102"/>
      <c r="E395" s="102"/>
      <c r="F395" s="102"/>
      <c r="G395" s="102"/>
      <c r="H395" s="102"/>
      <c r="I395" s="102"/>
      <c r="J395" s="102"/>
      <c r="K395" s="102"/>
      <c r="L395" s="102"/>
      <c r="M395" s="102"/>
      <c r="N395" s="102"/>
      <c r="O395" s="102"/>
      <c r="P395" s="102"/>
      <c r="Q395" s="102"/>
      <c r="R395" s="102"/>
      <c r="S395" s="102"/>
      <c r="T395" s="102"/>
      <c r="U395" s="102"/>
      <c r="V395" s="102"/>
      <c r="W395" s="102"/>
      <c r="X395" s="102"/>
      <c r="Y395" s="102"/>
      <c r="Z395" s="102"/>
      <c r="AA395" s="102"/>
      <c r="AB395" s="102"/>
      <c r="AC395" s="102"/>
      <c r="AD395" s="102"/>
      <c r="AE395" s="102"/>
      <c r="AF395" s="102"/>
      <c r="AG395" s="102"/>
      <c r="AH395" s="102"/>
      <c r="AI395" s="102"/>
      <c r="AJ395" s="102"/>
      <c r="AK395" s="102"/>
      <c r="AL395" s="102"/>
      <c r="AM395" s="102"/>
      <c r="AN395" s="102"/>
      <c r="AO395" s="102"/>
      <c r="AP395" s="102"/>
      <c r="AQ395" s="102"/>
      <c r="AR395" s="102"/>
      <c r="AS395" s="102"/>
      <c r="AT395" s="102"/>
      <c r="AU395" s="102"/>
      <c r="AV395" s="102"/>
      <c r="AW395" s="102"/>
      <c r="AY395" s="102"/>
      <c r="AZ395" s="102"/>
      <c r="BA395" s="102"/>
      <c r="BB395" s="102"/>
      <c r="BC395" s="102"/>
      <c r="BD395" s="102"/>
      <c r="BE395" s="102"/>
      <c r="BF395" s="102"/>
      <c r="BG395" s="102"/>
      <c r="BH395" s="102"/>
      <c r="BI395" s="102"/>
      <c r="BJ395" s="102"/>
      <c r="BK395" s="102"/>
      <c r="BL395" s="102"/>
      <c r="BM395" s="102"/>
      <c r="BN395" s="102"/>
    </row>
    <row r="396" spans="2:66" s="64" customFormat="1" ht="20.25" customHeight="1">
      <c r="B396" s="102"/>
      <c r="C396" s="102"/>
      <c r="D396" s="102"/>
      <c r="E396" s="102"/>
      <c r="F396" s="102"/>
      <c r="G396" s="102"/>
      <c r="H396" s="102"/>
      <c r="I396" s="102"/>
      <c r="J396" s="102"/>
      <c r="K396" s="102"/>
      <c r="L396" s="102"/>
      <c r="M396" s="102"/>
      <c r="N396" s="102"/>
      <c r="O396" s="102"/>
      <c r="P396" s="102"/>
      <c r="Q396" s="102"/>
      <c r="R396" s="102"/>
      <c r="S396" s="102"/>
      <c r="T396" s="102"/>
      <c r="U396" s="102"/>
      <c r="V396" s="102"/>
      <c r="W396" s="102"/>
      <c r="X396" s="102"/>
      <c r="Y396" s="102"/>
      <c r="Z396" s="102"/>
      <c r="AA396" s="102"/>
      <c r="AB396" s="102"/>
      <c r="AC396" s="102"/>
      <c r="AD396" s="102"/>
      <c r="AE396" s="102"/>
      <c r="AF396" s="102"/>
      <c r="AG396" s="102"/>
      <c r="AH396" s="102"/>
      <c r="AI396" s="102"/>
      <c r="AJ396" s="102"/>
      <c r="AK396" s="102"/>
      <c r="AL396" s="102"/>
      <c r="AM396" s="102"/>
      <c r="AN396" s="102"/>
      <c r="AO396" s="102"/>
      <c r="AP396" s="102"/>
      <c r="AQ396" s="102"/>
      <c r="AR396" s="102"/>
      <c r="AS396" s="102"/>
      <c r="AT396" s="102"/>
      <c r="AU396" s="102"/>
      <c r="AV396" s="102"/>
      <c r="AW396" s="102"/>
      <c r="AY396" s="102"/>
      <c r="AZ396" s="102"/>
      <c r="BA396" s="102"/>
      <c r="BB396" s="102"/>
      <c r="BC396" s="102"/>
      <c r="BD396" s="102"/>
      <c r="BE396" s="102"/>
      <c r="BF396" s="102"/>
      <c r="BG396" s="102"/>
      <c r="BH396" s="102"/>
      <c r="BI396" s="102"/>
      <c r="BJ396" s="102"/>
      <c r="BK396" s="102"/>
      <c r="BL396" s="102"/>
      <c r="BM396" s="102"/>
      <c r="BN396" s="102"/>
    </row>
    <row r="397" spans="2:66" s="64" customFormat="1" ht="20.25" customHeight="1">
      <c r="B397" s="102"/>
      <c r="C397" s="102"/>
      <c r="D397" s="102"/>
      <c r="E397" s="102"/>
      <c r="F397" s="102"/>
      <c r="G397" s="102"/>
      <c r="H397" s="102"/>
      <c r="I397" s="102"/>
      <c r="J397" s="102"/>
      <c r="K397" s="102"/>
      <c r="L397" s="102"/>
      <c r="M397" s="102"/>
      <c r="N397" s="102"/>
      <c r="O397" s="102"/>
      <c r="P397" s="102"/>
      <c r="Q397" s="102"/>
      <c r="R397" s="102"/>
      <c r="S397" s="102"/>
      <c r="T397" s="102"/>
      <c r="U397" s="102"/>
      <c r="V397" s="102"/>
      <c r="W397" s="102"/>
      <c r="X397" s="102"/>
      <c r="Y397" s="102"/>
      <c r="Z397" s="102"/>
      <c r="AA397" s="102"/>
      <c r="AB397" s="102"/>
      <c r="AC397" s="102"/>
      <c r="AD397" s="102"/>
      <c r="AE397" s="102"/>
      <c r="AF397" s="102"/>
      <c r="AG397" s="102"/>
      <c r="AH397" s="102"/>
      <c r="AI397" s="102"/>
      <c r="AJ397" s="102"/>
      <c r="AK397" s="102"/>
      <c r="AL397" s="102"/>
      <c r="AM397" s="102"/>
      <c r="AN397" s="102"/>
      <c r="AO397" s="102"/>
      <c r="AP397" s="102"/>
      <c r="AQ397" s="102"/>
      <c r="AR397" s="102"/>
      <c r="AS397" s="102"/>
      <c r="AT397" s="102"/>
      <c r="AU397" s="102"/>
      <c r="AV397" s="102"/>
      <c r="AW397" s="102"/>
      <c r="AY397" s="102"/>
      <c r="AZ397" s="102"/>
      <c r="BA397" s="102"/>
      <c r="BB397" s="102"/>
      <c r="BC397" s="102"/>
      <c r="BD397" s="102"/>
      <c r="BE397" s="102"/>
      <c r="BF397" s="102"/>
      <c r="BG397" s="102"/>
      <c r="BH397" s="102"/>
      <c r="BI397" s="102"/>
      <c r="BJ397" s="102"/>
      <c r="BK397" s="102"/>
      <c r="BL397" s="102"/>
      <c r="BM397" s="102"/>
      <c r="BN397" s="102"/>
    </row>
    <row r="398" spans="2:66" s="64" customFormat="1" ht="20.25" customHeight="1">
      <c r="B398" s="102"/>
      <c r="C398" s="102"/>
      <c r="D398" s="102"/>
      <c r="E398" s="102"/>
      <c r="F398" s="102"/>
      <c r="G398" s="102"/>
      <c r="H398" s="102"/>
      <c r="I398" s="102"/>
      <c r="J398" s="102"/>
      <c r="K398" s="102"/>
      <c r="L398" s="102"/>
      <c r="M398" s="102"/>
      <c r="N398" s="102"/>
      <c r="O398" s="102"/>
      <c r="P398" s="102"/>
      <c r="Q398" s="102"/>
      <c r="R398" s="102"/>
      <c r="S398" s="102"/>
      <c r="T398" s="102"/>
      <c r="U398" s="102"/>
      <c r="V398" s="102"/>
      <c r="W398" s="102"/>
      <c r="X398" s="102"/>
      <c r="Y398" s="102"/>
      <c r="Z398" s="102"/>
      <c r="AA398" s="102"/>
      <c r="AB398" s="102"/>
      <c r="AC398" s="102"/>
      <c r="AD398" s="102"/>
      <c r="AE398" s="102"/>
      <c r="AF398" s="102"/>
      <c r="AG398" s="102"/>
      <c r="AH398" s="102"/>
      <c r="AI398" s="102"/>
      <c r="AJ398" s="102"/>
      <c r="AK398" s="102"/>
      <c r="AL398" s="102"/>
      <c r="AM398" s="102"/>
      <c r="AN398" s="102"/>
      <c r="AO398" s="102"/>
      <c r="AP398" s="102"/>
      <c r="AQ398" s="102"/>
      <c r="AR398" s="102"/>
      <c r="AS398" s="102"/>
      <c r="AT398" s="102"/>
      <c r="AU398" s="102"/>
      <c r="AV398" s="102"/>
      <c r="AW398" s="102"/>
      <c r="AY398" s="102"/>
      <c r="AZ398" s="102"/>
      <c r="BA398" s="102"/>
      <c r="BB398" s="102"/>
      <c r="BC398" s="102"/>
      <c r="BD398" s="102"/>
      <c r="BE398" s="102"/>
      <c r="BF398" s="102"/>
      <c r="BG398" s="102"/>
      <c r="BH398" s="102"/>
      <c r="BI398" s="102"/>
      <c r="BJ398" s="102"/>
      <c r="BK398" s="102"/>
      <c r="BL398" s="102"/>
      <c r="BM398" s="102"/>
      <c r="BN398" s="102"/>
    </row>
    <row r="399" spans="2:66" s="64" customFormat="1" ht="20.25" customHeight="1">
      <c r="B399" s="102"/>
      <c r="C399" s="102"/>
      <c r="D399" s="102"/>
      <c r="E399" s="102"/>
      <c r="F399" s="102"/>
      <c r="G399" s="102"/>
      <c r="H399" s="102"/>
      <c r="I399" s="102"/>
      <c r="J399" s="102"/>
      <c r="K399" s="102"/>
      <c r="L399" s="102"/>
      <c r="M399" s="102"/>
      <c r="N399" s="102"/>
      <c r="O399" s="102"/>
      <c r="P399" s="102"/>
      <c r="Q399" s="102"/>
      <c r="R399" s="102"/>
      <c r="S399" s="102"/>
      <c r="T399" s="102"/>
      <c r="U399" s="102"/>
      <c r="V399" s="102"/>
      <c r="W399" s="102"/>
      <c r="X399" s="102"/>
      <c r="Y399" s="102"/>
      <c r="Z399" s="102"/>
      <c r="AA399" s="102"/>
      <c r="AB399" s="102"/>
      <c r="AC399" s="102"/>
      <c r="AD399" s="102"/>
      <c r="AE399" s="102"/>
      <c r="AF399" s="102"/>
      <c r="AG399" s="102"/>
      <c r="AH399" s="102"/>
      <c r="AI399" s="102"/>
      <c r="AJ399" s="102"/>
      <c r="AK399" s="102"/>
      <c r="AL399" s="102"/>
      <c r="AM399" s="102"/>
      <c r="AN399" s="102"/>
      <c r="AO399" s="102"/>
      <c r="AP399" s="102"/>
      <c r="AQ399" s="102"/>
      <c r="AR399" s="102"/>
      <c r="AS399" s="102"/>
      <c r="AT399" s="102"/>
      <c r="AU399" s="102"/>
      <c r="AV399" s="102"/>
      <c r="AW399" s="102"/>
      <c r="AY399" s="102"/>
      <c r="AZ399" s="102"/>
      <c r="BA399" s="102"/>
      <c r="BB399" s="102"/>
      <c r="BC399" s="102"/>
      <c r="BD399" s="102"/>
      <c r="BE399" s="102"/>
      <c r="BF399" s="102"/>
      <c r="BG399" s="102"/>
      <c r="BH399" s="102"/>
      <c r="BI399" s="102"/>
      <c r="BJ399" s="102"/>
      <c r="BK399" s="102"/>
      <c r="BL399" s="102"/>
      <c r="BM399" s="102"/>
      <c r="BN399" s="102"/>
    </row>
    <row r="400" spans="2:66" s="64" customFormat="1" ht="20.25" customHeight="1">
      <c r="B400" s="102"/>
      <c r="C400" s="102"/>
      <c r="D400" s="102"/>
      <c r="E400" s="102"/>
      <c r="F400" s="102"/>
      <c r="G400" s="102"/>
      <c r="H400" s="102"/>
      <c r="I400" s="102"/>
      <c r="J400" s="102"/>
      <c r="K400" s="102"/>
      <c r="L400" s="102"/>
      <c r="M400" s="102"/>
      <c r="N400" s="102"/>
      <c r="O400" s="102"/>
      <c r="P400" s="102"/>
      <c r="Q400" s="102"/>
      <c r="R400" s="102"/>
      <c r="S400" s="102"/>
      <c r="T400" s="102"/>
      <c r="U400" s="102"/>
      <c r="V400" s="102"/>
      <c r="W400" s="102"/>
      <c r="X400" s="102"/>
      <c r="Y400" s="102"/>
      <c r="Z400" s="102"/>
      <c r="AA400" s="102"/>
      <c r="AB400" s="102"/>
      <c r="AC400" s="102"/>
      <c r="AD400" s="102"/>
      <c r="AE400" s="102"/>
      <c r="AF400" s="102"/>
      <c r="AG400" s="102"/>
      <c r="AH400" s="102"/>
      <c r="AI400" s="102"/>
      <c r="AJ400" s="102"/>
      <c r="AK400" s="102"/>
      <c r="AL400" s="102"/>
      <c r="AM400" s="102"/>
      <c r="AN400" s="102"/>
      <c r="AO400" s="102"/>
      <c r="AP400" s="102"/>
      <c r="AQ400" s="102"/>
      <c r="AR400" s="102"/>
      <c r="AS400" s="102"/>
      <c r="AT400" s="102"/>
      <c r="AU400" s="102"/>
      <c r="AV400" s="102"/>
      <c r="AW400" s="102"/>
      <c r="AY400" s="102"/>
      <c r="AZ400" s="102"/>
      <c r="BA400" s="102"/>
      <c r="BB400" s="102"/>
      <c r="BC400" s="102"/>
      <c r="BD400" s="102"/>
      <c r="BE400" s="102"/>
      <c r="BF400" s="102"/>
      <c r="BG400" s="102"/>
      <c r="BH400" s="102"/>
      <c r="BI400" s="102"/>
      <c r="BJ400" s="102"/>
      <c r="BK400" s="102"/>
      <c r="BL400" s="102"/>
      <c r="BM400" s="102"/>
      <c r="BN400" s="102"/>
    </row>
    <row r="401" spans="2:66" s="64" customFormat="1" ht="20.25" customHeight="1">
      <c r="B401" s="102"/>
      <c r="C401" s="102"/>
      <c r="D401" s="102"/>
      <c r="E401" s="102"/>
      <c r="F401" s="102"/>
      <c r="G401" s="102"/>
      <c r="H401" s="102"/>
      <c r="I401" s="102"/>
      <c r="J401" s="102"/>
      <c r="K401" s="102"/>
      <c r="L401" s="102"/>
      <c r="M401" s="102"/>
      <c r="N401" s="102"/>
      <c r="O401" s="102"/>
      <c r="P401" s="102"/>
      <c r="Q401" s="102"/>
      <c r="R401" s="102"/>
      <c r="S401" s="102"/>
      <c r="T401" s="102"/>
      <c r="U401" s="102"/>
      <c r="V401" s="102"/>
      <c r="W401" s="102"/>
      <c r="X401" s="102"/>
      <c r="Y401" s="102"/>
      <c r="Z401" s="102"/>
      <c r="AA401" s="102"/>
      <c r="AB401" s="102"/>
      <c r="AC401" s="102"/>
      <c r="AD401" s="102"/>
      <c r="AE401" s="102"/>
      <c r="AF401" s="102"/>
      <c r="AG401" s="102"/>
      <c r="AH401" s="102"/>
      <c r="AI401" s="102"/>
      <c r="AJ401" s="102"/>
      <c r="AK401" s="102"/>
      <c r="AL401" s="102"/>
      <c r="AM401" s="102"/>
      <c r="AN401" s="102"/>
      <c r="AO401" s="102"/>
      <c r="AP401" s="102"/>
      <c r="AQ401" s="102"/>
      <c r="AR401" s="102"/>
      <c r="AS401" s="102"/>
      <c r="AT401" s="102"/>
      <c r="AU401" s="102"/>
      <c r="AV401" s="102"/>
      <c r="AW401" s="102"/>
      <c r="AY401" s="102"/>
      <c r="AZ401" s="102"/>
      <c r="BA401" s="102"/>
      <c r="BB401" s="102"/>
      <c r="BC401" s="102"/>
      <c r="BD401" s="102"/>
      <c r="BE401" s="102"/>
      <c r="BF401" s="102"/>
      <c r="BG401" s="102"/>
      <c r="BH401" s="102"/>
      <c r="BI401" s="102"/>
      <c r="BJ401" s="102"/>
      <c r="BK401" s="102"/>
      <c r="BL401" s="102"/>
      <c r="BM401" s="102"/>
      <c r="BN401" s="102"/>
    </row>
    <row r="402" spans="2:66" s="64" customFormat="1" ht="20.25" customHeight="1">
      <c r="B402" s="102"/>
      <c r="C402" s="102"/>
      <c r="D402" s="102"/>
      <c r="E402" s="102"/>
      <c r="F402" s="102"/>
      <c r="G402" s="102"/>
      <c r="H402" s="102"/>
      <c r="I402" s="102"/>
      <c r="J402" s="102"/>
      <c r="K402" s="102"/>
      <c r="L402" s="102"/>
      <c r="M402" s="102"/>
      <c r="N402" s="102"/>
      <c r="O402" s="102"/>
      <c r="P402" s="102"/>
      <c r="Q402" s="102"/>
      <c r="R402" s="102"/>
      <c r="S402" s="102"/>
      <c r="T402" s="102"/>
      <c r="U402" s="102"/>
      <c r="V402" s="102"/>
      <c r="W402" s="102"/>
      <c r="X402" s="102"/>
      <c r="Y402" s="102"/>
      <c r="Z402" s="102"/>
      <c r="AA402" s="102"/>
      <c r="AB402" s="102"/>
      <c r="AC402" s="102"/>
      <c r="AD402" s="102"/>
      <c r="AE402" s="102"/>
      <c r="AF402" s="102"/>
      <c r="AG402" s="102"/>
      <c r="AH402" s="102"/>
      <c r="AI402" s="102"/>
      <c r="AJ402" s="102"/>
      <c r="AK402" s="102"/>
      <c r="AL402" s="102"/>
      <c r="AM402" s="102"/>
      <c r="AN402" s="102"/>
      <c r="AO402" s="102"/>
      <c r="AP402" s="102"/>
      <c r="AQ402" s="102"/>
      <c r="AR402" s="102"/>
      <c r="AS402" s="102"/>
      <c r="AT402" s="102"/>
      <c r="AU402" s="102"/>
      <c r="AV402" s="102"/>
      <c r="AW402" s="102"/>
      <c r="AY402" s="102"/>
      <c r="AZ402" s="102"/>
      <c r="BA402" s="102"/>
      <c r="BB402" s="102"/>
      <c r="BC402" s="102"/>
      <c r="BD402" s="102"/>
      <c r="BE402" s="102"/>
      <c r="BF402" s="102"/>
      <c r="BG402" s="102"/>
      <c r="BH402" s="102"/>
      <c r="BI402" s="102"/>
      <c r="BJ402" s="102"/>
      <c r="BK402" s="102"/>
      <c r="BL402" s="102"/>
      <c r="BM402" s="102"/>
      <c r="BN402" s="102"/>
    </row>
    <row r="403" spans="2:66" s="64" customFormat="1" ht="20.25" customHeight="1">
      <c r="B403" s="102"/>
      <c r="C403" s="102"/>
      <c r="D403" s="102"/>
      <c r="E403" s="102"/>
      <c r="F403" s="102"/>
      <c r="G403" s="102"/>
      <c r="H403" s="102"/>
      <c r="I403" s="102"/>
      <c r="J403" s="102"/>
      <c r="K403" s="102"/>
      <c r="L403" s="102"/>
      <c r="M403" s="102"/>
      <c r="N403" s="102"/>
      <c r="O403" s="102"/>
      <c r="P403" s="102"/>
      <c r="Q403" s="102"/>
      <c r="R403" s="102"/>
      <c r="S403" s="102"/>
      <c r="T403" s="102"/>
      <c r="U403" s="102"/>
      <c r="V403" s="102"/>
      <c r="W403" s="102"/>
      <c r="X403" s="102"/>
      <c r="Y403" s="102"/>
      <c r="Z403" s="102"/>
      <c r="AA403" s="102"/>
      <c r="AB403" s="102"/>
      <c r="AC403" s="102"/>
      <c r="AD403" s="102"/>
      <c r="AE403" s="102"/>
      <c r="AF403" s="102"/>
      <c r="AG403" s="102"/>
      <c r="AH403" s="102"/>
      <c r="AI403" s="102"/>
      <c r="AJ403" s="102"/>
      <c r="AK403" s="102"/>
      <c r="AL403" s="102"/>
      <c r="AM403" s="102"/>
      <c r="AN403" s="102"/>
      <c r="AO403" s="102"/>
      <c r="AP403" s="102"/>
      <c r="AQ403" s="102"/>
      <c r="AR403" s="102"/>
      <c r="AS403" s="102"/>
      <c r="AT403" s="102"/>
      <c r="AU403" s="102"/>
      <c r="AV403" s="102"/>
      <c r="AW403" s="102"/>
      <c r="AY403" s="102"/>
      <c r="AZ403" s="102"/>
      <c r="BA403" s="102"/>
      <c r="BB403" s="102"/>
      <c r="BC403" s="102"/>
      <c r="BD403" s="102"/>
      <c r="BE403" s="102"/>
      <c r="BF403" s="102"/>
      <c r="BG403" s="102"/>
      <c r="BH403" s="102"/>
      <c r="BI403" s="102"/>
      <c r="BJ403" s="102"/>
      <c r="BK403" s="102"/>
      <c r="BL403" s="102"/>
      <c r="BM403" s="102"/>
      <c r="BN403" s="102"/>
    </row>
    <row r="404" spans="2:66" s="64" customFormat="1" ht="20.25" customHeight="1">
      <c r="B404" s="102"/>
      <c r="C404" s="102"/>
      <c r="D404" s="102"/>
      <c r="E404" s="102"/>
      <c r="F404" s="102"/>
      <c r="G404" s="102"/>
      <c r="H404" s="102"/>
      <c r="I404" s="102"/>
      <c r="J404" s="102"/>
      <c r="K404" s="102"/>
      <c r="L404" s="102"/>
      <c r="M404" s="102"/>
      <c r="N404" s="102"/>
      <c r="O404" s="102"/>
      <c r="P404" s="102"/>
      <c r="Q404" s="102"/>
      <c r="R404" s="102"/>
      <c r="S404" s="102"/>
      <c r="T404" s="102"/>
      <c r="U404" s="102"/>
      <c r="V404" s="102"/>
      <c r="W404" s="102"/>
      <c r="X404" s="102"/>
      <c r="Y404" s="102"/>
      <c r="Z404" s="102"/>
      <c r="AA404" s="102"/>
      <c r="AB404" s="102"/>
      <c r="AC404" s="102"/>
      <c r="AD404" s="102"/>
      <c r="AE404" s="102"/>
      <c r="AF404" s="102"/>
      <c r="AG404" s="102"/>
      <c r="AH404" s="102"/>
      <c r="AI404" s="102"/>
      <c r="AJ404" s="102"/>
      <c r="AK404" s="102"/>
      <c r="AL404" s="102"/>
      <c r="AM404" s="102"/>
      <c r="AN404" s="102"/>
      <c r="AO404" s="102"/>
      <c r="AP404" s="102"/>
      <c r="AQ404" s="102"/>
      <c r="AR404" s="102"/>
      <c r="AS404" s="102"/>
      <c r="AT404" s="102"/>
      <c r="AU404" s="102"/>
      <c r="AV404" s="102"/>
      <c r="AW404" s="102"/>
      <c r="AY404" s="102"/>
      <c r="AZ404" s="102"/>
      <c r="BA404" s="102"/>
      <c r="BB404" s="102"/>
      <c r="BC404" s="102"/>
      <c r="BD404" s="102"/>
      <c r="BE404" s="102"/>
      <c r="BF404" s="102"/>
      <c r="BG404" s="102"/>
      <c r="BH404" s="102"/>
      <c r="BI404" s="102"/>
      <c r="BJ404" s="102"/>
      <c r="BK404" s="102"/>
      <c r="BL404" s="102"/>
      <c r="BM404" s="102"/>
      <c r="BN404" s="102"/>
    </row>
    <row r="405" spans="2:66" s="64" customFormat="1" ht="20.25" customHeight="1">
      <c r="B405" s="102"/>
      <c r="C405" s="102"/>
      <c r="D405" s="102"/>
      <c r="E405" s="102"/>
      <c r="F405" s="102"/>
      <c r="G405" s="102"/>
      <c r="H405" s="102"/>
      <c r="I405" s="102"/>
      <c r="J405" s="102"/>
      <c r="K405" s="102"/>
      <c r="L405" s="102"/>
      <c r="M405" s="102"/>
      <c r="N405" s="102"/>
      <c r="O405" s="102"/>
      <c r="P405" s="102"/>
      <c r="Q405" s="102"/>
      <c r="R405" s="102"/>
      <c r="S405" s="102"/>
      <c r="T405" s="102"/>
      <c r="U405" s="102"/>
      <c r="V405" s="102"/>
      <c r="W405" s="102"/>
      <c r="X405" s="102"/>
      <c r="Y405" s="102"/>
      <c r="Z405" s="102"/>
      <c r="AA405" s="102"/>
      <c r="AB405" s="102"/>
      <c r="AC405" s="102"/>
      <c r="AD405" s="102"/>
      <c r="AE405" s="102"/>
      <c r="AF405" s="102"/>
      <c r="AG405" s="102"/>
      <c r="AH405" s="102"/>
      <c r="AI405" s="102"/>
      <c r="AJ405" s="102"/>
      <c r="AK405" s="102"/>
      <c r="AL405" s="102"/>
      <c r="AM405" s="102"/>
      <c r="AN405" s="102"/>
      <c r="AO405" s="102"/>
      <c r="AP405" s="102"/>
      <c r="AQ405" s="102"/>
      <c r="AR405" s="102"/>
      <c r="AS405" s="102"/>
      <c r="AT405" s="102"/>
      <c r="AU405" s="102"/>
      <c r="AV405" s="102"/>
      <c r="AW405" s="102"/>
      <c r="AY405" s="102"/>
      <c r="AZ405" s="102"/>
      <c r="BA405" s="102"/>
      <c r="BB405" s="102"/>
      <c r="BC405" s="102"/>
      <c r="BD405" s="102"/>
      <c r="BE405" s="102"/>
      <c r="BF405" s="102"/>
      <c r="BG405" s="102"/>
      <c r="BH405" s="102"/>
      <c r="BI405" s="102"/>
      <c r="BJ405" s="102"/>
      <c r="BK405" s="102"/>
      <c r="BL405" s="102"/>
      <c r="BM405" s="102"/>
      <c r="BN405" s="102"/>
    </row>
    <row r="406" spans="2:66" s="64" customFormat="1" ht="20.25" customHeight="1">
      <c r="B406" s="102"/>
      <c r="C406" s="102"/>
      <c r="D406" s="102"/>
      <c r="E406" s="102"/>
      <c r="F406" s="102"/>
      <c r="G406" s="102"/>
      <c r="H406" s="102"/>
      <c r="I406" s="102"/>
      <c r="J406" s="102"/>
      <c r="K406" s="102"/>
      <c r="L406" s="102"/>
      <c r="M406" s="102"/>
      <c r="N406" s="102"/>
      <c r="O406" s="102"/>
      <c r="P406" s="102"/>
      <c r="Q406" s="102"/>
      <c r="R406" s="102"/>
      <c r="S406" s="102"/>
      <c r="T406" s="102"/>
      <c r="U406" s="102"/>
      <c r="V406" s="102"/>
      <c r="W406" s="102"/>
      <c r="X406" s="102"/>
      <c r="Y406" s="102"/>
      <c r="Z406" s="102"/>
      <c r="AA406" s="102"/>
      <c r="AB406" s="102"/>
      <c r="AC406" s="102"/>
      <c r="AD406" s="102"/>
      <c r="AE406" s="102"/>
      <c r="AF406" s="102"/>
      <c r="AG406" s="102"/>
      <c r="AH406" s="102"/>
      <c r="AI406" s="102"/>
      <c r="AJ406" s="102"/>
      <c r="AK406" s="102"/>
      <c r="AL406" s="102"/>
      <c r="AM406" s="102"/>
      <c r="AN406" s="102"/>
      <c r="AO406" s="102"/>
      <c r="AP406" s="102"/>
      <c r="AQ406" s="102"/>
      <c r="AR406" s="102"/>
      <c r="AS406" s="102"/>
      <c r="AT406" s="102"/>
      <c r="AU406" s="102"/>
      <c r="AV406" s="102"/>
      <c r="AW406" s="102"/>
      <c r="AY406" s="102"/>
      <c r="AZ406" s="102"/>
      <c r="BA406" s="102"/>
      <c r="BB406" s="102"/>
      <c r="BC406" s="102"/>
      <c r="BD406" s="102"/>
      <c r="BE406" s="102"/>
      <c r="BF406" s="102"/>
      <c r="BG406" s="102"/>
      <c r="BH406" s="102"/>
      <c r="BI406" s="102"/>
      <c r="BJ406" s="102"/>
      <c r="BK406" s="102"/>
      <c r="BL406" s="102"/>
      <c r="BM406" s="102"/>
      <c r="BN406" s="102"/>
    </row>
    <row r="407" spans="2:66" s="64" customFormat="1" ht="20.25" customHeight="1">
      <c r="B407" s="102"/>
      <c r="C407" s="102"/>
      <c r="D407" s="102"/>
      <c r="E407" s="102"/>
      <c r="F407" s="102"/>
      <c r="G407" s="102"/>
      <c r="H407" s="102"/>
      <c r="I407" s="102"/>
      <c r="J407" s="102"/>
      <c r="K407" s="102"/>
      <c r="L407" s="102"/>
      <c r="M407" s="102"/>
      <c r="N407" s="102"/>
      <c r="O407" s="102"/>
      <c r="P407" s="102"/>
      <c r="Q407" s="102"/>
      <c r="R407" s="102"/>
      <c r="S407" s="102"/>
      <c r="T407" s="102"/>
      <c r="U407" s="102"/>
      <c r="V407" s="102"/>
      <c r="W407" s="102"/>
      <c r="X407" s="102"/>
      <c r="Y407" s="102"/>
      <c r="Z407" s="102"/>
      <c r="AA407" s="102"/>
      <c r="AB407" s="102"/>
      <c r="AC407" s="102"/>
      <c r="AD407" s="102"/>
      <c r="AE407" s="102"/>
      <c r="AF407" s="102"/>
      <c r="AG407" s="102"/>
      <c r="AH407" s="102"/>
      <c r="AI407" s="102"/>
      <c r="AJ407" s="102"/>
      <c r="AK407" s="102"/>
      <c r="AL407" s="102"/>
      <c r="AM407" s="102"/>
      <c r="AN407" s="102"/>
      <c r="AO407" s="102"/>
      <c r="AP407" s="102"/>
      <c r="AQ407" s="102"/>
      <c r="AR407" s="102"/>
      <c r="AS407" s="102"/>
      <c r="AT407" s="102"/>
      <c r="AU407" s="102"/>
      <c r="AV407" s="102"/>
      <c r="AW407" s="102"/>
      <c r="AY407" s="102"/>
      <c r="AZ407" s="102"/>
      <c r="BA407" s="102"/>
      <c r="BB407" s="102"/>
      <c r="BC407" s="102"/>
      <c r="BD407" s="102"/>
      <c r="BE407" s="102"/>
      <c r="BF407" s="102"/>
      <c r="BG407" s="102"/>
      <c r="BH407" s="102"/>
      <c r="BI407" s="102"/>
      <c r="BJ407" s="102"/>
      <c r="BK407" s="102"/>
      <c r="BL407" s="102"/>
      <c r="BM407" s="102"/>
      <c r="BN407" s="102"/>
    </row>
    <row r="408" spans="2:66" s="64" customFormat="1" ht="20.25" customHeight="1">
      <c r="B408" s="102"/>
      <c r="C408" s="102"/>
      <c r="D408" s="102"/>
      <c r="E408" s="102"/>
      <c r="F408" s="102"/>
      <c r="G408" s="102"/>
      <c r="H408" s="102"/>
      <c r="I408" s="102"/>
      <c r="J408" s="102"/>
      <c r="K408" s="102"/>
      <c r="L408" s="102"/>
      <c r="M408" s="102"/>
      <c r="N408" s="102"/>
      <c r="O408" s="102"/>
      <c r="P408" s="102"/>
      <c r="Q408" s="102"/>
      <c r="R408" s="102"/>
      <c r="S408" s="102"/>
      <c r="T408" s="102"/>
      <c r="U408" s="102"/>
      <c r="V408" s="102"/>
      <c r="W408" s="102"/>
      <c r="X408" s="102"/>
      <c r="Y408" s="102"/>
      <c r="Z408" s="102"/>
      <c r="AA408" s="102"/>
      <c r="AB408" s="102"/>
      <c r="AC408" s="102"/>
      <c r="AD408" s="102"/>
      <c r="AE408" s="102"/>
      <c r="AF408" s="102"/>
      <c r="AG408" s="102"/>
      <c r="AH408" s="102"/>
      <c r="AI408" s="102"/>
      <c r="AJ408" s="102"/>
      <c r="AK408" s="102"/>
      <c r="AL408" s="102"/>
      <c r="AM408" s="102"/>
      <c r="AN408" s="102"/>
      <c r="AO408" s="102"/>
      <c r="AP408" s="102"/>
      <c r="AQ408" s="102"/>
      <c r="AR408" s="102"/>
      <c r="AS408" s="102"/>
      <c r="AT408" s="102"/>
      <c r="AU408" s="102"/>
      <c r="AV408" s="102"/>
      <c r="AW408" s="102"/>
      <c r="AY408" s="102"/>
      <c r="AZ408" s="102"/>
      <c r="BA408" s="102"/>
      <c r="BB408" s="102"/>
      <c r="BC408" s="102"/>
      <c r="BD408" s="102"/>
      <c r="BE408" s="102"/>
      <c r="BF408" s="102"/>
      <c r="BG408" s="102"/>
      <c r="BH408" s="102"/>
      <c r="BI408" s="102"/>
      <c r="BJ408" s="102"/>
      <c r="BK408" s="102"/>
      <c r="BL408" s="102"/>
      <c r="BM408" s="102"/>
      <c r="BN408" s="102"/>
    </row>
    <row r="409" spans="2:66" s="64" customFormat="1" ht="20.25" customHeight="1">
      <c r="B409" s="102"/>
      <c r="C409" s="102"/>
      <c r="D409" s="102"/>
      <c r="E409" s="102"/>
      <c r="F409" s="102"/>
      <c r="G409" s="102"/>
      <c r="H409" s="102"/>
      <c r="I409" s="102"/>
      <c r="J409" s="102"/>
      <c r="K409" s="102"/>
      <c r="L409" s="102"/>
      <c r="M409" s="102"/>
      <c r="N409" s="102"/>
      <c r="O409" s="102"/>
      <c r="P409" s="102"/>
      <c r="Q409" s="102"/>
      <c r="R409" s="102"/>
      <c r="S409" s="102"/>
      <c r="T409" s="102"/>
      <c r="U409" s="102"/>
      <c r="V409" s="102"/>
      <c r="W409" s="102"/>
      <c r="X409" s="102"/>
      <c r="Y409" s="102"/>
      <c r="Z409" s="102"/>
      <c r="AA409" s="102"/>
      <c r="AB409" s="102"/>
      <c r="AC409" s="102"/>
      <c r="AD409" s="102"/>
      <c r="AE409" s="102"/>
      <c r="AF409" s="102"/>
      <c r="AG409" s="102"/>
      <c r="AH409" s="102"/>
      <c r="AI409" s="102"/>
      <c r="AJ409" s="102"/>
      <c r="AK409" s="102"/>
      <c r="AL409" s="102"/>
      <c r="AM409" s="102"/>
      <c r="AN409" s="102"/>
      <c r="AO409" s="102"/>
      <c r="AP409" s="102"/>
      <c r="AQ409" s="102"/>
      <c r="AR409" s="102"/>
      <c r="AS409" s="102"/>
      <c r="AT409" s="102"/>
      <c r="AU409" s="102"/>
      <c r="AV409" s="102"/>
      <c r="AW409" s="102"/>
      <c r="AY409" s="102"/>
      <c r="AZ409" s="102"/>
      <c r="BA409" s="102"/>
      <c r="BB409" s="102"/>
      <c r="BC409" s="102"/>
      <c r="BD409" s="102"/>
      <c r="BE409" s="102"/>
      <c r="BF409" s="102"/>
      <c r="BG409" s="102"/>
      <c r="BH409" s="102"/>
      <c r="BI409" s="102"/>
      <c r="BJ409" s="102"/>
      <c r="BK409" s="102"/>
      <c r="BL409" s="102"/>
      <c r="BM409" s="102"/>
      <c r="BN409" s="102"/>
    </row>
    <row r="410" spans="2:66" s="64" customFormat="1" ht="20.25" customHeight="1">
      <c r="B410" s="102"/>
      <c r="C410" s="102"/>
      <c r="D410" s="102"/>
      <c r="E410" s="102"/>
      <c r="F410" s="102"/>
      <c r="G410" s="102"/>
      <c r="H410" s="102"/>
      <c r="I410" s="102"/>
      <c r="J410" s="102"/>
      <c r="K410" s="102"/>
      <c r="L410" s="102"/>
      <c r="M410" s="102"/>
      <c r="N410" s="102"/>
      <c r="O410" s="102"/>
      <c r="P410" s="102"/>
      <c r="Q410" s="102"/>
      <c r="R410" s="102"/>
      <c r="S410" s="102"/>
      <c r="T410" s="102"/>
      <c r="U410" s="102"/>
      <c r="V410" s="102"/>
      <c r="W410" s="102"/>
      <c r="X410" s="102"/>
      <c r="Y410" s="102"/>
      <c r="Z410" s="102"/>
      <c r="AA410" s="102"/>
      <c r="AB410" s="102"/>
      <c r="AC410" s="102"/>
      <c r="AD410" s="102"/>
      <c r="AE410" s="102"/>
      <c r="AF410" s="102"/>
      <c r="AG410" s="102"/>
      <c r="AH410" s="102"/>
      <c r="AI410" s="102"/>
      <c r="AJ410" s="102"/>
      <c r="AK410" s="102"/>
      <c r="AL410" s="102"/>
      <c r="AM410" s="102"/>
      <c r="AN410" s="102"/>
      <c r="AO410" s="102"/>
      <c r="AP410" s="102"/>
      <c r="AQ410" s="102"/>
      <c r="AR410" s="102"/>
      <c r="AS410" s="102"/>
      <c r="AT410" s="102"/>
      <c r="AU410" s="102"/>
      <c r="AV410" s="102"/>
      <c r="AW410" s="102"/>
      <c r="AY410" s="102"/>
      <c r="AZ410" s="102"/>
      <c r="BA410" s="102"/>
      <c r="BB410" s="102"/>
      <c r="BC410" s="102"/>
      <c r="BD410" s="102"/>
      <c r="BE410" s="102"/>
      <c r="BF410" s="102"/>
      <c r="BG410" s="102"/>
      <c r="BH410" s="102"/>
      <c r="BI410" s="102"/>
      <c r="BJ410" s="102"/>
      <c r="BK410" s="102"/>
      <c r="BL410" s="102"/>
      <c r="BM410" s="102"/>
      <c r="BN410" s="102"/>
    </row>
    <row r="411" spans="2:66" s="64" customFormat="1" ht="20.25" customHeight="1">
      <c r="B411" s="102"/>
      <c r="C411" s="102"/>
      <c r="D411" s="102"/>
      <c r="E411" s="102"/>
      <c r="F411" s="102"/>
      <c r="G411" s="102"/>
      <c r="H411" s="102"/>
      <c r="I411" s="102"/>
      <c r="J411" s="102"/>
      <c r="K411" s="102"/>
      <c r="L411" s="102"/>
      <c r="M411" s="102"/>
      <c r="N411" s="102"/>
      <c r="O411" s="102"/>
      <c r="P411" s="102"/>
      <c r="Q411" s="102"/>
      <c r="R411" s="102"/>
      <c r="S411" s="102"/>
      <c r="T411" s="102"/>
      <c r="U411" s="102"/>
      <c r="V411" s="102"/>
      <c r="W411" s="102"/>
      <c r="X411" s="102"/>
      <c r="Y411" s="102"/>
      <c r="Z411" s="102"/>
      <c r="AA411" s="102"/>
      <c r="AB411" s="102"/>
      <c r="AC411" s="102"/>
      <c r="AD411" s="102"/>
      <c r="AE411" s="102"/>
      <c r="AF411" s="102"/>
      <c r="AG411" s="102"/>
      <c r="AH411" s="102"/>
      <c r="AI411" s="102"/>
      <c r="AJ411" s="102"/>
      <c r="AK411" s="102"/>
      <c r="AL411" s="102"/>
      <c r="AM411" s="102"/>
      <c r="AN411" s="102"/>
      <c r="AO411" s="102"/>
      <c r="AP411" s="102"/>
      <c r="AQ411" s="102"/>
      <c r="AR411" s="102"/>
      <c r="AS411" s="102"/>
      <c r="AT411" s="102"/>
      <c r="AU411" s="102"/>
      <c r="AV411" s="102"/>
      <c r="AW411" s="102"/>
      <c r="AY411" s="102"/>
      <c r="AZ411" s="102"/>
      <c r="BA411" s="102"/>
      <c r="BB411" s="102"/>
      <c r="BC411" s="102"/>
      <c r="BD411" s="102"/>
      <c r="BE411" s="102"/>
      <c r="BF411" s="102"/>
      <c r="BG411" s="102"/>
      <c r="BH411" s="102"/>
      <c r="BI411" s="102"/>
      <c r="BJ411" s="102"/>
      <c r="BK411" s="102"/>
      <c r="BL411" s="102"/>
      <c r="BM411" s="102"/>
      <c r="BN411" s="102"/>
    </row>
    <row r="412" spans="2:66" s="64" customFormat="1" ht="20.25" customHeight="1">
      <c r="B412" s="102"/>
      <c r="C412" s="102"/>
      <c r="D412" s="102"/>
      <c r="E412" s="102"/>
      <c r="F412" s="102"/>
      <c r="G412" s="102"/>
      <c r="H412" s="102"/>
      <c r="I412" s="102"/>
      <c r="J412" s="102"/>
      <c r="K412" s="102"/>
      <c r="L412" s="102"/>
      <c r="M412" s="102"/>
      <c r="N412" s="102"/>
      <c r="O412" s="102"/>
      <c r="P412" s="102"/>
      <c r="Q412" s="102"/>
      <c r="R412" s="102"/>
      <c r="S412" s="102"/>
      <c r="T412" s="102"/>
      <c r="U412" s="102"/>
      <c r="V412" s="102"/>
      <c r="W412" s="102"/>
      <c r="X412" s="102"/>
      <c r="Y412" s="102"/>
      <c r="Z412" s="102"/>
      <c r="AA412" s="102"/>
      <c r="AB412" s="102"/>
      <c r="AC412" s="102"/>
      <c r="AD412" s="102"/>
      <c r="AE412" s="102"/>
      <c r="AF412" s="102"/>
      <c r="AG412" s="102"/>
      <c r="AH412" s="102"/>
      <c r="AI412" s="102"/>
      <c r="AJ412" s="102"/>
      <c r="AK412" s="102"/>
      <c r="AL412" s="102"/>
      <c r="AM412" s="102"/>
      <c r="AN412" s="102"/>
      <c r="AO412" s="102"/>
      <c r="AP412" s="102"/>
      <c r="AQ412" s="102"/>
      <c r="AR412" s="102"/>
      <c r="AS412" s="102"/>
      <c r="AT412" s="102"/>
      <c r="AU412" s="102"/>
      <c r="AV412" s="102"/>
      <c r="AW412" s="102"/>
      <c r="AY412" s="102"/>
      <c r="AZ412" s="102"/>
      <c r="BA412" s="102"/>
      <c r="BB412" s="102"/>
      <c r="BC412" s="102"/>
      <c r="BD412" s="102"/>
      <c r="BE412" s="102"/>
      <c r="BF412" s="102"/>
      <c r="BG412" s="102"/>
      <c r="BH412" s="102"/>
      <c r="BI412" s="102"/>
      <c r="BJ412" s="102"/>
      <c r="BK412" s="102"/>
      <c r="BL412" s="102"/>
      <c r="BM412" s="102"/>
      <c r="BN412" s="102"/>
    </row>
    <row r="413" spans="2:66" s="64" customFormat="1" ht="20.25" customHeight="1">
      <c r="B413" s="102"/>
      <c r="C413" s="102"/>
      <c r="D413" s="102"/>
      <c r="E413" s="102"/>
      <c r="F413" s="102"/>
      <c r="G413" s="102"/>
      <c r="H413" s="102"/>
      <c r="I413" s="102"/>
      <c r="J413" s="102"/>
      <c r="K413" s="102"/>
      <c r="L413" s="102"/>
      <c r="M413" s="102"/>
      <c r="N413" s="102"/>
      <c r="O413" s="102"/>
      <c r="P413" s="102"/>
      <c r="Q413" s="102"/>
      <c r="R413" s="102"/>
      <c r="S413" s="102"/>
      <c r="T413" s="102"/>
      <c r="U413" s="102"/>
      <c r="V413" s="102"/>
      <c r="W413" s="102"/>
      <c r="X413" s="102"/>
      <c r="Y413" s="102"/>
      <c r="Z413" s="102"/>
      <c r="AA413" s="102"/>
      <c r="AB413" s="102"/>
      <c r="AC413" s="102"/>
      <c r="AD413" s="102"/>
      <c r="AE413" s="102"/>
      <c r="AF413" s="102"/>
      <c r="AG413" s="102"/>
      <c r="AH413" s="102"/>
      <c r="AI413" s="102"/>
      <c r="AJ413" s="102"/>
      <c r="AK413" s="102"/>
      <c r="AL413" s="102"/>
      <c r="AM413" s="102"/>
      <c r="AN413" s="102"/>
      <c r="AO413" s="102"/>
      <c r="AP413" s="102"/>
      <c r="AQ413" s="102"/>
      <c r="AR413" s="102"/>
      <c r="AS413" s="102"/>
      <c r="AT413" s="102"/>
      <c r="AU413" s="102"/>
      <c r="AV413" s="102"/>
      <c r="AW413" s="102"/>
      <c r="AY413" s="102"/>
      <c r="AZ413" s="102"/>
      <c r="BA413" s="102"/>
      <c r="BB413" s="102"/>
      <c r="BC413" s="102"/>
      <c r="BD413" s="102"/>
      <c r="BE413" s="102"/>
      <c r="BF413" s="102"/>
      <c r="BG413" s="102"/>
      <c r="BH413" s="102"/>
      <c r="BI413" s="102"/>
      <c r="BJ413" s="102"/>
      <c r="BK413" s="102"/>
      <c r="BL413" s="102"/>
      <c r="BM413" s="102"/>
      <c r="BN413" s="102"/>
    </row>
    <row r="414" spans="2:66" s="64" customFormat="1" ht="20.25" customHeight="1">
      <c r="B414" s="102"/>
      <c r="C414" s="102"/>
      <c r="D414" s="102"/>
      <c r="E414" s="102"/>
      <c r="F414" s="102"/>
      <c r="G414" s="102"/>
      <c r="H414" s="102"/>
      <c r="I414" s="102"/>
      <c r="J414" s="102"/>
      <c r="K414" s="102"/>
      <c r="L414" s="102"/>
      <c r="M414" s="102"/>
      <c r="N414" s="102"/>
      <c r="O414" s="102"/>
      <c r="P414" s="102"/>
      <c r="Q414" s="102"/>
      <c r="R414" s="102"/>
      <c r="S414" s="102"/>
      <c r="T414" s="102"/>
      <c r="U414" s="102"/>
      <c r="V414" s="102"/>
      <c r="W414" s="102"/>
      <c r="X414" s="102"/>
      <c r="Y414" s="102"/>
      <c r="Z414" s="102"/>
      <c r="AA414" s="102"/>
      <c r="AB414" s="102"/>
      <c r="AC414" s="102"/>
      <c r="AD414" s="102"/>
      <c r="AE414" s="102"/>
      <c r="AF414" s="102"/>
      <c r="AG414" s="102"/>
      <c r="AH414" s="102"/>
      <c r="AI414" s="102"/>
      <c r="AJ414" s="102"/>
      <c r="AK414" s="102"/>
      <c r="AL414" s="102"/>
      <c r="AM414" s="102"/>
      <c r="AN414" s="102"/>
      <c r="AO414" s="102"/>
      <c r="AP414" s="102"/>
      <c r="AQ414" s="102"/>
      <c r="AR414" s="102"/>
      <c r="AS414" s="102"/>
      <c r="AT414" s="102"/>
      <c r="AU414" s="102"/>
      <c r="AV414" s="102"/>
      <c r="AW414" s="102"/>
      <c r="AY414" s="102"/>
      <c r="AZ414" s="102"/>
      <c r="BA414" s="102"/>
      <c r="BB414" s="102"/>
      <c r="BC414" s="102"/>
      <c r="BD414" s="102"/>
      <c r="BE414" s="102"/>
      <c r="BF414" s="102"/>
      <c r="BG414" s="102"/>
      <c r="BH414" s="102"/>
      <c r="BI414" s="102"/>
      <c r="BJ414" s="102"/>
      <c r="BK414" s="102"/>
      <c r="BL414" s="102"/>
      <c r="BM414" s="102"/>
      <c r="BN414" s="102"/>
    </row>
    <row r="415" spans="2:66" s="64" customFormat="1" ht="20.25" customHeight="1">
      <c r="B415" s="102"/>
      <c r="C415" s="102"/>
      <c r="D415" s="102"/>
      <c r="E415" s="102"/>
      <c r="F415" s="102"/>
      <c r="G415" s="102"/>
      <c r="H415" s="102"/>
      <c r="I415" s="102"/>
      <c r="J415" s="102"/>
      <c r="K415" s="102"/>
      <c r="L415" s="102"/>
      <c r="M415" s="102"/>
      <c r="N415" s="102"/>
      <c r="O415" s="102"/>
      <c r="P415" s="102"/>
      <c r="Q415" s="102"/>
      <c r="R415" s="102"/>
      <c r="S415" s="102"/>
      <c r="T415" s="102"/>
      <c r="U415" s="102"/>
      <c r="V415" s="102"/>
      <c r="W415" s="102"/>
      <c r="X415" s="102"/>
      <c r="Y415" s="102"/>
      <c r="Z415" s="102"/>
      <c r="AA415" s="102"/>
      <c r="AB415" s="102"/>
      <c r="AC415" s="102"/>
      <c r="AD415" s="102"/>
      <c r="AE415" s="102"/>
      <c r="AF415" s="102"/>
      <c r="AG415" s="102"/>
      <c r="AH415" s="102"/>
      <c r="AI415" s="102"/>
      <c r="AJ415" s="102"/>
      <c r="AK415" s="102"/>
      <c r="AL415" s="102"/>
      <c r="AM415" s="102"/>
      <c r="AN415" s="102"/>
      <c r="AO415" s="102"/>
      <c r="AP415" s="102"/>
      <c r="AQ415" s="102"/>
      <c r="AR415" s="102"/>
      <c r="AS415" s="102"/>
      <c r="AT415" s="102"/>
      <c r="AU415" s="102"/>
      <c r="AV415" s="102"/>
      <c r="AW415" s="102"/>
      <c r="AY415" s="102"/>
      <c r="AZ415" s="102"/>
      <c r="BA415" s="102"/>
      <c r="BB415" s="102"/>
      <c r="BC415" s="102"/>
      <c r="BD415" s="102"/>
      <c r="BE415" s="102"/>
      <c r="BF415" s="102"/>
      <c r="BG415" s="102"/>
      <c r="BH415" s="102"/>
      <c r="BI415" s="102"/>
      <c r="BJ415" s="102"/>
      <c r="BK415" s="102"/>
      <c r="BL415" s="102"/>
      <c r="BM415" s="102"/>
      <c r="BN415" s="102"/>
    </row>
    <row r="416" spans="2:66" s="64" customFormat="1" ht="20.25" customHeight="1">
      <c r="B416" s="102"/>
      <c r="C416" s="102"/>
      <c r="D416" s="102"/>
      <c r="E416" s="102"/>
      <c r="F416" s="102"/>
      <c r="G416" s="102"/>
      <c r="H416" s="102"/>
      <c r="I416" s="102"/>
      <c r="J416" s="102"/>
      <c r="K416" s="102"/>
      <c r="L416" s="102"/>
      <c r="M416" s="102"/>
      <c r="N416" s="102"/>
      <c r="O416" s="102"/>
      <c r="P416" s="102"/>
      <c r="Q416" s="102"/>
      <c r="R416" s="102"/>
      <c r="S416" s="102"/>
      <c r="T416" s="102"/>
      <c r="U416" s="102"/>
      <c r="V416" s="102"/>
      <c r="W416" s="102"/>
      <c r="X416" s="102"/>
      <c r="Y416" s="102"/>
      <c r="Z416" s="102"/>
      <c r="AA416" s="102"/>
      <c r="AB416" s="102"/>
      <c r="AC416" s="102"/>
      <c r="AD416" s="102"/>
      <c r="AE416" s="102"/>
      <c r="AF416" s="102"/>
      <c r="AG416" s="102"/>
      <c r="AH416" s="102"/>
      <c r="AI416" s="102"/>
      <c r="AJ416" s="102"/>
      <c r="AK416" s="102"/>
      <c r="AL416" s="102"/>
      <c r="AM416" s="102"/>
      <c r="AN416" s="102"/>
      <c r="AO416" s="102"/>
      <c r="AP416" s="102"/>
      <c r="AQ416" s="102"/>
      <c r="AR416" s="102"/>
      <c r="AS416" s="102"/>
      <c r="AT416" s="102"/>
      <c r="AU416" s="102"/>
      <c r="AV416" s="102"/>
      <c r="AW416" s="102"/>
      <c r="AY416" s="102"/>
      <c r="AZ416" s="102"/>
      <c r="BA416" s="102"/>
      <c r="BB416" s="102"/>
      <c r="BC416" s="102"/>
      <c r="BD416" s="102"/>
      <c r="BE416" s="102"/>
      <c r="BF416" s="102"/>
      <c r="BG416" s="102"/>
      <c r="BH416" s="102"/>
      <c r="BI416" s="102"/>
      <c r="BJ416" s="102"/>
      <c r="BK416" s="102"/>
      <c r="BL416" s="102"/>
      <c r="BM416" s="102"/>
      <c r="BN416" s="102"/>
    </row>
    <row r="417" spans="2:66" s="64" customFormat="1" ht="20.25" customHeight="1">
      <c r="B417" s="102"/>
      <c r="C417" s="102"/>
      <c r="D417" s="102"/>
      <c r="E417" s="102"/>
      <c r="F417" s="102"/>
      <c r="G417" s="102"/>
      <c r="H417" s="102"/>
      <c r="I417" s="102"/>
      <c r="J417" s="102"/>
      <c r="K417" s="102"/>
      <c r="L417" s="102"/>
      <c r="M417" s="102"/>
      <c r="N417" s="102"/>
      <c r="O417" s="102"/>
      <c r="P417" s="102"/>
      <c r="Q417" s="102"/>
      <c r="R417" s="102"/>
      <c r="S417" s="102"/>
      <c r="T417" s="102"/>
      <c r="U417" s="102"/>
      <c r="V417" s="102"/>
      <c r="W417" s="102"/>
      <c r="X417" s="102"/>
      <c r="Y417" s="102"/>
      <c r="Z417" s="102"/>
      <c r="AA417" s="102"/>
      <c r="AB417" s="102"/>
      <c r="AC417" s="102"/>
      <c r="AD417" s="102"/>
      <c r="AE417" s="102"/>
      <c r="AF417" s="102"/>
      <c r="AG417" s="102"/>
      <c r="AH417" s="102"/>
      <c r="AI417" s="102"/>
      <c r="AJ417" s="102"/>
      <c r="AK417" s="102"/>
      <c r="AL417" s="102"/>
      <c r="AM417" s="102"/>
      <c r="AN417" s="102"/>
      <c r="AO417" s="102"/>
      <c r="AP417" s="102"/>
      <c r="AQ417" s="102"/>
      <c r="AR417" s="102"/>
      <c r="AS417" s="102"/>
      <c r="AT417" s="102"/>
      <c r="AU417" s="102"/>
      <c r="AV417" s="102"/>
      <c r="AW417" s="102"/>
      <c r="AY417" s="102"/>
      <c r="AZ417" s="102"/>
      <c r="BA417" s="102"/>
      <c r="BB417" s="102"/>
      <c r="BC417" s="102"/>
      <c r="BD417" s="102"/>
      <c r="BE417" s="102"/>
      <c r="BF417" s="102"/>
      <c r="BG417" s="102"/>
      <c r="BH417" s="102"/>
      <c r="BI417" s="102"/>
      <c r="BJ417" s="102"/>
      <c r="BK417" s="102"/>
      <c r="BL417" s="102"/>
      <c r="BM417" s="102"/>
      <c r="BN417" s="102"/>
    </row>
    <row r="418" spans="2:66" s="64" customFormat="1" ht="20.25" customHeight="1">
      <c r="B418" s="102"/>
      <c r="C418" s="102"/>
      <c r="D418" s="102"/>
      <c r="E418" s="102"/>
      <c r="F418" s="102"/>
      <c r="G418" s="102"/>
      <c r="H418" s="102"/>
      <c r="I418" s="102"/>
      <c r="J418" s="102"/>
      <c r="K418" s="102"/>
      <c r="L418" s="102"/>
      <c r="M418" s="102"/>
      <c r="N418" s="102"/>
      <c r="O418" s="102"/>
      <c r="P418" s="102"/>
      <c r="Q418" s="102"/>
      <c r="R418" s="102"/>
      <c r="S418" s="102"/>
      <c r="T418" s="102"/>
      <c r="U418" s="102"/>
      <c r="V418" s="102"/>
      <c r="W418" s="102"/>
      <c r="X418" s="102"/>
      <c r="Y418" s="102"/>
      <c r="Z418" s="102"/>
      <c r="AA418" s="102"/>
      <c r="AB418" s="102"/>
      <c r="AC418" s="102"/>
      <c r="AD418" s="102"/>
      <c r="AE418" s="102"/>
      <c r="AF418" s="102"/>
      <c r="AG418" s="102"/>
      <c r="AH418" s="102"/>
      <c r="AI418" s="102"/>
      <c r="AJ418" s="102"/>
      <c r="AK418" s="102"/>
      <c r="AL418" s="102"/>
      <c r="AM418" s="102"/>
      <c r="AN418" s="102"/>
      <c r="AO418" s="102"/>
      <c r="AP418" s="102"/>
      <c r="AQ418" s="102"/>
      <c r="AR418" s="102"/>
      <c r="AS418" s="102"/>
      <c r="AT418" s="102"/>
      <c r="AU418" s="102"/>
      <c r="AV418" s="102"/>
      <c r="AW418" s="102"/>
      <c r="AY418" s="102"/>
      <c r="AZ418" s="102"/>
      <c r="BA418" s="102"/>
      <c r="BB418" s="102"/>
      <c r="BC418" s="102"/>
      <c r="BD418" s="102"/>
      <c r="BE418" s="102"/>
      <c r="BF418" s="102"/>
      <c r="BG418" s="102"/>
      <c r="BH418" s="102"/>
      <c r="BI418" s="102"/>
      <c r="BJ418" s="102"/>
      <c r="BK418" s="102"/>
      <c r="BL418" s="102"/>
      <c r="BM418" s="102"/>
      <c r="BN418" s="102"/>
    </row>
  </sheetData>
  <mergeCells count="209">
    <mergeCell ref="AN26:AV26"/>
    <mergeCell ref="AN27:AV27"/>
    <mergeCell ref="AN28:AV28"/>
    <mergeCell ref="AN29:AV29"/>
    <mergeCell ref="AN30:AV30"/>
    <mergeCell ref="AN31:AV31"/>
    <mergeCell ref="AN32:AV32"/>
    <mergeCell ref="AQ12:AW12"/>
    <mergeCell ref="B47:C47"/>
    <mergeCell ref="B25:C25"/>
    <mergeCell ref="B26:C26"/>
    <mergeCell ref="Y23:AD23"/>
    <mergeCell ref="AN24:AV24"/>
    <mergeCell ref="AN33:AV33"/>
    <mergeCell ref="B30:C30"/>
    <mergeCell ref="B23:C23"/>
    <mergeCell ref="B21:C21"/>
    <mergeCell ref="B22:C22"/>
    <mergeCell ref="Y22:AD22"/>
    <mergeCell ref="P23:X23"/>
    <mergeCell ref="N24:O24"/>
    <mergeCell ref="N33:O33"/>
    <mergeCell ref="P24:X24"/>
    <mergeCell ref="P33:X33"/>
    <mergeCell ref="B48:C48"/>
    <mergeCell ref="B49:C49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N31:O31"/>
    <mergeCell ref="N32:O32"/>
    <mergeCell ref="P27:X27"/>
    <mergeCell ref="P26:X26"/>
    <mergeCell ref="P25:X25"/>
    <mergeCell ref="Y32:AD32"/>
    <mergeCell ref="Y31:AD31"/>
    <mergeCell ref="Y29:AD29"/>
    <mergeCell ref="Y28:AD28"/>
    <mergeCell ref="Y27:AD27"/>
    <mergeCell ref="Y26:AD26"/>
    <mergeCell ref="AN54:AV54"/>
    <mergeCell ref="AN50:AV50"/>
    <mergeCell ref="AF59:AM59"/>
    <mergeCell ref="AI42:AM42"/>
    <mergeCell ref="AA42:AH42"/>
    <mergeCell ref="B54:C54"/>
    <mergeCell ref="AA48:AH48"/>
    <mergeCell ref="AA49:AH49"/>
    <mergeCell ref="AA50:AK50"/>
    <mergeCell ref="B50:Z50"/>
    <mergeCell ref="AI49:AM49"/>
    <mergeCell ref="AI48:AM48"/>
    <mergeCell ref="AI47:AM47"/>
    <mergeCell ref="AA47:AH47"/>
    <mergeCell ref="AI46:AM46"/>
    <mergeCell ref="AL50:AM50"/>
    <mergeCell ref="AF54:AM54"/>
    <mergeCell ref="AI43:AM43"/>
    <mergeCell ref="B58:C58"/>
    <mergeCell ref="Y58:AE58"/>
    <mergeCell ref="N58:X58"/>
    <mergeCell ref="AN48:AV48"/>
    <mergeCell ref="AN49:AV49"/>
    <mergeCell ref="P42:Z42"/>
    <mergeCell ref="AO3:AP4"/>
    <mergeCell ref="AM3:AN4"/>
    <mergeCell ref="AA39:AH39"/>
    <mergeCell ref="AA38:AH38"/>
    <mergeCell ref="AN39:AV39"/>
    <mergeCell ref="N54:X54"/>
    <mergeCell ref="AN46:AV46"/>
    <mergeCell ref="AI40:AM40"/>
    <mergeCell ref="AI41:AM41"/>
    <mergeCell ref="U7:U8"/>
    <mergeCell ref="B7:R7"/>
    <mergeCell ref="B8:R8"/>
    <mergeCell ref="V7:AJ8"/>
    <mergeCell ref="AM7:AN7"/>
    <mergeCell ref="N22:O22"/>
    <mergeCell ref="P22:X22"/>
    <mergeCell ref="B27:C27"/>
    <mergeCell ref="B28:C28"/>
    <mergeCell ref="AE22:AM22"/>
    <mergeCell ref="AN22:AV22"/>
    <mergeCell ref="B24:C24"/>
    <mergeCell ref="Y24:AD24"/>
    <mergeCell ref="AE24:AM24"/>
    <mergeCell ref="N23:O23"/>
    <mergeCell ref="P20:AW20"/>
    <mergeCell ref="AI45:AM45"/>
    <mergeCell ref="AN43:AV43"/>
    <mergeCell ref="AN44:AV44"/>
    <mergeCell ref="AA43:AH43"/>
    <mergeCell ref="AA44:AH44"/>
    <mergeCell ref="AI44:AM44"/>
    <mergeCell ref="AN45:AV45"/>
    <mergeCell ref="AN41:AV41"/>
    <mergeCell ref="AN23:AV23"/>
    <mergeCell ref="AE23:AM23"/>
    <mergeCell ref="AI39:AM39"/>
    <mergeCell ref="AA45:AH45"/>
    <mergeCell ref="AA40:AH40"/>
    <mergeCell ref="Y34:AB34"/>
    <mergeCell ref="AC34:AD34"/>
    <mergeCell ref="AE34:AM34"/>
    <mergeCell ref="AN34:AV34"/>
    <mergeCell ref="AN40:AV40"/>
    <mergeCell ref="P32:X32"/>
    <mergeCell ref="P31:X31"/>
    <mergeCell ref="P30:X30"/>
    <mergeCell ref="P29:X29"/>
    <mergeCell ref="P28:X28"/>
    <mergeCell ref="V6:AI6"/>
    <mergeCell ref="S3:AK3"/>
    <mergeCell ref="AL3:AL10"/>
    <mergeCell ref="AN57:AV57"/>
    <mergeCell ref="Y57:AE57"/>
    <mergeCell ref="N57:X57"/>
    <mergeCell ref="AF57:AM57"/>
    <mergeCell ref="N55:X55"/>
    <mergeCell ref="AN38:AV38"/>
    <mergeCell ref="AN42:AV42"/>
    <mergeCell ref="V9:AK9"/>
    <mergeCell ref="AR7:AS7"/>
    <mergeCell ref="AT7:AU7"/>
    <mergeCell ref="AO7:AP7"/>
    <mergeCell ref="AQ3:AR4"/>
    <mergeCell ref="AS3:AT4"/>
    <mergeCell ref="AI38:AM38"/>
    <mergeCell ref="B34:X34"/>
    <mergeCell ref="B31:C31"/>
    <mergeCell ref="B32:C32"/>
    <mergeCell ref="AA41:AH41"/>
    <mergeCell ref="B2:C6"/>
    <mergeCell ref="N3:R5"/>
    <mergeCell ref="AN47:AV47"/>
    <mergeCell ref="AN55:AV55"/>
    <mergeCell ref="AN59:AV59"/>
    <mergeCell ref="B60:C60"/>
    <mergeCell ref="AN60:AV60"/>
    <mergeCell ref="B59:C59"/>
    <mergeCell ref="N59:X59"/>
    <mergeCell ref="N60:X60"/>
    <mergeCell ref="Y59:AE59"/>
    <mergeCell ref="Y60:AE60"/>
    <mergeCell ref="AF60:AM60"/>
    <mergeCell ref="B56:C56"/>
    <mergeCell ref="AN56:AV56"/>
    <mergeCell ref="AF55:AM55"/>
    <mergeCell ref="B55:C55"/>
    <mergeCell ref="Y55:AE55"/>
    <mergeCell ref="Y56:AE56"/>
    <mergeCell ref="AF58:AM58"/>
    <mergeCell ref="AN58:AV58"/>
    <mergeCell ref="B57:C57"/>
    <mergeCell ref="AE30:AM30"/>
    <mergeCell ref="AE29:AM29"/>
    <mergeCell ref="AE28:AM28"/>
    <mergeCell ref="AE27:AM27"/>
    <mergeCell ref="AE26:AM26"/>
    <mergeCell ref="AE25:AM25"/>
    <mergeCell ref="B62:AI62"/>
    <mergeCell ref="P38:Z38"/>
    <mergeCell ref="N38:O38"/>
    <mergeCell ref="N39:O39"/>
    <mergeCell ref="N56:X56"/>
    <mergeCell ref="AF56:AM56"/>
    <mergeCell ref="B29:C29"/>
    <mergeCell ref="B33:C33"/>
    <mergeCell ref="Y33:AD33"/>
    <mergeCell ref="AE33:AM33"/>
    <mergeCell ref="Y54:AE54"/>
    <mergeCell ref="AA46:AH46"/>
    <mergeCell ref="N25:O25"/>
    <mergeCell ref="N26:O26"/>
    <mergeCell ref="N27:O27"/>
    <mergeCell ref="N28:O28"/>
    <mergeCell ref="N29:O29"/>
    <mergeCell ref="N30:O30"/>
    <mergeCell ref="AN25:AV25"/>
    <mergeCell ref="P49:Z49"/>
    <mergeCell ref="N49:O49"/>
    <mergeCell ref="N48:O48"/>
    <mergeCell ref="N47:O47"/>
    <mergeCell ref="N46:O46"/>
    <mergeCell ref="N45:O45"/>
    <mergeCell ref="N44:O44"/>
    <mergeCell ref="N43:O43"/>
    <mergeCell ref="Y30:AD30"/>
    <mergeCell ref="N42:O42"/>
    <mergeCell ref="N41:O41"/>
    <mergeCell ref="N40:O40"/>
    <mergeCell ref="P43:Z43"/>
    <mergeCell ref="P44:Z44"/>
    <mergeCell ref="P45:Z45"/>
    <mergeCell ref="P46:Z46"/>
    <mergeCell ref="P47:Z47"/>
    <mergeCell ref="P48:Z48"/>
    <mergeCell ref="Y25:AD25"/>
    <mergeCell ref="P40:Z40"/>
    <mergeCell ref="P41:Z41"/>
    <mergeCell ref="AE32:AM32"/>
    <mergeCell ref="AE31:AM31"/>
  </mergeCells>
  <phoneticPr fontId="20" type="noConversion"/>
  <printOptions horizontalCentered="1"/>
  <pageMargins left="0.11811023622047245" right="0.11811023622047245" top="0.59055118110236227" bottom="0.39370078740157483" header="0" footer="0"/>
  <pageSetup paperSize="5" scale="75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rgb="FF92D050"/>
  </sheetPr>
  <dimension ref="A2:CB114"/>
  <sheetViews>
    <sheetView showGridLines="0" view="pageBreakPreview" zoomScaleNormal="100" zoomScaleSheetLayoutView="100" workbookViewId="0">
      <selection activeCell="F38" sqref="F38:K38"/>
    </sheetView>
  </sheetViews>
  <sheetFormatPr defaultColWidth="4.5703125" defaultRowHeight="12.75"/>
  <cols>
    <col min="1" max="1" width="6.5703125" style="1468" customWidth="1"/>
    <col min="2" max="2" width="7.5703125" style="1468" customWidth="1"/>
    <col min="3" max="3" width="6" style="1468" customWidth="1"/>
    <col min="4" max="4" width="6.42578125" style="1468" customWidth="1"/>
    <col min="5" max="5" width="6.28515625" style="1468" customWidth="1"/>
    <col min="6" max="6" width="4.42578125" style="1468" customWidth="1"/>
    <col min="7" max="7" width="5.85546875" style="1468" customWidth="1"/>
    <col min="8" max="8" width="4.42578125" style="1468" customWidth="1"/>
    <col min="9" max="9" width="5.85546875" style="1468" customWidth="1"/>
    <col min="10" max="10" width="5.5703125" style="1468" customWidth="1"/>
    <col min="11" max="11" width="6.140625" style="1468" customWidth="1"/>
    <col min="12" max="12" width="5.28515625" style="1468" customWidth="1"/>
    <col min="13" max="13" width="3" style="1468" customWidth="1"/>
    <col min="14" max="14" width="4.7109375" style="1468" customWidth="1"/>
    <col min="15" max="15" width="4.140625" style="1468" customWidth="1"/>
    <col min="16" max="16" width="4.28515625" style="1468" customWidth="1"/>
    <col min="17" max="17" width="5.42578125" style="1468" customWidth="1"/>
    <col min="18" max="18" width="4.7109375" style="1468" customWidth="1"/>
    <col min="19" max="19" width="5" style="1468" customWidth="1"/>
    <col min="20" max="20" width="3.85546875" style="1468" customWidth="1"/>
    <col min="21" max="21" width="6" style="1468" customWidth="1"/>
    <col min="22" max="22" width="5.85546875" style="1468" customWidth="1"/>
    <col min="23" max="23" width="5.28515625" style="1468" customWidth="1"/>
    <col min="24" max="24" width="8.28515625" style="1468" customWidth="1"/>
    <col min="25" max="25" width="3.7109375" style="1468" customWidth="1"/>
    <col min="26" max="26" width="4.140625" style="1468" customWidth="1"/>
    <col min="27" max="27" width="3.7109375" style="1468" customWidth="1"/>
    <col min="28" max="28" width="3.28515625" style="1468" customWidth="1"/>
    <col min="29" max="29" width="4.42578125" style="1468" customWidth="1"/>
    <col min="30" max="16384" width="4.5703125" style="1468"/>
  </cols>
  <sheetData>
    <row r="2" spans="1:56" ht="11.25" customHeight="1">
      <c r="A2" s="886"/>
      <c r="B2" s="886"/>
      <c r="C2" s="886"/>
      <c r="D2" s="886"/>
      <c r="E2" s="886"/>
      <c r="F2" s="886"/>
      <c r="G2" s="886"/>
      <c r="H2" s="886"/>
      <c r="I2" s="886"/>
      <c r="Z2" s="1528"/>
      <c r="AA2" s="1528"/>
      <c r="AB2" s="1528"/>
      <c r="AC2" s="1529"/>
    </row>
    <row r="3" spans="1:56" ht="3.75" customHeight="1">
      <c r="Z3" s="1528"/>
      <c r="AA3" s="1528"/>
      <c r="AB3" s="1528"/>
      <c r="AC3" s="1529"/>
    </row>
    <row r="4" spans="1:56" ht="6" customHeight="1">
      <c r="A4" s="886"/>
      <c r="B4" s="886"/>
      <c r="C4" s="886"/>
      <c r="D4" s="886"/>
      <c r="E4" s="886"/>
      <c r="F4" s="886"/>
      <c r="G4" s="886"/>
      <c r="H4" s="886"/>
      <c r="I4" s="886"/>
      <c r="Z4" s="1528"/>
      <c r="AA4" s="1528"/>
      <c r="AB4" s="1528"/>
      <c r="AC4" s="1529"/>
    </row>
    <row r="5" spans="1:56" ht="33" customHeight="1">
      <c r="A5" s="3056" t="s">
        <v>1271</v>
      </c>
      <c r="B5" s="3056"/>
      <c r="C5" s="3056"/>
      <c r="D5" s="3056"/>
      <c r="E5" s="3056"/>
      <c r="F5" s="3056"/>
      <c r="G5" s="3056"/>
      <c r="H5" s="3056"/>
      <c r="I5" s="3056"/>
      <c r="J5" s="3056"/>
      <c r="K5" s="3056"/>
      <c r="L5" s="3056"/>
      <c r="M5" s="3056"/>
      <c r="N5" s="3056"/>
      <c r="O5" s="3056"/>
      <c r="P5" s="3056"/>
      <c r="Q5" s="3056"/>
      <c r="R5" s="3056"/>
      <c r="S5" s="3056"/>
      <c r="T5" s="3056"/>
      <c r="U5" s="3056"/>
      <c r="V5" s="3056"/>
      <c r="W5" s="3056"/>
      <c r="X5" s="3056"/>
      <c r="Y5" s="3056"/>
      <c r="Z5" s="3056"/>
      <c r="AA5" s="3056"/>
      <c r="AB5" s="3056"/>
      <c r="AC5" s="3056"/>
    </row>
    <row r="6" spans="1:56" s="1528" customFormat="1" ht="33" customHeight="1">
      <c r="A6" s="1530" t="str">
        <f>Attachment!A5</f>
        <v/>
      </c>
      <c r="B6" s="1531"/>
      <c r="C6" s="1531"/>
      <c r="D6" s="1531"/>
      <c r="E6" s="1531"/>
      <c r="F6" s="1531"/>
      <c r="G6" s="1531"/>
      <c r="H6" s="1531"/>
      <c r="I6" s="1531"/>
      <c r="J6" s="1532"/>
      <c r="K6" s="1532"/>
      <c r="L6" s="1532"/>
      <c r="M6" s="1532"/>
      <c r="N6" s="1532"/>
      <c r="O6" s="1532"/>
      <c r="P6" s="1532"/>
      <c r="Q6" s="1532"/>
      <c r="R6" s="1532"/>
      <c r="S6" s="1508"/>
      <c r="T6" s="1529"/>
      <c r="U6" s="1529"/>
      <c r="V6" s="1529"/>
      <c r="W6" s="1529"/>
      <c r="X6" s="1529"/>
      <c r="Y6" s="1533"/>
      <c r="Z6" s="1534"/>
      <c r="AA6" s="1535"/>
      <c r="AB6" s="1529"/>
      <c r="AC6" s="1529"/>
    </row>
    <row r="7" spans="1:56" s="1528" customFormat="1" ht="33" customHeight="1">
      <c r="A7" s="1530" t="str">
        <f>Attachment!A6</f>
        <v>.....</v>
      </c>
      <c r="B7" s="1531"/>
      <c r="C7" s="1531"/>
      <c r="D7" s="1531"/>
      <c r="E7" s="1531"/>
      <c r="F7" s="1531"/>
      <c r="G7" s="1531"/>
      <c r="H7" s="1531"/>
      <c r="I7" s="1531"/>
      <c r="J7" s="1532"/>
      <c r="K7" s="1532"/>
      <c r="L7" s="1532"/>
      <c r="M7" s="1532"/>
      <c r="N7" s="1532"/>
      <c r="O7" s="1532"/>
      <c r="P7" s="1532"/>
      <c r="Q7" s="1532"/>
      <c r="R7" s="1532"/>
      <c r="S7" s="1508"/>
      <c r="T7" s="1529"/>
      <c r="U7" s="1529"/>
      <c r="V7" s="1529"/>
      <c r="W7" s="1529"/>
      <c r="X7" s="1529"/>
      <c r="Y7" s="1533"/>
      <c r="Z7" s="1534"/>
      <c r="AA7" s="1535"/>
      <c r="AB7" s="1529"/>
      <c r="AC7" s="1529"/>
    </row>
    <row r="8" spans="1:56" ht="5.25" customHeight="1">
      <c r="A8" s="1536"/>
      <c r="B8" s="1536"/>
      <c r="C8" s="1536"/>
      <c r="D8" s="1536"/>
      <c r="E8" s="1536"/>
      <c r="F8" s="1536"/>
      <c r="G8" s="1536"/>
      <c r="H8" s="1536"/>
      <c r="I8" s="1536"/>
      <c r="J8" s="1473"/>
      <c r="K8" s="1473"/>
      <c r="L8" s="1473"/>
      <c r="M8" s="1473"/>
      <c r="N8" s="1473"/>
      <c r="O8" s="1473"/>
      <c r="P8" s="1473"/>
      <c r="Q8" s="1473"/>
      <c r="R8" s="1473"/>
      <c r="S8" s="1473"/>
      <c r="T8" s="1473"/>
      <c r="U8" s="1473"/>
      <c r="V8" s="1473"/>
      <c r="W8" s="1473"/>
      <c r="X8" s="1473"/>
      <c r="Y8" s="1473"/>
      <c r="Z8" s="1537"/>
      <c r="AA8" s="1537"/>
      <c r="AB8" s="1537"/>
      <c r="AC8" s="1538"/>
      <c r="AD8" s="1473"/>
    </row>
    <row r="9" spans="1:56" ht="3.75" customHeight="1">
      <c r="A9" s="1473"/>
      <c r="B9" s="1473"/>
      <c r="C9" s="1473"/>
      <c r="D9" s="1473"/>
      <c r="E9" s="1473"/>
      <c r="F9" s="1473"/>
      <c r="G9" s="1473"/>
      <c r="H9" s="1473"/>
      <c r="I9" s="1473"/>
      <c r="J9" s="1473"/>
      <c r="K9" s="1473"/>
      <c r="L9" s="1473"/>
      <c r="M9" s="1473"/>
      <c r="N9" s="1473"/>
      <c r="O9" s="1473"/>
      <c r="P9" s="1473"/>
      <c r="Q9" s="1473"/>
      <c r="R9" s="1473"/>
      <c r="S9" s="1473"/>
      <c r="T9" s="1473"/>
      <c r="U9" s="1473"/>
      <c r="V9" s="1473"/>
      <c r="W9" s="1473"/>
      <c r="X9" s="1473"/>
      <c r="Y9" s="1473"/>
      <c r="Z9" s="1537"/>
      <c r="AA9" s="1537"/>
      <c r="AB9" s="1537"/>
      <c r="AC9" s="1538"/>
      <c r="AD9" s="1473"/>
    </row>
    <row r="10" spans="1:56" s="1484" customFormat="1" ht="24" customHeight="1">
      <c r="C10" s="1485"/>
      <c r="D10" s="1539"/>
      <c r="E10" s="1539"/>
      <c r="F10" s="1540"/>
      <c r="G10" s="1540"/>
      <c r="H10" s="1540"/>
      <c r="I10" s="1540"/>
      <c r="J10" s="1540"/>
      <c r="K10" s="1540"/>
      <c r="L10" s="1486"/>
      <c r="M10" s="1486"/>
      <c r="N10" s="1486"/>
      <c r="O10" s="1486"/>
      <c r="P10" s="1486"/>
      <c r="Q10" s="1486"/>
      <c r="R10" s="1486"/>
      <c r="S10" s="1540"/>
      <c r="T10" s="1540"/>
      <c r="U10" s="1540"/>
      <c r="V10" s="1540"/>
      <c r="W10" s="1486"/>
      <c r="X10" s="1541"/>
      <c r="Y10" s="1541"/>
      <c r="Z10" s="1541"/>
      <c r="AA10" s="1541"/>
    </row>
    <row r="11" spans="1:56" s="1484" customFormat="1" ht="24" customHeight="1">
      <c r="C11" s="1485"/>
      <c r="D11" s="1539"/>
      <c r="E11" s="1539"/>
      <c r="F11" s="1540"/>
      <c r="G11" s="1540"/>
      <c r="H11" s="1540"/>
      <c r="I11" s="1540"/>
      <c r="J11" s="1540"/>
      <c r="K11" s="1540"/>
      <c r="L11" s="1486"/>
      <c r="M11" s="1486"/>
      <c r="N11" s="1486"/>
      <c r="O11" s="1486"/>
      <c r="P11" s="1486"/>
      <c r="Q11" s="1486"/>
      <c r="R11" s="1486"/>
      <c r="S11" s="1540"/>
      <c r="T11" s="1540"/>
      <c r="U11" s="1540"/>
      <c r="V11" s="1540"/>
      <c r="W11" s="1486"/>
      <c r="X11" s="1541"/>
      <c r="Y11" s="1541"/>
      <c r="Z11" s="1541"/>
      <c r="AA11" s="1541"/>
    </row>
    <row r="12" spans="1:56" s="1484" customFormat="1" ht="17.25" customHeight="1">
      <c r="A12" s="1472" t="s">
        <v>1272</v>
      </c>
      <c r="B12" s="1468"/>
      <c r="C12" s="1468"/>
      <c r="D12" s="1468"/>
      <c r="E12" s="1468"/>
      <c r="F12" s="1468"/>
      <c r="G12" s="1468"/>
      <c r="H12" s="1468"/>
      <c r="I12" s="1468"/>
      <c r="J12" s="1468"/>
      <c r="K12" s="1468"/>
      <c r="L12" s="1468"/>
      <c r="M12" s="1468"/>
      <c r="N12" s="1468"/>
      <c r="O12" s="1468"/>
      <c r="P12" s="1468"/>
      <c r="Q12" s="1468"/>
      <c r="R12" s="1468"/>
      <c r="S12" s="1468"/>
      <c r="T12" s="1468"/>
      <c r="U12" s="1468"/>
      <c r="V12" s="1468"/>
      <c r="W12" s="1468"/>
      <c r="X12" s="1468"/>
      <c r="Y12" s="1468"/>
      <c r="Z12" s="1468"/>
      <c r="AA12" s="1468"/>
      <c r="AB12" s="1468"/>
      <c r="AC12" s="1468"/>
      <c r="AD12" s="1485"/>
      <c r="AE12" s="1485"/>
      <c r="AF12" s="1485"/>
      <c r="AG12" s="1486"/>
      <c r="AH12" s="1486"/>
      <c r="AI12" s="1486"/>
      <c r="AJ12" s="1486"/>
      <c r="AK12" s="1486"/>
      <c r="AL12" s="1486"/>
      <c r="AM12" s="1486"/>
      <c r="AN12" s="1486"/>
      <c r="AO12" s="1486"/>
      <c r="AP12" s="1486"/>
      <c r="AQ12" s="1486"/>
      <c r="AR12" s="1486"/>
      <c r="AS12" s="1486"/>
      <c r="AT12" s="1486"/>
      <c r="AU12" s="1486"/>
      <c r="AV12" s="1486"/>
      <c r="AW12" s="1486"/>
      <c r="AX12" s="1486"/>
      <c r="AY12" s="1542"/>
      <c r="AZ12" s="1525"/>
      <c r="BA12" s="1525"/>
      <c r="BB12" s="1525"/>
    </row>
    <row r="13" spans="1:56" s="1484" customFormat="1" ht="17.25" customHeight="1" thickBot="1">
      <c r="A13" s="1472"/>
      <c r="B13" s="1468"/>
      <c r="C13" s="1468"/>
      <c r="D13" s="1468"/>
      <c r="E13" s="1468"/>
      <c r="F13" s="1468"/>
      <c r="G13" s="1468"/>
      <c r="H13" s="1468"/>
      <c r="I13" s="1468"/>
      <c r="J13" s="1468"/>
      <c r="K13" s="1468"/>
      <c r="L13" s="1468"/>
      <c r="M13" s="1468"/>
      <c r="N13" s="1468"/>
      <c r="O13" s="1468"/>
      <c r="P13" s="1468"/>
      <c r="Q13" s="1468"/>
      <c r="R13" s="1468"/>
      <c r="S13" s="1468"/>
      <c r="T13" s="1468"/>
      <c r="U13" s="1468"/>
      <c r="V13" s="1468"/>
      <c r="W13" s="1468"/>
      <c r="X13" s="1468"/>
      <c r="Y13" s="1468"/>
      <c r="Z13" s="1468"/>
      <c r="AA13" s="1468"/>
      <c r="AB13" s="1468"/>
      <c r="AC13" s="1468"/>
      <c r="AD13" s="1485"/>
      <c r="AE13" s="1485"/>
      <c r="AF13" s="1485"/>
      <c r="AG13" s="1485"/>
      <c r="AH13" s="1486"/>
      <c r="AI13" s="1486"/>
      <c r="AJ13" s="1486"/>
      <c r="AK13" s="1486"/>
      <c r="AL13" s="1486"/>
      <c r="AM13" s="1486"/>
      <c r="AN13" s="1486"/>
      <c r="AO13" s="1486"/>
      <c r="AP13" s="1486"/>
      <c r="AQ13" s="1486"/>
      <c r="AR13" s="1486"/>
      <c r="AS13" s="1486"/>
      <c r="AT13" s="1486"/>
      <c r="AU13" s="1486"/>
      <c r="AV13" s="1486"/>
      <c r="AW13" s="1486"/>
      <c r="AX13" s="1486"/>
      <c r="AY13" s="1486"/>
      <c r="AZ13" s="1542"/>
      <c r="BA13" s="1525"/>
      <c r="BB13" s="1525"/>
      <c r="BC13" s="1525"/>
    </row>
    <row r="14" spans="1:56" ht="20.25">
      <c r="A14" s="3036" t="s">
        <v>1273</v>
      </c>
      <c r="B14" s="3037"/>
      <c r="C14" s="3037"/>
      <c r="D14" s="3037"/>
      <c r="E14" s="3038"/>
      <c r="F14" s="3042" t="s">
        <v>1274</v>
      </c>
      <c r="G14" s="3043"/>
      <c r="H14" s="3043"/>
      <c r="I14" s="3043"/>
      <c r="J14" s="3043"/>
      <c r="K14" s="3043"/>
      <c r="L14" s="3043"/>
      <c r="M14" s="3044"/>
      <c r="N14" s="3042" t="s">
        <v>1275</v>
      </c>
      <c r="O14" s="3043"/>
      <c r="P14" s="3043"/>
      <c r="Q14" s="3043"/>
      <c r="R14" s="3043"/>
      <c r="S14" s="3043"/>
      <c r="T14" s="3043"/>
      <c r="U14" s="3044"/>
      <c r="V14" s="3042" t="s">
        <v>1276</v>
      </c>
      <c r="W14" s="3043"/>
      <c r="X14" s="3043"/>
      <c r="Y14" s="3043"/>
      <c r="Z14" s="3043"/>
      <c r="AA14" s="3043"/>
      <c r="AB14" s="3043"/>
      <c r="AC14" s="3045"/>
      <c r="AE14" s="1485"/>
      <c r="AF14" s="1485"/>
      <c r="AG14" s="1472"/>
      <c r="BD14" s="1484"/>
    </row>
    <row r="15" spans="1:56" ht="45" customHeight="1" thickBot="1">
      <c r="A15" s="3039"/>
      <c r="B15" s="3040"/>
      <c r="C15" s="3040"/>
      <c r="D15" s="3040"/>
      <c r="E15" s="3041"/>
      <c r="F15" s="3412" t="s">
        <v>1277</v>
      </c>
      <c r="G15" s="3413"/>
      <c r="H15" s="3413"/>
      <c r="I15" s="3414"/>
      <c r="J15" s="3412" t="s">
        <v>1278</v>
      </c>
      <c r="K15" s="3413"/>
      <c r="L15" s="3413"/>
      <c r="M15" s="3414"/>
      <c r="N15" s="3412" t="s">
        <v>1277</v>
      </c>
      <c r="O15" s="3413"/>
      <c r="P15" s="3413"/>
      <c r="Q15" s="3414"/>
      <c r="R15" s="3412" t="s">
        <v>1278</v>
      </c>
      <c r="S15" s="3413"/>
      <c r="T15" s="3413"/>
      <c r="U15" s="3414"/>
      <c r="V15" s="3406" t="s">
        <v>1279</v>
      </c>
      <c r="W15" s="3407"/>
      <c r="X15" s="3407"/>
      <c r="Y15" s="3415"/>
      <c r="Z15" s="3406" t="s">
        <v>1280</v>
      </c>
      <c r="AA15" s="3407"/>
      <c r="AB15" s="3407"/>
      <c r="AC15" s="3408"/>
      <c r="BD15" s="1474"/>
    </row>
    <row r="16" spans="1:56" ht="13.5" customHeight="1" thickTop="1">
      <c r="A16" s="1488"/>
      <c r="B16" s="1489"/>
      <c r="C16" s="1489"/>
      <c r="D16" s="1489"/>
      <c r="E16" s="1489"/>
      <c r="F16" s="1490"/>
      <c r="G16" s="1490"/>
      <c r="H16" s="1490"/>
      <c r="I16" s="1490"/>
      <c r="J16" s="1490"/>
      <c r="K16" s="1490"/>
      <c r="L16" s="1490"/>
      <c r="M16" s="1490"/>
      <c r="N16" s="1490"/>
      <c r="O16" s="1490"/>
      <c r="P16" s="1490"/>
      <c r="Q16" s="1490"/>
      <c r="R16" s="1490"/>
      <c r="S16" s="1490"/>
      <c r="T16" s="1490"/>
      <c r="U16" s="1490"/>
      <c r="V16" s="1490"/>
      <c r="W16" s="1490"/>
      <c r="X16" s="1490"/>
      <c r="Y16" s="1490"/>
      <c r="Z16" s="1490"/>
      <c r="AA16" s="1490"/>
      <c r="AB16" s="1490"/>
      <c r="AC16" s="1491"/>
      <c r="AG16" s="3409"/>
      <c r="AH16" s="3409"/>
      <c r="AI16" s="3409"/>
      <c r="AJ16" s="3409"/>
      <c r="AK16" s="3409"/>
      <c r="AL16" s="3409"/>
      <c r="AM16" s="3409"/>
      <c r="AN16" s="3409"/>
      <c r="AO16" s="3410"/>
      <c r="AP16" s="3410"/>
      <c r="AQ16" s="3410"/>
      <c r="AR16" s="3410"/>
      <c r="AS16" s="3410"/>
      <c r="AT16" s="3410"/>
      <c r="AU16" s="3410"/>
      <c r="AV16" s="3410"/>
      <c r="AW16" s="3410"/>
      <c r="AX16" s="3410"/>
      <c r="AY16" s="3410"/>
      <c r="AZ16" s="3410"/>
      <c r="BA16" s="3410"/>
      <c r="BB16" s="3410"/>
      <c r="BC16" s="3410"/>
    </row>
    <row r="17" spans="1:80">
      <c r="A17" s="1492" t="s">
        <v>1281</v>
      </c>
      <c r="B17" s="1493"/>
      <c r="C17" s="1493"/>
      <c r="D17" s="1493"/>
      <c r="E17" s="1493"/>
      <c r="F17" s="3411" t="str">
        <f>Attachment!F52</f>
        <v xml:space="preserve"> </v>
      </c>
      <c r="G17" s="3411"/>
      <c r="H17" s="3411"/>
      <c r="I17" s="3411"/>
      <c r="J17" s="3411"/>
      <c r="K17" s="3411"/>
      <c r="L17" s="1494"/>
      <c r="M17" s="1494"/>
      <c r="N17" s="1494"/>
      <c r="O17" s="1494"/>
      <c r="P17" s="1494"/>
      <c r="Q17" s="1494"/>
      <c r="R17" s="1494"/>
      <c r="S17" s="1494"/>
      <c r="T17" s="1494"/>
      <c r="U17" s="1494"/>
      <c r="V17" s="1494"/>
      <c r="W17" s="1494"/>
      <c r="X17" s="1494"/>
      <c r="Y17" s="1494"/>
      <c r="Z17" s="1494"/>
      <c r="AA17" s="1494"/>
      <c r="AB17" s="1494"/>
      <c r="AC17" s="1495"/>
      <c r="AG17" s="1543"/>
      <c r="AH17" s="1543"/>
      <c r="AI17" s="1543"/>
      <c r="AJ17" s="1543"/>
      <c r="AK17" s="1543"/>
      <c r="AL17" s="1520"/>
      <c r="AM17" s="1520"/>
      <c r="AN17" s="1520"/>
      <c r="AO17" s="1520"/>
      <c r="AP17" s="1520"/>
      <c r="AQ17" s="1520"/>
      <c r="AR17" s="1520"/>
      <c r="AS17" s="1520"/>
      <c r="AT17" s="1520"/>
      <c r="AU17" s="1520"/>
      <c r="AV17" s="1520"/>
      <c r="AW17" s="1520"/>
      <c r="AX17" s="1520"/>
      <c r="AY17" s="1520"/>
      <c r="AZ17" s="1520"/>
      <c r="BA17" s="1520"/>
      <c r="BB17" s="1520"/>
      <c r="BC17" s="1520"/>
    </row>
    <row r="18" spans="1:80">
      <c r="A18" s="3033" t="s">
        <v>1282</v>
      </c>
      <c r="B18" s="3034"/>
      <c r="C18" s="3034"/>
      <c r="D18" s="3034"/>
      <c r="E18" s="3035"/>
      <c r="F18" s="3018">
        <f>Attachment!F53</f>
        <v>0</v>
      </c>
      <c r="G18" s="3019"/>
      <c r="H18" s="3019"/>
      <c r="I18" s="3020"/>
      <c r="J18" s="3021">
        <f>Attachment!J53</f>
        <v>0</v>
      </c>
      <c r="K18" s="3022"/>
      <c r="L18" s="3022"/>
      <c r="M18" s="3023"/>
      <c r="N18" s="3018">
        <f>Attachment!N53</f>
        <v>0</v>
      </c>
      <c r="O18" s="3019"/>
      <c r="P18" s="3019"/>
      <c r="Q18" s="3020"/>
      <c r="R18" s="3021">
        <f>Attachment!R53</f>
        <v>0</v>
      </c>
      <c r="S18" s="3022"/>
      <c r="T18" s="3022"/>
      <c r="U18" s="3023"/>
      <c r="V18" s="3021">
        <f>Attachment!V53</f>
        <v>0</v>
      </c>
      <c r="W18" s="3022"/>
      <c r="X18" s="3022"/>
      <c r="Y18" s="3023"/>
      <c r="Z18" s="3030"/>
      <c r="AA18" s="3031"/>
      <c r="AB18" s="3031"/>
      <c r="AC18" s="3032"/>
      <c r="AG18" s="1494"/>
      <c r="AH18" s="1494"/>
      <c r="AI18" s="1494"/>
      <c r="AJ18" s="1494"/>
      <c r="AK18" s="1494"/>
      <c r="AL18" s="1494"/>
      <c r="AM18" s="3402"/>
      <c r="AN18" s="3402"/>
      <c r="AO18" s="3402"/>
      <c r="AP18" s="3402"/>
      <c r="AQ18" s="1494"/>
      <c r="AR18" s="1494"/>
      <c r="AS18" s="1494"/>
      <c r="AT18" s="1494"/>
      <c r="AU18" s="1494"/>
      <c r="AV18" s="1494"/>
      <c r="AW18" s="1494"/>
      <c r="AX18" s="1494"/>
      <c r="AY18" s="1494"/>
      <c r="AZ18" s="1494"/>
      <c r="BA18" s="1494"/>
      <c r="BB18" s="1494"/>
      <c r="BC18" s="1494"/>
      <c r="BD18" s="1476"/>
      <c r="BE18" s="1516"/>
      <c r="BF18" s="1516"/>
      <c r="BG18" s="1516"/>
      <c r="BH18" s="1516"/>
    </row>
    <row r="19" spans="1:80">
      <c r="A19" s="1746" t="s">
        <v>1283</v>
      </c>
      <c r="B19" s="1501"/>
      <c r="C19" s="1501"/>
      <c r="D19" s="1747"/>
      <c r="E19" s="1748"/>
      <c r="F19" s="3018">
        <f>Attachment!F54</f>
        <v>0</v>
      </c>
      <c r="G19" s="3019"/>
      <c r="H19" s="3019"/>
      <c r="I19" s="3020"/>
      <c r="J19" s="3021">
        <f>Attachment!J54</f>
        <v>0</v>
      </c>
      <c r="K19" s="3022"/>
      <c r="L19" s="3022"/>
      <c r="M19" s="3023"/>
      <c r="N19" s="3018">
        <f>Attachment!N54</f>
        <v>0</v>
      </c>
      <c r="O19" s="3019"/>
      <c r="P19" s="3019"/>
      <c r="Q19" s="3020"/>
      <c r="R19" s="3021">
        <f>Attachment!R54</f>
        <v>0</v>
      </c>
      <c r="S19" s="3022"/>
      <c r="T19" s="3022"/>
      <c r="U19" s="3023"/>
      <c r="V19" s="3021">
        <f>Attachment!V54</f>
        <v>0</v>
      </c>
      <c r="W19" s="3022"/>
      <c r="X19" s="3022"/>
      <c r="Y19" s="3023"/>
      <c r="Z19" s="3027"/>
      <c r="AA19" s="3028"/>
      <c r="AB19" s="3028"/>
      <c r="AC19" s="3029"/>
      <c r="AG19" s="3402"/>
      <c r="AH19" s="3402"/>
      <c r="AI19" s="3402"/>
      <c r="AJ19" s="3402"/>
      <c r="AK19" s="3402"/>
      <c r="AL19" s="1544"/>
      <c r="AM19" s="1544"/>
      <c r="AN19" s="1494"/>
      <c r="AO19" s="3385"/>
      <c r="AP19" s="3385"/>
      <c r="AQ19" s="3385"/>
      <c r="AR19" s="3385"/>
      <c r="AS19" s="3385"/>
      <c r="AT19" s="3385"/>
      <c r="AU19" s="3385"/>
      <c r="AV19" s="3385"/>
      <c r="AW19" s="3385"/>
      <c r="AX19" s="3385"/>
      <c r="AY19" s="3385"/>
      <c r="AZ19" s="3385"/>
      <c r="BA19" s="3385"/>
      <c r="BB19" s="3385"/>
      <c r="BC19" s="3385"/>
      <c r="BD19" s="1476"/>
      <c r="BE19" s="1516"/>
      <c r="BF19" s="1516"/>
      <c r="BG19" s="1516"/>
      <c r="BH19" s="1516"/>
    </row>
    <row r="20" spans="1:80" s="1471" customFormat="1">
      <c r="A20" s="1746" t="s">
        <v>1284</v>
      </c>
      <c r="B20" s="1501"/>
      <c r="C20" s="1501"/>
      <c r="D20" s="1747"/>
      <c r="E20" s="1748"/>
      <c r="F20" s="3018">
        <f>Attachment!F55</f>
        <v>0</v>
      </c>
      <c r="G20" s="3019"/>
      <c r="H20" s="3019"/>
      <c r="I20" s="3020"/>
      <c r="J20" s="3021">
        <f>Attachment!J55</f>
        <v>0</v>
      </c>
      <c r="K20" s="3022"/>
      <c r="L20" s="3022"/>
      <c r="M20" s="3023"/>
      <c r="N20" s="3018">
        <f>Attachment!N55</f>
        <v>0</v>
      </c>
      <c r="O20" s="3019"/>
      <c r="P20" s="3019"/>
      <c r="Q20" s="3020"/>
      <c r="R20" s="3021">
        <f>Attachment!R55</f>
        <v>0</v>
      </c>
      <c r="S20" s="3022"/>
      <c r="T20" s="3022"/>
      <c r="U20" s="3023"/>
      <c r="V20" s="3021">
        <f>Attachment!V55</f>
        <v>0</v>
      </c>
      <c r="W20" s="3022"/>
      <c r="X20" s="3022"/>
      <c r="Y20" s="3023"/>
      <c r="Z20" s="3027"/>
      <c r="AA20" s="3028"/>
      <c r="AB20" s="3028"/>
      <c r="AC20" s="3029"/>
      <c r="AE20" s="1468"/>
      <c r="AF20" s="1468"/>
      <c r="AG20" s="1494"/>
      <c r="AH20" s="886"/>
      <c r="AI20" s="886"/>
      <c r="AJ20" s="1494"/>
      <c r="AK20" s="1494"/>
      <c r="AL20" s="1544"/>
      <c r="AM20" s="1544"/>
      <c r="AN20" s="1494"/>
      <c r="AO20" s="3385"/>
      <c r="AP20" s="3385"/>
      <c r="AQ20" s="3385"/>
      <c r="AR20" s="3385"/>
      <c r="AS20" s="3385"/>
      <c r="AT20" s="3385"/>
      <c r="AU20" s="3385"/>
      <c r="AV20" s="3385"/>
      <c r="AW20" s="3385"/>
      <c r="AX20" s="3385"/>
      <c r="AY20" s="3385"/>
      <c r="AZ20" s="3385"/>
      <c r="BA20" s="3385"/>
      <c r="BB20" s="3385"/>
      <c r="BC20" s="3385"/>
      <c r="BD20" s="1476"/>
      <c r="BE20" s="1476"/>
      <c r="BF20" s="1476"/>
      <c r="BG20" s="1476"/>
      <c r="BH20" s="1476"/>
      <c r="BI20" s="1476"/>
      <c r="BJ20" s="1476"/>
      <c r="BK20" s="1476"/>
      <c r="BL20" s="1476"/>
      <c r="BM20" s="1476"/>
      <c r="BN20" s="1476"/>
      <c r="BO20" s="1476"/>
      <c r="BP20" s="1476"/>
    </row>
    <row r="21" spans="1:80" s="1471" customFormat="1">
      <c r="A21" s="1746" t="s">
        <v>1285</v>
      </c>
      <c r="B21" s="1501"/>
      <c r="C21" s="1501"/>
      <c r="D21" s="1747"/>
      <c r="E21" s="1748"/>
      <c r="F21" s="3018">
        <f>Attachment!F56</f>
        <v>0</v>
      </c>
      <c r="G21" s="3019"/>
      <c r="H21" s="3019"/>
      <c r="I21" s="3020"/>
      <c r="J21" s="3021">
        <f>Attachment!J56</f>
        <v>0</v>
      </c>
      <c r="K21" s="3022"/>
      <c r="L21" s="3022"/>
      <c r="M21" s="3023"/>
      <c r="N21" s="3018">
        <f>Attachment!N56</f>
        <v>0</v>
      </c>
      <c r="O21" s="3019"/>
      <c r="P21" s="3019"/>
      <c r="Q21" s="3020"/>
      <c r="R21" s="3021">
        <f>Attachment!R56</f>
        <v>0</v>
      </c>
      <c r="S21" s="3022"/>
      <c r="T21" s="3022"/>
      <c r="U21" s="3023"/>
      <c r="V21" s="3021">
        <f>Attachment!V56</f>
        <v>0</v>
      </c>
      <c r="W21" s="3022"/>
      <c r="X21" s="3022"/>
      <c r="Y21" s="3023"/>
      <c r="Z21" s="3027"/>
      <c r="AA21" s="3028"/>
      <c r="AB21" s="3028"/>
      <c r="AC21" s="3029"/>
      <c r="AE21" s="1468"/>
      <c r="AF21" s="1468"/>
      <c r="AG21" s="1494"/>
      <c r="AH21" s="886"/>
      <c r="AI21" s="886"/>
      <c r="AJ21" s="1494"/>
      <c r="AK21" s="1494"/>
      <c r="AL21" s="1544"/>
      <c r="AM21" s="1544"/>
      <c r="AN21" s="1494"/>
      <c r="AO21" s="3385"/>
      <c r="AP21" s="3385"/>
      <c r="AQ21" s="3385"/>
      <c r="AR21" s="3385"/>
      <c r="AS21" s="3385"/>
      <c r="AT21" s="3385"/>
      <c r="AU21" s="3385"/>
      <c r="AV21" s="3385"/>
      <c r="AW21" s="3385"/>
      <c r="AX21" s="3385"/>
      <c r="AY21" s="3385"/>
      <c r="AZ21" s="3385"/>
      <c r="BA21" s="3385"/>
      <c r="BB21" s="3385"/>
      <c r="BC21" s="3385"/>
      <c r="BD21" s="1476"/>
      <c r="BE21" s="1476"/>
      <c r="BF21" s="1476"/>
      <c r="BG21" s="1476"/>
      <c r="BH21" s="1476"/>
      <c r="BI21" s="1476"/>
      <c r="BJ21" s="1476"/>
      <c r="BK21" s="1476"/>
      <c r="BL21" s="1476"/>
      <c r="BM21" s="1476"/>
      <c r="BN21" s="1476"/>
      <c r="BO21" s="1476"/>
      <c r="BP21" s="1476"/>
    </row>
    <row r="22" spans="1:80" s="1476" customFormat="1">
      <c r="A22" s="1746" t="s">
        <v>1286</v>
      </c>
      <c r="B22" s="1501"/>
      <c r="C22" s="1501"/>
      <c r="D22" s="1747"/>
      <c r="E22" s="1748"/>
      <c r="F22" s="3018">
        <f>Attachment!F57</f>
        <v>0</v>
      </c>
      <c r="G22" s="3019"/>
      <c r="H22" s="3019"/>
      <c r="I22" s="3020"/>
      <c r="J22" s="3021">
        <f>Attachment!J57</f>
        <v>0</v>
      </c>
      <c r="K22" s="3022"/>
      <c r="L22" s="3022"/>
      <c r="M22" s="3023"/>
      <c r="N22" s="3018">
        <f>Attachment!N57</f>
        <v>0</v>
      </c>
      <c r="O22" s="3019"/>
      <c r="P22" s="3019"/>
      <c r="Q22" s="3020"/>
      <c r="R22" s="3021">
        <f>Attachment!R57</f>
        <v>0</v>
      </c>
      <c r="S22" s="3022"/>
      <c r="T22" s="3022"/>
      <c r="U22" s="3023"/>
      <c r="V22" s="3021">
        <f>Attachment!V57</f>
        <v>0</v>
      </c>
      <c r="W22" s="3022"/>
      <c r="X22" s="3022"/>
      <c r="Y22" s="3023"/>
      <c r="Z22" s="3024"/>
      <c r="AA22" s="3025"/>
      <c r="AB22" s="3025"/>
      <c r="AC22" s="3026"/>
      <c r="AE22" s="1468"/>
      <c r="AF22" s="1468"/>
      <c r="AG22" s="1494"/>
      <c r="AH22" s="886"/>
      <c r="AI22" s="886"/>
      <c r="AJ22" s="1494"/>
      <c r="AK22" s="1494"/>
      <c r="AL22" s="1544"/>
      <c r="AM22" s="1544"/>
      <c r="AN22" s="1494"/>
      <c r="AO22" s="3385"/>
      <c r="AP22" s="3385"/>
      <c r="AQ22" s="3385"/>
      <c r="AR22" s="3385"/>
      <c r="AS22" s="3385"/>
      <c r="AT22" s="3385"/>
      <c r="AU22" s="3385"/>
      <c r="AV22" s="3385"/>
      <c r="AW22" s="3385"/>
      <c r="AX22" s="3385"/>
      <c r="AY22" s="3385"/>
      <c r="AZ22" s="3385"/>
      <c r="BA22" s="3385"/>
      <c r="BB22" s="3385"/>
      <c r="BC22" s="3385"/>
    </row>
    <row r="23" spans="1:80" s="1476" customFormat="1">
      <c r="A23" s="1496" t="s">
        <v>367</v>
      </c>
      <c r="B23" s="1497"/>
      <c r="C23" s="1497"/>
      <c r="D23" s="1497"/>
      <c r="E23" s="1498"/>
      <c r="F23" s="3011">
        <f>SUM(F18:I22)</f>
        <v>0</v>
      </c>
      <c r="G23" s="3012"/>
      <c r="H23" s="3012"/>
      <c r="I23" s="3013"/>
      <c r="J23" s="3014">
        <f>SUM(J18:M22)</f>
        <v>0</v>
      </c>
      <c r="K23" s="3015"/>
      <c r="L23" s="3015"/>
      <c r="M23" s="3016"/>
      <c r="N23" s="3011">
        <f>SUM(N18:Q22)</f>
        <v>0</v>
      </c>
      <c r="O23" s="3012"/>
      <c r="P23" s="3012"/>
      <c r="Q23" s="3013"/>
      <c r="R23" s="3014">
        <f>SUM(R18:U22)</f>
        <v>0</v>
      </c>
      <c r="S23" s="3015"/>
      <c r="T23" s="3015"/>
      <c r="U23" s="3016"/>
      <c r="V23" s="3014">
        <f>SUM(V18:Y22)</f>
        <v>0</v>
      </c>
      <c r="W23" s="3015"/>
      <c r="X23" s="3015"/>
      <c r="Y23" s="3016"/>
      <c r="Z23" s="3014">
        <f>Attachment!Z58</f>
        <v>0</v>
      </c>
      <c r="AA23" s="3015"/>
      <c r="AB23" s="3015"/>
      <c r="AC23" s="3017"/>
      <c r="AE23" s="1468"/>
      <c r="AF23" s="1468"/>
      <c r="AG23" s="1494"/>
      <c r="AH23" s="886"/>
      <c r="AI23" s="886"/>
      <c r="AJ23" s="1494"/>
      <c r="AK23" s="1494"/>
      <c r="AL23" s="1544"/>
      <c r="AM23" s="1544"/>
      <c r="AN23" s="1494"/>
      <c r="AO23" s="3385"/>
      <c r="AP23" s="3385"/>
      <c r="AQ23" s="3385"/>
      <c r="AR23" s="3385"/>
      <c r="AS23" s="3385"/>
      <c r="AT23" s="3385"/>
      <c r="AU23" s="3385"/>
      <c r="AV23" s="3385"/>
      <c r="AW23" s="3385"/>
      <c r="AX23" s="3385"/>
      <c r="AY23" s="3385"/>
      <c r="AZ23" s="3385"/>
      <c r="BA23" s="3385"/>
      <c r="BB23" s="3385"/>
      <c r="BC23" s="3385"/>
    </row>
    <row r="24" spans="1:80" s="1476" customFormat="1">
      <c r="A24" s="1492" t="s">
        <v>1281</v>
      </c>
      <c r="B24" s="1493"/>
      <c r="C24" s="1493"/>
      <c r="D24" s="1493"/>
      <c r="E24" s="1493"/>
      <c r="F24" s="3059" t="str">
        <f>Attachment!F59</f>
        <v xml:space="preserve"> </v>
      </c>
      <c r="G24" s="3059"/>
      <c r="H24" s="3059"/>
      <c r="I24" s="3059"/>
      <c r="J24" s="3059"/>
      <c r="K24" s="3059"/>
      <c r="L24" s="1835"/>
      <c r="M24" s="1835"/>
      <c r="N24" s="1835"/>
      <c r="O24" s="1835"/>
      <c r="P24" s="1835"/>
      <c r="Q24" s="1835"/>
      <c r="R24" s="1835"/>
      <c r="S24" s="1835"/>
      <c r="T24" s="1835"/>
      <c r="U24" s="1835"/>
      <c r="V24" s="1835"/>
      <c r="W24" s="1835"/>
      <c r="X24" s="1835"/>
      <c r="Y24" s="1835"/>
      <c r="Z24" s="1835"/>
      <c r="AA24" s="1835"/>
      <c r="AB24" s="1835"/>
      <c r="AC24" s="1836"/>
      <c r="AE24" s="1468"/>
      <c r="AF24" s="1468"/>
      <c r="AG24" s="1545"/>
      <c r="AH24" s="1545"/>
      <c r="AI24" s="1545"/>
      <c r="AJ24" s="1545"/>
      <c r="AK24" s="1545"/>
      <c r="AL24" s="1546"/>
      <c r="AM24" s="1546"/>
      <c r="AN24" s="1494"/>
      <c r="AO24" s="3386"/>
      <c r="AP24" s="3386"/>
      <c r="AQ24" s="3386"/>
      <c r="AR24" s="3386"/>
      <c r="AS24" s="3386"/>
      <c r="AT24" s="3386"/>
      <c r="AU24" s="3386"/>
      <c r="AV24" s="3386"/>
      <c r="AW24" s="3386"/>
      <c r="AX24" s="3386"/>
      <c r="AY24" s="3386"/>
      <c r="AZ24" s="3386"/>
      <c r="BA24" s="3386"/>
      <c r="BB24" s="3386"/>
      <c r="BC24" s="3386"/>
      <c r="BD24" s="1547"/>
      <c r="BE24" s="1547"/>
    </row>
    <row r="25" spans="1:80" s="1476" customFormat="1">
      <c r="A25" s="3033" t="s">
        <v>1282</v>
      </c>
      <c r="B25" s="3034"/>
      <c r="C25" s="3034"/>
      <c r="D25" s="3034"/>
      <c r="E25" s="3035"/>
      <c r="F25" s="3390">
        <f>Attachment!F60</f>
        <v>0</v>
      </c>
      <c r="G25" s="3391"/>
      <c r="H25" s="3391"/>
      <c r="I25" s="3392"/>
      <c r="J25" s="3393">
        <f>Attachment!J60</f>
        <v>0</v>
      </c>
      <c r="K25" s="3394"/>
      <c r="L25" s="3394"/>
      <c r="M25" s="3395"/>
      <c r="N25" s="3390">
        <f>Attachment!N60</f>
        <v>0</v>
      </c>
      <c r="O25" s="3391"/>
      <c r="P25" s="3391"/>
      <c r="Q25" s="3392"/>
      <c r="R25" s="3393">
        <f>Attachment!R60</f>
        <v>0</v>
      </c>
      <c r="S25" s="3394"/>
      <c r="T25" s="3394"/>
      <c r="U25" s="3395"/>
      <c r="V25" s="3393">
        <f>Attachment!V60</f>
        <v>0</v>
      </c>
      <c r="W25" s="3394"/>
      <c r="X25" s="3394"/>
      <c r="Y25" s="3395"/>
      <c r="Z25" s="3403"/>
      <c r="AA25" s="3404"/>
      <c r="AB25" s="3404"/>
      <c r="AC25" s="3405"/>
      <c r="AE25" s="1468"/>
      <c r="AF25" s="1468"/>
      <c r="AG25" s="1494"/>
      <c r="AH25" s="1494"/>
      <c r="AI25" s="1494"/>
      <c r="AJ25" s="1494"/>
      <c r="AK25" s="1494"/>
      <c r="AL25" s="1494"/>
      <c r="AM25" s="3402"/>
      <c r="AN25" s="3402"/>
      <c r="AO25" s="3402"/>
      <c r="AP25" s="1494"/>
      <c r="AQ25" s="1494"/>
      <c r="AR25" s="1494"/>
      <c r="AS25" s="1494"/>
      <c r="AT25" s="1494"/>
      <c r="AU25" s="1494"/>
      <c r="AV25" s="1494"/>
      <c r="AW25" s="1494"/>
      <c r="AX25" s="1494"/>
      <c r="AY25" s="1494"/>
      <c r="AZ25" s="1494"/>
      <c r="BA25" s="1494"/>
      <c r="BB25" s="1494"/>
      <c r="BC25" s="1494"/>
    </row>
    <row r="26" spans="1:80" s="1471" customFormat="1">
      <c r="A26" s="1746" t="s">
        <v>1283</v>
      </c>
      <c r="B26" s="1501"/>
      <c r="C26" s="1501"/>
      <c r="D26" s="1747"/>
      <c r="E26" s="1748"/>
      <c r="F26" s="3390">
        <f>Attachment!F61</f>
        <v>0</v>
      </c>
      <c r="G26" s="3391"/>
      <c r="H26" s="3391"/>
      <c r="I26" s="3392"/>
      <c r="J26" s="3393">
        <f>Attachment!J61</f>
        <v>0</v>
      </c>
      <c r="K26" s="3394"/>
      <c r="L26" s="3394"/>
      <c r="M26" s="3395"/>
      <c r="N26" s="3390">
        <f>Attachment!N61</f>
        <v>0</v>
      </c>
      <c r="O26" s="3391"/>
      <c r="P26" s="3391"/>
      <c r="Q26" s="3392"/>
      <c r="R26" s="3393">
        <f>Attachment!R61</f>
        <v>0</v>
      </c>
      <c r="S26" s="3394"/>
      <c r="T26" s="3394"/>
      <c r="U26" s="3395"/>
      <c r="V26" s="3393">
        <f>Attachment!V61</f>
        <v>0</v>
      </c>
      <c r="W26" s="3394"/>
      <c r="X26" s="3394"/>
      <c r="Y26" s="3395"/>
      <c r="Z26" s="3399"/>
      <c r="AA26" s="3400"/>
      <c r="AB26" s="3400"/>
      <c r="AC26" s="3401"/>
      <c r="AE26" s="1468"/>
      <c r="AF26" s="1468"/>
      <c r="AG26" s="3402"/>
      <c r="AH26" s="3402"/>
      <c r="AI26" s="3402"/>
      <c r="AJ26" s="3402"/>
      <c r="AK26" s="3402"/>
      <c r="AL26" s="1544"/>
      <c r="AM26" s="1544"/>
      <c r="AN26" s="1494"/>
      <c r="AO26" s="3385"/>
      <c r="AP26" s="3385"/>
      <c r="AQ26" s="3385"/>
      <c r="AR26" s="3385"/>
      <c r="AS26" s="3385"/>
      <c r="AT26" s="3385"/>
      <c r="AU26" s="3385"/>
      <c r="AV26" s="3385"/>
      <c r="AW26" s="3385"/>
      <c r="AX26" s="3385"/>
      <c r="AY26" s="3385"/>
      <c r="AZ26" s="3385"/>
      <c r="BA26" s="3385"/>
      <c r="BB26" s="3385"/>
      <c r="BC26" s="3385"/>
      <c r="BD26" s="1547"/>
      <c r="BE26" s="1547"/>
      <c r="BF26" s="1476"/>
      <c r="BG26" s="1476"/>
      <c r="BH26" s="1476"/>
      <c r="BI26" s="1476"/>
      <c r="BJ26" s="1476"/>
      <c r="BK26" s="1476"/>
      <c r="BL26" s="1476"/>
      <c r="BM26" s="1476"/>
      <c r="BN26" s="1476"/>
      <c r="BO26" s="1476"/>
      <c r="BP26" s="1476"/>
    </row>
    <row r="27" spans="1:80" s="1476" customFormat="1">
      <c r="A27" s="1746" t="s">
        <v>1284</v>
      </c>
      <c r="B27" s="1501"/>
      <c r="C27" s="1501"/>
      <c r="D27" s="1747"/>
      <c r="E27" s="1748"/>
      <c r="F27" s="3390">
        <f>Attachment!F62</f>
        <v>0</v>
      </c>
      <c r="G27" s="3391"/>
      <c r="H27" s="3391"/>
      <c r="I27" s="3392"/>
      <c r="J27" s="3393">
        <f>Attachment!J62</f>
        <v>0</v>
      </c>
      <c r="K27" s="3394"/>
      <c r="L27" s="3394"/>
      <c r="M27" s="3395"/>
      <c r="N27" s="3390">
        <f>Attachment!N62</f>
        <v>0</v>
      </c>
      <c r="O27" s="3391"/>
      <c r="P27" s="3391"/>
      <c r="Q27" s="3392"/>
      <c r="R27" s="3393">
        <f>Attachment!R62</f>
        <v>0</v>
      </c>
      <c r="S27" s="3394"/>
      <c r="T27" s="3394"/>
      <c r="U27" s="3395"/>
      <c r="V27" s="3393">
        <f>Attachment!V62</f>
        <v>0</v>
      </c>
      <c r="W27" s="3394"/>
      <c r="X27" s="3394"/>
      <c r="Y27" s="3395"/>
      <c r="Z27" s="3399"/>
      <c r="AA27" s="3400"/>
      <c r="AB27" s="3400"/>
      <c r="AC27" s="3401"/>
      <c r="AE27" s="1468"/>
      <c r="AF27" s="1468"/>
      <c r="AG27" s="1494"/>
      <c r="AH27" s="886"/>
      <c r="AI27" s="886"/>
      <c r="AJ27" s="1494"/>
      <c r="AK27" s="1494"/>
      <c r="AL27" s="1544"/>
      <c r="AM27" s="1544"/>
      <c r="AN27" s="1494"/>
      <c r="AO27" s="3385"/>
      <c r="AP27" s="3385"/>
      <c r="AQ27" s="3385"/>
      <c r="AR27" s="3385"/>
      <c r="AS27" s="3385"/>
      <c r="AT27" s="3385"/>
      <c r="AU27" s="3385"/>
      <c r="AV27" s="3385"/>
      <c r="AW27" s="3385"/>
      <c r="AX27" s="3385"/>
      <c r="AY27" s="3385"/>
      <c r="AZ27" s="3385"/>
      <c r="BA27" s="3385"/>
      <c r="BB27" s="3385"/>
      <c r="BC27" s="3385"/>
      <c r="BD27" s="1468"/>
      <c r="BE27" s="1475"/>
      <c r="BF27" s="1475"/>
    </row>
    <row r="28" spans="1:80" s="1476" customFormat="1">
      <c r="A28" s="1746" t="s">
        <v>1285</v>
      </c>
      <c r="B28" s="1501"/>
      <c r="C28" s="1501"/>
      <c r="D28" s="1747"/>
      <c r="E28" s="1748"/>
      <c r="F28" s="3390">
        <f>Attachment!F63</f>
        <v>0</v>
      </c>
      <c r="G28" s="3391"/>
      <c r="H28" s="3391"/>
      <c r="I28" s="3392"/>
      <c r="J28" s="3393">
        <f>Attachment!J63</f>
        <v>0</v>
      </c>
      <c r="K28" s="3394"/>
      <c r="L28" s="3394"/>
      <c r="M28" s="3395"/>
      <c r="N28" s="3390">
        <f>Attachment!N63</f>
        <v>0</v>
      </c>
      <c r="O28" s="3391"/>
      <c r="P28" s="3391"/>
      <c r="Q28" s="3392"/>
      <c r="R28" s="3393">
        <f>Attachment!R63</f>
        <v>0</v>
      </c>
      <c r="S28" s="3394"/>
      <c r="T28" s="3394"/>
      <c r="U28" s="3395"/>
      <c r="V28" s="3393">
        <f>Attachment!V63</f>
        <v>0</v>
      </c>
      <c r="W28" s="3394"/>
      <c r="X28" s="3394"/>
      <c r="Y28" s="3395"/>
      <c r="Z28" s="3399"/>
      <c r="AA28" s="3400"/>
      <c r="AB28" s="3400"/>
      <c r="AC28" s="3401"/>
      <c r="AE28" s="1468"/>
      <c r="AF28" s="1468"/>
      <c r="AG28" s="1494"/>
      <c r="AH28" s="886"/>
      <c r="AI28" s="886"/>
      <c r="AJ28" s="1494"/>
      <c r="AK28" s="1494"/>
      <c r="AL28" s="1544"/>
      <c r="AM28" s="1544"/>
      <c r="AN28" s="1494"/>
      <c r="AO28" s="3385"/>
      <c r="AP28" s="3385"/>
      <c r="AQ28" s="3385"/>
      <c r="AR28" s="3385"/>
      <c r="AS28" s="3385"/>
      <c r="AT28" s="3385"/>
      <c r="AU28" s="3385"/>
      <c r="AV28" s="3385"/>
      <c r="AW28" s="3385"/>
      <c r="AX28" s="3385"/>
      <c r="AY28" s="3385"/>
      <c r="AZ28" s="3385"/>
      <c r="BA28" s="3385"/>
      <c r="BB28" s="3385"/>
      <c r="BC28" s="3385"/>
      <c r="BD28" s="1468"/>
      <c r="BE28" s="1548"/>
      <c r="BF28" s="1475"/>
    </row>
    <row r="29" spans="1:80" s="1476" customFormat="1">
      <c r="A29" s="1746" t="s">
        <v>1286</v>
      </c>
      <c r="B29" s="1501"/>
      <c r="C29" s="1501"/>
      <c r="D29" s="1747"/>
      <c r="E29" s="1748"/>
      <c r="F29" s="3390">
        <f>Attachment!F64</f>
        <v>0</v>
      </c>
      <c r="G29" s="3391"/>
      <c r="H29" s="3391"/>
      <c r="I29" s="3392"/>
      <c r="J29" s="3393">
        <f>Attachment!J64</f>
        <v>0</v>
      </c>
      <c r="K29" s="3394"/>
      <c r="L29" s="3394"/>
      <c r="M29" s="3395"/>
      <c r="N29" s="3390">
        <f>Attachment!N64</f>
        <v>0</v>
      </c>
      <c r="O29" s="3391"/>
      <c r="P29" s="3391"/>
      <c r="Q29" s="3392"/>
      <c r="R29" s="3393">
        <f>Attachment!R64</f>
        <v>0</v>
      </c>
      <c r="S29" s="3394"/>
      <c r="T29" s="3394"/>
      <c r="U29" s="3395"/>
      <c r="V29" s="3393">
        <f>Attachment!V64</f>
        <v>0</v>
      </c>
      <c r="W29" s="3394"/>
      <c r="X29" s="3394"/>
      <c r="Y29" s="3395"/>
      <c r="Z29" s="3396"/>
      <c r="AA29" s="3397"/>
      <c r="AB29" s="3397"/>
      <c r="AC29" s="3398"/>
      <c r="AE29" s="1468"/>
      <c r="AF29" s="1468"/>
      <c r="AG29" s="1494"/>
      <c r="AH29" s="886"/>
      <c r="AI29" s="886"/>
      <c r="AJ29" s="1494"/>
      <c r="AK29" s="1494"/>
      <c r="AL29" s="1544"/>
      <c r="AM29" s="1544"/>
      <c r="AN29" s="1494"/>
      <c r="AO29" s="3385"/>
      <c r="AP29" s="3385"/>
      <c r="AQ29" s="3385"/>
      <c r="AR29" s="3385"/>
      <c r="AS29" s="3385"/>
      <c r="AT29" s="3385"/>
      <c r="AU29" s="3385"/>
      <c r="AV29" s="3385"/>
      <c r="AW29" s="3385"/>
      <c r="AX29" s="3385"/>
      <c r="AY29" s="3385"/>
      <c r="AZ29" s="3385"/>
      <c r="BA29" s="3385"/>
      <c r="BB29" s="3385"/>
      <c r="BC29" s="3385"/>
      <c r="BD29" s="1468"/>
      <c r="BE29" s="1475"/>
      <c r="BF29" s="1475"/>
    </row>
    <row r="30" spans="1:80" s="1476" customFormat="1">
      <c r="A30" s="1496" t="s">
        <v>367</v>
      </c>
      <c r="B30" s="1497"/>
      <c r="C30" s="1497"/>
      <c r="D30" s="1497"/>
      <c r="E30" s="1498"/>
      <c r="F30" s="3011">
        <f>Attachment!F65</f>
        <v>0</v>
      </c>
      <c r="G30" s="3012"/>
      <c r="H30" s="3012"/>
      <c r="I30" s="3013"/>
      <c r="J30" s="3014">
        <f>Attachment!J65</f>
        <v>0</v>
      </c>
      <c r="K30" s="3015"/>
      <c r="L30" s="3015"/>
      <c r="M30" s="3016"/>
      <c r="N30" s="3011">
        <f>Attachment!N65</f>
        <v>0</v>
      </c>
      <c r="O30" s="3012"/>
      <c r="P30" s="3012"/>
      <c r="Q30" s="3013"/>
      <c r="R30" s="3014">
        <f>Attachment!R65</f>
        <v>0</v>
      </c>
      <c r="S30" s="3015"/>
      <c r="T30" s="3015"/>
      <c r="U30" s="3016"/>
      <c r="V30" s="3014">
        <f>Attachment!V65</f>
        <v>0</v>
      </c>
      <c r="W30" s="3015"/>
      <c r="X30" s="3015"/>
      <c r="Y30" s="3016"/>
      <c r="Z30" s="3014">
        <f>Attachment!Z65</f>
        <v>0</v>
      </c>
      <c r="AA30" s="3015"/>
      <c r="AB30" s="3015"/>
      <c r="AC30" s="3017"/>
      <c r="AE30" s="1468"/>
      <c r="AF30" s="1468"/>
      <c r="AG30" s="1494"/>
      <c r="AH30" s="886"/>
      <c r="AI30" s="886"/>
      <c r="AJ30" s="1494"/>
      <c r="AK30" s="1494"/>
      <c r="AL30" s="1544"/>
      <c r="AM30" s="1544"/>
      <c r="AN30" s="1494"/>
      <c r="AO30" s="3385"/>
      <c r="AP30" s="3385"/>
      <c r="AQ30" s="3385"/>
      <c r="AR30" s="3385"/>
      <c r="AS30" s="3385"/>
      <c r="AT30" s="3385"/>
      <c r="AU30" s="3385"/>
      <c r="AV30" s="3385"/>
      <c r="AW30" s="3385"/>
      <c r="AX30" s="3385"/>
      <c r="AY30" s="3385"/>
      <c r="AZ30" s="3385"/>
      <c r="BA30" s="3385"/>
      <c r="BB30" s="3385"/>
      <c r="BC30" s="3385"/>
      <c r="BD30" s="1468"/>
      <c r="BE30" s="1548"/>
      <c r="BF30" s="1475"/>
    </row>
    <row r="31" spans="1:80" s="1486" customFormat="1">
      <c r="A31" s="1492" t="s">
        <v>1281</v>
      </c>
      <c r="B31" s="1493"/>
      <c r="C31" s="1493"/>
      <c r="D31" s="1493"/>
      <c r="E31" s="1493"/>
      <c r="F31" s="3059" t="str">
        <f>Attachment!F66</f>
        <v xml:space="preserve"> </v>
      </c>
      <c r="G31" s="3059"/>
      <c r="H31" s="3059"/>
      <c r="I31" s="3059"/>
      <c r="J31" s="3059"/>
      <c r="K31" s="3059"/>
      <c r="L31" s="1835"/>
      <c r="M31" s="1835"/>
      <c r="N31" s="1835"/>
      <c r="O31" s="1835"/>
      <c r="P31" s="1835"/>
      <c r="Q31" s="1835"/>
      <c r="R31" s="1835"/>
      <c r="S31" s="1835"/>
      <c r="T31" s="1835"/>
      <c r="U31" s="1835"/>
      <c r="V31" s="1835"/>
      <c r="W31" s="1835"/>
      <c r="X31" s="1835"/>
      <c r="Y31" s="1835"/>
      <c r="Z31" s="1835"/>
      <c r="AA31" s="1835"/>
      <c r="AB31" s="1835"/>
      <c r="AC31" s="1836"/>
      <c r="AE31" s="1468"/>
      <c r="AF31" s="1468"/>
      <c r="AG31" s="1545"/>
      <c r="AH31" s="1545"/>
      <c r="AI31" s="1545"/>
      <c r="AJ31" s="1545"/>
      <c r="AK31" s="1545"/>
      <c r="AL31" s="1546"/>
      <c r="AM31" s="1546"/>
      <c r="AN31" s="1494"/>
      <c r="AO31" s="3386"/>
      <c r="AP31" s="3386"/>
      <c r="AQ31" s="3386"/>
      <c r="AR31" s="3386"/>
      <c r="AS31" s="3386"/>
      <c r="AT31" s="3386"/>
      <c r="AU31" s="3386"/>
      <c r="AV31" s="3386"/>
      <c r="AW31" s="3386"/>
      <c r="AX31" s="3386"/>
      <c r="AY31" s="3386"/>
      <c r="AZ31" s="3386"/>
      <c r="BA31" s="3386"/>
      <c r="BB31" s="3386"/>
      <c r="BC31" s="3386"/>
      <c r="BD31" s="1468"/>
      <c r="BE31" s="1549"/>
      <c r="BF31" s="1549"/>
      <c r="BG31" s="1550"/>
      <c r="BH31" s="1550"/>
      <c r="BI31" s="1550"/>
      <c r="BJ31" s="1550"/>
      <c r="BK31" s="1550"/>
      <c r="BL31" s="1550"/>
      <c r="BM31" s="1550"/>
      <c r="BN31" s="1550"/>
      <c r="BO31" s="1550"/>
      <c r="BP31" s="1550"/>
    </row>
    <row r="32" spans="1:80" s="1471" customFormat="1">
      <c r="A32" s="3033" t="s">
        <v>1282</v>
      </c>
      <c r="B32" s="3034"/>
      <c r="C32" s="3034"/>
      <c r="D32" s="3034"/>
      <c r="E32" s="3035"/>
      <c r="F32" s="3390">
        <f>Attachment!F67</f>
        <v>0</v>
      </c>
      <c r="G32" s="3391"/>
      <c r="H32" s="3391"/>
      <c r="I32" s="3392"/>
      <c r="J32" s="3393">
        <f>Attachment!J67</f>
        <v>0</v>
      </c>
      <c r="K32" s="3394"/>
      <c r="L32" s="3394"/>
      <c r="M32" s="3395"/>
      <c r="N32" s="3390">
        <f>Attachment!N67</f>
        <v>0</v>
      </c>
      <c r="O32" s="3391"/>
      <c r="P32" s="3391"/>
      <c r="Q32" s="3392"/>
      <c r="R32" s="3393">
        <f>Attachment!R67</f>
        <v>0</v>
      </c>
      <c r="S32" s="3394"/>
      <c r="T32" s="3394"/>
      <c r="U32" s="3395"/>
      <c r="V32" s="3393">
        <f>Attachment!V67</f>
        <v>0</v>
      </c>
      <c r="W32" s="3394"/>
      <c r="X32" s="3394"/>
      <c r="Y32" s="3395"/>
      <c r="Z32" s="3403"/>
      <c r="AA32" s="3404"/>
      <c r="AB32" s="3404"/>
      <c r="AC32" s="3405"/>
      <c r="AE32" s="1468"/>
      <c r="AF32" s="1468"/>
      <c r="AG32" s="1494"/>
      <c r="AH32" s="1494"/>
      <c r="AI32" s="1494"/>
      <c r="AJ32" s="1494"/>
      <c r="AK32" s="1494"/>
      <c r="AL32" s="1494"/>
      <c r="AM32" s="3402"/>
      <c r="AN32" s="3402"/>
      <c r="AO32" s="3402"/>
      <c r="AP32" s="3402"/>
      <c r="AQ32" s="1494"/>
      <c r="AR32" s="1494"/>
      <c r="AS32" s="1494"/>
      <c r="AT32" s="1494"/>
      <c r="AU32" s="1494"/>
      <c r="AV32" s="1494"/>
      <c r="AW32" s="1494"/>
      <c r="AX32" s="1494"/>
      <c r="AY32" s="1494"/>
      <c r="AZ32" s="1494"/>
      <c r="BA32" s="1494"/>
      <c r="BB32" s="1494"/>
      <c r="BC32" s="1494"/>
      <c r="BD32" s="1468"/>
      <c r="BE32" s="1551"/>
      <c r="BF32" s="1521"/>
      <c r="BG32" s="1521"/>
      <c r="BH32" s="1480"/>
      <c r="BI32" s="1480"/>
      <c r="BJ32" s="1480"/>
      <c r="BK32" s="1480"/>
      <c r="BL32" s="1476"/>
      <c r="BM32" s="1476"/>
      <c r="BN32" s="1476"/>
      <c r="BO32" s="1476"/>
      <c r="BP32" s="1476"/>
      <c r="BQ32" s="1476"/>
      <c r="BR32" s="1476"/>
      <c r="BS32" s="1476"/>
      <c r="BT32" s="1476"/>
      <c r="BU32" s="1476"/>
      <c r="BV32" s="1476"/>
      <c r="BW32" s="1476"/>
      <c r="BX32" s="1476"/>
      <c r="BY32" s="1476"/>
      <c r="BZ32" s="1476"/>
      <c r="CA32" s="1476"/>
      <c r="CB32" s="1476"/>
    </row>
    <row r="33" spans="1:58">
      <c r="A33" s="1746" t="s">
        <v>1283</v>
      </c>
      <c r="B33" s="1501"/>
      <c r="C33" s="1501"/>
      <c r="D33" s="1747"/>
      <c r="E33" s="1748"/>
      <c r="F33" s="3390">
        <f>Attachment!F68</f>
        <v>0</v>
      </c>
      <c r="G33" s="3391"/>
      <c r="H33" s="3391"/>
      <c r="I33" s="3392"/>
      <c r="J33" s="3393">
        <f>Attachment!J68</f>
        <v>0</v>
      </c>
      <c r="K33" s="3394"/>
      <c r="L33" s="3394"/>
      <c r="M33" s="3395"/>
      <c r="N33" s="3390">
        <f>Attachment!N68</f>
        <v>0</v>
      </c>
      <c r="O33" s="3391"/>
      <c r="P33" s="3391"/>
      <c r="Q33" s="3392"/>
      <c r="R33" s="3393">
        <f>Attachment!R68</f>
        <v>0</v>
      </c>
      <c r="S33" s="3394"/>
      <c r="T33" s="3394"/>
      <c r="U33" s="3395"/>
      <c r="V33" s="3393">
        <f>Attachment!V68</f>
        <v>0</v>
      </c>
      <c r="W33" s="3394"/>
      <c r="X33" s="3394"/>
      <c r="Y33" s="3395"/>
      <c r="Z33" s="3399"/>
      <c r="AA33" s="3400"/>
      <c r="AB33" s="3400"/>
      <c r="AC33" s="3401"/>
      <c r="AG33" s="3402"/>
      <c r="AH33" s="3402"/>
      <c r="AI33" s="3402"/>
      <c r="AJ33" s="3402"/>
      <c r="AK33" s="3402"/>
      <c r="AL33" s="1544"/>
      <c r="AM33" s="1544"/>
      <c r="AN33" s="1494"/>
      <c r="AO33" s="3385"/>
      <c r="AP33" s="3385"/>
      <c r="AQ33" s="3385"/>
      <c r="AR33" s="3385"/>
      <c r="AS33" s="3385"/>
      <c r="AT33" s="3385"/>
      <c r="AU33" s="3385"/>
      <c r="AV33" s="3385"/>
      <c r="AW33" s="3385"/>
      <c r="AX33" s="3385"/>
      <c r="AY33" s="3385"/>
      <c r="AZ33" s="3385"/>
      <c r="BA33" s="3385"/>
      <c r="BB33" s="3385"/>
      <c r="BC33" s="3385"/>
      <c r="BE33" s="886"/>
      <c r="BF33" s="886"/>
    </row>
    <row r="34" spans="1:58">
      <c r="A34" s="1746" t="s">
        <v>1284</v>
      </c>
      <c r="B34" s="1501"/>
      <c r="C34" s="1501"/>
      <c r="D34" s="1747"/>
      <c r="E34" s="1748"/>
      <c r="F34" s="3390">
        <f>Attachment!F69</f>
        <v>0</v>
      </c>
      <c r="G34" s="3391"/>
      <c r="H34" s="3391"/>
      <c r="I34" s="3392"/>
      <c r="J34" s="3393">
        <f>Attachment!J69</f>
        <v>0</v>
      </c>
      <c r="K34" s="3394"/>
      <c r="L34" s="3394"/>
      <c r="M34" s="3395"/>
      <c r="N34" s="3390">
        <f>Attachment!N69</f>
        <v>0</v>
      </c>
      <c r="O34" s="3391"/>
      <c r="P34" s="3391"/>
      <c r="Q34" s="3392"/>
      <c r="R34" s="3393">
        <f>Attachment!R69</f>
        <v>0</v>
      </c>
      <c r="S34" s="3394"/>
      <c r="T34" s="3394"/>
      <c r="U34" s="3395"/>
      <c r="V34" s="3393">
        <f>Attachment!V69</f>
        <v>0</v>
      </c>
      <c r="W34" s="3394"/>
      <c r="X34" s="3394"/>
      <c r="Y34" s="3395"/>
      <c r="Z34" s="3399"/>
      <c r="AA34" s="3400"/>
      <c r="AB34" s="3400"/>
      <c r="AC34" s="3401"/>
      <c r="AG34" s="1494"/>
      <c r="AH34" s="886"/>
      <c r="AI34" s="886"/>
      <c r="AJ34" s="1494"/>
      <c r="AK34" s="1494"/>
      <c r="AL34" s="1544"/>
      <c r="AM34" s="1544"/>
      <c r="AN34" s="1494"/>
      <c r="AO34" s="3385"/>
      <c r="AP34" s="3385"/>
      <c r="AQ34" s="3385"/>
      <c r="AR34" s="3385"/>
      <c r="AS34" s="3385"/>
      <c r="AT34" s="3385"/>
      <c r="AU34" s="3385"/>
      <c r="AV34" s="3385"/>
      <c r="AW34" s="3385"/>
      <c r="AX34" s="3385"/>
      <c r="AY34" s="3385"/>
      <c r="AZ34" s="3385"/>
      <c r="BA34" s="3385"/>
      <c r="BB34" s="3385"/>
      <c r="BC34" s="3385"/>
      <c r="BE34" s="1548"/>
      <c r="BF34" s="886"/>
    </row>
    <row r="35" spans="1:58">
      <c r="A35" s="1746" t="s">
        <v>1285</v>
      </c>
      <c r="B35" s="1501"/>
      <c r="C35" s="1501"/>
      <c r="D35" s="1747"/>
      <c r="E35" s="1748"/>
      <c r="F35" s="3390">
        <f>Attachment!F70</f>
        <v>0</v>
      </c>
      <c r="G35" s="3391"/>
      <c r="H35" s="3391"/>
      <c r="I35" s="3392"/>
      <c r="J35" s="3393">
        <f>Attachment!J70</f>
        <v>0</v>
      </c>
      <c r="K35" s="3394"/>
      <c r="L35" s="3394"/>
      <c r="M35" s="3395"/>
      <c r="N35" s="3390">
        <f>Attachment!N70</f>
        <v>0</v>
      </c>
      <c r="O35" s="3391"/>
      <c r="P35" s="3391"/>
      <c r="Q35" s="3392"/>
      <c r="R35" s="3393">
        <f>Attachment!R70</f>
        <v>0</v>
      </c>
      <c r="S35" s="3394"/>
      <c r="T35" s="3394"/>
      <c r="U35" s="3395"/>
      <c r="V35" s="3393">
        <f>Attachment!V70</f>
        <v>0</v>
      </c>
      <c r="W35" s="3394"/>
      <c r="X35" s="3394"/>
      <c r="Y35" s="3395"/>
      <c r="Z35" s="3399"/>
      <c r="AA35" s="3400"/>
      <c r="AB35" s="3400"/>
      <c r="AC35" s="3401"/>
      <c r="AG35" s="1494"/>
      <c r="AH35" s="886"/>
      <c r="AI35" s="886"/>
      <c r="AJ35" s="1494"/>
      <c r="AK35" s="1494"/>
      <c r="AL35" s="1544"/>
      <c r="AM35" s="1544"/>
      <c r="AN35" s="1494"/>
      <c r="AO35" s="3385"/>
      <c r="AP35" s="3385"/>
      <c r="AQ35" s="3385"/>
      <c r="AR35" s="3385"/>
      <c r="AS35" s="3385"/>
      <c r="AT35" s="3385"/>
      <c r="AU35" s="3385"/>
      <c r="AV35" s="3385"/>
      <c r="AW35" s="3385"/>
      <c r="AX35" s="3385"/>
      <c r="AY35" s="3385"/>
      <c r="AZ35" s="3385"/>
      <c r="BA35" s="3385"/>
      <c r="BB35" s="3385"/>
      <c r="BC35" s="3385"/>
      <c r="BE35" s="886"/>
      <c r="BF35" s="886"/>
    </row>
    <row r="36" spans="1:58">
      <c r="A36" s="1746" t="s">
        <v>1286</v>
      </c>
      <c r="B36" s="1501"/>
      <c r="C36" s="1501"/>
      <c r="D36" s="1747"/>
      <c r="E36" s="1748"/>
      <c r="F36" s="3390">
        <f>Attachment!F71</f>
        <v>0</v>
      </c>
      <c r="G36" s="3391"/>
      <c r="H36" s="3391"/>
      <c r="I36" s="3392"/>
      <c r="J36" s="3393">
        <f>Attachment!J71</f>
        <v>0</v>
      </c>
      <c r="K36" s="3394"/>
      <c r="L36" s="3394"/>
      <c r="M36" s="3395"/>
      <c r="N36" s="3390">
        <f>Attachment!N71</f>
        <v>0</v>
      </c>
      <c r="O36" s="3391"/>
      <c r="P36" s="3391"/>
      <c r="Q36" s="3392"/>
      <c r="R36" s="3393">
        <f>Attachment!R71</f>
        <v>0</v>
      </c>
      <c r="S36" s="3394"/>
      <c r="T36" s="3394"/>
      <c r="U36" s="3395"/>
      <c r="V36" s="3393">
        <f>Attachment!V71</f>
        <v>0</v>
      </c>
      <c r="W36" s="3394"/>
      <c r="X36" s="3394"/>
      <c r="Y36" s="3395"/>
      <c r="Z36" s="3396"/>
      <c r="AA36" s="3397"/>
      <c r="AB36" s="3397"/>
      <c r="AC36" s="3398"/>
      <c r="AG36" s="1494"/>
      <c r="AH36" s="886"/>
      <c r="AI36" s="886"/>
      <c r="AJ36" s="1494"/>
      <c r="AK36" s="1494"/>
      <c r="AL36" s="1544"/>
      <c r="AM36" s="1544"/>
      <c r="AN36" s="1494"/>
      <c r="AO36" s="3385"/>
      <c r="AP36" s="3385"/>
      <c r="AQ36" s="3385"/>
      <c r="AR36" s="3385"/>
      <c r="AS36" s="3385"/>
      <c r="AT36" s="3385"/>
      <c r="AU36" s="3385"/>
      <c r="AV36" s="3385"/>
      <c r="AW36" s="3385"/>
      <c r="AX36" s="3385"/>
      <c r="AY36" s="3385"/>
      <c r="AZ36" s="3385"/>
      <c r="BA36" s="3385"/>
      <c r="BB36" s="3385"/>
      <c r="BC36" s="3385"/>
      <c r="BE36" s="886"/>
      <c r="BF36" s="886"/>
    </row>
    <row r="37" spans="1:58">
      <c r="A37" s="1496" t="s">
        <v>367</v>
      </c>
      <c r="B37" s="1497"/>
      <c r="C37" s="1497"/>
      <c r="D37" s="1497"/>
      <c r="E37" s="1498"/>
      <c r="F37" s="3011">
        <f>Attachment!F72</f>
        <v>0</v>
      </c>
      <c r="G37" s="3012"/>
      <c r="H37" s="3012"/>
      <c r="I37" s="3013"/>
      <c r="J37" s="3014">
        <f>Attachment!J72</f>
        <v>0</v>
      </c>
      <c r="K37" s="3015"/>
      <c r="L37" s="3015"/>
      <c r="M37" s="3016"/>
      <c r="N37" s="3011">
        <f>Attachment!N72</f>
        <v>0</v>
      </c>
      <c r="O37" s="3012"/>
      <c r="P37" s="3012"/>
      <c r="Q37" s="3013"/>
      <c r="R37" s="3014">
        <f>Attachment!R72</f>
        <v>0</v>
      </c>
      <c r="S37" s="3015"/>
      <c r="T37" s="3015"/>
      <c r="U37" s="3016"/>
      <c r="V37" s="3014">
        <f>Attachment!V72</f>
        <v>0</v>
      </c>
      <c r="W37" s="3015"/>
      <c r="X37" s="3015"/>
      <c r="Y37" s="3016"/>
      <c r="Z37" s="3014">
        <f>Attachment!Z72</f>
        <v>0</v>
      </c>
      <c r="AA37" s="3015"/>
      <c r="AB37" s="3015"/>
      <c r="AC37" s="3017"/>
      <c r="AG37" s="1494"/>
      <c r="AH37" s="886"/>
      <c r="AI37" s="886"/>
      <c r="AJ37" s="1494"/>
      <c r="AK37" s="1494"/>
      <c r="AL37" s="1544"/>
      <c r="AM37" s="1544"/>
      <c r="AN37" s="1494"/>
      <c r="AO37" s="3385"/>
      <c r="AP37" s="3385"/>
      <c r="AQ37" s="3385"/>
      <c r="AR37" s="3385"/>
      <c r="AS37" s="3385"/>
      <c r="AT37" s="3385"/>
      <c r="AU37" s="3385"/>
      <c r="AV37" s="3385"/>
      <c r="AW37" s="3385"/>
      <c r="AX37" s="3385"/>
      <c r="AY37" s="3385"/>
      <c r="AZ37" s="3385"/>
      <c r="BA37" s="3385"/>
      <c r="BB37" s="3385"/>
      <c r="BC37" s="3385"/>
      <c r="BE37" s="1548"/>
      <c r="BF37" s="886"/>
    </row>
    <row r="38" spans="1:58">
      <c r="A38" s="1492" t="s">
        <v>1281</v>
      </c>
      <c r="B38" s="1493"/>
      <c r="C38" s="1501"/>
      <c r="D38" s="1493"/>
      <c r="E38" s="1493"/>
      <c r="F38" s="3059" t="str">
        <f>Attachment!F73</f>
        <v xml:space="preserve"> </v>
      </c>
      <c r="G38" s="3059"/>
      <c r="H38" s="3059"/>
      <c r="I38" s="3059"/>
      <c r="J38" s="3059"/>
      <c r="K38" s="3059"/>
      <c r="L38" s="1837"/>
      <c r="M38" s="1837"/>
      <c r="N38" s="1835"/>
      <c r="O38" s="1835"/>
      <c r="P38" s="1835"/>
      <c r="Q38" s="1835"/>
      <c r="R38" s="1837"/>
      <c r="S38" s="1837"/>
      <c r="T38" s="1837"/>
      <c r="U38" s="1837"/>
      <c r="V38" s="1837"/>
      <c r="W38" s="1837"/>
      <c r="X38" s="1837"/>
      <c r="Y38" s="1837"/>
      <c r="Z38" s="1837"/>
      <c r="AA38" s="1837"/>
      <c r="AB38" s="1837"/>
      <c r="AC38" s="1838"/>
      <c r="AG38" s="1545"/>
      <c r="AH38" s="1545"/>
      <c r="AI38" s="1545"/>
      <c r="AJ38" s="1545"/>
      <c r="AK38" s="1545"/>
      <c r="AL38" s="1546"/>
      <c r="AM38" s="1546"/>
      <c r="AN38" s="1494"/>
      <c r="AO38" s="3386"/>
      <c r="AP38" s="3386"/>
      <c r="AQ38" s="3386"/>
      <c r="AR38" s="3386"/>
      <c r="AS38" s="3386"/>
      <c r="AT38" s="3386"/>
      <c r="AU38" s="3386"/>
      <c r="AV38" s="3386"/>
      <c r="AW38" s="3386"/>
      <c r="AX38" s="3386"/>
      <c r="AY38" s="3386"/>
      <c r="AZ38" s="3386"/>
      <c r="BA38" s="3386"/>
      <c r="BB38" s="3386"/>
      <c r="BC38" s="3386"/>
      <c r="BE38" s="1548"/>
      <c r="BF38" s="886"/>
    </row>
    <row r="39" spans="1:58">
      <c r="A39" s="3033" t="s">
        <v>1282</v>
      </c>
      <c r="B39" s="3034"/>
      <c r="C39" s="3034"/>
      <c r="D39" s="3034"/>
      <c r="E39" s="3035"/>
      <c r="F39" s="3390">
        <f>Attachment!F74</f>
        <v>0</v>
      </c>
      <c r="G39" s="3391"/>
      <c r="H39" s="3391"/>
      <c r="I39" s="3392"/>
      <c r="J39" s="3393">
        <f>Attachment!J74</f>
        <v>0</v>
      </c>
      <c r="K39" s="3394"/>
      <c r="L39" s="3394"/>
      <c r="M39" s="3395"/>
      <c r="N39" s="3390">
        <f>Attachment!N74</f>
        <v>0</v>
      </c>
      <c r="O39" s="3391"/>
      <c r="P39" s="3391"/>
      <c r="Q39" s="3392"/>
      <c r="R39" s="3393">
        <f>Attachment!R74</f>
        <v>0</v>
      </c>
      <c r="S39" s="3394"/>
      <c r="T39" s="3394"/>
      <c r="U39" s="3395"/>
      <c r="V39" s="3393">
        <f>Attachment!V74</f>
        <v>0</v>
      </c>
      <c r="W39" s="3394"/>
      <c r="X39" s="3394"/>
      <c r="Y39" s="3395"/>
      <c r="Z39" s="3403"/>
      <c r="AA39" s="3404"/>
      <c r="AB39" s="3404"/>
      <c r="AC39" s="3405"/>
      <c r="AG39" s="1494"/>
      <c r="AH39" s="1494"/>
      <c r="AI39" s="1494"/>
      <c r="AJ39" s="1494"/>
      <c r="AK39" s="1494"/>
      <c r="AL39" s="1494"/>
      <c r="AM39" s="3402"/>
      <c r="AN39" s="3402"/>
      <c r="AO39" s="3402"/>
      <c r="AP39" s="3402"/>
      <c r="AQ39" s="1494"/>
      <c r="AR39" s="1494"/>
      <c r="AS39" s="1494"/>
      <c r="AT39" s="1494"/>
      <c r="AU39" s="1494"/>
      <c r="AV39" s="1494"/>
      <c r="AW39" s="1494"/>
      <c r="AX39" s="1494"/>
      <c r="AY39" s="1494"/>
      <c r="AZ39" s="1494"/>
      <c r="BA39" s="1494"/>
      <c r="BB39" s="1494"/>
      <c r="BC39" s="1494"/>
      <c r="BE39" s="1480"/>
      <c r="BF39" s="886"/>
    </row>
    <row r="40" spans="1:58">
      <c r="A40" s="1746" t="s">
        <v>1283</v>
      </c>
      <c r="B40" s="1501"/>
      <c r="C40" s="1501"/>
      <c r="D40" s="1747"/>
      <c r="E40" s="1748"/>
      <c r="F40" s="3390">
        <f>Attachment!F75</f>
        <v>0</v>
      </c>
      <c r="G40" s="3391"/>
      <c r="H40" s="3391"/>
      <c r="I40" s="3392"/>
      <c r="J40" s="3393">
        <f>Attachment!J75</f>
        <v>0</v>
      </c>
      <c r="K40" s="3394"/>
      <c r="L40" s="3394"/>
      <c r="M40" s="3395"/>
      <c r="N40" s="3390">
        <f>Attachment!N75</f>
        <v>0</v>
      </c>
      <c r="O40" s="3391"/>
      <c r="P40" s="3391"/>
      <c r="Q40" s="3392"/>
      <c r="R40" s="3393">
        <f>Attachment!R75</f>
        <v>0</v>
      </c>
      <c r="S40" s="3394"/>
      <c r="T40" s="3394"/>
      <c r="U40" s="3395"/>
      <c r="V40" s="3393">
        <f>Attachment!V75</f>
        <v>0</v>
      </c>
      <c r="W40" s="3394"/>
      <c r="X40" s="3394"/>
      <c r="Y40" s="3395"/>
      <c r="Z40" s="3399"/>
      <c r="AA40" s="3400"/>
      <c r="AB40" s="3400"/>
      <c r="AC40" s="3401"/>
      <c r="AG40" s="3402"/>
      <c r="AH40" s="3402"/>
      <c r="AI40" s="3402"/>
      <c r="AJ40" s="3402"/>
      <c r="AK40" s="3402"/>
      <c r="AL40" s="1544"/>
      <c r="AM40" s="1544"/>
      <c r="AN40" s="1494"/>
      <c r="AO40" s="3385"/>
      <c r="AP40" s="3385"/>
      <c r="AQ40" s="3385"/>
      <c r="AR40" s="3385"/>
      <c r="AS40" s="3385"/>
      <c r="AT40" s="3385"/>
      <c r="AU40" s="3385"/>
      <c r="AV40" s="3385"/>
      <c r="AW40" s="3385"/>
      <c r="AX40" s="3385"/>
      <c r="AY40" s="3385"/>
      <c r="AZ40" s="3385"/>
      <c r="BA40" s="3385"/>
      <c r="BB40" s="3385"/>
      <c r="BC40" s="3385"/>
      <c r="BE40" s="1551"/>
      <c r="BF40" s="886"/>
    </row>
    <row r="41" spans="1:58">
      <c r="A41" s="1746" t="s">
        <v>1284</v>
      </c>
      <c r="B41" s="1501"/>
      <c r="C41" s="1501"/>
      <c r="D41" s="1747"/>
      <c r="E41" s="1748"/>
      <c r="F41" s="3390">
        <f>Attachment!F76</f>
        <v>0</v>
      </c>
      <c r="G41" s="3391"/>
      <c r="H41" s="3391"/>
      <c r="I41" s="3392"/>
      <c r="J41" s="3393">
        <f>Attachment!J76</f>
        <v>0</v>
      </c>
      <c r="K41" s="3394"/>
      <c r="L41" s="3394"/>
      <c r="M41" s="3395"/>
      <c r="N41" s="3390">
        <f>Attachment!N76</f>
        <v>0</v>
      </c>
      <c r="O41" s="3391"/>
      <c r="P41" s="3391"/>
      <c r="Q41" s="3392"/>
      <c r="R41" s="3393">
        <f>Attachment!R76</f>
        <v>0</v>
      </c>
      <c r="S41" s="3394"/>
      <c r="T41" s="3394"/>
      <c r="U41" s="3395"/>
      <c r="V41" s="3393">
        <f>Attachment!V76</f>
        <v>0</v>
      </c>
      <c r="W41" s="3394"/>
      <c r="X41" s="3394"/>
      <c r="Y41" s="3395"/>
      <c r="Z41" s="3399"/>
      <c r="AA41" s="3400"/>
      <c r="AB41" s="3400"/>
      <c r="AC41" s="3401"/>
      <c r="AG41" s="1494"/>
      <c r="AH41" s="886"/>
      <c r="AI41" s="886"/>
      <c r="AJ41" s="1494"/>
      <c r="AK41" s="1494"/>
      <c r="AL41" s="1544"/>
      <c r="AM41" s="1544"/>
      <c r="AN41" s="1494"/>
      <c r="AO41" s="3385"/>
      <c r="AP41" s="3385"/>
      <c r="AQ41" s="3385"/>
      <c r="AR41" s="3385"/>
      <c r="AS41" s="3385"/>
      <c r="AT41" s="3385"/>
      <c r="AU41" s="3385"/>
      <c r="AV41" s="3385"/>
      <c r="AW41" s="3385"/>
      <c r="AX41" s="3385"/>
      <c r="AY41" s="3385"/>
      <c r="AZ41" s="3385"/>
      <c r="BA41" s="3385"/>
      <c r="BB41" s="3385"/>
      <c r="BC41" s="3385"/>
      <c r="BE41" s="886"/>
      <c r="BF41" s="886"/>
    </row>
    <row r="42" spans="1:58">
      <c r="A42" s="1746" t="s">
        <v>1285</v>
      </c>
      <c r="B42" s="1501"/>
      <c r="C42" s="1501"/>
      <c r="D42" s="1747"/>
      <c r="E42" s="1748"/>
      <c r="F42" s="3390">
        <f>Attachment!F77</f>
        <v>0</v>
      </c>
      <c r="G42" s="3391"/>
      <c r="H42" s="3391"/>
      <c r="I42" s="3392"/>
      <c r="J42" s="3393">
        <f>Attachment!J77</f>
        <v>0</v>
      </c>
      <c r="K42" s="3394"/>
      <c r="L42" s="3394"/>
      <c r="M42" s="3395"/>
      <c r="N42" s="3390">
        <f>Attachment!N77</f>
        <v>0</v>
      </c>
      <c r="O42" s="3391"/>
      <c r="P42" s="3391"/>
      <c r="Q42" s="3392"/>
      <c r="R42" s="3393">
        <f>Attachment!R77</f>
        <v>0</v>
      </c>
      <c r="S42" s="3394"/>
      <c r="T42" s="3394"/>
      <c r="U42" s="3395"/>
      <c r="V42" s="3393">
        <f>Attachment!V77</f>
        <v>0</v>
      </c>
      <c r="W42" s="3394"/>
      <c r="X42" s="3394"/>
      <c r="Y42" s="3395"/>
      <c r="Z42" s="3399"/>
      <c r="AA42" s="3400"/>
      <c r="AB42" s="3400"/>
      <c r="AC42" s="3401"/>
      <c r="AG42" s="1494"/>
      <c r="AH42" s="886"/>
      <c r="AI42" s="886"/>
      <c r="AJ42" s="1494"/>
      <c r="AK42" s="1494"/>
      <c r="AL42" s="1544"/>
      <c r="AM42" s="1544"/>
      <c r="AN42" s="1494"/>
      <c r="AO42" s="3385"/>
      <c r="AP42" s="3385"/>
      <c r="AQ42" s="3385"/>
      <c r="AR42" s="3385"/>
      <c r="AS42" s="3385"/>
      <c r="AT42" s="3385"/>
      <c r="AU42" s="3385"/>
      <c r="AV42" s="3385"/>
      <c r="AW42" s="3385"/>
      <c r="AX42" s="3385"/>
      <c r="AY42" s="3385"/>
      <c r="AZ42" s="3385"/>
      <c r="BA42" s="3385"/>
      <c r="BB42" s="3385"/>
      <c r="BC42" s="3385"/>
      <c r="BE42" s="1479"/>
      <c r="BF42" s="886"/>
    </row>
    <row r="43" spans="1:58">
      <c r="A43" s="1746" t="s">
        <v>1286</v>
      </c>
      <c r="B43" s="1501"/>
      <c r="C43" s="1501"/>
      <c r="D43" s="1747"/>
      <c r="E43" s="1748"/>
      <c r="F43" s="3390">
        <f>Attachment!F78</f>
        <v>0</v>
      </c>
      <c r="G43" s="3391"/>
      <c r="H43" s="3391"/>
      <c r="I43" s="3392"/>
      <c r="J43" s="3393">
        <f>Attachment!J78</f>
        <v>0</v>
      </c>
      <c r="K43" s="3394"/>
      <c r="L43" s="3394"/>
      <c r="M43" s="3395"/>
      <c r="N43" s="3390">
        <f>Attachment!N78</f>
        <v>0</v>
      </c>
      <c r="O43" s="3391"/>
      <c r="P43" s="3391"/>
      <c r="Q43" s="3392"/>
      <c r="R43" s="3393">
        <f>Attachment!R78</f>
        <v>0</v>
      </c>
      <c r="S43" s="3394"/>
      <c r="T43" s="3394"/>
      <c r="U43" s="3395"/>
      <c r="V43" s="3393">
        <f>Attachment!V78</f>
        <v>0</v>
      </c>
      <c r="W43" s="3394"/>
      <c r="X43" s="3394"/>
      <c r="Y43" s="3395"/>
      <c r="Z43" s="3396"/>
      <c r="AA43" s="3397"/>
      <c r="AB43" s="3397"/>
      <c r="AC43" s="3398"/>
      <c r="AG43" s="1494"/>
      <c r="AH43" s="886"/>
      <c r="AI43" s="886"/>
      <c r="AJ43" s="1494"/>
      <c r="AK43" s="1494"/>
      <c r="AL43" s="1544"/>
      <c r="AM43" s="1544"/>
      <c r="AN43" s="1494"/>
      <c r="AO43" s="3385"/>
      <c r="AP43" s="3385"/>
      <c r="AQ43" s="3385"/>
      <c r="AR43" s="3385"/>
      <c r="AS43" s="3385"/>
      <c r="AT43" s="3385"/>
      <c r="AU43" s="3385"/>
      <c r="AV43" s="3385"/>
      <c r="AW43" s="3385"/>
      <c r="AX43" s="3385"/>
      <c r="AY43" s="3385"/>
      <c r="AZ43" s="3385"/>
      <c r="BA43" s="3385"/>
      <c r="BB43" s="3385"/>
      <c r="BC43" s="3385"/>
      <c r="BE43" s="886"/>
      <c r="BF43" s="886"/>
    </row>
    <row r="44" spans="1:58">
      <c r="A44" s="1496" t="s">
        <v>367</v>
      </c>
      <c r="B44" s="1497"/>
      <c r="C44" s="1497"/>
      <c r="D44" s="1497"/>
      <c r="E44" s="1498"/>
      <c r="F44" s="3011">
        <f>Attachment!F79</f>
        <v>0</v>
      </c>
      <c r="G44" s="3012"/>
      <c r="H44" s="3012"/>
      <c r="I44" s="3013"/>
      <c r="J44" s="3014">
        <f>Attachment!J79</f>
        <v>0</v>
      </c>
      <c r="K44" s="3015"/>
      <c r="L44" s="3015"/>
      <c r="M44" s="3016"/>
      <c r="N44" s="3011">
        <f>Attachment!N79</f>
        <v>0</v>
      </c>
      <c r="O44" s="3012"/>
      <c r="P44" s="3012"/>
      <c r="Q44" s="3013"/>
      <c r="R44" s="3014">
        <f>Attachment!R79</f>
        <v>0</v>
      </c>
      <c r="S44" s="3015"/>
      <c r="T44" s="3015"/>
      <c r="U44" s="3016"/>
      <c r="V44" s="3014">
        <f>Attachment!V79</f>
        <v>0</v>
      </c>
      <c r="W44" s="3015"/>
      <c r="X44" s="3015"/>
      <c r="Y44" s="3016"/>
      <c r="Z44" s="3014">
        <f>Attachment!Z79</f>
        <v>0</v>
      </c>
      <c r="AA44" s="3015"/>
      <c r="AB44" s="3015"/>
      <c r="AC44" s="3017"/>
      <c r="AG44" s="1494"/>
      <c r="AH44" s="886"/>
      <c r="AI44" s="886"/>
      <c r="AJ44" s="1494"/>
      <c r="AK44" s="1494"/>
      <c r="AL44" s="1544"/>
      <c r="AM44" s="1544"/>
      <c r="AN44" s="1494"/>
      <c r="AO44" s="3385"/>
      <c r="AP44" s="3385"/>
      <c r="AQ44" s="3385"/>
      <c r="AR44" s="3385"/>
      <c r="AS44" s="3385"/>
      <c r="AT44" s="3385"/>
      <c r="AU44" s="3385"/>
      <c r="AV44" s="3385"/>
      <c r="AW44" s="3385"/>
      <c r="AX44" s="3385"/>
      <c r="AY44" s="3385"/>
      <c r="AZ44" s="3385"/>
      <c r="BA44" s="3385"/>
      <c r="BB44" s="3385"/>
      <c r="BC44" s="3385"/>
      <c r="BE44" s="886"/>
      <c r="BF44" s="886"/>
    </row>
    <row r="45" spans="1:58" ht="14.25">
      <c r="A45" s="1502"/>
      <c r="B45" s="1503"/>
      <c r="C45" s="1504"/>
      <c r="D45" s="1503"/>
      <c r="E45" s="1503"/>
      <c r="F45" s="1839"/>
      <c r="G45" s="1839"/>
      <c r="H45" s="1839"/>
      <c r="I45" s="1839"/>
      <c r="J45" s="1840"/>
      <c r="K45" s="1840"/>
      <c r="L45" s="1840"/>
      <c r="M45" s="1840"/>
      <c r="N45" s="1839"/>
      <c r="O45" s="1839"/>
      <c r="P45" s="1839"/>
      <c r="Q45" s="1839"/>
      <c r="R45" s="1840"/>
      <c r="S45" s="1840"/>
      <c r="T45" s="1840"/>
      <c r="U45" s="1840"/>
      <c r="V45" s="1840"/>
      <c r="W45" s="1840"/>
      <c r="X45" s="1840"/>
      <c r="Y45" s="1840"/>
      <c r="Z45" s="1840"/>
      <c r="AA45" s="1840"/>
      <c r="AB45" s="1840"/>
      <c r="AC45" s="1841"/>
      <c r="AE45" s="1484"/>
      <c r="AF45" s="1484"/>
      <c r="AG45" s="1545"/>
      <c r="AH45" s="1545"/>
      <c r="AI45" s="1545"/>
      <c r="AJ45" s="1545"/>
      <c r="AK45" s="1545"/>
      <c r="AL45" s="1546"/>
      <c r="AM45" s="1546"/>
      <c r="AN45" s="1494"/>
      <c r="AO45" s="3386"/>
      <c r="AP45" s="3386"/>
      <c r="AQ45" s="3386"/>
      <c r="AR45" s="3386"/>
      <c r="AS45" s="3386"/>
      <c r="AT45" s="3386"/>
      <c r="AU45" s="3386"/>
      <c r="AV45" s="3386"/>
      <c r="AW45" s="3386"/>
      <c r="AX45" s="3386"/>
      <c r="AY45" s="3386"/>
      <c r="AZ45" s="3386"/>
      <c r="BA45" s="3386"/>
      <c r="BB45" s="3386"/>
      <c r="BC45" s="3386"/>
      <c r="BD45" s="1484"/>
      <c r="BE45" s="1553"/>
      <c r="BF45" s="886"/>
    </row>
    <row r="46" spans="1:58" ht="15.75" thickBot="1">
      <c r="A46" s="1505" t="s">
        <v>1287</v>
      </c>
      <c r="B46" s="1506"/>
      <c r="C46" s="1507"/>
      <c r="D46" s="1506"/>
      <c r="E46" s="1506"/>
      <c r="F46" s="3387"/>
      <c r="G46" s="3388"/>
      <c r="H46" s="3388"/>
      <c r="I46" s="3389"/>
      <c r="J46" s="3006">
        <f>Attachment!J81</f>
        <v>0</v>
      </c>
      <c r="K46" s="3007"/>
      <c r="L46" s="3007"/>
      <c r="M46" s="3008"/>
      <c r="N46" s="3387"/>
      <c r="O46" s="3388"/>
      <c r="P46" s="3388"/>
      <c r="Q46" s="3389"/>
      <c r="R46" s="3006">
        <f>Attachment!R81</f>
        <v>0</v>
      </c>
      <c r="S46" s="3007"/>
      <c r="T46" s="3007"/>
      <c r="U46" s="3008"/>
      <c r="V46" s="2926">
        <f>Attachment!V81</f>
        <v>0</v>
      </c>
      <c r="W46" s="2927"/>
      <c r="X46" s="2927"/>
      <c r="Y46" s="3009"/>
      <c r="Z46" s="3006">
        <f>Attachment!Z81</f>
        <v>0</v>
      </c>
      <c r="AA46" s="3007"/>
      <c r="AB46" s="3007"/>
      <c r="AC46" s="3010"/>
      <c r="AG46" s="1494"/>
      <c r="AH46" s="1494"/>
      <c r="AI46" s="886"/>
      <c r="AJ46" s="1494"/>
      <c r="AK46" s="1494"/>
      <c r="AL46" s="1552"/>
      <c r="AM46" s="1552"/>
      <c r="AN46" s="1552"/>
      <c r="AO46" s="1552"/>
      <c r="AP46" s="1552"/>
      <c r="AQ46" s="1552"/>
      <c r="AR46" s="1552"/>
      <c r="AS46" s="1552"/>
      <c r="AT46" s="1552"/>
      <c r="AU46" s="1552"/>
      <c r="AV46" s="1552"/>
      <c r="AW46" s="1552"/>
      <c r="AX46" s="1551"/>
      <c r="AY46" s="1551"/>
      <c r="AZ46" s="1551"/>
      <c r="BA46" s="1551"/>
      <c r="BB46" s="1551"/>
      <c r="BC46" s="1551"/>
      <c r="BE46" s="886"/>
      <c r="BF46" s="886"/>
    </row>
    <row r="47" spans="1:58" ht="19.5" customHeight="1">
      <c r="AG47" s="1485"/>
      <c r="AH47" s="1485"/>
      <c r="AI47" s="1485"/>
      <c r="AJ47" s="1485"/>
      <c r="AK47" s="1485"/>
      <c r="AL47" s="1554"/>
      <c r="AM47" s="1554"/>
      <c r="AN47" s="1514"/>
      <c r="AO47" s="3383"/>
      <c r="AP47" s="3383"/>
      <c r="AQ47" s="3383"/>
      <c r="AR47" s="3383"/>
      <c r="AS47" s="3383"/>
      <c r="AT47" s="3383"/>
      <c r="AU47" s="3383"/>
      <c r="AV47" s="3383"/>
      <c r="AW47" s="3383"/>
      <c r="AX47" s="3383"/>
      <c r="AY47" s="3383"/>
      <c r="AZ47" s="3383"/>
      <c r="BA47" s="3383"/>
      <c r="BB47" s="3383"/>
      <c r="BC47" s="3383"/>
      <c r="BE47" s="886"/>
      <c r="BF47" s="886"/>
    </row>
    <row r="48" spans="1:58">
      <c r="A48" s="1468" t="s">
        <v>1288</v>
      </c>
      <c r="AG48" s="1545"/>
      <c r="AH48" s="1545"/>
      <c r="AI48" s="1545"/>
      <c r="AJ48" s="1545"/>
      <c r="AK48" s="1545"/>
      <c r="AL48" s="1546"/>
      <c r="AM48" s="1546"/>
      <c r="AN48" s="1494"/>
      <c r="AO48" s="1551"/>
      <c r="AP48" s="1551"/>
      <c r="AQ48" s="1551"/>
      <c r="AR48" s="1551"/>
      <c r="AS48" s="1551"/>
      <c r="AT48" s="1551"/>
      <c r="AU48" s="1551"/>
      <c r="AV48" s="1551"/>
      <c r="AW48" s="1551"/>
      <c r="AX48" s="1551"/>
      <c r="AY48" s="1551"/>
      <c r="AZ48" s="1551"/>
      <c r="BA48" s="1551"/>
      <c r="BB48" s="1551"/>
      <c r="BC48" s="1551"/>
    </row>
    <row r="49" spans="2:55">
      <c r="B49" s="1485"/>
      <c r="C49" s="1485"/>
      <c r="D49" s="1486"/>
      <c r="E49" s="1486"/>
      <c r="F49" s="1486"/>
      <c r="G49" s="1486"/>
      <c r="H49" s="1486"/>
      <c r="I49" s="1486"/>
      <c r="J49" s="1486"/>
      <c r="K49" s="1486"/>
      <c r="L49" s="1486"/>
      <c r="M49" s="1486"/>
      <c r="N49" s="1486"/>
      <c r="O49" s="1486"/>
      <c r="P49" s="1486"/>
      <c r="Q49" s="1486"/>
      <c r="R49" s="1486"/>
      <c r="S49" s="1486"/>
      <c r="T49" s="1486"/>
      <c r="U49" s="1486"/>
      <c r="V49" s="1542"/>
      <c r="W49" s="1525"/>
      <c r="X49" s="1525"/>
      <c r="Y49" s="1525"/>
      <c r="Z49" s="1484"/>
      <c r="AA49" s="1484"/>
      <c r="AG49" s="886"/>
      <c r="AH49" s="886"/>
      <c r="AI49" s="886"/>
      <c r="AJ49" s="886"/>
      <c r="AK49" s="886"/>
      <c r="AL49" s="886"/>
      <c r="AM49" s="886"/>
      <c r="AN49" s="886"/>
      <c r="AO49" s="886"/>
      <c r="AP49" s="886"/>
      <c r="AQ49" s="886"/>
      <c r="AR49" s="886"/>
      <c r="AS49" s="886"/>
      <c r="AT49" s="886"/>
      <c r="AU49" s="886"/>
      <c r="AV49" s="886"/>
      <c r="AW49" s="886"/>
      <c r="AX49" s="886"/>
      <c r="AY49" s="886"/>
      <c r="AZ49" s="886"/>
      <c r="BA49" s="886"/>
      <c r="BB49" s="886"/>
      <c r="BC49" s="886"/>
    </row>
    <row r="50" spans="2:55">
      <c r="C50" s="1545"/>
      <c r="D50" s="1545"/>
      <c r="E50" s="1545"/>
      <c r="F50" s="1545"/>
      <c r="G50" s="1545"/>
      <c r="H50" s="1546"/>
      <c r="I50" s="1546"/>
      <c r="J50" s="1494"/>
      <c r="K50" s="1551"/>
      <c r="L50" s="1551"/>
      <c r="M50" s="1551"/>
      <c r="N50" s="1551"/>
      <c r="O50" s="1551"/>
      <c r="P50" s="1551"/>
      <c r="Q50" s="1551"/>
      <c r="R50" s="1551"/>
      <c r="S50" s="1551"/>
      <c r="T50" s="1551"/>
      <c r="U50" s="1551"/>
      <c r="V50" s="1551"/>
      <c r="W50" s="1551"/>
      <c r="X50" s="1551"/>
      <c r="Y50" s="1551"/>
      <c r="AB50" s="1484"/>
      <c r="AC50" s="1484"/>
      <c r="AD50" s="1555"/>
      <c r="AG50" s="886"/>
      <c r="AH50" s="886"/>
      <c r="AI50" s="886"/>
      <c r="AJ50" s="886"/>
      <c r="AK50" s="886"/>
      <c r="AL50" s="886"/>
      <c r="AM50" s="886"/>
      <c r="AN50" s="886"/>
      <c r="AO50" s="886"/>
      <c r="AP50" s="886"/>
      <c r="AQ50" s="886"/>
      <c r="AR50" s="886"/>
      <c r="AS50" s="886"/>
      <c r="AT50" s="886"/>
      <c r="AU50" s="886"/>
      <c r="AV50" s="886"/>
      <c r="AW50" s="886"/>
      <c r="AX50" s="886"/>
      <c r="AY50" s="886"/>
      <c r="AZ50" s="886"/>
      <c r="BA50" s="886"/>
      <c r="BB50" s="886"/>
      <c r="BC50" s="886"/>
    </row>
    <row r="51" spans="2:55">
      <c r="C51" s="1485"/>
      <c r="D51" s="1486"/>
      <c r="E51" s="1486"/>
      <c r="F51" s="1486"/>
      <c r="G51" s="1486"/>
      <c r="H51" s="1486"/>
      <c r="I51" s="1486"/>
      <c r="J51" s="1486"/>
      <c r="K51" s="1486"/>
      <c r="L51" s="1486"/>
      <c r="M51" s="1486"/>
      <c r="N51" s="1486"/>
      <c r="O51" s="1486"/>
      <c r="P51" s="1486"/>
      <c r="Q51" s="1486"/>
      <c r="R51" s="1486"/>
      <c r="S51" s="1486"/>
      <c r="T51" s="1486"/>
      <c r="U51" s="1486"/>
      <c r="V51" s="1542"/>
      <c r="W51" s="1525"/>
      <c r="X51" s="1525"/>
      <c r="Y51" s="1525"/>
      <c r="Z51" s="1516"/>
      <c r="AA51" s="1516"/>
      <c r="AB51" s="1484"/>
      <c r="AC51" s="1484"/>
      <c r="AD51" s="1555"/>
    </row>
    <row r="52" spans="2:55" ht="20.25">
      <c r="C52" s="1472" t="s">
        <v>1289</v>
      </c>
      <c r="D52" s="1475"/>
      <c r="E52" s="886"/>
      <c r="X52" s="1474"/>
      <c r="Y52" s="1474"/>
      <c r="Z52" s="1516"/>
      <c r="AA52" s="1516"/>
      <c r="AB52" s="1474"/>
      <c r="AD52" s="802"/>
    </row>
    <row r="53" spans="2:55" ht="20.25">
      <c r="C53" s="1472" t="s">
        <v>1290</v>
      </c>
      <c r="D53" s="1475"/>
      <c r="E53" s="886"/>
      <c r="G53" s="1522"/>
      <c r="H53" s="1522"/>
      <c r="J53" s="3384" t="e">
        <f>Attachment!G89</f>
        <v>#VALUE!</v>
      </c>
      <c r="K53" s="3384"/>
      <c r="AD53" s="802"/>
    </row>
    <row r="54" spans="2:55">
      <c r="Z54" s="1516"/>
      <c r="AA54" s="1516"/>
      <c r="AD54" s="802"/>
    </row>
    <row r="55" spans="2:55">
      <c r="C55" s="1471" t="s">
        <v>1291</v>
      </c>
      <c r="Z55" s="1516"/>
      <c r="AA55" s="1516"/>
      <c r="AD55" s="802"/>
    </row>
    <row r="56" spans="2:55">
      <c r="T56" s="1556"/>
      <c r="U56" s="1556"/>
      <c r="V56" s="1556"/>
      <c r="W56" s="1556"/>
      <c r="X56" s="1556"/>
      <c r="Y56" s="1556"/>
      <c r="Z56" s="1557"/>
      <c r="AA56" s="1557"/>
      <c r="AB56" s="1556"/>
      <c r="AC56" s="1556"/>
      <c r="AD56" s="802"/>
    </row>
    <row r="57" spans="2:55">
      <c r="D57" s="1468" t="s">
        <v>1292</v>
      </c>
      <c r="T57" s="2993" t="e">
        <f>Attachment!T93</f>
        <v>#VALUE!</v>
      </c>
      <c r="U57" s="2993"/>
      <c r="V57" s="2993"/>
      <c r="W57" s="2993"/>
      <c r="X57" s="3376"/>
      <c r="Y57" s="3376"/>
      <c r="Z57" s="3376"/>
      <c r="AA57" s="3376"/>
      <c r="AB57" s="1558"/>
      <c r="AC57" s="1556"/>
      <c r="AD57" s="802"/>
    </row>
    <row r="58" spans="2:55">
      <c r="D58" s="1468" t="s">
        <v>1293</v>
      </c>
      <c r="T58" s="2993" t="e">
        <f>Attachment!T94</f>
        <v>#VALUE!</v>
      </c>
      <c r="U58" s="2993"/>
      <c r="V58" s="2993"/>
      <c r="W58" s="2993"/>
      <c r="X58" s="3376"/>
      <c r="Y58" s="3376"/>
      <c r="Z58" s="3376"/>
      <c r="AA58" s="3376"/>
      <c r="AB58" s="1558"/>
      <c r="AC58" s="1556"/>
      <c r="AD58" s="802"/>
    </row>
    <row r="59" spans="2:55">
      <c r="D59" s="1468" t="s">
        <v>1294</v>
      </c>
      <c r="T59" s="3057" t="e">
        <f>Attachment!T95</f>
        <v>#VALUE!</v>
      </c>
      <c r="U59" s="3057"/>
      <c r="V59" s="3057"/>
      <c r="W59" s="3057"/>
      <c r="X59" s="3376"/>
      <c r="Y59" s="3376"/>
      <c r="Z59" s="3376"/>
      <c r="AA59" s="3376"/>
      <c r="AB59" s="1558"/>
      <c r="AC59" s="1556"/>
      <c r="AD59" s="802"/>
    </row>
    <row r="60" spans="2:55">
      <c r="D60" s="1468" t="s">
        <v>1295</v>
      </c>
      <c r="T60" s="3376"/>
      <c r="U60" s="3376"/>
      <c r="V60" s="3376"/>
      <c r="W60" s="3376"/>
      <c r="X60" s="2993" t="e">
        <f>Attachment!X96</f>
        <v>#VALUE!</v>
      </c>
      <c r="Y60" s="2993"/>
      <c r="Z60" s="2993"/>
      <c r="AA60" s="2993"/>
      <c r="AB60" s="1558"/>
      <c r="AC60" s="1556"/>
      <c r="AD60" s="802"/>
    </row>
    <row r="61" spans="2:55">
      <c r="T61" s="3376"/>
      <c r="U61" s="3376"/>
      <c r="V61" s="3376"/>
      <c r="W61" s="3376"/>
      <c r="X61" s="3372"/>
      <c r="Y61" s="3372"/>
      <c r="Z61" s="3372"/>
      <c r="AA61" s="3372"/>
      <c r="AB61" s="1558"/>
      <c r="AC61" s="1556"/>
      <c r="AD61" s="802"/>
    </row>
    <row r="62" spans="2:55">
      <c r="B62" s="1471"/>
      <c r="C62" s="890" t="s">
        <v>1296</v>
      </c>
      <c r="D62" s="1476"/>
      <c r="E62" s="1476"/>
      <c r="F62" s="1476"/>
      <c r="G62" s="1476"/>
      <c r="H62" s="1476"/>
      <c r="I62" s="1476"/>
      <c r="J62" s="1476"/>
      <c r="K62" s="1476"/>
      <c r="L62" s="1476"/>
      <c r="M62" s="1476"/>
      <c r="N62" s="1476"/>
      <c r="O62" s="1476"/>
      <c r="P62" s="1476"/>
      <c r="Q62" s="1476"/>
      <c r="R62" s="1476"/>
      <c r="S62" s="1476"/>
      <c r="T62" s="3376"/>
      <c r="U62" s="3376"/>
      <c r="V62" s="3376"/>
      <c r="W62" s="3376"/>
      <c r="X62" s="3057">
        <f>Attachment!X98</f>
        <v>0</v>
      </c>
      <c r="Y62" s="3057"/>
      <c r="Z62" s="3057"/>
      <c r="AA62" s="3057"/>
      <c r="AB62" s="1476"/>
      <c r="AD62" s="802"/>
    </row>
    <row r="63" spans="2:55">
      <c r="B63" s="1471"/>
      <c r="C63" s="890"/>
      <c r="D63" s="1476"/>
      <c r="E63" s="1476"/>
      <c r="F63" s="1476"/>
      <c r="G63" s="1476"/>
      <c r="H63" s="1476"/>
      <c r="I63" s="1476"/>
      <c r="J63" s="1476"/>
      <c r="K63" s="1476"/>
      <c r="L63" s="1476"/>
      <c r="M63" s="1476"/>
      <c r="N63" s="1476"/>
      <c r="O63" s="1476"/>
      <c r="P63" s="1476"/>
      <c r="Q63" s="1476"/>
      <c r="R63" s="1476"/>
      <c r="S63" s="1476"/>
      <c r="T63" s="1548"/>
      <c r="U63" s="1548"/>
      <c r="V63" s="1548"/>
      <c r="W63" s="1548"/>
      <c r="X63" s="1765"/>
      <c r="Y63" s="1765"/>
      <c r="Z63" s="1765"/>
      <c r="AA63" s="1765"/>
      <c r="AB63" s="1476"/>
      <c r="AD63" s="802"/>
    </row>
    <row r="64" spans="2:55">
      <c r="B64" s="1471"/>
      <c r="C64" s="890" t="s">
        <v>1297</v>
      </c>
      <c r="D64" s="1476"/>
      <c r="E64" s="1476"/>
      <c r="F64" s="1476"/>
      <c r="G64" s="1476"/>
      <c r="H64" s="1476"/>
      <c r="I64" s="1476"/>
      <c r="J64" s="1476"/>
      <c r="K64" s="1476"/>
      <c r="L64" s="1476"/>
      <c r="M64" s="1476"/>
      <c r="N64" s="1476"/>
      <c r="O64" s="1476"/>
      <c r="P64" s="1476"/>
      <c r="Q64" s="1476"/>
      <c r="R64" s="1476"/>
      <c r="S64" s="1476"/>
      <c r="T64" s="1548"/>
      <c r="U64" s="1548"/>
      <c r="V64" s="1548"/>
      <c r="W64" s="1548"/>
      <c r="X64" s="2993" t="e">
        <f>Attachment!X100</f>
        <v>#VALUE!</v>
      </c>
      <c r="Y64" s="2993"/>
      <c r="Z64" s="2993"/>
      <c r="AA64" s="2993"/>
      <c r="AB64" s="1476"/>
      <c r="AD64" s="802"/>
    </row>
    <row r="65" spans="2:30">
      <c r="B65" s="1471"/>
      <c r="C65" s="890"/>
      <c r="D65" s="1476"/>
      <c r="E65" s="1476"/>
      <c r="F65" s="1476"/>
      <c r="G65" s="1476"/>
      <c r="H65" s="1476"/>
      <c r="I65" s="1476"/>
      <c r="J65" s="1476"/>
      <c r="K65" s="1476"/>
      <c r="L65" s="1476"/>
      <c r="M65" s="1476"/>
      <c r="N65" s="1476"/>
      <c r="O65" s="1476"/>
      <c r="P65" s="1476"/>
      <c r="Q65" s="1476"/>
      <c r="R65" s="1476"/>
      <c r="S65" s="1476"/>
      <c r="T65" s="1476"/>
      <c r="U65" s="1476"/>
      <c r="V65" s="1476"/>
      <c r="W65" s="1476"/>
      <c r="X65" s="1761"/>
      <c r="Y65" s="1761"/>
      <c r="Z65" s="1761"/>
      <c r="AA65" s="1761"/>
      <c r="AB65" s="1476"/>
      <c r="AD65" s="802"/>
    </row>
    <row r="66" spans="2:30">
      <c r="B66" s="1476"/>
      <c r="C66" s="890" t="s">
        <v>1298</v>
      </c>
      <c r="D66" s="1512"/>
      <c r="E66" s="1476"/>
      <c r="F66" s="1476"/>
      <c r="G66" s="1476"/>
      <c r="H66" s="1476"/>
      <c r="I66" s="1476"/>
      <c r="J66" s="1476"/>
      <c r="K66" s="1476"/>
      <c r="L66" s="1476"/>
      <c r="M66" s="1476"/>
      <c r="N66" s="1476"/>
      <c r="O66" s="1476"/>
      <c r="P66" s="1476"/>
      <c r="Q66" s="1476"/>
      <c r="R66" s="1476"/>
      <c r="S66" s="1476"/>
      <c r="T66" s="1476"/>
      <c r="U66" s="1476"/>
      <c r="V66" s="1476"/>
      <c r="W66" s="1476"/>
      <c r="X66" s="2993">
        <f>Attachment!X102</f>
        <v>0</v>
      </c>
      <c r="Y66" s="2993"/>
      <c r="Z66" s="2993"/>
      <c r="AA66" s="2993"/>
      <c r="AD66" s="802"/>
    </row>
    <row r="67" spans="2:30">
      <c r="B67" s="1476"/>
      <c r="C67" s="890"/>
      <c r="D67" s="1512"/>
      <c r="E67" s="1476"/>
      <c r="F67" s="1476"/>
      <c r="G67" s="1476"/>
      <c r="H67" s="1476"/>
      <c r="I67" s="1476"/>
      <c r="J67" s="1476"/>
      <c r="K67" s="1476"/>
      <c r="L67" s="1476"/>
      <c r="M67" s="1476"/>
      <c r="N67" s="1476"/>
      <c r="O67" s="1476"/>
      <c r="P67" s="1476"/>
      <c r="Q67" s="1476"/>
      <c r="R67" s="1476"/>
      <c r="S67" s="1476"/>
      <c r="T67" s="1476"/>
      <c r="U67" s="1476"/>
      <c r="V67" s="1476"/>
      <c r="W67" s="1476"/>
      <c r="X67" s="1761"/>
      <c r="Y67" s="1761"/>
      <c r="Z67" s="1761"/>
      <c r="AA67" s="1761"/>
      <c r="AD67" s="802"/>
    </row>
    <row r="68" spans="2:30">
      <c r="B68" s="1476"/>
      <c r="C68" s="890" t="s">
        <v>1299</v>
      </c>
      <c r="D68" s="1512"/>
      <c r="E68" s="1476"/>
      <c r="F68" s="1476"/>
      <c r="G68" s="1476"/>
      <c r="H68" s="1476"/>
      <c r="I68" s="1476"/>
      <c r="J68" s="1476"/>
      <c r="K68" s="1476"/>
      <c r="L68" s="1476"/>
      <c r="M68" s="1476"/>
      <c r="N68" s="1476"/>
      <c r="O68" s="1476"/>
      <c r="P68" s="1476"/>
      <c r="Q68" s="1476"/>
      <c r="R68" s="1476"/>
      <c r="S68" s="1476"/>
      <c r="T68" s="1476"/>
      <c r="U68" s="1476"/>
      <c r="V68" s="1476"/>
      <c r="W68" s="1476"/>
      <c r="X68" s="2993">
        <f>Attachment!X104</f>
        <v>0</v>
      </c>
      <c r="Y68" s="2993"/>
      <c r="Z68" s="2993"/>
      <c r="AA68" s="2993"/>
      <c r="AD68" s="802"/>
    </row>
    <row r="69" spans="2:30">
      <c r="B69" s="1486"/>
      <c r="C69" s="1475"/>
      <c r="D69" s="1476"/>
      <c r="E69" s="1476"/>
      <c r="F69" s="1476"/>
      <c r="G69" s="1476"/>
      <c r="H69" s="1476"/>
      <c r="I69" s="1476"/>
      <c r="J69" s="1476"/>
      <c r="K69" s="1476"/>
      <c r="L69" s="1476"/>
      <c r="M69" s="1476"/>
      <c r="N69" s="1476"/>
      <c r="O69" s="1476"/>
      <c r="P69" s="1476"/>
      <c r="Q69" s="1476"/>
      <c r="R69" s="1476"/>
      <c r="S69" s="1476"/>
      <c r="T69" s="1476"/>
      <c r="U69" s="1476"/>
      <c r="V69" s="1476"/>
      <c r="W69" s="1476"/>
      <c r="X69" s="3371"/>
      <c r="Y69" s="3371"/>
      <c r="Z69" s="3371"/>
      <c r="AA69" s="3371"/>
      <c r="AD69" s="802"/>
    </row>
    <row r="70" spans="2:30">
      <c r="B70" s="1471"/>
      <c r="C70" s="890" t="s">
        <v>1300</v>
      </c>
      <c r="D70" s="1512"/>
      <c r="E70" s="1476"/>
      <c r="F70" s="1476"/>
      <c r="G70" s="1476"/>
      <c r="H70" s="1476"/>
      <c r="I70" s="1476"/>
      <c r="J70" s="1476"/>
      <c r="K70" s="1476"/>
      <c r="L70" s="1476"/>
      <c r="M70" s="1476"/>
      <c r="N70" s="1476"/>
      <c r="O70" s="1476"/>
      <c r="P70" s="1476"/>
      <c r="Q70" s="1476"/>
      <c r="R70" s="1476"/>
      <c r="S70" s="1476"/>
      <c r="T70" s="1476"/>
      <c r="U70" s="1476"/>
      <c r="V70" s="1476"/>
      <c r="W70" s="1476"/>
      <c r="X70" s="3381">
        <f>Attachment!X106</f>
        <v>0</v>
      </c>
      <c r="Y70" s="3381"/>
      <c r="Z70" s="3381"/>
      <c r="AA70" s="3381"/>
      <c r="AD70" s="802"/>
    </row>
    <row r="71" spans="2:30">
      <c r="C71" s="890"/>
      <c r="D71" s="1512"/>
      <c r="E71" s="1476"/>
      <c r="F71" s="1476"/>
      <c r="G71" s="1476"/>
      <c r="H71" s="1476"/>
      <c r="I71" s="1476"/>
      <c r="J71" s="1476"/>
      <c r="K71" s="1476"/>
      <c r="L71" s="1476"/>
      <c r="M71" s="1476"/>
      <c r="N71" s="1476"/>
      <c r="O71" s="1476"/>
      <c r="P71" s="1476"/>
      <c r="Q71" s="1476"/>
      <c r="R71" s="1476"/>
      <c r="S71" s="1476"/>
      <c r="T71" s="1476"/>
      <c r="U71" s="1476"/>
      <c r="V71" s="1476"/>
      <c r="W71" s="1476"/>
      <c r="X71" s="3382"/>
      <c r="Y71" s="3382"/>
      <c r="Z71" s="3382"/>
      <c r="AA71" s="3382"/>
      <c r="AD71" s="802"/>
    </row>
    <row r="72" spans="2:30">
      <c r="C72" s="890" t="s">
        <v>1301</v>
      </c>
      <c r="D72" s="1476"/>
      <c r="E72" s="1476"/>
      <c r="F72" s="1476"/>
      <c r="G72" s="1476"/>
      <c r="H72" s="1476"/>
      <c r="I72" s="1476"/>
      <c r="J72" s="1476"/>
      <c r="K72" s="1476"/>
      <c r="L72" s="1476"/>
      <c r="M72" s="1476"/>
      <c r="N72" s="1476"/>
      <c r="O72" s="1476"/>
      <c r="P72" s="1476"/>
      <c r="Q72" s="1476"/>
      <c r="R72" s="1476"/>
      <c r="S72" s="1476"/>
      <c r="T72" s="1476"/>
      <c r="U72" s="1476"/>
      <c r="V72" s="1476"/>
      <c r="W72" s="1476"/>
      <c r="X72" s="2993">
        <f>Attachment!X108</f>
        <v>0</v>
      </c>
      <c r="Y72" s="2993"/>
      <c r="Z72" s="2993"/>
      <c r="AA72" s="2993"/>
      <c r="AD72" s="802"/>
    </row>
    <row r="73" spans="2:30">
      <c r="C73" s="1475"/>
      <c r="D73" s="1476"/>
      <c r="E73" s="1476"/>
      <c r="F73" s="1476"/>
      <c r="G73" s="1476"/>
      <c r="H73" s="1476"/>
      <c r="I73" s="1476"/>
      <c r="J73" s="1476"/>
      <c r="K73" s="1476"/>
      <c r="L73" s="1476"/>
      <c r="M73" s="1476"/>
      <c r="N73" s="1476"/>
      <c r="O73" s="1476"/>
      <c r="P73" s="1476"/>
      <c r="Q73" s="1476"/>
      <c r="R73" s="1476"/>
      <c r="S73" s="1476"/>
      <c r="T73" s="1476"/>
      <c r="U73" s="1476"/>
      <c r="V73" s="1476"/>
      <c r="W73" s="1476"/>
      <c r="X73" s="3372"/>
      <c r="Y73" s="3372"/>
      <c r="Z73" s="3372"/>
      <c r="AA73" s="3372"/>
      <c r="AD73" s="802"/>
    </row>
    <row r="74" spans="2:30">
      <c r="C74" s="890" t="s">
        <v>1302</v>
      </c>
      <c r="D74" s="1476"/>
      <c r="E74" s="1476"/>
      <c r="F74" s="1476"/>
      <c r="G74" s="1476"/>
      <c r="H74" s="1476"/>
      <c r="I74" s="1476"/>
      <c r="J74" s="1476"/>
      <c r="K74" s="1476"/>
      <c r="L74" s="1476"/>
      <c r="M74" s="1476"/>
      <c r="N74" s="1476"/>
      <c r="O74" s="1476"/>
      <c r="P74" s="1476"/>
      <c r="Q74" s="1476"/>
      <c r="R74" s="1476"/>
      <c r="S74" s="1476"/>
      <c r="T74" s="1476"/>
      <c r="U74" s="1476"/>
      <c r="V74" s="1476"/>
      <c r="W74" s="1476"/>
      <c r="X74" s="3372"/>
      <c r="Y74" s="3372"/>
      <c r="Z74" s="3372"/>
      <c r="AA74" s="3372"/>
      <c r="AD74" s="802"/>
    </row>
    <row r="75" spans="2:30">
      <c r="C75" s="1476"/>
      <c r="D75" s="890" t="s">
        <v>1303</v>
      </c>
      <c r="E75" s="1476"/>
      <c r="F75" s="1476"/>
      <c r="G75" s="1476"/>
      <c r="H75" s="1476"/>
      <c r="I75" s="1476"/>
      <c r="J75" s="1476"/>
      <c r="K75" s="1476"/>
      <c r="L75" s="1476"/>
      <c r="M75" s="1476"/>
      <c r="N75" s="1476"/>
      <c r="O75" s="1476"/>
      <c r="P75" s="1476"/>
      <c r="Q75" s="1476"/>
      <c r="R75" s="1476"/>
      <c r="S75" s="1476"/>
      <c r="T75" s="1476"/>
      <c r="U75" s="1476"/>
      <c r="V75" s="1476"/>
      <c r="W75" s="1476"/>
      <c r="X75" s="2993">
        <f>Attachment!X111</f>
        <v>0</v>
      </c>
      <c r="Y75" s="2993"/>
      <c r="Z75" s="2993"/>
      <c r="AA75" s="2993"/>
      <c r="AD75" s="802"/>
    </row>
    <row r="76" spans="2:30">
      <c r="C76" s="1476"/>
      <c r="D76" s="890" t="s">
        <v>1304</v>
      </c>
      <c r="E76" s="1476"/>
      <c r="F76" s="1476"/>
      <c r="G76" s="1476"/>
      <c r="H76" s="1476"/>
      <c r="I76" s="1476"/>
      <c r="J76" s="1476"/>
      <c r="K76" s="1476"/>
      <c r="L76" s="1476"/>
      <c r="M76" s="1476"/>
      <c r="N76" s="1476"/>
      <c r="O76" s="1476"/>
      <c r="P76" s="1476"/>
      <c r="Q76" s="1476"/>
      <c r="R76" s="1476"/>
      <c r="S76" s="1476"/>
      <c r="T76" s="1476"/>
      <c r="U76" s="1476"/>
      <c r="V76" s="1476"/>
      <c r="W76" s="1476"/>
      <c r="X76" s="2993">
        <f>Attachment!X112</f>
        <v>0</v>
      </c>
      <c r="Y76" s="2993"/>
      <c r="Z76" s="2993"/>
      <c r="AA76" s="2993"/>
      <c r="AD76" s="802"/>
    </row>
    <row r="77" spans="2:30">
      <c r="C77" s="1475"/>
      <c r="D77" s="1476"/>
      <c r="E77" s="1476"/>
      <c r="F77" s="1476"/>
      <c r="G77" s="1476"/>
      <c r="H77" s="1476"/>
      <c r="I77" s="1476"/>
      <c r="J77" s="1476"/>
      <c r="K77" s="1476"/>
      <c r="L77" s="1476"/>
      <c r="M77" s="1476"/>
      <c r="N77" s="1476"/>
      <c r="O77" s="1476"/>
      <c r="P77" s="1476"/>
      <c r="Q77" s="1476"/>
      <c r="R77" s="1476"/>
      <c r="S77" s="1476"/>
      <c r="T77" s="1476"/>
      <c r="U77" s="1476"/>
      <c r="V77" s="1476"/>
      <c r="W77" s="1476"/>
      <c r="X77" s="3371"/>
      <c r="Y77" s="3371"/>
      <c r="Z77" s="3371"/>
      <c r="AA77" s="3371"/>
      <c r="AD77" s="802"/>
    </row>
    <row r="78" spans="2:30">
      <c r="C78" s="890" t="s">
        <v>1305</v>
      </c>
      <c r="D78" s="1476"/>
      <c r="E78" s="1476"/>
      <c r="F78" s="1476"/>
      <c r="G78" s="1476"/>
      <c r="H78" s="1476"/>
      <c r="I78" s="1476"/>
      <c r="J78" s="1476"/>
      <c r="K78" s="1476"/>
      <c r="L78" s="1476"/>
      <c r="M78" s="1476"/>
      <c r="N78" s="1476"/>
      <c r="O78" s="1476"/>
      <c r="P78" s="1476"/>
      <c r="Q78" s="1476"/>
      <c r="R78" s="1476"/>
      <c r="S78" s="1476"/>
      <c r="T78" s="1476"/>
      <c r="U78" s="1476"/>
      <c r="V78" s="1476"/>
      <c r="W78" s="1476"/>
      <c r="X78" s="3381">
        <f>Attachment!X114</f>
        <v>0</v>
      </c>
      <c r="Y78" s="3381"/>
      <c r="Z78" s="3381"/>
      <c r="AA78" s="3381"/>
      <c r="AD78" s="802"/>
    </row>
    <row r="79" spans="2:30">
      <c r="C79" s="1475"/>
      <c r="D79" s="1476"/>
      <c r="E79" s="1476"/>
      <c r="F79" s="1476"/>
      <c r="G79" s="1476"/>
      <c r="H79" s="1476"/>
      <c r="I79" s="1476"/>
      <c r="J79" s="1476"/>
      <c r="K79" s="1476"/>
      <c r="L79" s="1476"/>
      <c r="M79" s="1476"/>
      <c r="N79" s="1476"/>
      <c r="O79" s="1476"/>
      <c r="P79" s="1476"/>
      <c r="Q79" s="1476"/>
      <c r="R79" s="1476"/>
      <c r="S79" s="1476"/>
      <c r="T79" s="1476"/>
      <c r="U79" s="1476"/>
      <c r="V79" s="1476"/>
      <c r="W79" s="1476"/>
      <c r="X79" s="3372"/>
      <c r="Y79" s="3372"/>
      <c r="Z79" s="3372"/>
      <c r="AA79" s="3372"/>
      <c r="AD79" s="802"/>
    </row>
    <row r="80" spans="2:30">
      <c r="C80" s="890" t="s">
        <v>1306</v>
      </c>
      <c r="D80" s="1476"/>
      <c r="E80" s="1476"/>
      <c r="F80" s="1476"/>
      <c r="G80" s="1476"/>
      <c r="H80" s="1476"/>
      <c r="I80" s="1476"/>
      <c r="J80" s="1476"/>
      <c r="K80" s="1476"/>
      <c r="L80" s="1476"/>
      <c r="M80" s="1476"/>
      <c r="N80" s="1476"/>
      <c r="O80" s="1476"/>
      <c r="P80" s="1476"/>
      <c r="Q80" s="1476"/>
      <c r="R80" s="1476"/>
      <c r="S80" s="1476"/>
      <c r="T80" s="1476"/>
      <c r="U80" s="1476"/>
      <c r="V80" s="1476"/>
      <c r="W80" s="1476"/>
      <c r="X80" s="3370">
        <f>Attachment!X116</f>
        <v>0</v>
      </c>
      <c r="Y80" s="3370"/>
      <c r="Z80" s="3370"/>
      <c r="AA80" s="3370"/>
      <c r="AD80" s="802"/>
    </row>
    <row r="81" spans="2:33">
      <c r="C81" s="1475"/>
      <c r="D81" s="1476"/>
      <c r="E81" s="1476"/>
      <c r="F81" s="1476"/>
      <c r="G81" s="1476"/>
      <c r="H81" s="1476"/>
      <c r="I81" s="1476"/>
      <c r="J81" s="1476"/>
      <c r="K81" s="1476"/>
      <c r="L81" s="1476"/>
      <c r="M81" s="1476"/>
      <c r="N81" s="1476"/>
      <c r="O81" s="1476"/>
      <c r="P81" s="1476"/>
      <c r="Q81" s="1476"/>
      <c r="R81" s="1476"/>
      <c r="S81" s="1476"/>
      <c r="T81" s="1476"/>
      <c r="U81" s="1476"/>
      <c r="V81" s="1476"/>
      <c r="W81" s="1476"/>
      <c r="X81" s="3371"/>
      <c r="Y81" s="3371"/>
      <c r="Z81" s="3371"/>
      <c r="AA81" s="3371"/>
      <c r="AD81" s="802"/>
    </row>
    <row r="82" spans="2:33">
      <c r="C82" s="1475"/>
      <c r="D82" s="1476"/>
      <c r="E82" s="1476"/>
      <c r="F82" s="1476"/>
      <c r="G82" s="1476"/>
      <c r="H82" s="1476"/>
      <c r="I82" s="1476"/>
      <c r="J82" s="1476"/>
      <c r="K82" s="1476"/>
      <c r="L82" s="1476"/>
      <c r="M82" s="1476"/>
      <c r="N82" s="1476"/>
      <c r="O82" s="1476"/>
      <c r="P82" s="1476"/>
      <c r="Q82" s="1476"/>
      <c r="R82" s="1476"/>
      <c r="S82" s="1476"/>
      <c r="T82" s="1476"/>
      <c r="U82" s="1476"/>
      <c r="V82" s="1476"/>
      <c r="W82" s="1476"/>
      <c r="X82" s="3372"/>
      <c r="Y82" s="3372"/>
      <c r="Z82" s="3372"/>
      <c r="AA82" s="3372"/>
      <c r="AD82" s="802"/>
    </row>
    <row r="83" spans="2:33">
      <c r="C83" s="1485" t="s">
        <v>1307</v>
      </c>
      <c r="D83" s="1550"/>
      <c r="E83" s="1550"/>
      <c r="F83" s="1550"/>
      <c r="G83" s="1550"/>
      <c r="H83" s="1550"/>
      <c r="I83" s="1550"/>
      <c r="J83" s="1550"/>
      <c r="K83" s="1550"/>
      <c r="L83" s="1550"/>
      <c r="M83" s="1550"/>
      <c r="N83" s="1550"/>
      <c r="O83" s="1550"/>
      <c r="P83" s="1550"/>
      <c r="Q83" s="1550"/>
      <c r="R83" s="1550"/>
      <c r="S83" s="1550"/>
      <c r="T83" s="1550"/>
      <c r="U83" s="1550"/>
      <c r="V83" s="1550"/>
      <c r="W83" s="1550"/>
      <c r="X83" s="3373" t="e">
        <f>Attachment!X119</f>
        <v>#DIV/0!</v>
      </c>
      <c r="Y83" s="3374"/>
      <c r="Z83" s="3374"/>
      <c r="AA83" s="3375"/>
      <c r="AD83" s="802"/>
    </row>
    <row r="84" spans="2:33">
      <c r="C84" s="1476"/>
      <c r="D84" s="1476"/>
      <c r="E84" s="1476"/>
      <c r="F84" s="1476"/>
      <c r="G84" s="1476"/>
      <c r="H84" s="1476"/>
      <c r="I84" s="1476"/>
      <c r="J84" s="1476"/>
      <c r="K84" s="1476"/>
      <c r="L84" s="1476"/>
      <c r="M84" s="1476"/>
      <c r="N84" s="1476"/>
      <c r="O84" s="1476"/>
      <c r="P84" s="1476"/>
      <c r="Q84" s="1476"/>
      <c r="R84" s="1476"/>
      <c r="S84" s="1476"/>
      <c r="T84" s="1476"/>
      <c r="U84" s="1476"/>
      <c r="V84" s="1476"/>
      <c r="W84" s="1476"/>
      <c r="X84" s="3376"/>
      <c r="Y84" s="3376"/>
      <c r="Z84" s="3376"/>
      <c r="AA84" s="3376"/>
      <c r="AB84" s="1484"/>
      <c r="AC84" s="1484"/>
      <c r="AD84" s="1555"/>
    </row>
    <row r="85" spans="2:33">
      <c r="C85" s="1519" t="str">
        <f>IF(ISBLANK(dateofdeparture)=TRUE,"*)  Tidak termasuk yang dikenai PPh final dan penghasilan yang bukan obyek pajak",IF('GENERAL INFO'!F42="X","*)   Sebagaimana terlihat pada EPO terlampir, saya meninggalkan Indonesia pada "&amp;TEXT(dateofdeparture,"dd/mm/yy")&amp;" "&amp;" sehingga PPh 25 saya NIHIL","*)   Sebagaimana terlihat pada ERP tidak kembali terlampir, saya meninggalkan Indonesia pada "&amp;TEXT(dateofdeparture,"dd/mm/yy")&amp;" "&amp;" sehingga PPh 25 saya NIHIL"))</f>
        <v>*)  Tidak termasuk yang dikenai PPh final dan penghasilan yang bukan obyek pajak</v>
      </c>
      <c r="D85" s="1476"/>
      <c r="E85" s="1476"/>
      <c r="F85" s="1476"/>
      <c r="G85" s="1476"/>
      <c r="H85" s="1476"/>
      <c r="I85" s="1476"/>
      <c r="J85" s="1476"/>
      <c r="K85" s="1476"/>
      <c r="L85" s="1476"/>
      <c r="M85" s="1476"/>
      <c r="N85" s="1476"/>
      <c r="O85" s="1476"/>
      <c r="P85" s="1476"/>
      <c r="Q85" s="1476"/>
      <c r="R85" s="1476"/>
      <c r="S85" s="1476"/>
      <c r="T85" s="1476"/>
      <c r="U85" s="1476"/>
      <c r="V85" s="1476"/>
      <c r="W85" s="1476"/>
      <c r="X85" s="1476"/>
      <c r="Y85" s="1476"/>
      <c r="AD85" s="802"/>
    </row>
    <row r="86" spans="2:33" hidden="1">
      <c r="C86" s="1559" t="s">
        <v>1308</v>
      </c>
      <c r="D86" s="1516"/>
      <c r="E86" s="1516"/>
      <c r="F86" s="1516"/>
      <c r="G86" s="1516"/>
      <c r="H86" s="1516"/>
      <c r="I86" s="1516"/>
      <c r="J86" s="1516"/>
      <c r="K86" s="1516"/>
      <c r="L86" s="1516"/>
      <c r="M86" s="1516"/>
      <c r="N86" s="1516"/>
      <c r="O86" s="1516"/>
      <c r="P86" s="1516"/>
      <c r="Q86" s="1516"/>
      <c r="R86" s="1516"/>
      <c r="S86" s="1516"/>
      <c r="T86" s="1516"/>
      <c r="U86" s="1516"/>
      <c r="V86" s="1516"/>
      <c r="W86" s="1516"/>
      <c r="X86" s="1516"/>
      <c r="Y86" s="1516"/>
      <c r="AD86" s="802"/>
    </row>
    <row r="87" spans="2:33" ht="6.75" hidden="1" customHeight="1">
      <c r="C87" s="1560" t="str">
        <f>IF('GENERAL INFO'!W64="X","***)  Perhitungan PPh 25 untuk tahun "&amp;(taxyear+1)&amp;" "&amp;" adalah Nihil, karena SPT PPh Tahun "&amp;(taxyear)&amp;" "&amp;"telah saya laporkan","")</f>
        <v/>
      </c>
      <c r="D87" s="1516"/>
      <c r="E87" s="1516"/>
      <c r="F87" s="1516"/>
      <c r="G87" s="1516"/>
      <c r="H87" s="1516"/>
      <c r="I87" s="1516"/>
      <c r="J87" s="1516"/>
      <c r="K87" s="1516"/>
      <c r="L87" s="1516"/>
      <c r="M87" s="1516"/>
      <c r="N87" s="1516"/>
      <c r="O87" s="1516"/>
      <c r="P87" s="1516"/>
      <c r="Q87" s="1516"/>
      <c r="R87" s="1516"/>
      <c r="S87" s="1516"/>
      <c r="T87" s="1516"/>
      <c r="U87" s="1516"/>
      <c r="V87" s="1516"/>
      <c r="W87" s="1516"/>
      <c r="X87" s="1516"/>
      <c r="Y87" s="1516"/>
      <c r="AD87" s="802"/>
    </row>
    <row r="88" spans="2:33" ht="3" hidden="1" customHeight="1">
      <c r="C88" s="1519" t="str">
        <f>IF('GENERAL INFO'!W64="X","      bersamaan dengan SPT PPh Tahun "&amp;(taxyear+1)&amp;" "&amp;" (KEP-28/PJ.41/1993).","")</f>
        <v/>
      </c>
      <c r="D88" s="1545"/>
      <c r="E88" s="1545"/>
      <c r="F88" s="1545"/>
      <c r="G88" s="1545"/>
      <c r="H88" s="1545"/>
      <c r="I88" s="1546"/>
      <c r="J88" s="1546"/>
      <c r="K88" s="1494"/>
      <c r="L88" s="1551"/>
      <c r="M88" s="1551"/>
      <c r="N88" s="1551"/>
      <c r="O88" s="1551"/>
      <c r="P88" s="1551"/>
      <c r="Q88" s="1551"/>
      <c r="R88" s="1551"/>
      <c r="S88" s="1551"/>
      <c r="T88" s="1551"/>
      <c r="U88" s="1551"/>
      <c r="V88" s="1551"/>
      <c r="W88" s="1551"/>
      <c r="X88" s="1551"/>
      <c r="Y88" s="1551"/>
      <c r="Z88" s="1551"/>
      <c r="AD88" s="802"/>
    </row>
    <row r="89" spans="2:33" ht="4.5" customHeight="1">
      <c r="C89" s="1512"/>
      <c r="D89" s="1545"/>
      <c r="E89" s="1545"/>
      <c r="F89" s="1545"/>
      <c r="G89" s="1545"/>
      <c r="H89" s="1545"/>
      <c r="I89" s="1546"/>
      <c r="J89" s="1546"/>
      <c r="K89" s="1494"/>
      <c r="L89" s="1551"/>
      <c r="M89" s="1551"/>
      <c r="N89" s="1551"/>
      <c r="O89" s="1551"/>
      <c r="P89" s="1551"/>
      <c r="Q89" s="1551"/>
      <c r="R89" s="1551"/>
      <c r="S89" s="1551"/>
      <c r="T89" s="1551"/>
      <c r="U89" s="1551"/>
      <c r="V89" s="1551"/>
      <c r="W89" s="1551"/>
      <c r="X89" s="1551"/>
      <c r="Y89" s="1551"/>
      <c r="Z89" s="1551"/>
      <c r="AD89" s="802"/>
    </row>
    <row r="90" spans="2:33" ht="9.75" customHeight="1">
      <c r="D90" s="1559"/>
      <c r="E90" s="1516"/>
      <c r="F90" s="1516"/>
      <c r="G90" s="1516"/>
      <c r="H90" s="1516"/>
      <c r="I90" s="1516"/>
      <c r="J90" s="1516"/>
      <c r="K90" s="1516"/>
      <c r="L90" s="1516"/>
      <c r="M90" s="1516"/>
      <c r="N90" s="1516"/>
      <c r="O90" s="1516"/>
      <c r="P90" s="1516"/>
      <c r="Q90" s="1516"/>
      <c r="R90" s="1516"/>
      <c r="S90" s="1516"/>
      <c r="T90" s="1516"/>
      <c r="U90" s="1516"/>
      <c r="V90" s="1516"/>
      <c r="W90" s="1516"/>
      <c r="X90" s="1516"/>
      <c r="Y90" s="1516"/>
      <c r="Z90" s="1516"/>
      <c r="AD90" s="802"/>
    </row>
    <row r="91" spans="2:33">
      <c r="AD91" s="802"/>
    </row>
    <row r="92" spans="2:33">
      <c r="AD92" s="802"/>
    </row>
    <row r="93" spans="2:33">
      <c r="AD93" s="802"/>
    </row>
    <row r="94" spans="2:33" ht="20.25">
      <c r="C94" s="1472" t="s">
        <v>1309</v>
      </c>
      <c r="E94" s="1516"/>
      <c r="F94" s="1516"/>
      <c r="G94" s="1516"/>
      <c r="H94" s="1516"/>
      <c r="I94" s="1516"/>
      <c r="J94" s="1516"/>
      <c r="K94" s="1516"/>
      <c r="L94" s="1516"/>
      <c r="M94" s="1516"/>
      <c r="N94" s="1516"/>
      <c r="O94" s="1516"/>
      <c r="P94" s="1516"/>
      <c r="Q94" s="1516"/>
      <c r="R94" s="1516"/>
      <c r="S94" s="1516"/>
      <c r="T94" s="1516"/>
      <c r="U94" s="1516"/>
      <c r="V94" s="1516"/>
      <c r="W94" s="1516"/>
      <c r="AA94" s="802"/>
    </row>
    <row r="95" spans="2:33" ht="13.5" thickBot="1">
      <c r="D95" s="1516"/>
      <c r="E95" s="1516"/>
      <c r="F95" s="1516"/>
      <c r="G95" s="1516"/>
      <c r="H95" s="1516"/>
      <c r="I95" s="1516"/>
      <c r="J95" s="1516"/>
      <c r="K95" s="1516"/>
      <c r="L95" s="1516"/>
      <c r="M95" s="1516"/>
      <c r="N95" s="1516"/>
      <c r="O95" s="1516"/>
      <c r="P95" s="1516"/>
      <c r="Q95" s="1516"/>
      <c r="R95" s="1516"/>
      <c r="S95" s="1516"/>
      <c r="T95" s="1516"/>
      <c r="U95" s="1516"/>
      <c r="V95" s="1516"/>
      <c r="W95" s="1516"/>
      <c r="AA95" s="802"/>
    </row>
    <row r="96" spans="2:33">
      <c r="B96" s="1476"/>
      <c r="C96" s="2983" t="s">
        <v>1310</v>
      </c>
      <c r="D96" s="2984"/>
      <c r="E96" s="2984"/>
      <c r="F96" s="2984"/>
      <c r="G96" s="2984"/>
      <c r="H96" s="2985"/>
      <c r="I96" s="2983" t="s">
        <v>1311</v>
      </c>
      <c r="J96" s="2984"/>
      <c r="K96" s="2984"/>
      <c r="L96" s="2984"/>
      <c r="M96" s="2984"/>
      <c r="N96" s="2985"/>
      <c r="O96" s="3377" t="s">
        <v>1274</v>
      </c>
      <c r="P96" s="3377"/>
      <c r="Q96" s="3377"/>
      <c r="R96" s="3377"/>
      <c r="S96" s="3378" t="s">
        <v>1312</v>
      </c>
      <c r="T96" s="3379"/>
      <c r="U96" s="3379"/>
      <c r="V96" s="3379"/>
      <c r="W96" s="3379"/>
      <c r="X96" s="3379"/>
      <c r="Y96" s="3379"/>
      <c r="Z96" s="3380"/>
      <c r="AA96" s="1476"/>
      <c r="AB96" s="1476"/>
      <c r="AC96" s="1476"/>
      <c r="AG96" s="802"/>
    </row>
    <row r="97" spans="2:33" ht="30.75" customHeight="1" thickBot="1">
      <c r="B97" s="1476"/>
      <c r="C97" s="2987"/>
      <c r="D97" s="2988"/>
      <c r="E97" s="2988"/>
      <c r="F97" s="2988"/>
      <c r="G97" s="2988"/>
      <c r="H97" s="2989"/>
      <c r="I97" s="2987"/>
      <c r="J97" s="2988"/>
      <c r="K97" s="2988"/>
      <c r="L97" s="2988"/>
      <c r="M97" s="2988"/>
      <c r="N97" s="2989"/>
      <c r="O97" s="2967"/>
      <c r="P97" s="2967"/>
      <c r="Q97" s="2967"/>
      <c r="R97" s="2967"/>
      <c r="S97" s="2964" t="s">
        <v>1313</v>
      </c>
      <c r="T97" s="2965"/>
      <c r="U97" s="2965"/>
      <c r="V97" s="2966"/>
      <c r="W97" s="3360" t="s">
        <v>1314</v>
      </c>
      <c r="X97" s="3361"/>
      <c r="Y97" s="3361"/>
      <c r="Z97" s="3362"/>
      <c r="AA97" s="1476"/>
      <c r="AB97" s="1476"/>
      <c r="AC97" s="1476"/>
      <c r="AG97" s="802"/>
    </row>
    <row r="98" spans="2:33" ht="13.5" thickTop="1">
      <c r="B98" s="1476"/>
      <c r="C98" s="3363" t="str">
        <f>Attachment!C131</f>
        <v/>
      </c>
      <c r="D98" s="3364"/>
      <c r="E98" s="3364"/>
      <c r="F98" s="3364"/>
      <c r="G98" s="3364"/>
      <c r="H98" s="3365"/>
      <c r="I98" s="3363" t="str">
        <f>Attachment!I131</f>
        <v/>
      </c>
      <c r="J98" s="3364"/>
      <c r="K98" s="3364"/>
      <c r="L98" s="3364"/>
      <c r="M98" s="3364"/>
      <c r="N98" s="3365"/>
      <c r="O98" s="3366" t="str">
        <f>Attachment!O131</f>
        <v/>
      </c>
      <c r="P98" s="3366"/>
      <c r="Q98" s="3366"/>
      <c r="R98" s="3366"/>
      <c r="S98" s="3366" t="str">
        <f>Attachment!S131</f>
        <v/>
      </c>
      <c r="T98" s="3366"/>
      <c r="U98" s="3366"/>
      <c r="V98" s="3366"/>
      <c r="W98" s="3367" t="str">
        <f>Attachment!W131</f>
        <v/>
      </c>
      <c r="X98" s="3368"/>
      <c r="Y98" s="3368"/>
      <c r="Z98" s="3369"/>
      <c r="AA98" s="1476"/>
      <c r="AB98" s="1476"/>
      <c r="AC98" s="1476"/>
      <c r="AG98" s="802"/>
    </row>
    <row r="99" spans="2:33">
      <c r="B99" s="1476"/>
      <c r="C99" s="3355">
        <f>Attachment!C132</f>
        <v>0</v>
      </c>
      <c r="D99" s="3356"/>
      <c r="E99" s="3356"/>
      <c r="F99" s="3356"/>
      <c r="G99" s="3356"/>
      <c r="H99" s="3357"/>
      <c r="I99" s="3355">
        <f>Attachment!I132</f>
        <v>0</v>
      </c>
      <c r="J99" s="3356"/>
      <c r="K99" s="3356"/>
      <c r="L99" s="3356"/>
      <c r="M99" s="3356"/>
      <c r="N99" s="3357"/>
      <c r="O99" s="3358">
        <f>Attachment!O132</f>
        <v>0</v>
      </c>
      <c r="P99" s="3358"/>
      <c r="Q99" s="3358"/>
      <c r="R99" s="3358"/>
      <c r="S99" s="3358">
        <f>Attachment!S132</f>
        <v>0</v>
      </c>
      <c r="T99" s="3358"/>
      <c r="U99" s="3358"/>
      <c r="V99" s="3358"/>
      <c r="W99" s="3358">
        <f>Attachment!W132</f>
        <v>0</v>
      </c>
      <c r="X99" s="3358"/>
      <c r="Y99" s="3358"/>
      <c r="Z99" s="3359"/>
      <c r="AA99" s="1476"/>
      <c r="AB99" s="1476"/>
      <c r="AC99" s="1476"/>
      <c r="AG99" s="802"/>
    </row>
    <row r="100" spans="2:33">
      <c r="B100" s="1476"/>
      <c r="C100" s="3355">
        <f>Attachment!C133</f>
        <v>0</v>
      </c>
      <c r="D100" s="3356"/>
      <c r="E100" s="3356"/>
      <c r="F100" s="3356"/>
      <c r="G100" s="3356"/>
      <c r="H100" s="3357"/>
      <c r="I100" s="3355">
        <f>Attachment!I133</f>
        <v>0</v>
      </c>
      <c r="J100" s="3356"/>
      <c r="K100" s="3356"/>
      <c r="L100" s="3356"/>
      <c r="M100" s="3356"/>
      <c r="N100" s="3357"/>
      <c r="O100" s="3358">
        <f>Attachment!O133</f>
        <v>0</v>
      </c>
      <c r="P100" s="3358"/>
      <c r="Q100" s="3358"/>
      <c r="R100" s="3358"/>
      <c r="S100" s="3358">
        <f>Attachment!S133</f>
        <v>0</v>
      </c>
      <c r="T100" s="3358"/>
      <c r="U100" s="3358"/>
      <c r="V100" s="3358"/>
      <c r="W100" s="3358">
        <f>Attachment!W133</f>
        <v>0</v>
      </c>
      <c r="X100" s="3358"/>
      <c r="Y100" s="3358"/>
      <c r="Z100" s="3359"/>
      <c r="AA100" s="1476"/>
      <c r="AB100" s="1476"/>
      <c r="AC100" s="1476"/>
      <c r="AG100" s="802"/>
    </row>
    <row r="101" spans="2:33">
      <c r="B101" s="1476"/>
      <c r="C101" s="3355">
        <f>Attachment!C134</f>
        <v>0</v>
      </c>
      <c r="D101" s="3356"/>
      <c r="E101" s="3356"/>
      <c r="F101" s="3356"/>
      <c r="G101" s="3356"/>
      <c r="H101" s="3357"/>
      <c r="I101" s="3355">
        <f>Attachment!I134</f>
        <v>0</v>
      </c>
      <c r="J101" s="3356"/>
      <c r="K101" s="3356"/>
      <c r="L101" s="3356"/>
      <c r="M101" s="3356"/>
      <c r="N101" s="3357"/>
      <c r="O101" s="3358">
        <f>Attachment!O134</f>
        <v>0</v>
      </c>
      <c r="P101" s="3358"/>
      <c r="Q101" s="3358"/>
      <c r="R101" s="3358"/>
      <c r="S101" s="3358">
        <f>Attachment!S134</f>
        <v>0</v>
      </c>
      <c r="T101" s="3358"/>
      <c r="U101" s="3358"/>
      <c r="V101" s="3358"/>
      <c r="W101" s="3358">
        <f>Attachment!W134</f>
        <v>0</v>
      </c>
      <c r="X101" s="3358"/>
      <c r="Y101" s="3358"/>
      <c r="Z101" s="3359"/>
      <c r="AA101" s="1476"/>
      <c r="AB101" s="1476"/>
      <c r="AC101" s="1476"/>
      <c r="AG101" s="802"/>
    </row>
    <row r="102" spans="2:33">
      <c r="B102" s="1476"/>
      <c r="C102" s="3355">
        <f>Attachment!C135</f>
        <v>0</v>
      </c>
      <c r="D102" s="3356"/>
      <c r="E102" s="3356"/>
      <c r="F102" s="3356"/>
      <c r="G102" s="3356"/>
      <c r="H102" s="3357"/>
      <c r="I102" s="3355">
        <f>Attachment!I135</f>
        <v>0</v>
      </c>
      <c r="J102" s="3356"/>
      <c r="K102" s="3356"/>
      <c r="L102" s="3356"/>
      <c r="M102" s="3356"/>
      <c r="N102" s="3357"/>
      <c r="O102" s="3358">
        <f>Attachment!O135</f>
        <v>0</v>
      </c>
      <c r="P102" s="3358"/>
      <c r="Q102" s="3358"/>
      <c r="R102" s="3358"/>
      <c r="S102" s="3358">
        <f>Attachment!S135</f>
        <v>0</v>
      </c>
      <c r="T102" s="3358"/>
      <c r="U102" s="3358"/>
      <c r="V102" s="3358"/>
      <c r="W102" s="3358">
        <f>Attachment!W135</f>
        <v>0</v>
      </c>
      <c r="X102" s="3358"/>
      <c r="Y102" s="3358"/>
      <c r="Z102" s="3359"/>
      <c r="AA102" s="1476"/>
      <c r="AB102" s="1476"/>
      <c r="AC102" s="1476"/>
      <c r="AG102" s="802"/>
    </row>
    <row r="103" spans="2:33">
      <c r="B103" s="1476"/>
      <c r="C103" s="3355" t="str">
        <f>Attachment!C136</f>
        <v xml:space="preserve"> </v>
      </c>
      <c r="D103" s="3356"/>
      <c r="E103" s="3356"/>
      <c r="F103" s="3356"/>
      <c r="G103" s="3356"/>
      <c r="H103" s="3357"/>
      <c r="I103" s="3355" t="str">
        <f>Attachment!I136</f>
        <v xml:space="preserve"> </v>
      </c>
      <c r="J103" s="3356"/>
      <c r="K103" s="3356"/>
      <c r="L103" s="3356"/>
      <c r="M103" s="3356"/>
      <c r="N103" s="3357"/>
      <c r="O103" s="3358">
        <f>Attachment!O136</f>
        <v>0</v>
      </c>
      <c r="P103" s="3358"/>
      <c r="Q103" s="3358"/>
      <c r="R103" s="3358"/>
      <c r="S103" s="3358">
        <f>Attachment!S136</f>
        <v>0</v>
      </c>
      <c r="T103" s="3358"/>
      <c r="U103" s="3358"/>
      <c r="V103" s="3358"/>
      <c r="W103" s="3358">
        <f>Attachment!W136</f>
        <v>0</v>
      </c>
      <c r="X103" s="3358"/>
      <c r="Y103" s="3358"/>
      <c r="Z103" s="3359"/>
      <c r="AA103" s="1476"/>
      <c r="AB103" s="1476"/>
      <c r="AC103" s="1476"/>
      <c r="AG103" s="802"/>
    </row>
    <row r="104" spans="2:33">
      <c r="B104" s="1476"/>
      <c r="C104" s="3355" t="str">
        <f>Attachment!C137</f>
        <v xml:space="preserve"> </v>
      </c>
      <c r="D104" s="3356"/>
      <c r="E104" s="3356"/>
      <c r="F104" s="3356"/>
      <c r="G104" s="3356"/>
      <c r="H104" s="3357"/>
      <c r="I104" s="3355" t="str">
        <f>Attachment!I137</f>
        <v xml:space="preserve"> </v>
      </c>
      <c r="J104" s="3356"/>
      <c r="K104" s="3356"/>
      <c r="L104" s="3356"/>
      <c r="M104" s="3356"/>
      <c r="N104" s="3357"/>
      <c r="O104" s="3358">
        <f>Attachment!O137</f>
        <v>0</v>
      </c>
      <c r="P104" s="3358"/>
      <c r="Q104" s="3358"/>
      <c r="R104" s="3358"/>
      <c r="S104" s="3358">
        <f>Attachment!S137</f>
        <v>0</v>
      </c>
      <c r="T104" s="3358"/>
      <c r="U104" s="3358"/>
      <c r="V104" s="3358"/>
      <c r="W104" s="3358">
        <f>Attachment!W137</f>
        <v>0</v>
      </c>
      <c r="X104" s="3358"/>
      <c r="Y104" s="3358"/>
      <c r="Z104" s="3359"/>
      <c r="AA104" s="1476"/>
      <c r="AB104" s="1476"/>
      <c r="AC104" s="1476"/>
      <c r="AG104" s="802"/>
    </row>
    <row r="105" spans="2:33">
      <c r="B105" s="1476"/>
      <c r="C105" s="3355" t="str">
        <f>Attachment!C138</f>
        <v xml:space="preserve"> </v>
      </c>
      <c r="D105" s="3356"/>
      <c r="E105" s="3356"/>
      <c r="F105" s="3356"/>
      <c r="G105" s="3356"/>
      <c r="H105" s="3357"/>
      <c r="I105" s="3355" t="str">
        <f>Attachment!I138</f>
        <v xml:space="preserve"> </v>
      </c>
      <c r="J105" s="3356"/>
      <c r="K105" s="3356"/>
      <c r="L105" s="3356"/>
      <c r="M105" s="3356"/>
      <c r="N105" s="3357"/>
      <c r="O105" s="3358">
        <f>Attachment!O138</f>
        <v>0</v>
      </c>
      <c r="P105" s="3358"/>
      <c r="Q105" s="3358"/>
      <c r="R105" s="3358"/>
      <c r="S105" s="3358">
        <f>Attachment!S138</f>
        <v>0</v>
      </c>
      <c r="T105" s="3358"/>
      <c r="U105" s="3358"/>
      <c r="V105" s="3358"/>
      <c r="W105" s="3358">
        <f>Attachment!W138</f>
        <v>0</v>
      </c>
      <c r="X105" s="3358"/>
      <c r="Y105" s="3358"/>
      <c r="Z105" s="3359"/>
      <c r="AA105" s="1476"/>
      <c r="AB105" s="1476"/>
      <c r="AC105" s="1476"/>
      <c r="AG105" s="802"/>
    </row>
    <row r="106" spans="2:33">
      <c r="B106" s="1476"/>
      <c r="C106" s="3355" t="str">
        <f>Attachment!C139</f>
        <v xml:space="preserve"> </v>
      </c>
      <c r="D106" s="3356"/>
      <c r="E106" s="3356"/>
      <c r="F106" s="3356"/>
      <c r="G106" s="3356"/>
      <c r="H106" s="3357"/>
      <c r="I106" s="3355" t="str">
        <f>Attachment!I139</f>
        <v xml:space="preserve"> </v>
      </c>
      <c r="J106" s="3356"/>
      <c r="K106" s="3356"/>
      <c r="L106" s="3356"/>
      <c r="M106" s="3356"/>
      <c r="N106" s="3357"/>
      <c r="O106" s="3358">
        <f>Attachment!O139</f>
        <v>0</v>
      </c>
      <c r="P106" s="3358"/>
      <c r="Q106" s="3358"/>
      <c r="R106" s="3358"/>
      <c r="S106" s="3358">
        <f>Attachment!S139</f>
        <v>0</v>
      </c>
      <c r="T106" s="3358"/>
      <c r="U106" s="3358"/>
      <c r="V106" s="3358"/>
      <c r="W106" s="3358">
        <f>Attachment!W139</f>
        <v>0</v>
      </c>
      <c r="X106" s="3358"/>
      <c r="Y106" s="3358"/>
      <c r="Z106" s="3359"/>
      <c r="AA106" s="1476"/>
      <c r="AB106" s="1476"/>
      <c r="AC106" s="1476"/>
      <c r="AG106" s="802"/>
    </row>
    <row r="107" spans="2:33" ht="13.5" thickBot="1">
      <c r="B107" s="1476"/>
      <c r="C107" s="3350" t="str">
        <f>Attachment!C140</f>
        <v xml:space="preserve"> </v>
      </c>
      <c r="D107" s="3351"/>
      <c r="E107" s="3351"/>
      <c r="F107" s="3351"/>
      <c r="G107" s="3351"/>
      <c r="H107" s="3352"/>
      <c r="I107" s="3350" t="str">
        <f>Attachment!I140</f>
        <v xml:space="preserve"> </v>
      </c>
      <c r="J107" s="3351"/>
      <c r="K107" s="3351"/>
      <c r="L107" s="3351"/>
      <c r="M107" s="3351"/>
      <c r="N107" s="3352"/>
      <c r="O107" s="3353">
        <f>Attachment!O140</f>
        <v>0</v>
      </c>
      <c r="P107" s="3353"/>
      <c r="Q107" s="3353"/>
      <c r="R107" s="3353"/>
      <c r="S107" s="3353">
        <f>Attachment!S140</f>
        <v>0</v>
      </c>
      <c r="T107" s="3353"/>
      <c r="U107" s="3353"/>
      <c r="V107" s="3353"/>
      <c r="W107" s="3353">
        <f>Attachment!W140</f>
        <v>0</v>
      </c>
      <c r="X107" s="3353"/>
      <c r="Y107" s="3353"/>
      <c r="Z107" s="3354"/>
      <c r="AA107" s="1476"/>
      <c r="AB107" s="1476"/>
      <c r="AC107" s="1476"/>
      <c r="AG107" s="802"/>
    </row>
    <row r="108" spans="2:33" s="1471" customFormat="1" ht="14.25" thickTop="1" thickBot="1">
      <c r="B108" s="1486"/>
      <c r="C108" s="2952" t="s">
        <v>1315</v>
      </c>
      <c r="D108" s="2953"/>
      <c r="E108" s="2953"/>
      <c r="F108" s="2953"/>
      <c r="G108" s="2953"/>
      <c r="H108" s="2953"/>
      <c r="I108" s="2953"/>
      <c r="J108" s="2953"/>
      <c r="K108" s="2953"/>
      <c r="L108" s="2953"/>
      <c r="M108" s="2953"/>
      <c r="N108" s="2954"/>
      <c r="O108" s="2955">
        <f>Attachment!O141</f>
        <v>0</v>
      </c>
      <c r="P108" s="2955"/>
      <c r="Q108" s="2955"/>
      <c r="R108" s="2955"/>
      <c r="S108" s="2955">
        <f>Attachment!S141</f>
        <v>0</v>
      </c>
      <c r="T108" s="2955"/>
      <c r="U108" s="2955"/>
      <c r="V108" s="2955"/>
      <c r="W108" s="2956">
        <f>Attachment!W141</f>
        <v>0</v>
      </c>
      <c r="X108" s="2957"/>
      <c r="Y108" s="2957"/>
      <c r="Z108" s="2958"/>
      <c r="AA108" s="1486"/>
      <c r="AB108" s="1486"/>
      <c r="AC108" s="1486"/>
      <c r="AG108" s="929"/>
    </row>
    <row r="109" spans="2:33">
      <c r="D109" s="1471"/>
      <c r="E109" s="1476"/>
      <c r="F109" s="1476"/>
      <c r="G109" s="1476"/>
      <c r="H109" s="1476"/>
      <c r="I109" s="1476"/>
      <c r="J109" s="1476"/>
      <c r="K109" s="1476"/>
      <c r="L109" s="1476"/>
      <c r="M109" s="1476"/>
      <c r="N109" s="1476"/>
      <c r="O109" s="1520"/>
      <c r="P109" s="1520"/>
      <c r="Q109" s="1520"/>
      <c r="R109" s="1520"/>
      <c r="S109" s="1520"/>
      <c r="T109" s="1520"/>
      <c r="U109" s="1520"/>
      <c r="V109" s="1520"/>
      <c r="W109" s="1520"/>
      <c r="X109" s="1521"/>
      <c r="Y109" s="1521"/>
      <c r="Z109" s="1521"/>
      <c r="AD109" s="802"/>
    </row>
    <row r="110" spans="2:33">
      <c r="AD110" s="802"/>
    </row>
    <row r="111" spans="2:33">
      <c r="AD111" s="802"/>
    </row>
    <row r="112" spans="2:33">
      <c r="AD112" s="802"/>
    </row>
    <row r="113" spans="29:30">
      <c r="AC113" s="802"/>
      <c r="AD113" s="802"/>
    </row>
    <row r="114" spans="29:30">
      <c r="AC114" s="802"/>
      <c r="AD114" s="802"/>
    </row>
  </sheetData>
  <mergeCells count="348">
    <mergeCell ref="AT16:AX16"/>
    <mergeCell ref="AY16:BC16"/>
    <mergeCell ref="F17:K17"/>
    <mergeCell ref="A5:AC5"/>
    <mergeCell ref="A14:E15"/>
    <mergeCell ref="F14:M14"/>
    <mergeCell ref="N14:U14"/>
    <mergeCell ref="V14:AC14"/>
    <mergeCell ref="F15:I15"/>
    <mergeCell ref="J15:M15"/>
    <mergeCell ref="N15:Q15"/>
    <mergeCell ref="R15:U15"/>
    <mergeCell ref="V15:Y15"/>
    <mergeCell ref="A18:E18"/>
    <mergeCell ref="F18:I18"/>
    <mergeCell ref="J18:M18"/>
    <mergeCell ref="N18:Q18"/>
    <mergeCell ref="R18:U18"/>
    <mergeCell ref="V18:Y18"/>
    <mergeCell ref="Z15:AC15"/>
    <mergeCell ref="AG16:AN16"/>
    <mergeCell ref="AO16:AS16"/>
    <mergeCell ref="Z18:AC18"/>
    <mergeCell ref="AM18:AP18"/>
    <mergeCell ref="AY19:BC19"/>
    <mergeCell ref="F20:I20"/>
    <mergeCell ref="J20:M20"/>
    <mergeCell ref="N20:Q20"/>
    <mergeCell ref="R20:U20"/>
    <mergeCell ref="V20:Y20"/>
    <mergeCell ref="Z20:AC20"/>
    <mergeCell ref="AO20:AS20"/>
    <mergeCell ref="AT20:AX20"/>
    <mergeCell ref="AY20:BC20"/>
    <mergeCell ref="F19:I19"/>
    <mergeCell ref="J19:M19"/>
    <mergeCell ref="N19:Q19"/>
    <mergeCell ref="R19:U19"/>
    <mergeCell ref="V19:Y19"/>
    <mergeCell ref="Z19:AC19"/>
    <mergeCell ref="AG19:AK19"/>
    <mergeCell ref="AO19:AS19"/>
    <mergeCell ref="AT19:AX19"/>
    <mergeCell ref="F21:I21"/>
    <mergeCell ref="J21:M21"/>
    <mergeCell ref="N21:Q21"/>
    <mergeCell ref="R21:U21"/>
    <mergeCell ref="V21:Y21"/>
    <mergeCell ref="Z21:AC21"/>
    <mergeCell ref="AO21:AS21"/>
    <mergeCell ref="AT21:AX21"/>
    <mergeCell ref="AY21:BC21"/>
    <mergeCell ref="AO22:AS22"/>
    <mergeCell ref="AT22:AX22"/>
    <mergeCell ref="AY22:BC22"/>
    <mergeCell ref="F23:I23"/>
    <mergeCell ref="J23:M23"/>
    <mergeCell ref="N23:Q23"/>
    <mergeCell ref="R23:U23"/>
    <mergeCell ref="V23:Y23"/>
    <mergeCell ref="Z23:AC23"/>
    <mergeCell ref="AO23:AS23"/>
    <mergeCell ref="F22:I22"/>
    <mergeCell ref="J22:M22"/>
    <mergeCell ref="N22:Q22"/>
    <mergeCell ref="R22:U22"/>
    <mergeCell ref="V22:Y22"/>
    <mergeCell ref="Z22:AC22"/>
    <mergeCell ref="A25:E25"/>
    <mergeCell ref="F25:I25"/>
    <mergeCell ref="J25:M25"/>
    <mergeCell ref="N25:Q25"/>
    <mergeCell ref="R25:U25"/>
    <mergeCell ref="V25:Y25"/>
    <mergeCell ref="AT23:AX23"/>
    <mergeCell ref="AY23:BC23"/>
    <mergeCell ref="F24:K24"/>
    <mergeCell ref="AO24:AS24"/>
    <mergeCell ref="AT24:AX24"/>
    <mergeCell ref="AY24:BC24"/>
    <mergeCell ref="Z25:AC25"/>
    <mergeCell ref="AM25:AO25"/>
    <mergeCell ref="AY26:BC26"/>
    <mergeCell ref="F27:I27"/>
    <mergeCell ref="J27:M27"/>
    <mergeCell ref="N27:Q27"/>
    <mergeCell ref="R27:U27"/>
    <mergeCell ref="V27:Y27"/>
    <mergeCell ref="Z27:AC27"/>
    <mergeCell ref="AO27:AS27"/>
    <mergeCell ref="AT27:AX27"/>
    <mergeCell ref="AY27:BC27"/>
    <mergeCell ref="F26:I26"/>
    <mergeCell ref="J26:M26"/>
    <mergeCell ref="N26:Q26"/>
    <mergeCell ref="R26:U26"/>
    <mergeCell ref="V26:Y26"/>
    <mergeCell ref="Z26:AC26"/>
    <mergeCell ref="AG26:AK26"/>
    <mergeCell ref="AO26:AS26"/>
    <mergeCell ref="AT26:AX26"/>
    <mergeCell ref="F28:I28"/>
    <mergeCell ref="J28:M28"/>
    <mergeCell ref="N28:Q28"/>
    <mergeCell ref="R28:U28"/>
    <mergeCell ref="V28:Y28"/>
    <mergeCell ref="Z28:AC28"/>
    <mergeCell ref="AO28:AS28"/>
    <mergeCell ref="AT28:AX28"/>
    <mergeCell ref="AY28:BC28"/>
    <mergeCell ref="AO29:AS29"/>
    <mergeCell ref="AT29:AX29"/>
    <mergeCell ref="AY29:BC29"/>
    <mergeCell ref="F30:I30"/>
    <mergeCell ref="J30:M30"/>
    <mergeCell ref="N30:Q30"/>
    <mergeCell ref="R30:U30"/>
    <mergeCell ref="V30:Y30"/>
    <mergeCell ref="Z30:AC30"/>
    <mergeCell ref="AO30:AS30"/>
    <mergeCell ref="F29:I29"/>
    <mergeCell ref="J29:M29"/>
    <mergeCell ref="N29:Q29"/>
    <mergeCell ref="R29:U29"/>
    <mergeCell ref="V29:Y29"/>
    <mergeCell ref="Z29:AC29"/>
    <mergeCell ref="A32:E32"/>
    <mergeCell ref="F32:I32"/>
    <mergeCell ref="J32:M32"/>
    <mergeCell ref="N32:Q32"/>
    <mergeCell ref="R32:U32"/>
    <mergeCell ref="V32:Y32"/>
    <mergeCell ref="AT30:AX30"/>
    <mergeCell ref="AY30:BC30"/>
    <mergeCell ref="F31:K31"/>
    <mergeCell ref="AO31:AS31"/>
    <mergeCell ref="AT31:AX31"/>
    <mergeCell ref="AY31:BC31"/>
    <mergeCell ref="Z32:AC32"/>
    <mergeCell ref="AM32:AP32"/>
    <mergeCell ref="AY33:BC33"/>
    <mergeCell ref="F34:I34"/>
    <mergeCell ref="J34:M34"/>
    <mergeCell ref="N34:Q34"/>
    <mergeCell ref="R34:U34"/>
    <mergeCell ref="V34:Y34"/>
    <mergeCell ref="Z34:AC34"/>
    <mergeCell ref="AO34:AS34"/>
    <mergeCell ref="AT34:AX34"/>
    <mergeCell ref="AY34:BC34"/>
    <mergeCell ref="F33:I33"/>
    <mergeCell ref="J33:M33"/>
    <mergeCell ref="N33:Q33"/>
    <mergeCell ref="R33:U33"/>
    <mergeCell ref="V33:Y33"/>
    <mergeCell ref="Z33:AC33"/>
    <mergeCell ref="AG33:AK33"/>
    <mergeCell ref="AO33:AS33"/>
    <mergeCell ref="AT33:AX33"/>
    <mergeCell ref="F35:I35"/>
    <mergeCell ref="J35:M35"/>
    <mergeCell ref="N35:Q35"/>
    <mergeCell ref="R35:U35"/>
    <mergeCell ref="V35:Y35"/>
    <mergeCell ref="Z35:AC35"/>
    <mergeCell ref="AO35:AS35"/>
    <mergeCell ref="AT35:AX35"/>
    <mergeCell ref="AY35:BC35"/>
    <mergeCell ref="AO36:AS36"/>
    <mergeCell ref="AT36:AX36"/>
    <mergeCell ref="AY36:BC36"/>
    <mergeCell ref="F37:I37"/>
    <mergeCell ref="J37:M37"/>
    <mergeCell ref="N37:Q37"/>
    <mergeCell ref="R37:U37"/>
    <mergeCell ref="V37:Y37"/>
    <mergeCell ref="Z37:AC37"/>
    <mergeCell ref="AO37:AS37"/>
    <mergeCell ref="F36:I36"/>
    <mergeCell ref="J36:M36"/>
    <mergeCell ref="N36:Q36"/>
    <mergeCell ref="R36:U36"/>
    <mergeCell ref="V36:Y36"/>
    <mergeCell ref="Z36:AC36"/>
    <mergeCell ref="A39:E39"/>
    <mergeCell ref="F39:I39"/>
    <mergeCell ref="J39:M39"/>
    <mergeCell ref="N39:Q39"/>
    <mergeCell ref="R39:U39"/>
    <mergeCell ref="V39:Y39"/>
    <mergeCell ref="AT37:AX37"/>
    <mergeCell ref="AY37:BC37"/>
    <mergeCell ref="F38:K38"/>
    <mergeCell ref="AO38:AS38"/>
    <mergeCell ref="AT38:AX38"/>
    <mergeCell ref="AY38:BC38"/>
    <mergeCell ref="Z39:AC39"/>
    <mergeCell ref="AM39:AP39"/>
    <mergeCell ref="AY40:BC40"/>
    <mergeCell ref="F41:I41"/>
    <mergeCell ref="J41:M41"/>
    <mergeCell ref="N41:Q41"/>
    <mergeCell ref="R41:U41"/>
    <mergeCell ref="V41:Y41"/>
    <mergeCell ref="Z41:AC41"/>
    <mergeCell ref="AO41:AS41"/>
    <mergeCell ref="AT41:AX41"/>
    <mergeCell ref="AY41:BC41"/>
    <mergeCell ref="F40:I40"/>
    <mergeCell ref="J40:M40"/>
    <mergeCell ref="N40:Q40"/>
    <mergeCell ref="R40:U40"/>
    <mergeCell ref="V40:Y40"/>
    <mergeCell ref="Z40:AC40"/>
    <mergeCell ref="AG40:AK40"/>
    <mergeCell ref="AO40:AS40"/>
    <mergeCell ref="AT40:AX40"/>
    <mergeCell ref="F42:I42"/>
    <mergeCell ref="J42:M42"/>
    <mergeCell ref="N42:Q42"/>
    <mergeCell ref="R42:U42"/>
    <mergeCell ref="V42:Y42"/>
    <mergeCell ref="Z42:AC42"/>
    <mergeCell ref="AO42:AS42"/>
    <mergeCell ref="AT42:AX42"/>
    <mergeCell ref="AY42:BC42"/>
    <mergeCell ref="F46:I46"/>
    <mergeCell ref="J46:M46"/>
    <mergeCell ref="N46:Q46"/>
    <mergeCell ref="R46:U46"/>
    <mergeCell ref="V46:Y46"/>
    <mergeCell ref="AO43:AS43"/>
    <mergeCell ref="AT43:AX43"/>
    <mergeCell ref="AY43:BC43"/>
    <mergeCell ref="F44:I44"/>
    <mergeCell ref="J44:M44"/>
    <mergeCell ref="N44:Q44"/>
    <mergeCell ref="R44:U44"/>
    <mergeCell ref="V44:Y44"/>
    <mergeCell ref="Z44:AC44"/>
    <mergeCell ref="AO44:AS44"/>
    <mergeCell ref="F43:I43"/>
    <mergeCell ref="J43:M43"/>
    <mergeCell ref="N43:Q43"/>
    <mergeCell ref="R43:U43"/>
    <mergeCell ref="V43:Y43"/>
    <mergeCell ref="Z43:AC43"/>
    <mergeCell ref="Z46:AC46"/>
    <mergeCell ref="AO47:AS47"/>
    <mergeCell ref="AT47:AX47"/>
    <mergeCell ref="AY47:BC47"/>
    <mergeCell ref="J53:K53"/>
    <mergeCell ref="T57:W57"/>
    <mergeCell ref="X57:AA57"/>
    <mergeCell ref="AT44:AX44"/>
    <mergeCell ref="AY44:BC44"/>
    <mergeCell ref="AO45:AS45"/>
    <mergeCell ref="AT45:AX45"/>
    <mergeCell ref="AY45:BC45"/>
    <mergeCell ref="T61:W61"/>
    <mergeCell ref="X61:AA61"/>
    <mergeCell ref="T62:W62"/>
    <mergeCell ref="X62:AA62"/>
    <mergeCell ref="X64:AA64"/>
    <mergeCell ref="X66:AA66"/>
    <mergeCell ref="T58:W58"/>
    <mergeCell ref="X58:AA58"/>
    <mergeCell ref="T59:W59"/>
    <mergeCell ref="X59:AA59"/>
    <mergeCell ref="T60:W60"/>
    <mergeCell ref="X60:AA60"/>
    <mergeCell ref="X74:AA74"/>
    <mergeCell ref="X75:AA75"/>
    <mergeCell ref="X76:AA76"/>
    <mergeCell ref="X77:AA77"/>
    <mergeCell ref="X78:AA78"/>
    <mergeCell ref="X79:AA79"/>
    <mergeCell ref="X68:AA68"/>
    <mergeCell ref="X69:AA69"/>
    <mergeCell ref="X70:AA70"/>
    <mergeCell ref="X71:AA71"/>
    <mergeCell ref="X72:AA72"/>
    <mergeCell ref="X73:AA73"/>
    <mergeCell ref="W97:Z97"/>
    <mergeCell ref="C98:H98"/>
    <mergeCell ref="I98:N98"/>
    <mergeCell ref="O98:R98"/>
    <mergeCell ref="S98:V98"/>
    <mergeCell ref="W98:Z98"/>
    <mergeCell ref="X80:AA80"/>
    <mergeCell ref="X81:AA81"/>
    <mergeCell ref="X82:AA82"/>
    <mergeCell ref="X83:AA83"/>
    <mergeCell ref="X84:AA84"/>
    <mergeCell ref="C96:H97"/>
    <mergeCell ref="I96:N97"/>
    <mergeCell ref="O96:R97"/>
    <mergeCell ref="S96:Z96"/>
    <mergeCell ref="S97:V97"/>
    <mergeCell ref="C99:H99"/>
    <mergeCell ref="I99:N99"/>
    <mergeCell ref="O99:R99"/>
    <mergeCell ref="S99:V99"/>
    <mergeCell ref="W99:Z99"/>
    <mergeCell ref="C100:H100"/>
    <mergeCell ref="I100:N100"/>
    <mergeCell ref="O100:R100"/>
    <mergeCell ref="S100:V100"/>
    <mergeCell ref="W100:Z100"/>
    <mergeCell ref="C101:H101"/>
    <mergeCell ref="I101:N101"/>
    <mergeCell ref="O101:R101"/>
    <mergeCell ref="S101:V101"/>
    <mergeCell ref="W101:Z101"/>
    <mergeCell ref="C102:H102"/>
    <mergeCell ref="I102:N102"/>
    <mergeCell ref="O102:R102"/>
    <mergeCell ref="S102:V102"/>
    <mergeCell ref="W102:Z102"/>
    <mergeCell ref="C103:H103"/>
    <mergeCell ref="I103:N103"/>
    <mergeCell ref="O103:R103"/>
    <mergeCell ref="S103:V103"/>
    <mergeCell ref="W103:Z103"/>
    <mergeCell ref="C104:H104"/>
    <mergeCell ref="I104:N104"/>
    <mergeCell ref="O104:R104"/>
    <mergeCell ref="S104:V104"/>
    <mergeCell ref="W104:Z104"/>
    <mergeCell ref="C105:H105"/>
    <mergeCell ref="I105:N105"/>
    <mergeCell ref="O105:R105"/>
    <mergeCell ref="S105:V105"/>
    <mergeCell ref="W105:Z105"/>
    <mergeCell ref="C106:H106"/>
    <mergeCell ref="I106:N106"/>
    <mergeCell ref="O106:R106"/>
    <mergeCell ref="S106:V106"/>
    <mergeCell ref="W106:Z106"/>
    <mergeCell ref="C107:H107"/>
    <mergeCell ref="I107:N107"/>
    <mergeCell ref="O107:R107"/>
    <mergeCell ref="S107:V107"/>
    <mergeCell ref="W107:Z107"/>
    <mergeCell ref="C108:N108"/>
    <mergeCell ref="O108:R108"/>
    <mergeCell ref="S108:V108"/>
    <mergeCell ref="W108:Z108"/>
  </mergeCells>
  <pageMargins left="0.7" right="0.7" top="0.75" bottom="0.75" header="0.3" footer="0.3"/>
  <pageSetup paperSize="5" scale="60" orientation="portrait" r:id="rId1"/>
  <rowBreaks count="2" manualBreakCount="2">
    <brk id="50" max="28" man="1"/>
    <brk id="91" max="28" man="1"/>
  </row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rgb="FF92D050"/>
  </sheetPr>
  <dimension ref="A1:AX352"/>
  <sheetViews>
    <sheetView showGridLines="0" view="pageBreakPreview" zoomScaleNormal="100" zoomScaleSheetLayoutView="100" workbookViewId="0">
      <selection activeCell="A4" sqref="A4:AM4"/>
    </sheetView>
  </sheetViews>
  <sheetFormatPr defaultRowHeight="12.75"/>
  <cols>
    <col min="1" max="1" width="3.7109375" style="1631" customWidth="1"/>
    <col min="2" max="2" width="3" style="1631" customWidth="1"/>
    <col min="3" max="3" width="3.28515625" style="1631" customWidth="1"/>
    <col min="4" max="4" width="0.85546875" style="1631" customWidth="1"/>
    <col min="5" max="5" width="3.28515625" style="1631" customWidth="1"/>
    <col min="6" max="6" width="0.5703125" style="1631" customWidth="1"/>
    <col min="7" max="7" width="6.7109375" style="1631" customWidth="1"/>
    <col min="8" max="8" width="0.85546875" style="1631" customWidth="1"/>
    <col min="9" max="10" width="3.7109375" style="1631" customWidth="1"/>
    <col min="11" max="11" width="4" style="1631" customWidth="1"/>
    <col min="12" max="12" width="2.7109375" style="1631" customWidth="1"/>
    <col min="13" max="39" width="3.7109375" style="1631" customWidth="1"/>
    <col min="40" max="40" width="3.85546875" style="1631" customWidth="1"/>
    <col min="41" max="41" width="1.28515625" style="1631" customWidth="1"/>
    <col min="42" max="42" width="3.7109375" style="1631" customWidth="1"/>
    <col min="43" max="43" width="2.85546875" style="1636" customWidth="1"/>
    <col min="44" max="97" width="2.85546875" style="1631" customWidth="1"/>
    <col min="98" max="191" width="3.85546875" style="1631" customWidth="1"/>
    <col min="192" max="256" width="9.140625" style="1631"/>
    <col min="257" max="257" width="3.7109375" style="1631" customWidth="1"/>
    <col min="258" max="258" width="3" style="1631" customWidth="1"/>
    <col min="259" max="259" width="3.28515625" style="1631" customWidth="1"/>
    <col min="260" max="260" width="0.85546875" style="1631" customWidth="1"/>
    <col min="261" max="261" width="3.28515625" style="1631" customWidth="1"/>
    <col min="262" max="262" width="0.5703125" style="1631" customWidth="1"/>
    <col min="263" max="263" width="6.7109375" style="1631" customWidth="1"/>
    <col min="264" max="264" width="0.85546875" style="1631" customWidth="1"/>
    <col min="265" max="266" width="3.7109375" style="1631" customWidth="1"/>
    <col min="267" max="267" width="4" style="1631" customWidth="1"/>
    <col min="268" max="268" width="2.7109375" style="1631" customWidth="1"/>
    <col min="269" max="295" width="3.7109375" style="1631" customWidth="1"/>
    <col min="296" max="296" width="3.85546875" style="1631" customWidth="1"/>
    <col min="297" max="297" width="1.28515625" style="1631" customWidth="1"/>
    <col min="298" max="298" width="3.7109375" style="1631" customWidth="1"/>
    <col min="299" max="353" width="2.85546875" style="1631" customWidth="1"/>
    <col min="354" max="447" width="3.85546875" style="1631" customWidth="1"/>
    <col min="448" max="512" width="9.140625" style="1631"/>
    <col min="513" max="513" width="3.7109375" style="1631" customWidth="1"/>
    <col min="514" max="514" width="3" style="1631" customWidth="1"/>
    <col min="515" max="515" width="3.28515625" style="1631" customWidth="1"/>
    <col min="516" max="516" width="0.85546875" style="1631" customWidth="1"/>
    <col min="517" max="517" width="3.28515625" style="1631" customWidth="1"/>
    <col min="518" max="518" width="0.5703125" style="1631" customWidth="1"/>
    <col min="519" max="519" width="6.7109375" style="1631" customWidth="1"/>
    <col min="520" max="520" width="0.85546875" style="1631" customWidth="1"/>
    <col min="521" max="522" width="3.7109375" style="1631" customWidth="1"/>
    <col min="523" max="523" width="4" style="1631" customWidth="1"/>
    <col min="524" max="524" width="2.7109375" style="1631" customWidth="1"/>
    <col min="525" max="551" width="3.7109375" style="1631" customWidth="1"/>
    <col min="552" max="552" width="3.85546875" style="1631" customWidth="1"/>
    <col min="553" max="553" width="1.28515625" style="1631" customWidth="1"/>
    <col min="554" max="554" width="3.7109375" style="1631" customWidth="1"/>
    <col min="555" max="609" width="2.85546875" style="1631" customWidth="1"/>
    <col min="610" max="703" width="3.85546875" style="1631" customWidth="1"/>
    <col min="704" max="768" width="9.140625" style="1631"/>
    <col min="769" max="769" width="3.7109375" style="1631" customWidth="1"/>
    <col min="770" max="770" width="3" style="1631" customWidth="1"/>
    <col min="771" max="771" width="3.28515625" style="1631" customWidth="1"/>
    <col min="772" max="772" width="0.85546875" style="1631" customWidth="1"/>
    <col min="773" max="773" width="3.28515625" style="1631" customWidth="1"/>
    <col min="774" max="774" width="0.5703125" style="1631" customWidth="1"/>
    <col min="775" max="775" width="6.7109375" style="1631" customWidth="1"/>
    <col min="776" max="776" width="0.85546875" style="1631" customWidth="1"/>
    <col min="777" max="778" width="3.7109375" style="1631" customWidth="1"/>
    <col min="779" max="779" width="4" style="1631" customWidth="1"/>
    <col min="780" max="780" width="2.7109375" style="1631" customWidth="1"/>
    <col min="781" max="807" width="3.7109375" style="1631" customWidth="1"/>
    <col min="808" max="808" width="3.85546875" style="1631" customWidth="1"/>
    <col min="809" max="809" width="1.28515625" style="1631" customWidth="1"/>
    <col min="810" max="810" width="3.7109375" style="1631" customWidth="1"/>
    <col min="811" max="865" width="2.85546875" style="1631" customWidth="1"/>
    <col min="866" max="959" width="3.85546875" style="1631" customWidth="1"/>
    <col min="960" max="1024" width="9.140625" style="1631"/>
    <col min="1025" max="1025" width="3.7109375" style="1631" customWidth="1"/>
    <col min="1026" max="1026" width="3" style="1631" customWidth="1"/>
    <col min="1027" max="1027" width="3.28515625" style="1631" customWidth="1"/>
    <col min="1028" max="1028" width="0.85546875" style="1631" customWidth="1"/>
    <col min="1029" max="1029" width="3.28515625" style="1631" customWidth="1"/>
    <col min="1030" max="1030" width="0.5703125" style="1631" customWidth="1"/>
    <col min="1031" max="1031" width="6.7109375" style="1631" customWidth="1"/>
    <col min="1032" max="1032" width="0.85546875" style="1631" customWidth="1"/>
    <col min="1033" max="1034" width="3.7109375" style="1631" customWidth="1"/>
    <col min="1035" max="1035" width="4" style="1631" customWidth="1"/>
    <col min="1036" max="1036" width="2.7109375" style="1631" customWidth="1"/>
    <col min="1037" max="1063" width="3.7109375" style="1631" customWidth="1"/>
    <col min="1064" max="1064" width="3.85546875" style="1631" customWidth="1"/>
    <col min="1065" max="1065" width="1.28515625" style="1631" customWidth="1"/>
    <col min="1066" max="1066" width="3.7109375" style="1631" customWidth="1"/>
    <col min="1067" max="1121" width="2.85546875" style="1631" customWidth="1"/>
    <col min="1122" max="1215" width="3.85546875" style="1631" customWidth="1"/>
    <col min="1216" max="1280" width="9.140625" style="1631"/>
    <col min="1281" max="1281" width="3.7109375" style="1631" customWidth="1"/>
    <col min="1282" max="1282" width="3" style="1631" customWidth="1"/>
    <col min="1283" max="1283" width="3.28515625" style="1631" customWidth="1"/>
    <col min="1284" max="1284" width="0.85546875" style="1631" customWidth="1"/>
    <col min="1285" max="1285" width="3.28515625" style="1631" customWidth="1"/>
    <col min="1286" max="1286" width="0.5703125" style="1631" customWidth="1"/>
    <col min="1287" max="1287" width="6.7109375" style="1631" customWidth="1"/>
    <col min="1288" max="1288" width="0.85546875" style="1631" customWidth="1"/>
    <col min="1289" max="1290" width="3.7109375" style="1631" customWidth="1"/>
    <col min="1291" max="1291" width="4" style="1631" customWidth="1"/>
    <col min="1292" max="1292" width="2.7109375" style="1631" customWidth="1"/>
    <col min="1293" max="1319" width="3.7109375" style="1631" customWidth="1"/>
    <col min="1320" max="1320" width="3.85546875" style="1631" customWidth="1"/>
    <col min="1321" max="1321" width="1.28515625" style="1631" customWidth="1"/>
    <col min="1322" max="1322" width="3.7109375" style="1631" customWidth="1"/>
    <col min="1323" max="1377" width="2.85546875" style="1631" customWidth="1"/>
    <col min="1378" max="1471" width="3.85546875" style="1631" customWidth="1"/>
    <col min="1472" max="1536" width="9.140625" style="1631"/>
    <col min="1537" max="1537" width="3.7109375" style="1631" customWidth="1"/>
    <col min="1538" max="1538" width="3" style="1631" customWidth="1"/>
    <col min="1539" max="1539" width="3.28515625" style="1631" customWidth="1"/>
    <col min="1540" max="1540" width="0.85546875" style="1631" customWidth="1"/>
    <col min="1541" max="1541" width="3.28515625" style="1631" customWidth="1"/>
    <col min="1542" max="1542" width="0.5703125" style="1631" customWidth="1"/>
    <col min="1543" max="1543" width="6.7109375" style="1631" customWidth="1"/>
    <col min="1544" max="1544" width="0.85546875" style="1631" customWidth="1"/>
    <col min="1545" max="1546" width="3.7109375" style="1631" customWidth="1"/>
    <col min="1547" max="1547" width="4" style="1631" customWidth="1"/>
    <col min="1548" max="1548" width="2.7109375" style="1631" customWidth="1"/>
    <col min="1549" max="1575" width="3.7109375" style="1631" customWidth="1"/>
    <col min="1576" max="1576" width="3.85546875" style="1631" customWidth="1"/>
    <col min="1577" max="1577" width="1.28515625" style="1631" customWidth="1"/>
    <col min="1578" max="1578" width="3.7109375" style="1631" customWidth="1"/>
    <col min="1579" max="1633" width="2.85546875" style="1631" customWidth="1"/>
    <col min="1634" max="1727" width="3.85546875" style="1631" customWidth="1"/>
    <col min="1728" max="1792" width="9.140625" style="1631"/>
    <col min="1793" max="1793" width="3.7109375" style="1631" customWidth="1"/>
    <col min="1794" max="1794" width="3" style="1631" customWidth="1"/>
    <col min="1795" max="1795" width="3.28515625" style="1631" customWidth="1"/>
    <col min="1796" max="1796" width="0.85546875" style="1631" customWidth="1"/>
    <col min="1797" max="1797" width="3.28515625" style="1631" customWidth="1"/>
    <col min="1798" max="1798" width="0.5703125" style="1631" customWidth="1"/>
    <col min="1799" max="1799" width="6.7109375" style="1631" customWidth="1"/>
    <col min="1800" max="1800" width="0.85546875" style="1631" customWidth="1"/>
    <col min="1801" max="1802" width="3.7109375" style="1631" customWidth="1"/>
    <col min="1803" max="1803" width="4" style="1631" customWidth="1"/>
    <col min="1804" max="1804" width="2.7109375" style="1631" customWidth="1"/>
    <col min="1805" max="1831" width="3.7109375" style="1631" customWidth="1"/>
    <col min="1832" max="1832" width="3.85546875" style="1631" customWidth="1"/>
    <col min="1833" max="1833" width="1.28515625" style="1631" customWidth="1"/>
    <col min="1834" max="1834" width="3.7109375" style="1631" customWidth="1"/>
    <col min="1835" max="1889" width="2.85546875" style="1631" customWidth="1"/>
    <col min="1890" max="1983" width="3.85546875" style="1631" customWidth="1"/>
    <col min="1984" max="2048" width="9.140625" style="1631"/>
    <col min="2049" max="2049" width="3.7109375" style="1631" customWidth="1"/>
    <col min="2050" max="2050" width="3" style="1631" customWidth="1"/>
    <col min="2051" max="2051" width="3.28515625" style="1631" customWidth="1"/>
    <col min="2052" max="2052" width="0.85546875" style="1631" customWidth="1"/>
    <col min="2053" max="2053" width="3.28515625" style="1631" customWidth="1"/>
    <col min="2054" max="2054" width="0.5703125" style="1631" customWidth="1"/>
    <col min="2055" max="2055" width="6.7109375" style="1631" customWidth="1"/>
    <col min="2056" max="2056" width="0.85546875" style="1631" customWidth="1"/>
    <col min="2057" max="2058" width="3.7109375" style="1631" customWidth="1"/>
    <col min="2059" max="2059" width="4" style="1631" customWidth="1"/>
    <col min="2060" max="2060" width="2.7109375" style="1631" customWidth="1"/>
    <col min="2061" max="2087" width="3.7109375" style="1631" customWidth="1"/>
    <col min="2088" max="2088" width="3.85546875" style="1631" customWidth="1"/>
    <col min="2089" max="2089" width="1.28515625" style="1631" customWidth="1"/>
    <col min="2090" max="2090" width="3.7109375" style="1631" customWidth="1"/>
    <col min="2091" max="2145" width="2.85546875" style="1631" customWidth="1"/>
    <col min="2146" max="2239" width="3.85546875" style="1631" customWidth="1"/>
    <col min="2240" max="2304" width="9.140625" style="1631"/>
    <col min="2305" max="2305" width="3.7109375" style="1631" customWidth="1"/>
    <col min="2306" max="2306" width="3" style="1631" customWidth="1"/>
    <col min="2307" max="2307" width="3.28515625" style="1631" customWidth="1"/>
    <col min="2308" max="2308" width="0.85546875" style="1631" customWidth="1"/>
    <col min="2309" max="2309" width="3.28515625" style="1631" customWidth="1"/>
    <col min="2310" max="2310" width="0.5703125" style="1631" customWidth="1"/>
    <col min="2311" max="2311" width="6.7109375" style="1631" customWidth="1"/>
    <col min="2312" max="2312" width="0.85546875" style="1631" customWidth="1"/>
    <col min="2313" max="2314" width="3.7109375" style="1631" customWidth="1"/>
    <col min="2315" max="2315" width="4" style="1631" customWidth="1"/>
    <col min="2316" max="2316" width="2.7109375" style="1631" customWidth="1"/>
    <col min="2317" max="2343" width="3.7109375" style="1631" customWidth="1"/>
    <col min="2344" max="2344" width="3.85546875" style="1631" customWidth="1"/>
    <col min="2345" max="2345" width="1.28515625" style="1631" customWidth="1"/>
    <col min="2346" max="2346" width="3.7109375" style="1631" customWidth="1"/>
    <col min="2347" max="2401" width="2.85546875" style="1631" customWidth="1"/>
    <col min="2402" max="2495" width="3.85546875" style="1631" customWidth="1"/>
    <col min="2496" max="2560" width="9.140625" style="1631"/>
    <col min="2561" max="2561" width="3.7109375" style="1631" customWidth="1"/>
    <col min="2562" max="2562" width="3" style="1631" customWidth="1"/>
    <col min="2563" max="2563" width="3.28515625" style="1631" customWidth="1"/>
    <col min="2564" max="2564" width="0.85546875" style="1631" customWidth="1"/>
    <col min="2565" max="2565" width="3.28515625" style="1631" customWidth="1"/>
    <col min="2566" max="2566" width="0.5703125" style="1631" customWidth="1"/>
    <col min="2567" max="2567" width="6.7109375" style="1631" customWidth="1"/>
    <col min="2568" max="2568" width="0.85546875" style="1631" customWidth="1"/>
    <col min="2569" max="2570" width="3.7109375" style="1631" customWidth="1"/>
    <col min="2571" max="2571" width="4" style="1631" customWidth="1"/>
    <col min="2572" max="2572" width="2.7109375" style="1631" customWidth="1"/>
    <col min="2573" max="2599" width="3.7109375" style="1631" customWidth="1"/>
    <col min="2600" max="2600" width="3.85546875" style="1631" customWidth="1"/>
    <col min="2601" max="2601" width="1.28515625" style="1631" customWidth="1"/>
    <col min="2602" max="2602" width="3.7109375" style="1631" customWidth="1"/>
    <col min="2603" max="2657" width="2.85546875" style="1631" customWidth="1"/>
    <col min="2658" max="2751" width="3.85546875" style="1631" customWidth="1"/>
    <col min="2752" max="2816" width="9.140625" style="1631"/>
    <col min="2817" max="2817" width="3.7109375" style="1631" customWidth="1"/>
    <col min="2818" max="2818" width="3" style="1631" customWidth="1"/>
    <col min="2819" max="2819" width="3.28515625" style="1631" customWidth="1"/>
    <col min="2820" max="2820" width="0.85546875" style="1631" customWidth="1"/>
    <col min="2821" max="2821" width="3.28515625" style="1631" customWidth="1"/>
    <col min="2822" max="2822" width="0.5703125" style="1631" customWidth="1"/>
    <col min="2823" max="2823" width="6.7109375" style="1631" customWidth="1"/>
    <col min="2824" max="2824" width="0.85546875" style="1631" customWidth="1"/>
    <col min="2825" max="2826" width="3.7109375" style="1631" customWidth="1"/>
    <col min="2827" max="2827" width="4" style="1631" customWidth="1"/>
    <col min="2828" max="2828" width="2.7109375" style="1631" customWidth="1"/>
    <col min="2829" max="2855" width="3.7109375" style="1631" customWidth="1"/>
    <col min="2856" max="2856" width="3.85546875" style="1631" customWidth="1"/>
    <col min="2857" max="2857" width="1.28515625" style="1631" customWidth="1"/>
    <col min="2858" max="2858" width="3.7109375" style="1631" customWidth="1"/>
    <col min="2859" max="2913" width="2.85546875" style="1631" customWidth="1"/>
    <col min="2914" max="3007" width="3.85546875" style="1631" customWidth="1"/>
    <col min="3008" max="3072" width="9.140625" style="1631"/>
    <col min="3073" max="3073" width="3.7109375" style="1631" customWidth="1"/>
    <col min="3074" max="3074" width="3" style="1631" customWidth="1"/>
    <col min="3075" max="3075" width="3.28515625" style="1631" customWidth="1"/>
    <col min="3076" max="3076" width="0.85546875" style="1631" customWidth="1"/>
    <col min="3077" max="3077" width="3.28515625" style="1631" customWidth="1"/>
    <col min="3078" max="3078" width="0.5703125" style="1631" customWidth="1"/>
    <col min="3079" max="3079" width="6.7109375" style="1631" customWidth="1"/>
    <col min="3080" max="3080" width="0.85546875" style="1631" customWidth="1"/>
    <col min="3081" max="3082" width="3.7109375" style="1631" customWidth="1"/>
    <col min="3083" max="3083" width="4" style="1631" customWidth="1"/>
    <col min="3084" max="3084" width="2.7109375" style="1631" customWidth="1"/>
    <col min="3085" max="3111" width="3.7109375" style="1631" customWidth="1"/>
    <col min="3112" max="3112" width="3.85546875" style="1631" customWidth="1"/>
    <col min="3113" max="3113" width="1.28515625" style="1631" customWidth="1"/>
    <col min="3114" max="3114" width="3.7109375" style="1631" customWidth="1"/>
    <col min="3115" max="3169" width="2.85546875" style="1631" customWidth="1"/>
    <col min="3170" max="3263" width="3.85546875" style="1631" customWidth="1"/>
    <col min="3264" max="3328" width="9.140625" style="1631"/>
    <col min="3329" max="3329" width="3.7109375" style="1631" customWidth="1"/>
    <col min="3330" max="3330" width="3" style="1631" customWidth="1"/>
    <col min="3331" max="3331" width="3.28515625" style="1631" customWidth="1"/>
    <col min="3332" max="3332" width="0.85546875" style="1631" customWidth="1"/>
    <col min="3333" max="3333" width="3.28515625" style="1631" customWidth="1"/>
    <col min="3334" max="3334" width="0.5703125" style="1631" customWidth="1"/>
    <col min="3335" max="3335" width="6.7109375" style="1631" customWidth="1"/>
    <col min="3336" max="3336" width="0.85546875" style="1631" customWidth="1"/>
    <col min="3337" max="3338" width="3.7109375" style="1631" customWidth="1"/>
    <col min="3339" max="3339" width="4" style="1631" customWidth="1"/>
    <col min="3340" max="3340" width="2.7109375" style="1631" customWidth="1"/>
    <col min="3341" max="3367" width="3.7109375" style="1631" customWidth="1"/>
    <col min="3368" max="3368" width="3.85546875" style="1631" customWidth="1"/>
    <col min="3369" max="3369" width="1.28515625" style="1631" customWidth="1"/>
    <col min="3370" max="3370" width="3.7109375" style="1631" customWidth="1"/>
    <col min="3371" max="3425" width="2.85546875" style="1631" customWidth="1"/>
    <col min="3426" max="3519" width="3.85546875" style="1631" customWidth="1"/>
    <col min="3520" max="3584" width="9.140625" style="1631"/>
    <col min="3585" max="3585" width="3.7109375" style="1631" customWidth="1"/>
    <col min="3586" max="3586" width="3" style="1631" customWidth="1"/>
    <col min="3587" max="3587" width="3.28515625" style="1631" customWidth="1"/>
    <col min="3588" max="3588" width="0.85546875" style="1631" customWidth="1"/>
    <col min="3589" max="3589" width="3.28515625" style="1631" customWidth="1"/>
    <col min="3590" max="3590" width="0.5703125" style="1631" customWidth="1"/>
    <col min="3591" max="3591" width="6.7109375" style="1631" customWidth="1"/>
    <col min="3592" max="3592" width="0.85546875" style="1631" customWidth="1"/>
    <col min="3593" max="3594" width="3.7109375" style="1631" customWidth="1"/>
    <col min="3595" max="3595" width="4" style="1631" customWidth="1"/>
    <col min="3596" max="3596" width="2.7109375" style="1631" customWidth="1"/>
    <col min="3597" max="3623" width="3.7109375" style="1631" customWidth="1"/>
    <col min="3624" max="3624" width="3.85546875" style="1631" customWidth="1"/>
    <col min="3625" max="3625" width="1.28515625" style="1631" customWidth="1"/>
    <col min="3626" max="3626" width="3.7109375" style="1631" customWidth="1"/>
    <col min="3627" max="3681" width="2.85546875" style="1631" customWidth="1"/>
    <col min="3682" max="3775" width="3.85546875" style="1631" customWidth="1"/>
    <col min="3776" max="3840" width="9.140625" style="1631"/>
    <col min="3841" max="3841" width="3.7109375" style="1631" customWidth="1"/>
    <col min="3842" max="3842" width="3" style="1631" customWidth="1"/>
    <col min="3843" max="3843" width="3.28515625" style="1631" customWidth="1"/>
    <col min="3844" max="3844" width="0.85546875" style="1631" customWidth="1"/>
    <col min="3845" max="3845" width="3.28515625" style="1631" customWidth="1"/>
    <col min="3846" max="3846" width="0.5703125" style="1631" customWidth="1"/>
    <col min="3847" max="3847" width="6.7109375" style="1631" customWidth="1"/>
    <col min="3848" max="3848" width="0.85546875" style="1631" customWidth="1"/>
    <col min="3849" max="3850" width="3.7109375" style="1631" customWidth="1"/>
    <col min="3851" max="3851" width="4" style="1631" customWidth="1"/>
    <col min="3852" max="3852" width="2.7109375" style="1631" customWidth="1"/>
    <col min="3853" max="3879" width="3.7109375" style="1631" customWidth="1"/>
    <col min="3880" max="3880" width="3.85546875" style="1631" customWidth="1"/>
    <col min="3881" max="3881" width="1.28515625" style="1631" customWidth="1"/>
    <col min="3882" max="3882" width="3.7109375" style="1631" customWidth="1"/>
    <col min="3883" max="3937" width="2.85546875" style="1631" customWidth="1"/>
    <col min="3938" max="4031" width="3.85546875" style="1631" customWidth="1"/>
    <col min="4032" max="4096" width="9.140625" style="1631"/>
    <col min="4097" max="4097" width="3.7109375" style="1631" customWidth="1"/>
    <col min="4098" max="4098" width="3" style="1631" customWidth="1"/>
    <col min="4099" max="4099" width="3.28515625" style="1631" customWidth="1"/>
    <col min="4100" max="4100" width="0.85546875" style="1631" customWidth="1"/>
    <col min="4101" max="4101" width="3.28515625" style="1631" customWidth="1"/>
    <col min="4102" max="4102" width="0.5703125" style="1631" customWidth="1"/>
    <col min="4103" max="4103" width="6.7109375" style="1631" customWidth="1"/>
    <col min="4104" max="4104" width="0.85546875" style="1631" customWidth="1"/>
    <col min="4105" max="4106" width="3.7109375" style="1631" customWidth="1"/>
    <col min="4107" max="4107" width="4" style="1631" customWidth="1"/>
    <col min="4108" max="4108" width="2.7109375" style="1631" customWidth="1"/>
    <col min="4109" max="4135" width="3.7109375" style="1631" customWidth="1"/>
    <col min="4136" max="4136" width="3.85546875" style="1631" customWidth="1"/>
    <col min="4137" max="4137" width="1.28515625" style="1631" customWidth="1"/>
    <col min="4138" max="4138" width="3.7109375" style="1631" customWidth="1"/>
    <col min="4139" max="4193" width="2.85546875" style="1631" customWidth="1"/>
    <col min="4194" max="4287" width="3.85546875" style="1631" customWidth="1"/>
    <col min="4288" max="4352" width="9.140625" style="1631"/>
    <col min="4353" max="4353" width="3.7109375" style="1631" customWidth="1"/>
    <col min="4354" max="4354" width="3" style="1631" customWidth="1"/>
    <col min="4355" max="4355" width="3.28515625" style="1631" customWidth="1"/>
    <col min="4356" max="4356" width="0.85546875" style="1631" customWidth="1"/>
    <col min="4357" max="4357" width="3.28515625" style="1631" customWidth="1"/>
    <col min="4358" max="4358" width="0.5703125" style="1631" customWidth="1"/>
    <col min="4359" max="4359" width="6.7109375" style="1631" customWidth="1"/>
    <col min="4360" max="4360" width="0.85546875" style="1631" customWidth="1"/>
    <col min="4361" max="4362" width="3.7109375" style="1631" customWidth="1"/>
    <col min="4363" max="4363" width="4" style="1631" customWidth="1"/>
    <col min="4364" max="4364" width="2.7109375" style="1631" customWidth="1"/>
    <col min="4365" max="4391" width="3.7109375" style="1631" customWidth="1"/>
    <col min="4392" max="4392" width="3.85546875" style="1631" customWidth="1"/>
    <col min="4393" max="4393" width="1.28515625" style="1631" customWidth="1"/>
    <col min="4394" max="4394" width="3.7109375" style="1631" customWidth="1"/>
    <col min="4395" max="4449" width="2.85546875" style="1631" customWidth="1"/>
    <col min="4450" max="4543" width="3.85546875" style="1631" customWidth="1"/>
    <col min="4544" max="4608" width="9.140625" style="1631"/>
    <col min="4609" max="4609" width="3.7109375" style="1631" customWidth="1"/>
    <col min="4610" max="4610" width="3" style="1631" customWidth="1"/>
    <col min="4611" max="4611" width="3.28515625" style="1631" customWidth="1"/>
    <col min="4612" max="4612" width="0.85546875" style="1631" customWidth="1"/>
    <col min="4613" max="4613" width="3.28515625" style="1631" customWidth="1"/>
    <col min="4614" max="4614" width="0.5703125" style="1631" customWidth="1"/>
    <col min="4615" max="4615" width="6.7109375" style="1631" customWidth="1"/>
    <col min="4616" max="4616" width="0.85546875" style="1631" customWidth="1"/>
    <col min="4617" max="4618" width="3.7109375" style="1631" customWidth="1"/>
    <col min="4619" max="4619" width="4" style="1631" customWidth="1"/>
    <col min="4620" max="4620" width="2.7109375" style="1631" customWidth="1"/>
    <col min="4621" max="4647" width="3.7109375" style="1631" customWidth="1"/>
    <col min="4648" max="4648" width="3.85546875" style="1631" customWidth="1"/>
    <col min="4649" max="4649" width="1.28515625" style="1631" customWidth="1"/>
    <col min="4650" max="4650" width="3.7109375" style="1631" customWidth="1"/>
    <col min="4651" max="4705" width="2.85546875" style="1631" customWidth="1"/>
    <col min="4706" max="4799" width="3.85546875" style="1631" customWidth="1"/>
    <col min="4800" max="4864" width="9.140625" style="1631"/>
    <col min="4865" max="4865" width="3.7109375" style="1631" customWidth="1"/>
    <col min="4866" max="4866" width="3" style="1631" customWidth="1"/>
    <col min="4867" max="4867" width="3.28515625" style="1631" customWidth="1"/>
    <col min="4868" max="4868" width="0.85546875" style="1631" customWidth="1"/>
    <col min="4869" max="4869" width="3.28515625" style="1631" customWidth="1"/>
    <col min="4870" max="4870" width="0.5703125" style="1631" customWidth="1"/>
    <col min="4871" max="4871" width="6.7109375" style="1631" customWidth="1"/>
    <col min="4872" max="4872" width="0.85546875" style="1631" customWidth="1"/>
    <col min="4873" max="4874" width="3.7109375" style="1631" customWidth="1"/>
    <col min="4875" max="4875" width="4" style="1631" customWidth="1"/>
    <col min="4876" max="4876" width="2.7109375" style="1631" customWidth="1"/>
    <col min="4877" max="4903" width="3.7109375" style="1631" customWidth="1"/>
    <col min="4904" max="4904" width="3.85546875" style="1631" customWidth="1"/>
    <col min="4905" max="4905" width="1.28515625" style="1631" customWidth="1"/>
    <col min="4906" max="4906" width="3.7109375" style="1631" customWidth="1"/>
    <col min="4907" max="4961" width="2.85546875" style="1631" customWidth="1"/>
    <col min="4962" max="5055" width="3.85546875" style="1631" customWidth="1"/>
    <col min="5056" max="5120" width="9.140625" style="1631"/>
    <col min="5121" max="5121" width="3.7109375" style="1631" customWidth="1"/>
    <col min="5122" max="5122" width="3" style="1631" customWidth="1"/>
    <col min="5123" max="5123" width="3.28515625" style="1631" customWidth="1"/>
    <col min="5124" max="5124" width="0.85546875" style="1631" customWidth="1"/>
    <col min="5125" max="5125" width="3.28515625" style="1631" customWidth="1"/>
    <col min="5126" max="5126" width="0.5703125" style="1631" customWidth="1"/>
    <col min="5127" max="5127" width="6.7109375" style="1631" customWidth="1"/>
    <col min="5128" max="5128" width="0.85546875" style="1631" customWidth="1"/>
    <col min="5129" max="5130" width="3.7109375" style="1631" customWidth="1"/>
    <col min="5131" max="5131" width="4" style="1631" customWidth="1"/>
    <col min="5132" max="5132" width="2.7109375" style="1631" customWidth="1"/>
    <col min="5133" max="5159" width="3.7109375" style="1631" customWidth="1"/>
    <col min="5160" max="5160" width="3.85546875" style="1631" customWidth="1"/>
    <col min="5161" max="5161" width="1.28515625" style="1631" customWidth="1"/>
    <col min="5162" max="5162" width="3.7109375" style="1631" customWidth="1"/>
    <col min="5163" max="5217" width="2.85546875" style="1631" customWidth="1"/>
    <col min="5218" max="5311" width="3.85546875" style="1631" customWidth="1"/>
    <col min="5312" max="5376" width="9.140625" style="1631"/>
    <col min="5377" max="5377" width="3.7109375" style="1631" customWidth="1"/>
    <col min="5378" max="5378" width="3" style="1631" customWidth="1"/>
    <col min="5379" max="5379" width="3.28515625" style="1631" customWidth="1"/>
    <col min="5380" max="5380" width="0.85546875" style="1631" customWidth="1"/>
    <col min="5381" max="5381" width="3.28515625" style="1631" customWidth="1"/>
    <col min="5382" max="5382" width="0.5703125" style="1631" customWidth="1"/>
    <col min="5383" max="5383" width="6.7109375" style="1631" customWidth="1"/>
    <col min="5384" max="5384" width="0.85546875" style="1631" customWidth="1"/>
    <col min="5385" max="5386" width="3.7109375" style="1631" customWidth="1"/>
    <col min="5387" max="5387" width="4" style="1631" customWidth="1"/>
    <col min="5388" max="5388" width="2.7109375" style="1631" customWidth="1"/>
    <col min="5389" max="5415" width="3.7109375" style="1631" customWidth="1"/>
    <col min="5416" max="5416" width="3.85546875" style="1631" customWidth="1"/>
    <col min="5417" max="5417" width="1.28515625" style="1631" customWidth="1"/>
    <col min="5418" max="5418" width="3.7109375" style="1631" customWidth="1"/>
    <col min="5419" max="5473" width="2.85546875" style="1631" customWidth="1"/>
    <col min="5474" max="5567" width="3.85546875" style="1631" customWidth="1"/>
    <col min="5568" max="5632" width="9.140625" style="1631"/>
    <col min="5633" max="5633" width="3.7109375" style="1631" customWidth="1"/>
    <col min="5634" max="5634" width="3" style="1631" customWidth="1"/>
    <col min="5635" max="5635" width="3.28515625" style="1631" customWidth="1"/>
    <col min="5636" max="5636" width="0.85546875" style="1631" customWidth="1"/>
    <col min="5637" max="5637" width="3.28515625" style="1631" customWidth="1"/>
    <col min="5638" max="5638" width="0.5703125" style="1631" customWidth="1"/>
    <col min="5639" max="5639" width="6.7109375" style="1631" customWidth="1"/>
    <col min="5640" max="5640" width="0.85546875" style="1631" customWidth="1"/>
    <col min="5641" max="5642" width="3.7109375" style="1631" customWidth="1"/>
    <col min="5643" max="5643" width="4" style="1631" customWidth="1"/>
    <col min="5644" max="5644" width="2.7109375" style="1631" customWidth="1"/>
    <col min="5645" max="5671" width="3.7109375" style="1631" customWidth="1"/>
    <col min="5672" max="5672" width="3.85546875" style="1631" customWidth="1"/>
    <col min="5673" max="5673" width="1.28515625" style="1631" customWidth="1"/>
    <col min="5674" max="5674" width="3.7109375" style="1631" customWidth="1"/>
    <col min="5675" max="5729" width="2.85546875" style="1631" customWidth="1"/>
    <col min="5730" max="5823" width="3.85546875" style="1631" customWidth="1"/>
    <col min="5824" max="5888" width="9.140625" style="1631"/>
    <col min="5889" max="5889" width="3.7109375" style="1631" customWidth="1"/>
    <col min="5890" max="5890" width="3" style="1631" customWidth="1"/>
    <col min="5891" max="5891" width="3.28515625" style="1631" customWidth="1"/>
    <col min="5892" max="5892" width="0.85546875" style="1631" customWidth="1"/>
    <col min="5893" max="5893" width="3.28515625" style="1631" customWidth="1"/>
    <col min="5894" max="5894" width="0.5703125" style="1631" customWidth="1"/>
    <col min="5895" max="5895" width="6.7109375" style="1631" customWidth="1"/>
    <col min="5896" max="5896" width="0.85546875" style="1631" customWidth="1"/>
    <col min="5897" max="5898" width="3.7109375" style="1631" customWidth="1"/>
    <col min="5899" max="5899" width="4" style="1631" customWidth="1"/>
    <col min="5900" max="5900" width="2.7109375" style="1631" customWidth="1"/>
    <col min="5901" max="5927" width="3.7109375" style="1631" customWidth="1"/>
    <col min="5928" max="5928" width="3.85546875" style="1631" customWidth="1"/>
    <col min="5929" max="5929" width="1.28515625" style="1631" customWidth="1"/>
    <col min="5930" max="5930" width="3.7109375" style="1631" customWidth="1"/>
    <col min="5931" max="5985" width="2.85546875" style="1631" customWidth="1"/>
    <col min="5986" max="6079" width="3.85546875" style="1631" customWidth="1"/>
    <col min="6080" max="6144" width="9.140625" style="1631"/>
    <col min="6145" max="6145" width="3.7109375" style="1631" customWidth="1"/>
    <col min="6146" max="6146" width="3" style="1631" customWidth="1"/>
    <col min="6147" max="6147" width="3.28515625" style="1631" customWidth="1"/>
    <col min="6148" max="6148" width="0.85546875" style="1631" customWidth="1"/>
    <col min="6149" max="6149" width="3.28515625" style="1631" customWidth="1"/>
    <col min="6150" max="6150" width="0.5703125" style="1631" customWidth="1"/>
    <col min="6151" max="6151" width="6.7109375" style="1631" customWidth="1"/>
    <col min="6152" max="6152" width="0.85546875" style="1631" customWidth="1"/>
    <col min="6153" max="6154" width="3.7109375" style="1631" customWidth="1"/>
    <col min="6155" max="6155" width="4" style="1631" customWidth="1"/>
    <col min="6156" max="6156" width="2.7109375" style="1631" customWidth="1"/>
    <col min="6157" max="6183" width="3.7109375" style="1631" customWidth="1"/>
    <col min="6184" max="6184" width="3.85546875" style="1631" customWidth="1"/>
    <col min="6185" max="6185" width="1.28515625" style="1631" customWidth="1"/>
    <col min="6186" max="6186" width="3.7109375" style="1631" customWidth="1"/>
    <col min="6187" max="6241" width="2.85546875" style="1631" customWidth="1"/>
    <col min="6242" max="6335" width="3.85546875" style="1631" customWidth="1"/>
    <col min="6336" max="6400" width="9.140625" style="1631"/>
    <col min="6401" max="6401" width="3.7109375" style="1631" customWidth="1"/>
    <col min="6402" max="6402" width="3" style="1631" customWidth="1"/>
    <col min="6403" max="6403" width="3.28515625" style="1631" customWidth="1"/>
    <col min="6404" max="6404" width="0.85546875" style="1631" customWidth="1"/>
    <col min="6405" max="6405" width="3.28515625" style="1631" customWidth="1"/>
    <col min="6406" max="6406" width="0.5703125" style="1631" customWidth="1"/>
    <col min="6407" max="6407" width="6.7109375" style="1631" customWidth="1"/>
    <col min="6408" max="6408" width="0.85546875" style="1631" customWidth="1"/>
    <col min="6409" max="6410" width="3.7109375" style="1631" customWidth="1"/>
    <col min="6411" max="6411" width="4" style="1631" customWidth="1"/>
    <col min="6412" max="6412" width="2.7109375" style="1631" customWidth="1"/>
    <col min="6413" max="6439" width="3.7109375" style="1631" customWidth="1"/>
    <col min="6440" max="6440" width="3.85546875" style="1631" customWidth="1"/>
    <col min="6441" max="6441" width="1.28515625" style="1631" customWidth="1"/>
    <col min="6442" max="6442" width="3.7109375" style="1631" customWidth="1"/>
    <col min="6443" max="6497" width="2.85546875" style="1631" customWidth="1"/>
    <col min="6498" max="6591" width="3.85546875" style="1631" customWidth="1"/>
    <col min="6592" max="6656" width="9.140625" style="1631"/>
    <col min="6657" max="6657" width="3.7109375" style="1631" customWidth="1"/>
    <col min="6658" max="6658" width="3" style="1631" customWidth="1"/>
    <col min="6659" max="6659" width="3.28515625" style="1631" customWidth="1"/>
    <col min="6660" max="6660" width="0.85546875" style="1631" customWidth="1"/>
    <col min="6661" max="6661" width="3.28515625" style="1631" customWidth="1"/>
    <col min="6662" max="6662" width="0.5703125" style="1631" customWidth="1"/>
    <col min="6663" max="6663" width="6.7109375" style="1631" customWidth="1"/>
    <col min="6664" max="6664" width="0.85546875" style="1631" customWidth="1"/>
    <col min="6665" max="6666" width="3.7109375" style="1631" customWidth="1"/>
    <col min="6667" max="6667" width="4" style="1631" customWidth="1"/>
    <col min="6668" max="6668" width="2.7109375" style="1631" customWidth="1"/>
    <col min="6669" max="6695" width="3.7109375" style="1631" customWidth="1"/>
    <col min="6696" max="6696" width="3.85546875" style="1631" customWidth="1"/>
    <col min="6697" max="6697" width="1.28515625" style="1631" customWidth="1"/>
    <col min="6698" max="6698" width="3.7109375" style="1631" customWidth="1"/>
    <col min="6699" max="6753" width="2.85546875" style="1631" customWidth="1"/>
    <col min="6754" max="6847" width="3.85546875" style="1631" customWidth="1"/>
    <col min="6848" max="6912" width="9.140625" style="1631"/>
    <col min="6913" max="6913" width="3.7109375" style="1631" customWidth="1"/>
    <col min="6914" max="6914" width="3" style="1631" customWidth="1"/>
    <col min="6915" max="6915" width="3.28515625" style="1631" customWidth="1"/>
    <col min="6916" max="6916" width="0.85546875" style="1631" customWidth="1"/>
    <col min="6917" max="6917" width="3.28515625" style="1631" customWidth="1"/>
    <col min="6918" max="6918" width="0.5703125" style="1631" customWidth="1"/>
    <col min="6919" max="6919" width="6.7109375" style="1631" customWidth="1"/>
    <col min="6920" max="6920" width="0.85546875" style="1631" customWidth="1"/>
    <col min="6921" max="6922" width="3.7109375" style="1631" customWidth="1"/>
    <col min="6923" max="6923" width="4" style="1631" customWidth="1"/>
    <col min="6924" max="6924" width="2.7109375" style="1631" customWidth="1"/>
    <col min="6925" max="6951" width="3.7109375" style="1631" customWidth="1"/>
    <col min="6952" max="6952" width="3.85546875" style="1631" customWidth="1"/>
    <col min="6953" max="6953" width="1.28515625" style="1631" customWidth="1"/>
    <col min="6954" max="6954" width="3.7109375" style="1631" customWidth="1"/>
    <col min="6955" max="7009" width="2.85546875" style="1631" customWidth="1"/>
    <col min="7010" max="7103" width="3.85546875" style="1631" customWidth="1"/>
    <col min="7104" max="7168" width="9.140625" style="1631"/>
    <col min="7169" max="7169" width="3.7109375" style="1631" customWidth="1"/>
    <col min="7170" max="7170" width="3" style="1631" customWidth="1"/>
    <col min="7171" max="7171" width="3.28515625" style="1631" customWidth="1"/>
    <col min="7172" max="7172" width="0.85546875" style="1631" customWidth="1"/>
    <col min="7173" max="7173" width="3.28515625" style="1631" customWidth="1"/>
    <col min="7174" max="7174" width="0.5703125" style="1631" customWidth="1"/>
    <col min="7175" max="7175" width="6.7109375" style="1631" customWidth="1"/>
    <col min="7176" max="7176" width="0.85546875" style="1631" customWidth="1"/>
    <col min="7177" max="7178" width="3.7109375" style="1631" customWidth="1"/>
    <col min="7179" max="7179" width="4" style="1631" customWidth="1"/>
    <col min="7180" max="7180" width="2.7109375" style="1631" customWidth="1"/>
    <col min="7181" max="7207" width="3.7109375" style="1631" customWidth="1"/>
    <col min="7208" max="7208" width="3.85546875" style="1631" customWidth="1"/>
    <col min="7209" max="7209" width="1.28515625" style="1631" customWidth="1"/>
    <col min="7210" max="7210" width="3.7109375" style="1631" customWidth="1"/>
    <col min="7211" max="7265" width="2.85546875" style="1631" customWidth="1"/>
    <col min="7266" max="7359" width="3.85546875" style="1631" customWidth="1"/>
    <col min="7360" max="7424" width="9.140625" style="1631"/>
    <col min="7425" max="7425" width="3.7109375" style="1631" customWidth="1"/>
    <col min="7426" max="7426" width="3" style="1631" customWidth="1"/>
    <col min="7427" max="7427" width="3.28515625" style="1631" customWidth="1"/>
    <col min="7428" max="7428" width="0.85546875" style="1631" customWidth="1"/>
    <col min="7429" max="7429" width="3.28515625" style="1631" customWidth="1"/>
    <col min="7430" max="7430" width="0.5703125" style="1631" customWidth="1"/>
    <col min="7431" max="7431" width="6.7109375" style="1631" customWidth="1"/>
    <col min="7432" max="7432" width="0.85546875" style="1631" customWidth="1"/>
    <col min="7433" max="7434" width="3.7109375" style="1631" customWidth="1"/>
    <col min="7435" max="7435" width="4" style="1631" customWidth="1"/>
    <col min="7436" max="7436" width="2.7109375" style="1631" customWidth="1"/>
    <col min="7437" max="7463" width="3.7109375" style="1631" customWidth="1"/>
    <col min="7464" max="7464" width="3.85546875" style="1631" customWidth="1"/>
    <col min="7465" max="7465" width="1.28515625" style="1631" customWidth="1"/>
    <col min="7466" max="7466" width="3.7109375" style="1631" customWidth="1"/>
    <col min="7467" max="7521" width="2.85546875" style="1631" customWidth="1"/>
    <col min="7522" max="7615" width="3.85546875" style="1631" customWidth="1"/>
    <col min="7616" max="7680" width="9.140625" style="1631"/>
    <col min="7681" max="7681" width="3.7109375" style="1631" customWidth="1"/>
    <col min="7682" max="7682" width="3" style="1631" customWidth="1"/>
    <col min="7683" max="7683" width="3.28515625" style="1631" customWidth="1"/>
    <col min="7684" max="7684" width="0.85546875" style="1631" customWidth="1"/>
    <col min="7685" max="7685" width="3.28515625" style="1631" customWidth="1"/>
    <col min="7686" max="7686" width="0.5703125" style="1631" customWidth="1"/>
    <col min="7687" max="7687" width="6.7109375" style="1631" customWidth="1"/>
    <col min="7688" max="7688" width="0.85546875" style="1631" customWidth="1"/>
    <col min="7689" max="7690" width="3.7109375" style="1631" customWidth="1"/>
    <col min="7691" max="7691" width="4" style="1631" customWidth="1"/>
    <col min="7692" max="7692" width="2.7109375" style="1631" customWidth="1"/>
    <col min="7693" max="7719" width="3.7109375" style="1631" customWidth="1"/>
    <col min="7720" max="7720" width="3.85546875" style="1631" customWidth="1"/>
    <col min="7721" max="7721" width="1.28515625" style="1631" customWidth="1"/>
    <col min="7722" max="7722" width="3.7109375" style="1631" customWidth="1"/>
    <col min="7723" max="7777" width="2.85546875" style="1631" customWidth="1"/>
    <col min="7778" max="7871" width="3.85546875" style="1631" customWidth="1"/>
    <col min="7872" max="7936" width="9.140625" style="1631"/>
    <col min="7937" max="7937" width="3.7109375" style="1631" customWidth="1"/>
    <col min="7938" max="7938" width="3" style="1631" customWidth="1"/>
    <col min="7939" max="7939" width="3.28515625" style="1631" customWidth="1"/>
    <col min="7940" max="7940" width="0.85546875" style="1631" customWidth="1"/>
    <col min="7941" max="7941" width="3.28515625" style="1631" customWidth="1"/>
    <col min="7942" max="7942" width="0.5703125" style="1631" customWidth="1"/>
    <col min="7943" max="7943" width="6.7109375" style="1631" customWidth="1"/>
    <col min="7944" max="7944" width="0.85546875" style="1631" customWidth="1"/>
    <col min="7945" max="7946" width="3.7109375" style="1631" customWidth="1"/>
    <col min="7947" max="7947" width="4" style="1631" customWidth="1"/>
    <col min="7948" max="7948" width="2.7109375" style="1631" customWidth="1"/>
    <col min="7949" max="7975" width="3.7109375" style="1631" customWidth="1"/>
    <col min="7976" max="7976" width="3.85546875" style="1631" customWidth="1"/>
    <col min="7977" max="7977" width="1.28515625" style="1631" customWidth="1"/>
    <col min="7978" max="7978" width="3.7109375" style="1631" customWidth="1"/>
    <col min="7979" max="8033" width="2.85546875" style="1631" customWidth="1"/>
    <col min="8034" max="8127" width="3.85546875" style="1631" customWidth="1"/>
    <col min="8128" max="8192" width="9.140625" style="1631"/>
    <col min="8193" max="8193" width="3.7109375" style="1631" customWidth="1"/>
    <col min="8194" max="8194" width="3" style="1631" customWidth="1"/>
    <col min="8195" max="8195" width="3.28515625" style="1631" customWidth="1"/>
    <col min="8196" max="8196" width="0.85546875" style="1631" customWidth="1"/>
    <col min="8197" max="8197" width="3.28515625" style="1631" customWidth="1"/>
    <col min="8198" max="8198" width="0.5703125" style="1631" customWidth="1"/>
    <col min="8199" max="8199" width="6.7109375" style="1631" customWidth="1"/>
    <col min="8200" max="8200" width="0.85546875" style="1631" customWidth="1"/>
    <col min="8201" max="8202" width="3.7109375" style="1631" customWidth="1"/>
    <col min="8203" max="8203" width="4" style="1631" customWidth="1"/>
    <col min="8204" max="8204" width="2.7109375" style="1631" customWidth="1"/>
    <col min="8205" max="8231" width="3.7109375" style="1631" customWidth="1"/>
    <col min="8232" max="8232" width="3.85546875" style="1631" customWidth="1"/>
    <col min="8233" max="8233" width="1.28515625" style="1631" customWidth="1"/>
    <col min="8234" max="8234" width="3.7109375" style="1631" customWidth="1"/>
    <col min="8235" max="8289" width="2.85546875" style="1631" customWidth="1"/>
    <col min="8290" max="8383" width="3.85546875" style="1631" customWidth="1"/>
    <col min="8384" max="8448" width="9.140625" style="1631"/>
    <col min="8449" max="8449" width="3.7109375" style="1631" customWidth="1"/>
    <col min="8450" max="8450" width="3" style="1631" customWidth="1"/>
    <col min="8451" max="8451" width="3.28515625" style="1631" customWidth="1"/>
    <col min="8452" max="8452" width="0.85546875" style="1631" customWidth="1"/>
    <col min="8453" max="8453" width="3.28515625" style="1631" customWidth="1"/>
    <col min="8454" max="8454" width="0.5703125" style="1631" customWidth="1"/>
    <col min="8455" max="8455" width="6.7109375" style="1631" customWidth="1"/>
    <col min="8456" max="8456" width="0.85546875" style="1631" customWidth="1"/>
    <col min="8457" max="8458" width="3.7109375" style="1631" customWidth="1"/>
    <col min="8459" max="8459" width="4" style="1631" customWidth="1"/>
    <col min="8460" max="8460" width="2.7109375" style="1631" customWidth="1"/>
    <col min="8461" max="8487" width="3.7109375" style="1631" customWidth="1"/>
    <col min="8488" max="8488" width="3.85546875" style="1631" customWidth="1"/>
    <col min="8489" max="8489" width="1.28515625" style="1631" customWidth="1"/>
    <col min="8490" max="8490" width="3.7109375" style="1631" customWidth="1"/>
    <col min="8491" max="8545" width="2.85546875" style="1631" customWidth="1"/>
    <col min="8546" max="8639" width="3.85546875" style="1631" customWidth="1"/>
    <col min="8640" max="8704" width="9.140625" style="1631"/>
    <col min="8705" max="8705" width="3.7109375" style="1631" customWidth="1"/>
    <col min="8706" max="8706" width="3" style="1631" customWidth="1"/>
    <col min="8707" max="8707" width="3.28515625" style="1631" customWidth="1"/>
    <col min="8708" max="8708" width="0.85546875" style="1631" customWidth="1"/>
    <col min="8709" max="8709" width="3.28515625" style="1631" customWidth="1"/>
    <col min="8710" max="8710" width="0.5703125" style="1631" customWidth="1"/>
    <col min="8711" max="8711" width="6.7109375" style="1631" customWidth="1"/>
    <col min="8712" max="8712" width="0.85546875" style="1631" customWidth="1"/>
    <col min="8713" max="8714" width="3.7109375" style="1631" customWidth="1"/>
    <col min="8715" max="8715" width="4" style="1631" customWidth="1"/>
    <col min="8716" max="8716" width="2.7109375" style="1631" customWidth="1"/>
    <col min="8717" max="8743" width="3.7109375" style="1631" customWidth="1"/>
    <col min="8744" max="8744" width="3.85546875" style="1631" customWidth="1"/>
    <col min="8745" max="8745" width="1.28515625" style="1631" customWidth="1"/>
    <col min="8746" max="8746" width="3.7109375" style="1631" customWidth="1"/>
    <col min="8747" max="8801" width="2.85546875" style="1631" customWidth="1"/>
    <col min="8802" max="8895" width="3.85546875" style="1631" customWidth="1"/>
    <col min="8896" max="8960" width="9.140625" style="1631"/>
    <col min="8961" max="8961" width="3.7109375" style="1631" customWidth="1"/>
    <col min="8962" max="8962" width="3" style="1631" customWidth="1"/>
    <col min="8963" max="8963" width="3.28515625" style="1631" customWidth="1"/>
    <col min="8964" max="8964" width="0.85546875" style="1631" customWidth="1"/>
    <col min="8965" max="8965" width="3.28515625" style="1631" customWidth="1"/>
    <col min="8966" max="8966" width="0.5703125" style="1631" customWidth="1"/>
    <col min="8967" max="8967" width="6.7109375" style="1631" customWidth="1"/>
    <col min="8968" max="8968" width="0.85546875" style="1631" customWidth="1"/>
    <col min="8969" max="8970" width="3.7109375" style="1631" customWidth="1"/>
    <col min="8971" max="8971" width="4" style="1631" customWidth="1"/>
    <col min="8972" max="8972" width="2.7109375" style="1631" customWidth="1"/>
    <col min="8973" max="8999" width="3.7109375" style="1631" customWidth="1"/>
    <col min="9000" max="9000" width="3.85546875" style="1631" customWidth="1"/>
    <col min="9001" max="9001" width="1.28515625" style="1631" customWidth="1"/>
    <col min="9002" max="9002" width="3.7109375" style="1631" customWidth="1"/>
    <col min="9003" max="9057" width="2.85546875" style="1631" customWidth="1"/>
    <col min="9058" max="9151" width="3.85546875" style="1631" customWidth="1"/>
    <col min="9152" max="9216" width="9.140625" style="1631"/>
    <col min="9217" max="9217" width="3.7109375" style="1631" customWidth="1"/>
    <col min="9218" max="9218" width="3" style="1631" customWidth="1"/>
    <col min="9219" max="9219" width="3.28515625" style="1631" customWidth="1"/>
    <col min="9220" max="9220" width="0.85546875" style="1631" customWidth="1"/>
    <col min="9221" max="9221" width="3.28515625" style="1631" customWidth="1"/>
    <col min="9222" max="9222" width="0.5703125" style="1631" customWidth="1"/>
    <col min="9223" max="9223" width="6.7109375" style="1631" customWidth="1"/>
    <col min="9224" max="9224" width="0.85546875" style="1631" customWidth="1"/>
    <col min="9225" max="9226" width="3.7109375" style="1631" customWidth="1"/>
    <col min="9227" max="9227" width="4" style="1631" customWidth="1"/>
    <col min="9228" max="9228" width="2.7109375" style="1631" customWidth="1"/>
    <col min="9229" max="9255" width="3.7109375" style="1631" customWidth="1"/>
    <col min="9256" max="9256" width="3.85546875" style="1631" customWidth="1"/>
    <col min="9257" max="9257" width="1.28515625" style="1631" customWidth="1"/>
    <col min="9258" max="9258" width="3.7109375" style="1631" customWidth="1"/>
    <col min="9259" max="9313" width="2.85546875" style="1631" customWidth="1"/>
    <col min="9314" max="9407" width="3.85546875" style="1631" customWidth="1"/>
    <col min="9408" max="9472" width="9.140625" style="1631"/>
    <col min="9473" max="9473" width="3.7109375" style="1631" customWidth="1"/>
    <col min="9474" max="9474" width="3" style="1631" customWidth="1"/>
    <col min="9475" max="9475" width="3.28515625" style="1631" customWidth="1"/>
    <col min="9476" max="9476" width="0.85546875" style="1631" customWidth="1"/>
    <col min="9477" max="9477" width="3.28515625" style="1631" customWidth="1"/>
    <col min="9478" max="9478" width="0.5703125" style="1631" customWidth="1"/>
    <col min="9479" max="9479" width="6.7109375" style="1631" customWidth="1"/>
    <col min="9480" max="9480" width="0.85546875" style="1631" customWidth="1"/>
    <col min="9481" max="9482" width="3.7109375" style="1631" customWidth="1"/>
    <col min="9483" max="9483" width="4" style="1631" customWidth="1"/>
    <col min="9484" max="9484" width="2.7109375" style="1631" customWidth="1"/>
    <col min="9485" max="9511" width="3.7109375" style="1631" customWidth="1"/>
    <col min="9512" max="9512" width="3.85546875" style="1631" customWidth="1"/>
    <col min="9513" max="9513" width="1.28515625" style="1631" customWidth="1"/>
    <col min="9514" max="9514" width="3.7109375" style="1631" customWidth="1"/>
    <col min="9515" max="9569" width="2.85546875" style="1631" customWidth="1"/>
    <col min="9570" max="9663" width="3.85546875" style="1631" customWidth="1"/>
    <col min="9664" max="9728" width="9.140625" style="1631"/>
    <col min="9729" max="9729" width="3.7109375" style="1631" customWidth="1"/>
    <col min="9730" max="9730" width="3" style="1631" customWidth="1"/>
    <col min="9731" max="9731" width="3.28515625" style="1631" customWidth="1"/>
    <col min="9732" max="9732" width="0.85546875" style="1631" customWidth="1"/>
    <col min="9733" max="9733" width="3.28515625" style="1631" customWidth="1"/>
    <col min="9734" max="9734" width="0.5703125" style="1631" customWidth="1"/>
    <col min="9735" max="9735" width="6.7109375" style="1631" customWidth="1"/>
    <col min="9736" max="9736" width="0.85546875" style="1631" customWidth="1"/>
    <col min="9737" max="9738" width="3.7109375" style="1631" customWidth="1"/>
    <col min="9739" max="9739" width="4" style="1631" customWidth="1"/>
    <col min="9740" max="9740" width="2.7109375" style="1631" customWidth="1"/>
    <col min="9741" max="9767" width="3.7109375" style="1631" customWidth="1"/>
    <col min="9768" max="9768" width="3.85546875" style="1631" customWidth="1"/>
    <col min="9769" max="9769" width="1.28515625" style="1631" customWidth="1"/>
    <col min="9770" max="9770" width="3.7109375" style="1631" customWidth="1"/>
    <col min="9771" max="9825" width="2.85546875" style="1631" customWidth="1"/>
    <col min="9826" max="9919" width="3.85546875" style="1631" customWidth="1"/>
    <col min="9920" max="9984" width="9.140625" style="1631"/>
    <col min="9985" max="9985" width="3.7109375" style="1631" customWidth="1"/>
    <col min="9986" max="9986" width="3" style="1631" customWidth="1"/>
    <col min="9987" max="9987" width="3.28515625" style="1631" customWidth="1"/>
    <col min="9988" max="9988" width="0.85546875" style="1631" customWidth="1"/>
    <col min="9989" max="9989" width="3.28515625" style="1631" customWidth="1"/>
    <col min="9990" max="9990" width="0.5703125" style="1631" customWidth="1"/>
    <col min="9991" max="9991" width="6.7109375" style="1631" customWidth="1"/>
    <col min="9992" max="9992" width="0.85546875" style="1631" customWidth="1"/>
    <col min="9993" max="9994" width="3.7109375" style="1631" customWidth="1"/>
    <col min="9995" max="9995" width="4" style="1631" customWidth="1"/>
    <col min="9996" max="9996" width="2.7109375" style="1631" customWidth="1"/>
    <col min="9997" max="10023" width="3.7109375" style="1631" customWidth="1"/>
    <col min="10024" max="10024" width="3.85546875" style="1631" customWidth="1"/>
    <col min="10025" max="10025" width="1.28515625" style="1631" customWidth="1"/>
    <col min="10026" max="10026" width="3.7109375" style="1631" customWidth="1"/>
    <col min="10027" max="10081" width="2.85546875" style="1631" customWidth="1"/>
    <col min="10082" max="10175" width="3.85546875" style="1631" customWidth="1"/>
    <col min="10176" max="10240" width="9.140625" style="1631"/>
    <col min="10241" max="10241" width="3.7109375" style="1631" customWidth="1"/>
    <col min="10242" max="10242" width="3" style="1631" customWidth="1"/>
    <col min="10243" max="10243" width="3.28515625" style="1631" customWidth="1"/>
    <col min="10244" max="10244" width="0.85546875" style="1631" customWidth="1"/>
    <col min="10245" max="10245" width="3.28515625" style="1631" customWidth="1"/>
    <col min="10246" max="10246" width="0.5703125" style="1631" customWidth="1"/>
    <col min="10247" max="10247" width="6.7109375" style="1631" customWidth="1"/>
    <col min="10248" max="10248" width="0.85546875" style="1631" customWidth="1"/>
    <col min="10249" max="10250" width="3.7109375" style="1631" customWidth="1"/>
    <col min="10251" max="10251" width="4" style="1631" customWidth="1"/>
    <col min="10252" max="10252" width="2.7109375" style="1631" customWidth="1"/>
    <col min="10253" max="10279" width="3.7109375" style="1631" customWidth="1"/>
    <col min="10280" max="10280" width="3.85546875" style="1631" customWidth="1"/>
    <col min="10281" max="10281" width="1.28515625" style="1631" customWidth="1"/>
    <col min="10282" max="10282" width="3.7109375" style="1631" customWidth="1"/>
    <col min="10283" max="10337" width="2.85546875" style="1631" customWidth="1"/>
    <col min="10338" max="10431" width="3.85546875" style="1631" customWidth="1"/>
    <col min="10432" max="10496" width="9.140625" style="1631"/>
    <col min="10497" max="10497" width="3.7109375" style="1631" customWidth="1"/>
    <col min="10498" max="10498" width="3" style="1631" customWidth="1"/>
    <col min="10499" max="10499" width="3.28515625" style="1631" customWidth="1"/>
    <col min="10500" max="10500" width="0.85546875" style="1631" customWidth="1"/>
    <col min="10501" max="10501" width="3.28515625" style="1631" customWidth="1"/>
    <col min="10502" max="10502" width="0.5703125" style="1631" customWidth="1"/>
    <col min="10503" max="10503" width="6.7109375" style="1631" customWidth="1"/>
    <col min="10504" max="10504" width="0.85546875" style="1631" customWidth="1"/>
    <col min="10505" max="10506" width="3.7109375" style="1631" customWidth="1"/>
    <col min="10507" max="10507" width="4" style="1631" customWidth="1"/>
    <col min="10508" max="10508" width="2.7109375" style="1631" customWidth="1"/>
    <col min="10509" max="10535" width="3.7109375" style="1631" customWidth="1"/>
    <col min="10536" max="10536" width="3.85546875" style="1631" customWidth="1"/>
    <col min="10537" max="10537" width="1.28515625" style="1631" customWidth="1"/>
    <col min="10538" max="10538" width="3.7109375" style="1631" customWidth="1"/>
    <col min="10539" max="10593" width="2.85546875" style="1631" customWidth="1"/>
    <col min="10594" max="10687" width="3.85546875" style="1631" customWidth="1"/>
    <col min="10688" max="10752" width="9.140625" style="1631"/>
    <col min="10753" max="10753" width="3.7109375" style="1631" customWidth="1"/>
    <col min="10754" max="10754" width="3" style="1631" customWidth="1"/>
    <col min="10755" max="10755" width="3.28515625" style="1631" customWidth="1"/>
    <col min="10756" max="10756" width="0.85546875" style="1631" customWidth="1"/>
    <col min="10757" max="10757" width="3.28515625" style="1631" customWidth="1"/>
    <col min="10758" max="10758" width="0.5703125" style="1631" customWidth="1"/>
    <col min="10759" max="10759" width="6.7109375" style="1631" customWidth="1"/>
    <col min="10760" max="10760" width="0.85546875" style="1631" customWidth="1"/>
    <col min="10761" max="10762" width="3.7109375" style="1631" customWidth="1"/>
    <col min="10763" max="10763" width="4" style="1631" customWidth="1"/>
    <col min="10764" max="10764" width="2.7109375" style="1631" customWidth="1"/>
    <col min="10765" max="10791" width="3.7109375" style="1631" customWidth="1"/>
    <col min="10792" max="10792" width="3.85546875" style="1631" customWidth="1"/>
    <col min="10793" max="10793" width="1.28515625" style="1631" customWidth="1"/>
    <col min="10794" max="10794" width="3.7109375" style="1631" customWidth="1"/>
    <col min="10795" max="10849" width="2.85546875" style="1631" customWidth="1"/>
    <col min="10850" max="10943" width="3.85546875" style="1631" customWidth="1"/>
    <col min="10944" max="11008" width="9.140625" style="1631"/>
    <col min="11009" max="11009" width="3.7109375" style="1631" customWidth="1"/>
    <col min="11010" max="11010" width="3" style="1631" customWidth="1"/>
    <col min="11011" max="11011" width="3.28515625" style="1631" customWidth="1"/>
    <col min="11012" max="11012" width="0.85546875" style="1631" customWidth="1"/>
    <col min="11013" max="11013" width="3.28515625" style="1631" customWidth="1"/>
    <col min="11014" max="11014" width="0.5703125" style="1631" customWidth="1"/>
    <col min="11015" max="11015" width="6.7109375" style="1631" customWidth="1"/>
    <col min="11016" max="11016" width="0.85546875" style="1631" customWidth="1"/>
    <col min="11017" max="11018" width="3.7109375" style="1631" customWidth="1"/>
    <col min="11019" max="11019" width="4" style="1631" customWidth="1"/>
    <col min="11020" max="11020" width="2.7109375" style="1631" customWidth="1"/>
    <col min="11021" max="11047" width="3.7109375" style="1631" customWidth="1"/>
    <col min="11048" max="11048" width="3.85546875" style="1631" customWidth="1"/>
    <col min="11049" max="11049" width="1.28515625" style="1631" customWidth="1"/>
    <col min="11050" max="11050" width="3.7109375" style="1631" customWidth="1"/>
    <col min="11051" max="11105" width="2.85546875" style="1631" customWidth="1"/>
    <col min="11106" max="11199" width="3.85546875" style="1631" customWidth="1"/>
    <col min="11200" max="11264" width="9.140625" style="1631"/>
    <col min="11265" max="11265" width="3.7109375" style="1631" customWidth="1"/>
    <col min="11266" max="11266" width="3" style="1631" customWidth="1"/>
    <col min="11267" max="11267" width="3.28515625" style="1631" customWidth="1"/>
    <col min="11268" max="11268" width="0.85546875" style="1631" customWidth="1"/>
    <col min="11269" max="11269" width="3.28515625" style="1631" customWidth="1"/>
    <col min="11270" max="11270" width="0.5703125" style="1631" customWidth="1"/>
    <col min="11271" max="11271" width="6.7109375" style="1631" customWidth="1"/>
    <col min="11272" max="11272" width="0.85546875" style="1631" customWidth="1"/>
    <col min="11273" max="11274" width="3.7109375" style="1631" customWidth="1"/>
    <col min="11275" max="11275" width="4" style="1631" customWidth="1"/>
    <col min="11276" max="11276" width="2.7109375" style="1631" customWidth="1"/>
    <col min="11277" max="11303" width="3.7109375" style="1631" customWidth="1"/>
    <col min="11304" max="11304" width="3.85546875" style="1631" customWidth="1"/>
    <col min="11305" max="11305" width="1.28515625" style="1631" customWidth="1"/>
    <col min="11306" max="11306" width="3.7109375" style="1631" customWidth="1"/>
    <col min="11307" max="11361" width="2.85546875" style="1631" customWidth="1"/>
    <col min="11362" max="11455" width="3.85546875" style="1631" customWidth="1"/>
    <col min="11456" max="11520" width="9.140625" style="1631"/>
    <col min="11521" max="11521" width="3.7109375" style="1631" customWidth="1"/>
    <col min="11522" max="11522" width="3" style="1631" customWidth="1"/>
    <col min="11523" max="11523" width="3.28515625" style="1631" customWidth="1"/>
    <col min="11524" max="11524" width="0.85546875" style="1631" customWidth="1"/>
    <col min="11525" max="11525" width="3.28515625" style="1631" customWidth="1"/>
    <col min="11526" max="11526" width="0.5703125" style="1631" customWidth="1"/>
    <col min="11527" max="11527" width="6.7109375" style="1631" customWidth="1"/>
    <col min="11528" max="11528" width="0.85546875" style="1631" customWidth="1"/>
    <col min="11529" max="11530" width="3.7109375" style="1631" customWidth="1"/>
    <col min="11531" max="11531" width="4" style="1631" customWidth="1"/>
    <col min="11532" max="11532" width="2.7109375" style="1631" customWidth="1"/>
    <col min="11533" max="11559" width="3.7109375" style="1631" customWidth="1"/>
    <col min="11560" max="11560" width="3.85546875" style="1631" customWidth="1"/>
    <col min="11561" max="11561" width="1.28515625" style="1631" customWidth="1"/>
    <col min="11562" max="11562" width="3.7109375" style="1631" customWidth="1"/>
    <col min="11563" max="11617" width="2.85546875" style="1631" customWidth="1"/>
    <col min="11618" max="11711" width="3.85546875" style="1631" customWidth="1"/>
    <col min="11712" max="11776" width="9.140625" style="1631"/>
    <col min="11777" max="11777" width="3.7109375" style="1631" customWidth="1"/>
    <col min="11778" max="11778" width="3" style="1631" customWidth="1"/>
    <col min="11779" max="11779" width="3.28515625" style="1631" customWidth="1"/>
    <col min="11780" max="11780" width="0.85546875" style="1631" customWidth="1"/>
    <col min="11781" max="11781" width="3.28515625" style="1631" customWidth="1"/>
    <col min="11782" max="11782" width="0.5703125" style="1631" customWidth="1"/>
    <col min="11783" max="11783" width="6.7109375" style="1631" customWidth="1"/>
    <col min="11784" max="11784" width="0.85546875" style="1631" customWidth="1"/>
    <col min="11785" max="11786" width="3.7109375" style="1631" customWidth="1"/>
    <col min="11787" max="11787" width="4" style="1631" customWidth="1"/>
    <col min="11788" max="11788" width="2.7109375" style="1631" customWidth="1"/>
    <col min="11789" max="11815" width="3.7109375" style="1631" customWidth="1"/>
    <col min="11816" max="11816" width="3.85546875" style="1631" customWidth="1"/>
    <col min="11817" max="11817" width="1.28515625" style="1631" customWidth="1"/>
    <col min="11818" max="11818" width="3.7109375" style="1631" customWidth="1"/>
    <col min="11819" max="11873" width="2.85546875" style="1631" customWidth="1"/>
    <col min="11874" max="11967" width="3.85546875" style="1631" customWidth="1"/>
    <col min="11968" max="12032" width="9.140625" style="1631"/>
    <col min="12033" max="12033" width="3.7109375" style="1631" customWidth="1"/>
    <col min="12034" max="12034" width="3" style="1631" customWidth="1"/>
    <col min="12035" max="12035" width="3.28515625" style="1631" customWidth="1"/>
    <col min="12036" max="12036" width="0.85546875" style="1631" customWidth="1"/>
    <col min="12037" max="12037" width="3.28515625" style="1631" customWidth="1"/>
    <col min="12038" max="12038" width="0.5703125" style="1631" customWidth="1"/>
    <col min="12039" max="12039" width="6.7109375" style="1631" customWidth="1"/>
    <col min="12040" max="12040" width="0.85546875" style="1631" customWidth="1"/>
    <col min="12041" max="12042" width="3.7109375" style="1631" customWidth="1"/>
    <col min="12043" max="12043" width="4" style="1631" customWidth="1"/>
    <col min="12044" max="12044" width="2.7109375" style="1631" customWidth="1"/>
    <col min="12045" max="12071" width="3.7109375" style="1631" customWidth="1"/>
    <col min="12072" max="12072" width="3.85546875" style="1631" customWidth="1"/>
    <col min="12073" max="12073" width="1.28515625" style="1631" customWidth="1"/>
    <col min="12074" max="12074" width="3.7109375" style="1631" customWidth="1"/>
    <col min="12075" max="12129" width="2.85546875" style="1631" customWidth="1"/>
    <col min="12130" max="12223" width="3.85546875" style="1631" customWidth="1"/>
    <col min="12224" max="12288" width="9.140625" style="1631"/>
    <col min="12289" max="12289" width="3.7109375" style="1631" customWidth="1"/>
    <col min="12290" max="12290" width="3" style="1631" customWidth="1"/>
    <col min="12291" max="12291" width="3.28515625" style="1631" customWidth="1"/>
    <col min="12292" max="12292" width="0.85546875" style="1631" customWidth="1"/>
    <col min="12293" max="12293" width="3.28515625" style="1631" customWidth="1"/>
    <col min="12294" max="12294" width="0.5703125" style="1631" customWidth="1"/>
    <col min="12295" max="12295" width="6.7109375" style="1631" customWidth="1"/>
    <col min="12296" max="12296" width="0.85546875" style="1631" customWidth="1"/>
    <col min="12297" max="12298" width="3.7109375" style="1631" customWidth="1"/>
    <col min="12299" max="12299" width="4" style="1631" customWidth="1"/>
    <col min="12300" max="12300" width="2.7109375" style="1631" customWidth="1"/>
    <col min="12301" max="12327" width="3.7109375" style="1631" customWidth="1"/>
    <col min="12328" max="12328" width="3.85546875" style="1631" customWidth="1"/>
    <col min="12329" max="12329" width="1.28515625" style="1631" customWidth="1"/>
    <col min="12330" max="12330" width="3.7109375" style="1631" customWidth="1"/>
    <col min="12331" max="12385" width="2.85546875" style="1631" customWidth="1"/>
    <col min="12386" max="12479" width="3.85546875" style="1631" customWidth="1"/>
    <col min="12480" max="12544" width="9.140625" style="1631"/>
    <col min="12545" max="12545" width="3.7109375" style="1631" customWidth="1"/>
    <col min="12546" max="12546" width="3" style="1631" customWidth="1"/>
    <col min="12547" max="12547" width="3.28515625" style="1631" customWidth="1"/>
    <col min="12548" max="12548" width="0.85546875" style="1631" customWidth="1"/>
    <col min="12549" max="12549" width="3.28515625" style="1631" customWidth="1"/>
    <col min="12550" max="12550" width="0.5703125" style="1631" customWidth="1"/>
    <col min="12551" max="12551" width="6.7109375" style="1631" customWidth="1"/>
    <col min="12552" max="12552" width="0.85546875" style="1631" customWidth="1"/>
    <col min="12553" max="12554" width="3.7109375" style="1631" customWidth="1"/>
    <col min="12555" max="12555" width="4" style="1631" customWidth="1"/>
    <col min="12556" max="12556" width="2.7109375" style="1631" customWidth="1"/>
    <col min="12557" max="12583" width="3.7109375" style="1631" customWidth="1"/>
    <col min="12584" max="12584" width="3.85546875" style="1631" customWidth="1"/>
    <col min="12585" max="12585" width="1.28515625" style="1631" customWidth="1"/>
    <col min="12586" max="12586" width="3.7109375" style="1631" customWidth="1"/>
    <col min="12587" max="12641" width="2.85546875" style="1631" customWidth="1"/>
    <col min="12642" max="12735" width="3.85546875" style="1631" customWidth="1"/>
    <col min="12736" max="12800" width="9.140625" style="1631"/>
    <col min="12801" max="12801" width="3.7109375" style="1631" customWidth="1"/>
    <col min="12802" max="12802" width="3" style="1631" customWidth="1"/>
    <col min="12803" max="12803" width="3.28515625" style="1631" customWidth="1"/>
    <col min="12804" max="12804" width="0.85546875" style="1631" customWidth="1"/>
    <col min="12805" max="12805" width="3.28515625" style="1631" customWidth="1"/>
    <col min="12806" max="12806" width="0.5703125" style="1631" customWidth="1"/>
    <col min="12807" max="12807" width="6.7109375" style="1631" customWidth="1"/>
    <col min="12808" max="12808" width="0.85546875" style="1631" customWidth="1"/>
    <col min="12809" max="12810" width="3.7109375" style="1631" customWidth="1"/>
    <col min="12811" max="12811" width="4" style="1631" customWidth="1"/>
    <col min="12812" max="12812" width="2.7109375" style="1631" customWidth="1"/>
    <col min="12813" max="12839" width="3.7109375" style="1631" customWidth="1"/>
    <col min="12840" max="12840" width="3.85546875" style="1631" customWidth="1"/>
    <col min="12841" max="12841" width="1.28515625" style="1631" customWidth="1"/>
    <col min="12842" max="12842" width="3.7109375" style="1631" customWidth="1"/>
    <col min="12843" max="12897" width="2.85546875" style="1631" customWidth="1"/>
    <col min="12898" max="12991" width="3.85546875" style="1631" customWidth="1"/>
    <col min="12992" max="13056" width="9.140625" style="1631"/>
    <col min="13057" max="13057" width="3.7109375" style="1631" customWidth="1"/>
    <col min="13058" max="13058" width="3" style="1631" customWidth="1"/>
    <col min="13059" max="13059" width="3.28515625" style="1631" customWidth="1"/>
    <col min="13060" max="13060" width="0.85546875" style="1631" customWidth="1"/>
    <col min="13061" max="13061" width="3.28515625" style="1631" customWidth="1"/>
    <col min="13062" max="13062" width="0.5703125" style="1631" customWidth="1"/>
    <col min="13063" max="13063" width="6.7109375" style="1631" customWidth="1"/>
    <col min="13064" max="13064" width="0.85546875" style="1631" customWidth="1"/>
    <col min="13065" max="13066" width="3.7109375" style="1631" customWidth="1"/>
    <col min="13067" max="13067" width="4" style="1631" customWidth="1"/>
    <col min="13068" max="13068" width="2.7109375" style="1631" customWidth="1"/>
    <col min="13069" max="13095" width="3.7109375" style="1631" customWidth="1"/>
    <col min="13096" max="13096" width="3.85546875" style="1631" customWidth="1"/>
    <col min="13097" max="13097" width="1.28515625" style="1631" customWidth="1"/>
    <col min="13098" max="13098" width="3.7109375" style="1631" customWidth="1"/>
    <col min="13099" max="13153" width="2.85546875" style="1631" customWidth="1"/>
    <col min="13154" max="13247" width="3.85546875" style="1631" customWidth="1"/>
    <col min="13248" max="13312" width="9.140625" style="1631"/>
    <col min="13313" max="13313" width="3.7109375" style="1631" customWidth="1"/>
    <col min="13314" max="13314" width="3" style="1631" customWidth="1"/>
    <col min="13315" max="13315" width="3.28515625" style="1631" customWidth="1"/>
    <col min="13316" max="13316" width="0.85546875" style="1631" customWidth="1"/>
    <col min="13317" max="13317" width="3.28515625" style="1631" customWidth="1"/>
    <col min="13318" max="13318" width="0.5703125" style="1631" customWidth="1"/>
    <col min="13319" max="13319" width="6.7109375" style="1631" customWidth="1"/>
    <col min="13320" max="13320" width="0.85546875" style="1631" customWidth="1"/>
    <col min="13321" max="13322" width="3.7109375" style="1631" customWidth="1"/>
    <col min="13323" max="13323" width="4" style="1631" customWidth="1"/>
    <col min="13324" max="13324" width="2.7109375" style="1631" customWidth="1"/>
    <col min="13325" max="13351" width="3.7109375" style="1631" customWidth="1"/>
    <col min="13352" max="13352" width="3.85546875" style="1631" customWidth="1"/>
    <col min="13353" max="13353" width="1.28515625" style="1631" customWidth="1"/>
    <col min="13354" max="13354" width="3.7109375" style="1631" customWidth="1"/>
    <col min="13355" max="13409" width="2.85546875" style="1631" customWidth="1"/>
    <col min="13410" max="13503" width="3.85546875" style="1631" customWidth="1"/>
    <col min="13504" max="13568" width="9.140625" style="1631"/>
    <col min="13569" max="13569" width="3.7109375" style="1631" customWidth="1"/>
    <col min="13570" max="13570" width="3" style="1631" customWidth="1"/>
    <col min="13571" max="13571" width="3.28515625" style="1631" customWidth="1"/>
    <col min="13572" max="13572" width="0.85546875" style="1631" customWidth="1"/>
    <col min="13573" max="13573" width="3.28515625" style="1631" customWidth="1"/>
    <col min="13574" max="13574" width="0.5703125" style="1631" customWidth="1"/>
    <col min="13575" max="13575" width="6.7109375" style="1631" customWidth="1"/>
    <col min="13576" max="13576" width="0.85546875" style="1631" customWidth="1"/>
    <col min="13577" max="13578" width="3.7109375" style="1631" customWidth="1"/>
    <col min="13579" max="13579" width="4" style="1631" customWidth="1"/>
    <col min="13580" max="13580" width="2.7109375" style="1631" customWidth="1"/>
    <col min="13581" max="13607" width="3.7109375" style="1631" customWidth="1"/>
    <col min="13608" max="13608" width="3.85546875" style="1631" customWidth="1"/>
    <col min="13609" max="13609" width="1.28515625" style="1631" customWidth="1"/>
    <col min="13610" max="13610" width="3.7109375" style="1631" customWidth="1"/>
    <col min="13611" max="13665" width="2.85546875" style="1631" customWidth="1"/>
    <col min="13666" max="13759" width="3.85546875" style="1631" customWidth="1"/>
    <col min="13760" max="13824" width="9.140625" style="1631"/>
    <col min="13825" max="13825" width="3.7109375" style="1631" customWidth="1"/>
    <col min="13826" max="13826" width="3" style="1631" customWidth="1"/>
    <col min="13827" max="13827" width="3.28515625" style="1631" customWidth="1"/>
    <col min="13828" max="13828" width="0.85546875" style="1631" customWidth="1"/>
    <col min="13829" max="13829" width="3.28515625" style="1631" customWidth="1"/>
    <col min="13830" max="13830" width="0.5703125" style="1631" customWidth="1"/>
    <col min="13831" max="13831" width="6.7109375" style="1631" customWidth="1"/>
    <col min="13832" max="13832" width="0.85546875" style="1631" customWidth="1"/>
    <col min="13833" max="13834" width="3.7109375" style="1631" customWidth="1"/>
    <col min="13835" max="13835" width="4" style="1631" customWidth="1"/>
    <col min="13836" max="13836" width="2.7109375" style="1631" customWidth="1"/>
    <col min="13837" max="13863" width="3.7109375" style="1631" customWidth="1"/>
    <col min="13864" max="13864" width="3.85546875" style="1631" customWidth="1"/>
    <col min="13865" max="13865" width="1.28515625" style="1631" customWidth="1"/>
    <col min="13866" max="13866" width="3.7109375" style="1631" customWidth="1"/>
    <col min="13867" max="13921" width="2.85546875" style="1631" customWidth="1"/>
    <col min="13922" max="14015" width="3.85546875" style="1631" customWidth="1"/>
    <col min="14016" max="14080" width="9.140625" style="1631"/>
    <col min="14081" max="14081" width="3.7109375" style="1631" customWidth="1"/>
    <col min="14082" max="14082" width="3" style="1631" customWidth="1"/>
    <col min="14083" max="14083" width="3.28515625" style="1631" customWidth="1"/>
    <col min="14084" max="14084" width="0.85546875" style="1631" customWidth="1"/>
    <col min="14085" max="14085" width="3.28515625" style="1631" customWidth="1"/>
    <col min="14086" max="14086" width="0.5703125" style="1631" customWidth="1"/>
    <col min="14087" max="14087" width="6.7109375" style="1631" customWidth="1"/>
    <col min="14088" max="14088" width="0.85546875" style="1631" customWidth="1"/>
    <col min="14089" max="14090" width="3.7109375" style="1631" customWidth="1"/>
    <col min="14091" max="14091" width="4" style="1631" customWidth="1"/>
    <col min="14092" max="14092" width="2.7109375" style="1631" customWidth="1"/>
    <col min="14093" max="14119" width="3.7109375" style="1631" customWidth="1"/>
    <col min="14120" max="14120" width="3.85546875" style="1631" customWidth="1"/>
    <col min="14121" max="14121" width="1.28515625" style="1631" customWidth="1"/>
    <col min="14122" max="14122" width="3.7109375" style="1631" customWidth="1"/>
    <col min="14123" max="14177" width="2.85546875" style="1631" customWidth="1"/>
    <col min="14178" max="14271" width="3.85546875" style="1631" customWidth="1"/>
    <col min="14272" max="14336" width="9.140625" style="1631"/>
    <col min="14337" max="14337" width="3.7109375" style="1631" customWidth="1"/>
    <col min="14338" max="14338" width="3" style="1631" customWidth="1"/>
    <col min="14339" max="14339" width="3.28515625" style="1631" customWidth="1"/>
    <col min="14340" max="14340" width="0.85546875" style="1631" customWidth="1"/>
    <col min="14341" max="14341" width="3.28515625" style="1631" customWidth="1"/>
    <col min="14342" max="14342" width="0.5703125" style="1631" customWidth="1"/>
    <col min="14343" max="14343" width="6.7109375" style="1631" customWidth="1"/>
    <col min="14344" max="14344" width="0.85546875" style="1631" customWidth="1"/>
    <col min="14345" max="14346" width="3.7109375" style="1631" customWidth="1"/>
    <col min="14347" max="14347" width="4" style="1631" customWidth="1"/>
    <col min="14348" max="14348" width="2.7109375" style="1631" customWidth="1"/>
    <col min="14349" max="14375" width="3.7109375" style="1631" customWidth="1"/>
    <col min="14376" max="14376" width="3.85546875" style="1631" customWidth="1"/>
    <col min="14377" max="14377" width="1.28515625" style="1631" customWidth="1"/>
    <col min="14378" max="14378" width="3.7109375" style="1631" customWidth="1"/>
    <col min="14379" max="14433" width="2.85546875" style="1631" customWidth="1"/>
    <col min="14434" max="14527" width="3.85546875" style="1631" customWidth="1"/>
    <col min="14528" max="14592" width="9.140625" style="1631"/>
    <col min="14593" max="14593" width="3.7109375" style="1631" customWidth="1"/>
    <col min="14594" max="14594" width="3" style="1631" customWidth="1"/>
    <col min="14595" max="14595" width="3.28515625" style="1631" customWidth="1"/>
    <col min="14596" max="14596" width="0.85546875" style="1631" customWidth="1"/>
    <col min="14597" max="14597" width="3.28515625" style="1631" customWidth="1"/>
    <col min="14598" max="14598" width="0.5703125" style="1631" customWidth="1"/>
    <col min="14599" max="14599" width="6.7109375" style="1631" customWidth="1"/>
    <col min="14600" max="14600" width="0.85546875" style="1631" customWidth="1"/>
    <col min="14601" max="14602" width="3.7109375" style="1631" customWidth="1"/>
    <col min="14603" max="14603" width="4" style="1631" customWidth="1"/>
    <col min="14604" max="14604" width="2.7109375" style="1631" customWidth="1"/>
    <col min="14605" max="14631" width="3.7109375" style="1631" customWidth="1"/>
    <col min="14632" max="14632" width="3.85546875" style="1631" customWidth="1"/>
    <col min="14633" max="14633" width="1.28515625" style="1631" customWidth="1"/>
    <col min="14634" max="14634" width="3.7109375" style="1631" customWidth="1"/>
    <col min="14635" max="14689" width="2.85546875" style="1631" customWidth="1"/>
    <col min="14690" max="14783" width="3.85546875" style="1631" customWidth="1"/>
    <col min="14784" max="14848" width="9.140625" style="1631"/>
    <col min="14849" max="14849" width="3.7109375" style="1631" customWidth="1"/>
    <col min="14850" max="14850" width="3" style="1631" customWidth="1"/>
    <col min="14851" max="14851" width="3.28515625" style="1631" customWidth="1"/>
    <col min="14852" max="14852" width="0.85546875" style="1631" customWidth="1"/>
    <col min="14853" max="14853" width="3.28515625" style="1631" customWidth="1"/>
    <col min="14854" max="14854" width="0.5703125" style="1631" customWidth="1"/>
    <col min="14855" max="14855" width="6.7109375" style="1631" customWidth="1"/>
    <col min="14856" max="14856" width="0.85546875" style="1631" customWidth="1"/>
    <col min="14857" max="14858" width="3.7109375" style="1631" customWidth="1"/>
    <col min="14859" max="14859" width="4" style="1631" customWidth="1"/>
    <col min="14860" max="14860" width="2.7109375" style="1631" customWidth="1"/>
    <col min="14861" max="14887" width="3.7109375" style="1631" customWidth="1"/>
    <col min="14888" max="14888" width="3.85546875" style="1631" customWidth="1"/>
    <col min="14889" max="14889" width="1.28515625" style="1631" customWidth="1"/>
    <col min="14890" max="14890" width="3.7109375" style="1631" customWidth="1"/>
    <col min="14891" max="14945" width="2.85546875" style="1631" customWidth="1"/>
    <col min="14946" max="15039" width="3.85546875" style="1631" customWidth="1"/>
    <col min="15040" max="15104" width="9.140625" style="1631"/>
    <col min="15105" max="15105" width="3.7109375" style="1631" customWidth="1"/>
    <col min="15106" max="15106" width="3" style="1631" customWidth="1"/>
    <col min="15107" max="15107" width="3.28515625" style="1631" customWidth="1"/>
    <col min="15108" max="15108" width="0.85546875" style="1631" customWidth="1"/>
    <col min="15109" max="15109" width="3.28515625" style="1631" customWidth="1"/>
    <col min="15110" max="15110" width="0.5703125" style="1631" customWidth="1"/>
    <col min="15111" max="15111" width="6.7109375" style="1631" customWidth="1"/>
    <col min="15112" max="15112" width="0.85546875" style="1631" customWidth="1"/>
    <col min="15113" max="15114" width="3.7109375" style="1631" customWidth="1"/>
    <col min="15115" max="15115" width="4" style="1631" customWidth="1"/>
    <col min="15116" max="15116" width="2.7109375" style="1631" customWidth="1"/>
    <col min="15117" max="15143" width="3.7109375" style="1631" customWidth="1"/>
    <col min="15144" max="15144" width="3.85546875" style="1631" customWidth="1"/>
    <col min="15145" max="15145" width="1.28515625" style="1631" customWidth="1"/>
    <col min="15146" max="15146" width="3.7109375" style="1631" customWidth="1"/>
    <col min="15147" max="15201" width="2.85546875" style="1631" customWidth="1"/>
    <col min="15202" max="15295" width="3.85546875" style="1631" customWidth="1"/>
    <col min="15296" max="15360" width="9.140625" style="1631"/>
    <col min="15361" max="15361" width="3.7109375" style="1631" customWidth="1"/>
    <col min="15362" max="15362" width="3" style="1631" customWidth="1"/>
    <col min="15363" max="15363" width="3.28515625" style="1631" customWidth="1"/>
    <col min="15364" max="15364" width="0.85546875" style="1631" customWidth="1"/>
    <col min="15365" max="15365" width="3.28515625" style="1631" customWidth="1"/>
    <col min="15366" max="15366" width="0.5703125" style="1631" customWidth="1"/>
    <col min="15367" max="15367" width="6.7109375" style="1631" customWidth="1"/>
    <col min="15368" max="15368" width="0.85546875" style="1631" customWidth="1"/>
    <col min="15369" max="15370" width="3.7109375" style="1631" customWidth="1"/>
    <col min="15371" max="15371" width="4" style="1631" customWidth="1"/>
    <col min="15372" max="15372" width="2.7109375" style="1631" customWidth="1"/>
    <col min="15373" max="15399" width="3.7109375" style="1631" customWidth="1"/>
    <col min="15400" max="15400" width="3.85546875" style="1631" customWidth="1"/>
    <col min="15401" max="15401" width="1.28515625" style="1631" customWidth="1"/>
    <col min="15402" max="15402" width="3.7109375" style="1631" customWidth="1"/>
    <col min="15403" max="15457" width="2.85546875" style="1631" customWidth="1"/>
    <col min="15458" max="15551" width="3.85546875" style="1631" customWidth="1"/>
    <col min="15552" max="15616" width="9.140625" style="1631"/>
    <col min="15617" max="15617" width="3.7109375" style="1631" customWidth="1"/>
    <col min="15618" max="15618" width="3" style="1631" customWidth="1"/>
    <col min="15619" max="15619" width="3.28515625" style="1631" customWidth="1"/>
    <col min="15620" max="15620" width="0.85546875" style="1631" customWidth="1"/>
    <col min="15621" max="15621" width="3.28515625" style="1631" customWidth="1"/>
    <col min="15622" max="15622" width="0.5703125" style="1631" customWidth="1"/>
    <col min="15623" max="15623" width="6.7109375" style="1631" customWidth="1"/>
    <col min="15624" max="15624" width="0.85546875" style="1631" customWidth="1"/>
    <col min="15625" max="15626" width="3.7109375" style="1631" customWidth="1"/>
    <col min="15627" max="15627" width="4" style="1631" customWidth="1"/>
    <col min="15628" max="15628" width="2.7109375" style="1631" customWidth="1"/>
    <col min="15629" max="15655" width="3.7109375" style="1631" customWidth="1"/>
    <col min="15656" max="15656" width="3.85546875" style="1631" customWidth="1"/>
    <col min="15657" max="15657" width="1.28515625" style="1631" customWidth="1"/>
    <col min="15658" max="15658" width="3.7109375" style="1631" customWidth="1"/>
    <col min="15659" max="15713" width="2.85546875" style="1631" customWidth="1"/>
    <col min="15714" max="15807" width="3.85546875" style="1631" customWidth="1"/>
    <col min="15808" max="15872" width="9.140625" style="1631"/>
    <col min="15873" max="15873" width="3.7109375" style="1631" customWidth="1"/>
    <col min="15874" max="15874" width="3" style="1631" customWidth="1"/>
    <col min="15875" max="15875" width="3.28515625" style="1631" customWidth="1"/>
    <col min="15876" max="15876" width="0.85546875" style="1631" customWidth="1"/>
    <col min="15877" max="15877" width="3.28515625" style="1631" customWidth="1"/>
    <col min="15878" max="15878" width="0.5703125" style="1631" customWidth="1"/>
    <col min="15879" max="15879" width="6.7109375" style="1631" customWidth="1"/>
    <col min="15880" max="15880" width="0.85546875" style="1631" customWidth="1"/>
    <col min="15881" max="15882" width="3.7109375" style="1631" customWidth="1"/>
    <col min="15883" max="15883" width="4" style="1631" customWidth="1"/>
    <col min="15884" max="15884" width="2.7109375" style="1631" customWidth="1"/>
    <col min="15885" max="15911" width="3.7109375" style="1631" customWidth="1"/>
    <col min="15912" max="15912" width="3.85546875" style="1631" customWidth="1"/>
    <col min="15913" max="15913" width="1.28515625" style="1631" customWidth="1"/>
    <col min="15914" max="15914" width="3.7109375" style="1631" customWidth="1"/>
    <col min="15915" max="15969" width="2.85546875" style="1631" customWidth="1"/>
    <col min="15970" max="16063" width="3.85546875" style="1631" customWidth="1"/>
    <col min="16064" max="16128" width="9.140625" style="1631"/>
    <col min="16129" max="16129" width="3.7109375" style="1631" customWidth="1"/>
    <col min="16130" max="16130" width="3" style="1631" customWidth="1"/>
    <col min="16131" max="16131" width="3.28515625" style="1631" customWidth="1"/>
    <col min="16132" max="16132" width="0.85546875" style="1631" customWidth="1"/>
    <col min="16133" max="16133" width="3.28515625" style="1631" customWidth="1"/>
    <col min="16134" max="16134" width="0.5703125" style="1631" customWidth="1"/>
    <col min="16135" max="16135" width="6.7109375" style="1631" customWidth="1"/>
    <col min="16136" max="16136" width="0.85546875" style="1631" customWidth="1"/>
    <col min="16137" max="16138" width="3.7109375" style="1631" customWidth="1"/>
    <col min="16139" max="16139" width="4" style="1631" customWidth="1"/>
    <col min="16140" max="16140" width="2.7109375" style="1631" customWidth="1"/>
    <col min="16141" max="16167" width="3.7109375" style="1631" customWidth="1"/>
    <col min="16168" max="16168" width="3.85546875" style="1631" customWidth="1"/>
    <col min="16169" max="16169" width="1.28515625" style="1631" customWidth="1"/>
    <col min="16170" max="16170" width="3.7109375" style="1631" customWidth="1"/>
    <col min="16171" max="16225" width="2.85546875" style="1631" customWidth="1"/>
    <col min="16226" max="16319" width="3.85546875" style="1631" customWidth="1"/>
    <col min="16320" max="16384" width="9.140625" style="1631"/>
  </cols>
  <sheetData>
    <row r="1" spans="1:50" ht="9.9499999999999993" customHeight="1">
      <c r="A1" s="1629"/>
      <c r="B1" s="1630"/>
      <c r="M1" s="1632"/>
      <c r="N1" s="1632"/>
      <c r="O1" s="1632"/>
      <c r="P1" s="1632"/>
      <c r="Q1" s="1632"/>
      <c r="R1" s="1632"/>
      <c r="S1" s="1632"/>
      <c r="T1" s="1632"/>
      <c r="U1" s="1632"/>
      <c r="V1" s="1632"/>
      <c r="W1" s="1632"/>
      <c r="X1" s="1632"/>
      <c r="Y1" s="1632"/>
      <c r="Z1" s="1633"/>
      <c r="AA1" s="1633"/>
      <c r="AB1" s="1633"/>
      <c r="AC1" s="1633"/>
      <c r="AD1" s="1633"/>
      <c r="AE1" s="1633"/>
      <c r="AF1" s="1633"/>
      <c r="AG1" s="1633"/>
      <c r="AH1" s="1634"/>
      <c r="AI1" s="1635"/>
      <c r="AJ1" s="1635"/>
      <c r="AK1" s="1635"/>
      <c r="AL1" s="1635"/>
      <c r="AP1" s="1629"/>
    </row>
    <row r="2" spans="1:50" ht="23.25" customHeight="1">
      <c r="A2" s="3060" t="s">
        <v>1355</v>
      </c>
      <c r="B2" s="3060"/>
      <c r="C2" s="3060"/>
      <c r="D2" s="3060"/>
      <c r="E2" s="3060"/>
      <c r="F2" s="3060"/>
      <c r="G2" s="3060"/>
      <c r="H2" s="3060"/>
      <c r="I2" s="3060"/>
      <c r="J2" s="3060"/>
      <c r="K2" s="3060"/>
      <c r="L2" s="3060"/>
      <c r="M2" s="3060"/>
      <c r="N2" s="3060"/>
      <c r="O2" s="3060"/>
      <c r="P2" s="3060"/>
      <c r="Q2" s="3060"/>
      <c r="R2" s="3060"/>
      <c r="S2" s="3060"/>
      <c r="T2" s="3060"/>
      <c r="U2" s="3060"/>
      <c r="V2" s="3060"/>
      <c r="W2" s="3060"/>
      <c r="X2" s="3060"/>
      <c r="Y2" s="3060"/>
      <c r="Z2" s="3060"/>
      <c r="AA2" s="3060"/>
      <c r="AB2" s="3060"/>
      <c r="AC2" s="3060"/>
      <c r="AD2" s="3060"/>
      <c r="AE2" s="3060"/>
      <c r="AF2" s="3060"/>
      <c r="AG2" s="3060"/>
      <c r="AH2" s="3060"/>
      <c r="AI2" s="3060"/>
      <c r="AJ2" s="3060"/>
      <c r="AK2" s="3060"/>
      <c r="AL2" s="3060"/>
      <c r="AM2" s="3060"/>
      <c r="AN2" s="1637"/>
      <c r="AO2" s="1637"/>
      <c r="AP2" s="1637"/>
    </row>
    <row r="3" spans="1:50" ht="23.25" customHeight="1">
      <c r="A3" s="1637"/>
      <c r="B3" s="1637"/>
      <c r="C3" s="1637"/>
      <c r="D3" s="1637"/>
      <c r="E3" s="1637"/>
      <c r="F3" s="1637"/>
      <c r="G3" s="1637"/>
      <c r="H3" s="1637"/>
      <c r="I3" s="1637"/>
      <c r="J3" s="1637"/>
      <c r="K3" s="1637"/>
      <c r="L3" s="1637"/>
      <c r="P3" s="1637"/>
      <c r="Q3" s="1637"/>
      <c r="R3" s="3060" t="s">
        <v>1356</v>
      </c>
      <c r="S3" s="3060"/>
      <c r="T3" s="3060"/>
      <c r="U3" s="1674">
        <f>'SUMMARY NOTEKEEPING'!U3</f>
        <v>0</v>
      </c>
      <c r="V3" s="1674">
        <f>'SUMMARY NOTEKEEPING'!V3</f>
        <v>0</v>
      </c>
      <c r="W3" s="1674">
        <f>'SUMMARY NOTEKEEPING'!W3</f>
        <v>0</v>
      </c>
      <c r="X3" s="1674">
        <f>'SUMMARY NOTEKEEPING'!X3</f>
        <v>0</v>
      </c>
      <c r="Z3" s="1637"/>
      <c r="AA3" s="1637"/>
      <c r="AB3" s="1637"/>
      <c r="AG3" s="1637"/>
      <c r="AH3" s="1637"/>
      <c r="AI3" s="1637"/>
      <c r="AJ3" s="1637"/>
      <c r="AK3" s="1637"/>
      <c r="AL3" s="1637"/>
      <c r="AM3" s="1637"/>
      <c r="AN3" s="1637"/>
      <c r="AO3" s="1636"/>
      <c r="AQ3" s="1631"/>
    </row>
    <row r="4" spans="1:50" ht="23.25" customHeight="1" thickBot="1">
      <c r="A4" s="3061" t="s">
        <v>1357</v>
      </c>
      <c r="B4" s="3061"/>
      <c r="C4" s="3061"/>
      <c r="D4" s="3061"/>
      <c r="E4" s="3061"/>
      <c r="F4" s="3061"/>
      <c r="G4" s="3061"/>
      <c r="H4" s="3061"/>
      <c r="I4" s="3061"/>
      <c r="J4" s="3061"/>
      <c r="K4" s="3061"/>
      <c r="L4" s="3061"/>
      <c r="M4" s="3061"/>
      <c r="N4" s="3061"/>
      <c r="O4" s="3061"/>
      <c r="P4" s="3061"/>
      <c r="Q4" s="3061"/>
      <c r="R4" s="3061"/>
      <c r="S4" s="3061"/>
      <c r="T4" s="3061"/>
      <c r="U4" s="3061"/>
      <c r="V4" s="3061"/>
      <c r="W4" s="3061"/>
      <c r="X4" s="3061"/>
      <c r="Y4" s="3061"/>
      <c r="Z4" s="3061"/>
      <c r="AA4" s="3061"/>
      <c r="AB4" s="3061"/>
      <c r="AC4" s="3061"/>
      <c r="AD4" s="3061"/>
      <c r="AE4" s="3061"/>
      <c r="AF4" s="3061"/>
      <c r="AG4" s="3061"/>
      <c r="AH4" s="3061"/>
      <c r="AI4" s="3061"/>
      <c r="AJ4" s="3061"/>
      <c r="AK4" s="3061"/>
      <c r="AL4" s="3061"/>
      <c r="AM4" s="3061"/>
      <c r="AN4" s="1676"/>
      <c r="AO4" s="1676"/>
      <c r="AP4" s="1676"/>
    </row>
    <row r="5" spans="1:50" ht="23.25" customHeight="1">
      <c r="A5" s="1638"/>
      <c r="B5" s="1638"/>
      <c r="C5" s="1638"/>
      <c r="D5" s="1638"/>
      <c r="E5" s="1638"/>
      <c r="F5" s="1638"/>
      <c r="G5" s="1638"/>
      <c r="H5" s="1638"/>
      <c r="I5" s="1638"/>
      <c r="J5" s="1638"/>
      <c r="K5" s="1638"/>
      <c r="L5" s="1638"/>
      <c r="M5" s="1638"/>
      <c r="N5" s="1638"/>
      <c r="O5" s="1638"/>
      <c r="P5" s="1638"/>
      <c r="Q5" s="1638"/>
      <c r="R5" s="1638"/>
      <c r="S5" s="1638"/>
      <c r="T5" s="1638"/>
      <c r="U5" s="1638"/>
      <c r="V5" s="1638"/>
      <c r="W5" s="1638"/>
      <c r="X5" s="1638"/>
      <c r="Y5" s="1638"/>
      <c r="Z5" s="1638"/>
      <c r="AA5" s="1638"/>
      <c r="AB5" s="1638"/>
      <c r="AC5" s="1638"/>
      <c r="AD5" s="1638"/>
      <c r="AE5" s="1638"/>
      <c r="AF5" s="1638"/>
      <c r="AG5" s="1638"/>
      <c r="AH5" s="1638"/>
      <c r="AI5" s="1638"/>
      <c r="AJ5" s="1638"/>
      <c r="AK5" s="1638"/>
      <c r="AL5" s="1638"/>
      <c r="AM5" s="1638"/>
      <c r="AN5" s="1638"/>
      <c r="AO5" s="1638"/>
      <c r="AP5" s="1638"/>
    </row>
    <row r="6" spans="1:50" s="1636" customFormat="1" ht="13.5" customHeight="1">
      <c r="E6" s="1639"/>
      <c r="F6" s="1639"/>
      <c r="G6" s="1639"/>
      <c r="H6" s="1639"/>
      <c r="I6" s="1640"/>
      <c r="J6" s="1640"/>
      <c r="K6" s="1641"/>
      <c r="L6" s="1642"/>
      <c r="M6" s="1643"/>
      <c r="N6" s="1644"/>
      <c r="O6" s="1644"/>
      <c r="P6" s="1644"/>
      <c r="Q6" s="1644"/>
      <c r="R6" s="1644"/>
      <c r="S6" s="1644"/>
      <c r="T6" s="1644"/>
      <c r="U6" s="1644"/>
      <c r="V6" s="196"/>
      <c r="W6" s="196"/>
      <c r="X6" s="1645"/>
      <c r="Y6" s="1645"/>
      <c r="Z6" s="196"/>
      <c r="AA6" s="196"/>
      <c r="AB6" s="196"/>
      <c r="AC6" s="196"/>
      <c r="AD6" s="1646"/>
      <c r="AE6" s="1647"/>
      <c r="AF6" s="1648"/>
      <c r="AH6" s="1649"/>
      <c r="AM6" s="1650"/>
    </row>
    <row r="7" spans="1:50" ht="20.100000000000001" customHeight="1">
      <c r="A7" s="1636"/>
      <c r="B7" s="1651" t="s">
        <v>1358</v>
      </c>
      <c r="C7" s="1652"/>
      <c r="D7" s="1652"/>
      <c r="E7" s="1652"/>
      <c r="F7" s="1651"/>
      <c r="G7" s="1653"/>
      <c r="H7" s="1654" t="s">
        <v>13</v>
      </c>
      <c r="I7" s="1636"/>
      <c r="J7" s="1636"/>
      <c r="K7" s="1636"/>
      <c r="L7" s="1636"/>
      <c r="M7" s="1636"/>
      <c r="N7" s="1675" t="str">
        <f>'SUMMARY NOTEKEEPING'!N7</f>
        <v/>
      </c>
      <c r="O7" s="1675" t="str">
        <f>'SUMMARY NOTEKEEPING'!O7</f>
        <v/>
      </c>
      <c r="P7" s="1675" t="str">
        <f>'SUMMARY NOTEKEEPING'!P7</f>
        <v/>
      </c>
      <c r="Q7" s="1675" t="str">
        <f>'SUMMARY NOTEKEEPING'!Q7</f>
        <v/>
      </c>
      <c r="R7" s="1675" t="str">
        <f>'SUMMARY NOTEKEEPING'!R7</f>
        <v/>
      </c>
      <c r="S7" s="1675" t="str">
        <f>'SUMMARY NOTEKEEPING'!S7</f>
        <v/>
      </c>
      <c r="T7" s="1675" t="str">
        <f>'SUMMARY NOTEKEEPING'!T7</f>
        <v/>
      </c>
      <c r="U7" s="1675" t="str">
        <f>'SUMMARY NOTEKEEPING'!U7</f>
        <v/>
      </c>
      <c r="V7" s="1675" t="str">
        <f>'SUMMARY NOTEKEEPING'!V7</f>
        <v/>
      </c>
      <c r="W7" s="1675" t="str">
        <f>'SUMMARY NOTEKEEPING'!W7</f>
        <v/>
      </c>
      <c r="X7" s="1675" t="str">
        <f>'SUMMARY NOTEKEEPING'!X7</f>
        <v/>
      </c>
      <c r="Y7" s="1675" t="str">
        <f>'SUMMARY NOTEKEEPING'!Y7</f>
        <v/>
      </c>
      <c r="Z7" s="1675" t="str">
        <f>'SUMMARY NOTEKEEPING'!Z7</f>
        <v/>
      </c>
      <c r="AA7" s="1675" t="str">
        <f>'SUMMARY NOTEKEEPING'!AA7</f>
        <v/>
      </c>
      <c r="AB7" s="1675" t="str">
        <f>'SUMMARY NOTEKEEPING'!AB7</f>
        <v/>
      </c>
      <c r="AC7" s="1675" t="str">
        <f>'SUMMARY NOTEKEEPING'!AC7</f>
        <v/>
      </c>
      <c r="AD7" s="1675" t="str">
        <f>'SUMMARY NOTEKEEPING'!AD7</f>
        <v/>
      </c>
      <c r="AE7" s="1675" t="str">
        <f>'SUMMARY NOTEKEEPING'!AE7</f>
        <v/>
      </c>
      <c r="AF7" s="1675" t="str">
        <f>'SUMMARY NOTEKEEPING'!AF7</f>
        <v/>
      </c>
      <c r="AG7" s="1675" t="str">
        <f>'SUMMARY NOTEKEEPING'!AG7</f>
        <v/>
      </c>
      <c r="AH7" s="1675" t="str">
        <f>'SUMMARY NOTEKEEPING'!AH7</f>
        <v/>
      </c>
      <c r="AI7" s="1675" t="str">
        <f>'SUMMARY NOTEKEEPING'!AI7</f>
        <v/>
      </c>
      <c r="AJ7" s="1675" t="str">
        <f>'SUMMARY NOTEKEEPING'!AJ7</f>
        <v/>
      </c>
      <c r="AL7" s="1655"/>
      <c r="AM7" s="1655"/>
      <c r="AN7" s="1636"/>
      <c r="AO7" s="1636"/>
      <c r="AQ7" s="1631"/>
    </row>
    <row r="8" spans="1:50" ht="6" customHeight="1">
      <c r="A8" s="1636"/>
      <c r="B8" s="1651"/>
      <c r="C8" s="1652"/>
      <c r="D8" s="1652"/>
      <c r="E8" s="1652"/>
      <c r="F8" s="1651"/>
      <c r="G8" s="1653"/>
      <c r="H8" s="1654"/>
      <c r="I8" s="1636"/>
      <c r="J8" s="1636"/>
      <c r="K8" s="1636"/>
      <c r="L8" s="1636"/>
      <c r="M8" s="1636"/>
      <c r="N8" s="1656"/>
      <c r="O8" s="1656"/>
      <c r="P8" s="1656"/>
      <c r="Q8" s="1656"/>
      <c r="R8" s="1656"/>
      <c r="S8" s="1656"/>
      <c r="T8" s="1656"/>
      <c r="U8" s="1656"/>
      <c r="V8" s="1656"/>
      <c r="W8" s="1656"/>
      <c r="X8" s="1656"/>
      <c r="Y8" s="1656"/>
      <c r="Z8" s="1656"/>
      <c r="AA8" s="1656"/>
      <c r="AB8" s="1656"/>
      <c r="AC8" s="1656"/>
      <c r="AD8" s="1656"/>
      <c r="AE8" s="1656"/>
      <c r="AF8" s="1656"/>
      <c r="AG8" s="1656"/>
      <c r="AH8" s="1656"/>
      <c r="AI8" s="1656"/>
      <c r="AJ8" s="1656"/>
      <c r="AK8" s="1656"/>
      <c r="AL8" s="1656"/>
      <c r="AM8" s="1655"/>
      <c r="AN8" s="1655"/>
      <c r="AO8" s="1655"/>
      <c r="AP8" s="1636"/>
    </row>
    <row r="9" spans="1:50" ht="20.100000000000001" customHeight="1">
      <c r="A9" s="1636"/>
      <c r="B9" s="1651" t="s">
        <v>12</v>
      </c>
      <c r="C9" s="1652"/>
      <c r="D9" s="1652"/>
      <c r="E9" s="1652"/>
      <c r="F9" s="1651"/>
      <c r="G9" s="1653"/>
      <c r="H9" s="196" t="s">
        <v>13</v>
      </c>
      <c r="I9" s="1636"/>
      <c r="J9" s="1636"/>
      <c r="K9" s="1636"/>
      <c r="L9" s="1636"/>
      <c r="M9" s="1636"/>
      <c r="N9" s="1675" t="str">
        <f>'SUMMARY NOTEKEEPING'!N9</f>
        <v/>
      </c>
      <c r="O9" s="1675" t="str">
        <f>'SUMMARY NOTEKEEPING'!O9</f>
        <v/>
      </c>
      <c r="P9" s="1656"/>
      <c r="Q9" s="1675" t="str">
        <f>'SUMMARY NOTEKEEPING'!Q9</f>
        <v/>
      </c>
      <c r="R9" s="1675" t="str">
        <f>'SUMMARY NOTEKEEPING'!R9</f>
        <v/>
      </c>
      <c r="S9" s="1675" t="str">
        <f>'SUMMARY NOTEKEEPING'!S9</f>
        <v/>
      </c>
      <c r="T9" s="1656"/>
      <c r="U9" s="1675" t="str">
        <f>'SUMMARY NOTEKEEPING'!U9</f>
        <v/>
      </c>
      <c r="V9" s="1675" t="str">
        <f>'SUMMARY NOTEKEEPING'!V9</f>
        <v/>
      </c>
      <c r="W9" s="1675" t="str">
        <f>'SUMMARY NOTEKEEPING'!W9</f>
        <v/>
      </c>
      <c r="X9" s="1656"/>
      <c r="Y9" s="1675" t="str">
        <f>'SUMMARY NOTEKEEPING'!Y9</f>
        <v/>
      </c>
      <c r="Z9" s="1656"/>
      <c r="AA9" s="1675" t="str">
        <f>'SUMMARY NOTEKEEPING'!AA9</f>
        <v/>
      </c>
      <c r="AB9" s="1675" t="str">
        <f>'SUMMARY NOTEKEEPING'!AB9</f>
        <v/>
      </c>
      <c r="AC9" s="1675" t="str">
        <f>'SUMMARY NOTEKEEPING'!AC9</f>
        <v/>
      </c>
      <c r="AD9" s="1657"/>
      <c r="AE9" s="1675" t="str">
        <f>'SUMMARY NOTEKEEPING'!AE9</f>
        <v/>
      </c>
      <c r="AF9" s="1675" t="str">
        <f>'SUMMARY NOTEKEEPING'!AF9</f>
        <v/>
      </c>
      <c r="AG9" s="1675" t="str">
        <f>'SUMMARY NOTEKEEPING'!AG9</f>
        <v/>
      </c>
      <c r="AH9" s="1657"/>
      <c r="AI9" s="1657"/>
      <c r="AJ9" s="1658"/>
      <c r="AK9" s="1657"/>
      <c r="AL9" s="1657"/>
      <c r="AM9" s="1636"/>
      <c r="AN9" s="1636"/>
      <c r="AO9" s="1636"/>
      <c r="AP9" s="1636"/>
    </row>
    <row r="10" spans="1:50" s="1636" customFormat="1" ht="13.5" customHeight="1">
      <c r="B10" s="1659"/>
      <c r="C10" s="1659"/>
      <c r="D10" s="1660"/>
      <c r="E10" s="1661"/>
      <c r="F10" s="1661"/>
      <c r="G10" s="1661"/>
      <c r="H10" s="1662"/>
      <c r="I10" s="1662"/>
      <c r="J10" s="1662"/>
      <c r="K10" s="1662"/>
      <c r="L10" s="1662"/>
      <c r="M10" s="1662"/>
      <c r="N10" s="1663"/>
      <c r="O10" s="1663"/>
      <c r="P10" s="1663"/>
      <c r="Q10" s="1663"/>
      <c r="R10" s="1663"/>
      <c r="S10" s="1663"/>
      <c r="T10" s="1648"/>
      <c r="U10" s="1648"/>
      <c r="V10" s="1648"/>
      <c r="W10" s="1648"/>
      <c r="X10" s="1648"/>
      <c r="Y10" s="1648"/>
      <c r="Z10" s="1648"/>
      <c r="AA10" s="1648"/>
      <c r="AB10" s="1648"/>
      <c r="AC10" s="1648"/>
      <c r="AD10" s="1664"/>
      <c r="AE10" s="1664"/>
      <c r="AF10" s="1648"/>
      <c r="AG10" s="1663"/>
      <c r="AH10" s="1665"/>
      <c r="AI10" s="1666"/>
      <c r="AJ10" s="1650"/>
      <c r="AK10" s="1650"/>
      <c r="AL10" s="1650"/>
      <c r="AM10" s="1650"/>
      <c r="AN10" s="1650"/>
      <c r="AO10" s="1650"/>
      <c r="AP10" s="1650"/>
      <c r="AQ10" s="1663"/>
    </row>
    <row r="11" spans="1:50" ht="15" customHeight="1">
      <c r="B11" s="1651" t="s">
        <v>1359</v>
      </c>
      <c r="C11" s="1652"/>
      <c r="D11" s="1652"/>
      <c r="E11" s="1652"/>
      <c r="F11" s="1651"/>
      <c r="G11" s="1653"/>
      <c r="H11" s="196" t="s">
        <v>13</v>
      </c>
      <c r="I11" s="1659"/>
      <c r="J11" s="1659"/>
      <c r="K11" s="1659"/>
      <c r="L11" s="1659"/>
      <c r="M11" s="1659"/>
      <c r="N11" s="1659"/>
      <c r="O11" s="1659"/>
      <c r="P11" s="1659"/>
      <c r="Q11" s="1659"/>
      <c r="R11" s="1659"/>
      <c r="S11" s="1659"/>
      <c r="T11" s="1659"/>
      <c r="U11" s="1659"/>
      <c r="V11" s="1659"/>
      <c r="W11" s="1659"/>
      <c r="X11" s="1659"/>
      <c r="Y11" s="1659"/>
      <c r="Z11" s="1659"/>
      <c r="AA11" s="1659"/>
      <c r="AB11" s="1659"/>
      <c r="AC11" s="1659"/>
      <c r="AD11" s="1659"/>
      <c r="AE11" s="1659"/>
      <c r="AF11" s="1659"/>
      <c r="AG11" s="1659"/>
      <c r="AH11" s="1659"/>
      <c r="AI11" s="1659"/>
      <c r="AJ11" s="1659"/>
      <c r="AK11" s="1659"/>
      <c r="AL11" s="1659"/>
      <c r="AM11" s="1659"/>
      <c r="AN11" s="1659"/>
      <c r="AO11" s="1659"/>
      <c r="AP11" s="1659"/>
      <c r="AQ11" s="1659"/>
      <c r="AR11" s="1659"/>
      <c r="AS11" s="1659"/>
      <c r="AT11" s="1659"/>
      <c r="AU11" s="1659"/>
      <c r="AV11" s="1659"/>
      <c r="AW11" s="1659"/>
      <c r="AX11" s="1659"/>
    </row>
    <row r="12" spans="1:50" ht="10.5" customHeight="1">
      <c r="B12" s="1651"/>
      <c r="C12" s="1652"/>
      <c r="D12" s="1652"/>
      <c r="E12" s="1652"/>
      <c r="F12" s="1651"/>
      <c r="G12" s="1653"/>
      <c r="H12" s="196"/>
      <c r="I12" s="1659"/>
      <c r="J12" s="1659"/>
      <c r="K12" s="1659"/>
      <c r="L12" s="1659"/>
      <c r="M12" s="1659"/>
      <c r="N12" s="1659"/>
      <c r="O12" s="1659"/>
      <c r="P12" s="1659"/>
      <c r="Q12" s="1659"/>
      <c r="R12" s="1659"/>
      <c r="S12" s="1659"/>
      <c r="T12" s="1659"/>
      <c r="U12" s="1659"/>
      <c r="V12" s="1659"/>
      <c r="W12" s="1659"/>
      <c r="X12" s="1659"/>
      <c r="Y12" s="1659"/>
      <c r="Z12" s="1659"/>
      <c r="AA12" s="1659"/>
      <c r="AB12" s="1659"/>
      <c r="AC12" s="1659"/>
      <c r="AD12" s="1659"/>
      <c r="AE12" s="1659"/>
      <c r="AF12" s="1659"/>
      <c r="AG12" s="1659"/>
      <c r="AH12" s="1659"/>
      <c r="AI12" s="1659"/>
      <c r="AJ12" s="1659"/>
      <c r="AK12" s="1659"/>
      <c r="AL12" s="1659"/>
      <c r="AM12" s="1659"/>
      <c r="AN12" s="1659"/>
      <c r="AO12" s="1659"/>
      <c r="AP12" s="1659"/>
      <c r="AQ12" s="1659"/>
      <c r="AR12" s="1659"/>
      <c r="AS12" s="1659"/>
      <c r="AT12" s="1659"/>
      <c r="AU12" s="1659"/>
      <c r="AV12" s="1659"/>
      <c r="AW12" s="1659"/>
      <c r="AX12" s="1659"/>
    </row>
    <row r="13" spans="1:50" s="1667" customFormat="1" ht="19.5" customHeight="1">
      <c r="B13" s="1668"/>
      <c r="C13" s="1669"/>
      <c r="D13" s="1669"/>
      <c r="E13" s="1669"/>
      <c r="F13" s="1668"/>
      <c r="G13" s="1670"/>
      <c r="H13" s="1657"/>
      <c r="I13" s="1671"/>
      <c r="J13" s="1671"/>
      <c r="K13" s="1671"/>
      <c r="L13" s="1671"/>
      <c r="M13" s="1671"/>
      <c r="N13" s="1671"/>
      <c r="O13" s="1671"/>
      <c r="P13" s="1671"/>
      <c r="Q13" s="1671"/>
      <c r="R13" s="1671"/>
      <c r="S13" s="1671"/>
      <c r="T13" s="1671"/>
      <c r="U13" s="1671"/>
      <c r="V13" s="1671"/>
      <c r="W13" s="1671"/>
      <c r="X13" s="1671"/>
      <c r="Y13" s="1671"/>
      <c r="Z13" s="1671"/>
      <c r="AA13" s="1671"/>
      <c r="AB13" s="1671"/>
      <c r="AC13" s="1671"/>
      <c r="AD13" s="1671"/>
      <c r="AE13" s="1671"/>
      <c r="AF13" s="1671"/>
      <c r="AG13" s="1671"/>
      <c r="AH13" s="1671"/>
      <c r="AI13" s="1671"/>
      <c r="AJ13" s="1671"/>
      <c r="AK13" s="1671"/>
      <c r="AL13" s="1671"/>
      <c r="AM13" s="1671"/>
      <c r="AN13" s="1671"/>
      <c r="AO13" s="1671"/>
      <c r="AP13" s="1671"/>
      <c r="AQ13" s="1671"/>
      <c r="AR13" s="1671"/>
      <c r="AS13" s="1671"/>
      <c r="AT13" s="1671"/>
      <c r="AU13" s="1671"/>
      <c r="AV13" s="1671"/>
      <c r="AW13" s="1671"/>
      <c r="AX13" s="1671"/>
    </row>
    <row r="14" spans="1:50" s="1667" customFormat="1" ht="19.5" customHeight="1">
      <c r="B14" s="1671"/>
      <c r="C14" s="1671"/>
      <c r="D14" s="1671"/>
      <c r="E14" s="1671"/>
      <c r="F14" s="1671"/>
      <c r="G14" s="1671"/>
      <c r="H14" s="1671"/>
      <c r="I14" s="1671"/>
      <c r="J14" s="1671"/>
      <c r="K14" s="1671"/>
      <c r="L14" s="1671"/>
      <c r="M14" s="1671"/>
      <c r="N14" s="1671"/>
      <c r="O14" s="1671"/>
      <c r="P14" s="1671"/>
      <c r="Q14" s="1671"/>
      <c r="R14" s="1671"/>
      <c r="S14" s="1671"/>
      <c r="T14" s="1671"/>
      <c r="U14" s="1671"/>
      <c r="V14" s="1671"/>
      <c r="W14" s="1671"/>
      <c r="X14" s="1671"/>
      <c r="Y14" s="1671"/>
      <c r="Z14" s="1671"/>
      <c r="AA14" s="1671"/>
      <c r="AB14" s="1671"/>
      <c r="AC14" s="1671"/>
      <c r="AD14" s="1671"/>
      <c r="AE14" s="1671"/>
      <c r="AF14" s="1671"/>
      <c r="AG14" s="1671"/>
      <c r="AH14" s="1671"/>
      <c r="AI14" s="1671"/>
      <c r="AJ14" s="1671"/>
      <c r="AK14" s="1671"/>
      <c r="AL14" s="1671"/>
      <c r="AM14" s="1671"/>
      <c r="AN14" s="1671"/>
      <c r="AO14" s="1671"/>
      <c r="AP14" s="1671"/>
      <c r="AQ14" s="1671"/>
      <c r="AR14" s="1671"/>
      <c r="AS14" s="1671"/>
      <c r="AT14" s="1671"/>
      <c r="AU14" s="1671"/>
      <c r="AV14" s="1671"/>
      <c r="AW14" s="1671"/>
      <c r="AX14" s="1671"/>
    </row>
    <row r="15" spans="1:50" s="1668" customFormat="1" ht="19.5" customHeight="1">
      <c r="B15" s="3068" t="s">
        <v>361</v>
      </c>
      <c r="C15" s="3068"/>
      <c r="D15" s="3068" t="s">
        <v>1360</v>
      </c>
      <c r="E15" s="3068"/>
      <c r="F15" s="3068"/>
      <c r="G15" s="3068"/>
      <c r="H15" s="3068"/>
      <c r="I15" s="3068"/>
      <c r="J15" s="3068"/>
      <c r="K15" s="3068"/>
      <c r="L15" s="3068"/>
      <c r="M15" s="3068"/>
      <c r="N15" s="3068" t="s">
        <v>1361</v>
      </c>
      <c r="O15" s="3068"/>
      <c r="P15" s="3068"/>
      <c r="Q15" s="3068"/>
      <c r="R15" s="3068"/>
      <c r="S15" s="3068"/>
      <c r="T15" s="3068"/>
      <c r="U15" s="3068"/>
      <c r="V15" s="3068"/>
      <c r="W15" s="3068"/>
      <c r="X15" s="3068"/>
      <c r="Y15" s="3068"/>
      <c r="Z15" s="3068"/>
      <c r="AA15" s="3068"/>
      <c r="AB15" s="3068"/>
      <c r="AC15" s="3068"/>
      <c r="AD15" s="3068"/>
      <c r="AE15" s="3068" t="s">
        <v>1362</v>
      </c>
      <c r="AF15" s="3068"/>
      <c r="AG15" s="3068"/>
      <c r="AH15" s="3068"/>
      <c r="AI15" s="3068"/>
      <c r="AJ15" s="3068"/>
      <c r="AK15" s="3068"/>
      <c r="AL15" s="3068"/>
    </row>
    <row r="16" spans="1:50" s="1668" customFormat="1" ht="19.5" customHeight="1">
      <c r="B16" s="3064">
        <v>1</v>
      </c>
      <c r="C16" s="3064"/>
      <c r="D16" s="3064" t="s">
        <v>1363</v>
      </c>
      <c r="E16" s="3064"/>
      <c r="F16" s="3064"/>
      <c r="G16" s="3064"/>
      <c r="H16" s="3064"/>
      <c r="I16" s="3064"/>
      <c r="J16" s="3064"/>
      <c r="K16" s="3064"/>
      <c r="L16" s="3064"/>
      <c r="M16" s="3064"/>
      <c r="N16" s="3065">
        <v>0</v>
      </c>
      <c r="O16" s="3066"/>
      <c r="P16" s="3066"/>
      <c r="Q16" s="3066"/>
      <c r="R16" s="3066"/>
      <c r="S16" s="3066"/>
      <c r="T16" s="3066"/>
      <c r="U16" s="3066"/>
      <c r="V16" s="3066"/>
      <c r="W16" s="3066"/>
      <c r="X16" s="3066"/>
      <c r="Y16" s="3066"/>
      <c r="Z16" s="3066"/>
      <c r="AA16" s="3066"/>
      <c r="AB16" s="3066"/>
      <c r="AC16" s="3066"/>
      <c r="AD16" s="3066"/>
      <c r="AE16" s="3417"/>
      <c r="AF16" s="3417"/>
      <c r="AG16" s="3417"/>
      <c r="AH16" s="3417"/>
      <c r="AI16" s="3417"/>
      <c r="AJ16" s="3417"/>
      <c r="AK16" s="3417"/>
      <c r="AL16" s="3417"/>
    </row>
    <row r="17" spans="2:38" s="1668" customFormat="1" ht="19.5" customHeight="1">
      <c r="B17" s="3064">
        <v>2</v>
      </c>
      <c r="C17" s="3064"/>
      <c r="D17" s="3064" t="s">
        <v>1364</v>
      </c>
      <c r="E17" s="3064"/>
      <c r="F17" s="3064"/>
      <c r="G17" s="3064"/>
      <c r="H17" s="3064"/>
      <c r="I17" s="3064"/>
      <c r="J17" s="3064"/>
      <c r="K17" s="3064"/>
      <c r="L17" s="3064"/>
      <c r="M17" s="3064"/>
      <c r="N17" s="3065">
        <v>0</v>
      </c>
      <c r="O17" s="3066"/>
      <c r="P17" s="3066"/>
      <c r="Q17" s="3066"/>
      <c r="R17" s="3066"/>
      <c r="S17" s="3066"/>
      <c r="T17" s="3066"/>
      <c r="U17" s="3066"/>
      <c r="V17" s="3066"/>
      <c r="W17" s="3066"/>
      <c r="X17" s="3066"/>
      <c r="Y17" s="3066"/>
      <c r="Z17" s="3066"/>
      <c r="AA17" s="3066"/>
      <c r="AB17" s="3066"/>
      <c r="AC17" s="3066"/>
      <c r="AD17" s="3066"/>
      <c r="AE17" s="3417"/>
      <c r="AF17" s="3417"/>
      <c r="AG17" s="3417"/>
      <c r="AH17" s="3417"/>
      <c r="AI17" s="3417"/>
      <c r="AJ17" s="3417"/>
      <c r="AK17" s="3417"/>
      <c r="AL17" s="3417"/>
    </row>
    <row r="18" spans="2:38" s="1668" customFormat="1" ht="19.5" customHeight="1">
      <c r="B18" s="3064">
        <v>3</v>
      </c>
      <c r="C18" s="3064"/>
      <c r="D18" s="3064" t="s">
        <v>1365</v>
      </c>
      <c r="E18" s="3064"/>
      <c r="F18" s="3064"/>
      <c r="G18" s="3064"/>
      <c r="H18" s="3064"/>
      <c r="I18" s="3064"/>
      <c r="J18" s="3064"/>
      <c r="K18" s="3064"/>
      <c r="L18" s="3064"/>
      <c r="M18" s="3064"/>
      <c r="N18" s="3065">
        <v>0</v>
      </c>
      <c r="O18" s="3066"/>
      <c r="P18" s="3066"/>
      <c r="Q18" s="3066"/>
      <c r="R18" s="3066"/>
      <c r="S18" s="3066"/>
      <c r="T18" s="3066"/>
      <c r="U18" s="3066"/>
      <c r="V18" s="3066"/>
      <c r="W18" s="3066"/>
      <c r="X18" s="3066"/>
      <c r="Y18" s="3066"/>
      <c r="Z18" s="3066"/>
      <c r="AA18" s="3066"/>
      <c r="AB18" s="3066"/>
      <c r="AC18" s="3066"/>
      <c r="AD18" s="3066"/>
      <c r="AE18" s="3417"/>
      <c r="AF18" s="3417"/>
      <c r="AG18" s="3417"/>
      <c r="AH18" s="3417"/>
      <c r="AI18" s="3417"/>
      <c r="AJ18" s="3417"/>
      <c r="AK18" s="3417"/>
      <c r="AL18" s="3417"/>
    </row>
    <row r="19" spans="2:38" s="1668" customFormat="1" ht="19.5" customHeight="1">
      <c r="B19" s="3064">
        <v>4</v>
      </c>
      <c r="C19" s="3064"/>
      <c r="D19" s="3064" t="s">
        <v>454</v>
      </c>
      <c r="E19" s="3064"/>
      <c r="F19" s="3064"/>
      <c r="G19" s="3064"/>
      <c r="H19" s="3064"/>
      <c r="I19" s="3064"/>
      <c r="J19" s="3064"/>
      <c r="K19" s="3064"/>
      <c r="L19" s="3064"/>
      <c r="M19" s="3064"/>
      <c r="N19" s="3065">
        <v>0</v>
      </c>
      <c r="O19" s="3066"/>
      <c r="P19" s="3066"/>
      <c r="Q19" s="3066"/>
      <c r="R19" s="3066"/>
      <c r="S19" s="3066"/>
      <c r="T19" s="3066"/>
      <c r="U19" s="3066"/>
      <c r="V19" s="3066"/>
      <c r="W19" s="3066"/>
      <c r="X19" s="3066"/>
      <c r="Y19" s="3066"/>
      <c r="Z19" s="3066"/>
      <c r="AA19" s="3066"/>
      <c r="AB19" s="3066"/>
      <c r="AC19" s="3066"/>
      <c r="AD19" s="3066"/>
      <c r="AE19" s="3417"/>
      <c r="AF19" s="3417"/>
      <c r="AG19" s="3417"/>
      <c r="AH19" s="3417"/>
      <c r="AI19" s="3417"/>
      <c r="AJ19" s="3417"/>
      <c r="AK19" s="3417"/>
      <c r="AL19" s="3417"/>
    </row>
    <row r="20" spans="2:38" s="1668" customFormat="1" ht="19.5" customHeight="1">
      <c r="B20" s="3064">
        <v>5</v>
      </c>
      <c r="C20" s="3064"/>
      <c r="D20" s="3064" t="s">
        <v>1366</v>
      </c>
      <c r="E20" s="3064"/>
      <c r="F20" s="3064"/>
      <c r="G20" s="3064"/>
      <c r="H20" s="3064"/>
      <c r="I20" s="3064"/>
      <c r="J20" s="3064"/>
      <c r="K20" s="3064"/>
      <c r="L20" s="3064"/>
      <c r="M20" s="3064"/>
      <c r="N20" s="3065">
        <v>0</v>
      </c>
      <c r="O20" s="3066"/>
      <c r="P20" s="3066"/>
      <c r="Q20" s="3066"/>
      <c r="R20" s="3066"/>
      <c r="S20" s="3066"/>
      <c r="T20" s="3066"/>
      <c r="U20" s="3066"/>
      <c r="V20" s="3066"/>
      <c r="W20" s="3066"/>
      <c r="X20" s="3066"/>
      <c r="Y20" s="3066"/>
      <c r="Z20" s="3066"/>
      <c r="AA20" s="3066"/>
      <c r="AB20" s="3066"/>
      <c r="AC20" s="3066"/>
      <c r="AD20" s="3066"/>
      <c r="AE20" s="3417"/>
      <c r="AF20" s="3417"/>
      <c r="AG20" s="3417"/>
      <c r="AH20" s="3417"/>
      <c r="AI20" s="3417"/>
      <c r="AJ20" s="3417"/>
      <c r="AK20" s="3417"/>
      <c r="AL20" s="3417"/>
    </row>
    <row r="21" spans="2:38" s="1668" customFormat="1" ht="19.5" customHeight="1">
      <c r="B21" s="3064">
        <v>6</v>
      </c>
      <c r="C21" s="3064"/>
      <c r="D21" s="3064" t="s">
        <v>1367</v>
      </c>
      <c r="E21" s="3064"/>
      <c r="F21" s="3064"/>
      <c r="G21" s="3064"/>
      <c r="H21" s="3064"/>
      <c r="I21" s="3064"/>
      <c r="J21" s="3064"/>
      <c r="K21" s="3064"/>
      <c r="L21" s="3064"/>
      <c r="M21" s="3064"/>
      <c r="N21" s="3065">
        <v>0</v>
      </c>
      <c r="O21" s="3066"/>
      <c r="P21" s="3066"/>
      <c r="Q21" s="3066"/>
      <c r="R21" s="3066"/>
      <c r="S21" s="3066"/>
      <c r="T21" s="3066"/>
      <c r="U21" s="3066"/>
      <c r="V21" s="3066"/>
      <c r="W21" s="3066"/>
      <c r="X21" s="3066"/>
      <c r="Y21" s="3066"/>
      <c r="Z21" s="3066"/>
      <c r="AA21" s="3066"/>
      <c r="AB21" s="3066"/>
      <c r="AC21" s="3066"/>
      <c r="AD21" s="3066"/>
      <c r="AE21" s="3417"/>
      <c r="AF21" s="3417"/>
      <c r="AG21" s="3417"/>
      <c r="AH21" s="3417"/>
      <c r="AI21" s="3417"/>
      <c r="AJ21" s="3417"/>
      <c r="AK21" s="3417"/>
      <c r="AL21" s="3417"/>
    </row>
    <row r="22" spans="2:38" s="1668" customFormat="1" ht="19.5" customHeight="1">
      <c r="B22" s="3064">
        <v>7</v>
      </c>
      <c r="C22" s="3064"/>
      <c r="D22" s="3064" t="s">
        <v>1368</v>
      </c>
      <c r="E22" s="3064"/>
      <c r="F22" s="3064"/>
      <c r="G22" s="3064"/>
      <c r="H22" s="3064"/>
      <c r="I22" s="3064"/>
      <c r="J22" s="3064"/>
      <c r="K22" s="3064"/>
      <c r="L22" s="3064"/>
      <c r="M22" s="3064"/>
      <c r="N22" s="3065">
        <v>0</v>
      </c>
      <c r="O22" s="3066"/>
      <c r="P22" s="3066"/>
      <c r="Q22" s="3066"/>
      <c r="R22" s="3066"/>
      <c r="S22" s="3066"/>
      <c r="T22" s="3066"/>
      <c r="U22" s="3066"/>
      <c r="V22" s="3066"/>
      <c r="W22" s="3066"/>
      <c r="X22" s="3066"/>
      <c r="Y22" s="3066"/>
      <c r="Z22" s="3066"/>
      <c r="AA22" s="3066"/>
      <c r="AB22" s="3066"/>
      <c r="AC22" s="3066"/>
      <c r="AD22" s="3066"/>
      <c r="AE22" s="3417"/>
      <c r="AF22" s="3417"/>
      <c r="AG22" s="3417"/>
      <c r="AH22" s="3417"/>
      <c r="AI22" s="3417"/>
      <c r="AJ22" s="3417"/>
      <c r="AK22" s="3417"/>
      <c r="AL22" s="3417"/>
    </row>
    <row r="23" spans="2:38" s="1668" customFormat="1" ht="19.5" customHeight="1">
      <c r="B23" s="3064">
        <v>8</v>
      </c>
      <c r="C23" s="3064"/>
      <c r="D23" s="3064" t="s">
        <v>1369</v>
      </c>
      <c r="E23" s="3064"/>
      <c r="F23" s="3064"/>
      <c r="G23" s="3064"/>
      <c r="H23" s="3064"/>
      <c r="I23" s="3064"/>
      <c r="J23" s="3064"/>
      <c r="K23" s="3064"/>
      <c r="L23" s="3064"/>
      <c r="M23" s="3064"/>
      <c r="N23" s="3065">
        <v>0</v>
      </c>
      <c r="O23" s="3066"/>
      <c r="P23" s="3066"/>
      <c r="Q23" s="3066"/>
      <c r="R23" s="3066"/>
      <c r="S23" s="3066"/>
      <c r="T23" s="3066"/>
      <c r="U23" s="3066"/>
      <c r="V23" s="3066"/>
      <c r="W23" s="3066"/>
      <c r="X23" s="3066"/>
      <c r="Y23" s="3066"/>
      <c r="Z23" s="3066"/>
      <c r="AA23" s="3066"/>
      <c r="AB23" s="3066"/>
      <c r="AC23" s="3066"/>
      <c r="AD23" s="3066"/>
      <c r="AE23" s="3417"/>
      <c r="AF23" s="3417"/>
      <c r="AG23" s="3417"/>
      <c r="AH23" s="3417"/>
      <c r="AI23" s="3417"/>
      <c r="AJ23" s="3417"/>
      <c r="AK23" s="3417"/>
      <c r="AL23" s="3417"/>
    </row>
    <row r="24" spans="2:38" s="1668" customFormat="1" ht="19.5" customHeight="1">
      <c r="B24" s="3064">
        <v>9</v>
      </c>
      <c r="C24" s="3064"/>
      <c r="D24" s="3064" t="s">
        <v>459</v>
      </c>
      <c r="E24" s="3064"/>
      <c r="F24" s="3064"/>
      <c r="G24" s="3064"/>
      <c r="H24" s="3064"/>
      <c r="I24" s="3064"/>
      <c r="J24" s="3064"/>
      <c r="K24" s="3064"/>
      <c r="L24" s="3064"/>
      <c r="M24" s="3064"/>
      <c r="N24" s="3065">
        <v>0</v>
      </c>
      <c r="O24" s="3066"/>
      <c r="P24" s="3066"/>
      <c r="Q24" s="3066"/>
      <c r="R24" s="3066"/>
      <c r="S24" s="3066"/>
      <c r="T24" s="3066"/>
      <c r="U24" s="3066"/>
      <c r="V24" s="3066"/>
      <c r="W24" s="3066"/>
      <c r="X24" s="3066"/>
      <c r="Y24" s="3066"/>
      <c r="Z24" s="3066"/>
      <c r="AA24" s="3066"/>
      <c r="AB24" s="3066"/>
      <c r="AC24" s="3066"/>
      <c r="AD24" s="3066"/>
      <c r="AE24" s="3417"/>
      <c r="AF24" s="3417"/>
      <c r="AG24" s="3417"/>
      <c r="AH24" s="3417"/>
      <c r="AI24" s="3417"/>
      <c r="AJ24" s="3417"/>
      <c r="AK24" s="3417"/>
      <c r="AL24" s="3417"/>
    </row>
    <row r="25" spans="2:38" s="1668" customFormat="1" ht="19.5" customHeight="1">
      <c r="B25" s="3064">
        <v>10</v>
      </c>
      <c r="C25" s="3064"/>
      <c r="D25" s="3064" t="s">
        <v>1370</v>
      </c>
      <c r="E25" s="3064"/>
      <c r="F25" s="3064"/>
      <c r="G25" s="3064"/>
      <c r="H25" s="3064"/>
      <c r="I25" s="3064"/>
      <c r="J25" s="3064"/>
      <c r="K25" s="3064"/>
      <c r="L25" s="3064"/>
      <c r="M25" s="3064"/>
      <c r="N25" s="3065">
        <v>0</v>
      </c>
      <c r="O25" s="3066"/>
      <c r="P25" s="3066"/>
      <c r="Q25" s="3066"/>
      <c r="R25" s="3066"/>
      <c r="S25" s="3066"/>
      <c r="T25" s="3066"/>
      <c r="U25" s="3066"/>
      <c r="V25" s="3066"/>
      <c r="W25" s="3066"/>
      <c r="X25" s="3066"/>
      <c r="Y25" s="3066"/>
      <c r="Z25" s="3066"/>
      <c r="AA25" s="3066"/>
      <c r="AB25" s="3066"/>
      <c r="AC25" s="3066"/>
      <c r="AD25" s="3066"/>
      <c r="AE25" s="3417"/>
      <c r="AF25" s="3417"/>
      <c r="AG25" s="3417"/>
      <c r="AH25" s="3417"/>
      <c r="AI25" s="3417"/>
      <c r="AJ25" s="3417"/>
      <c r="AK25" s="3417"/>
      <c r="AL25" s="3417"/>
    </row>
    <row r="26" spans="2:38" s="1668" customFormat="1" ht="19.5" customHeight="1">
      <c r="B26" s="3064">
        <v>11</v>
      </c>
      <c r="C26" s="3064"/>
      <c r="D26" s="3064" t="s">
        <v>461</v>
      </c>
      <c r="E26" s="3064"/>
      <c r="F26" s="3064"/>
      <c r="G26" s="3064"/>
      <c r="H26" s="3064"/>
      <c r="I26" s="3064"/>
      <c r="J26" s="3064"/>
      <c r="K26" s="3064"/>
      <c r="L26" s="3064"/>
      <c r="M26" s="3064"/>
      <c r="N26" s="3065">
        <v>0</v>
      </c>
      <c r="O26" s="3066"/>
      <c r="P26" s="3066"/>
      <c r="Q26" s="3066"/>
      <c r="R26" s="3066"/>
      <c r="S26" s="3066"/>
      <c r="T26" s="3066"/>
      <c r="U26" s="3066"/>
      <c r="V26" s="3066"/>
      <c r="W26" s="3066"/>
      <c r="X26" s="3066"/>
      <c r="Y26" s="3066"/>
      <c r="Z26" s="3066"/>
      <c r="AA26" s="3066"/>
      <c r="AB26" s="3066"/>
      <c r="AC26" s="3066"/>
      <c r="AD26" s="3066"/>
      <c r="AE26" s="3417"/>
      <c r="AF26" s="3417"/>
      <c r="AG26" s="3417"/>
      <c r="AH26" s="3417"/>
      <c r="AI26" s="3417"/>
      <c r="AJ26" s="3417"/>
      <c r="AK26" s="3417"/>
      <c r="AL26" s="3417"/>
    </row>
    <row r="27" spans="2:38" s="1668" customFormat="1" ht="19.5" customHeight="1">
      <c r="B27" s="3064">
        <v>12</v>
      </c>
      <c r="C27" s="3064"/>
      <c r="D27" s="3064" t="s">
        <v>1371</v>
      </c>
      <c r="E27" s="3064"/>
      <c r="F27" s="3064"/>
      <c r="G27" s="3064"/>
      <c r="H27" s="3064"/>
      <c r="I27" s="3064"/>
      <c r="J27" s="3064"/>
      <c r="K27" s="3064"/>
      <c r="L27" s="3064"/>
      <c r="M27" s="3064"/>
      <c r="N27" s="3065">
        <v>0</v>
      </c>
      <c r="O27" s="3066"/>
      <c r="P27" s="3066"/>
      <c r="Q27" s="3066"/>
      <c r="R27" s="3066"/>
      <c r="S27" s="3066"/>
      <c r="T27" s="3066"/>
      <c r="U27" s="3066"/>
      <c r="V27" s="3066"/>
      <c r="W27" s="3066"/>
      <c r="X27" s="3066"/>
      <c r="Y27" s="3066"/>
      <c r="Z27" s="3066"/>
      <c r="AA27" s="3066"/>
      <c r="AB27" s="3066"/>
      <c r="AC27" s="3066"/>
      <c r="AD27" s="3066"/>
      <c r="AE27" s="3417"/>
      <c r="AF27" s="3417"/>
      <c r="AG27" s="3417"/>
      <c r="AH27" s="3417"/>
      <c r="AI27" s="3417"/>
      <c r="AJ27" s="3417"/>
      <c r="AK27" s="3417"/>
      <c r="AL27" s="3417"/>
    </row>
    <row r="28" spans="2:38" s="1668" customFormat="1" ht="19.5" customHeight="1">
      <c r="B28" s="1672"/>
      <c r="C28" s="1672"/>
      <c r="D28" s="1672"/>
      <c r="E28" s="1672"/>
      <c r="F28" s="1672"/>
      <c r="G28" s="1672"/>
      <c r="H28" s="1672"/>
      <c r="I28" s="1672"/>
      <c r="J28" s="1672"/>
      <c r="K28" s="1672"/>
      <c r="L28" s="1672"/>
      <c r="M28" s="1672"/>
      <c r="N28" s="1672"/>
      <c r="O28" s="1672"/>
      <c r="P28" s="1672"/>
      <c r="Q28" s="1672"/>
      <c r="R28" s="1672"/>
      <c r="S28" s="1672"/>
      <c r="T28" s="1672"/>
      <c r="U28" s="1672"/>
      <c r="V28" s="1672"/>
      <c r="W28" s="1672"/>
      <c r="X28" s="1672"/>
      <c r="Y28" s="1672"/>
      <c r="Z28" s="1672"/>
      <c r="AA28" s="1672"/>
      <c r="AB28" s="1672"/>
      <c r="AC28" s="1672"/>
      <c r="AD28" s="1672"/>
      <c r="AE28" s="1672"/>
      <c r="AF28" s="1672"/>
      <c r="AG28" s="1672"/>
      <c r="AH28" s="1672"/>
      <c r="AI28" s="1672"/>
      <c r="AJ28" s="1672"/>
      <c r="AK28" s="1672"/>
      <c r="AL28" s="1672"/>
    </row>
    <row r="29" spans="2:38" s="1651" customFormat="1" ht="15" customHeight="1"/>
    <row r="30" spans="2:38" s="1651" customFormat="1" ht="15" customHeight="1">
      <c r="AB30" s="1656"/>
      <c r="AC30" s="1673"/>
      <c r="AD30" s="1673"/>
      <c r="AE30" s="1656"/>
      <c r="AF30" s="1673"/>
      <c r="AG30" s="1673"/>
      <c r="AH30" s="1656"/>
      <c r="AI30" s="1673"/>
      <c r="AJ30" s="1673"/>
      <c r="AK30" s="1673"/>
      <c r="AL30" s="1673"/>
    </row>
    <row r="31" spans="2:38" s="1651" customFormat="1" ht="15" customHeight="1"/>
    <row r="32" spans="2:38" s="1651" customFormat="1" ht="15" customHeight="1">
      <c r="AC32" s="3416" t="s">
        <v>1372</v>
      </c>
      <c r="AD32" s="3416"/>
      <c r="AE32" s="3416"/>
      <c r="AF32" s="3416"/>
      <c r="AG32" s="3416"/>
      <c r="AH32" s="3416"/>
      <c r="AI32" s="3416"/>
      <c r="AJ32" s="3416"/>
      <c r="AK32" s="3416"/>
      <c r="AL32" s="3416"/>
    </row>
    <row r="33" spans="29:38" s="1651" customFormat="1" ht="15" customHeight="1"/>
    <row r="34" spans="29:38" s="1651" customFormat="1" ht="15" customHeight="1"/>
    <row r="35" spans="29:38" s="1651" customFormat="1" ht="15" customHeight="1"/>
    <row r="36" spans="29:38" s="1651" customFormat="1" ht="15" customHeight="1">
      <c r="AC36" s="3063" t="str">
        <f>Attachment!A5</f>
        <v/>
      </c>
      <c r="AD36" s="3063"/>
      <c r="AE36" s="3063"/>
      <c r="AF36" s="3063"/>
      <c r="AG36" s="3063"/>
      <c r="AH36" s="3063"/>
      <c r="AI36" s="3063"/>
      <c r="AJ36" s="3063"/>
      <c r="AK36" s="3063"/>
      <c r="AL36" s="3063"/>
    </row>
    <row r="37" spans="29:38" ht="15" customHeight="1"/>
    <row r="38" spans="29:38" ht="15" customHeight="1"/>
    <row r="39" spans="29:38" ht="15" customHeight="1"/>
    <row r="40" spans="29:38" ht="15" customHeight="1"/>
    <row r="41" spans="29:38" ht="15" customHeight="1"/>
    <row r="42" spans="29:38" ht="15" customHeight="1"/>
    <row r="43" spans="29:38" ht="15" customHeight="1"/>
    <row r="44" spans="29:38" ht="15" customHeight="1"/>
    <row r="45" spans="29:38" ht="15" customHeight="1"/>
    <row r="46" spans="29:38" ht="15" customHeight="1"/>
    <row r="47" spans="29:38" ht="15" customHeight="1"/>
    <row r="48" spans="29:38" ht="15" customHeight="1"/>
    <row r="49" ht="15" customHeight="1"/>
    <row r="50" ht="15" customHeight="1"/>
    <row r="51" ht="15" customHeight="1"/>
    <row r="52" ht="15" customHeight="1"/>
    <row r="53" ht="15" customHeight="1"/>
    <row r="54" ht="15" customHeight="1"/>
    <row r="55" ht="15" customHeight="1"/>
    <row r="56" ht="15" customHeight="1"/>
    <row r="57" ht="15" customHeight="1"/>
    <row r="58" ht="15" customHeight="1"/>
    <row r="59" ht="15" customHeight="1"/>
    <row r="60" ht="15" customHeight="1"/>
    <row r="61" ht="15" customHeight="1"/>
    <row r="62" ht="15" customHeight="1"/>
    <row r="63" ht="15" customHeight="1"/>
    <row r="64" ht="15" customHeight="1"/>
    <row r="65" ht="15" customHeight="1"/>
    <row r="66" ht="15" customHeight="1"/>
    <row r="67" ht="15" customHeight="1"/>
    <row r="68" ht="15" customHeight="1"/>
    <row r="69" ht="15" customHeight="1"/>
    <row r="70" ht="15" customHeight="1"/>
    <row r="71" ht="15" customHeight="1"/>
    <row r="72" ht="15" customHeight="1"/>
    <row r="73" ht="15" customHeight="1"/>
    <row r="74" ht="15" customHeight="1"/>
    <row r="75" ht="15" customHeight="1"/>
    <row r="76" ht="15" customHeight="1"/>
    <row r="77" ht="15" customHeight="1"/>
    <row r="78" ht="15" customHeight="1"/>
    <row r="79" ht="15" customHeight="1"/>
    <row r="80" ht="15" customHeight="1"/>
    <row r="81" ht="15" customHeight="1"/>
    <row r="82" ht="15" customHeight="1"/>
    <row r="83" ht="15" customHeight="1"/>
    <row r="84" ht="15" customHeight="1"/>
    <row r="85" ht="15" customHeight="1"/>
    <row r="86" ht="15" customHeight="1"/>
    <row r="87" ht="15" customHeight="1"/>
    <row r="88" ht="15" customHeight="1"/>
    <row r="89" ht="15" customHeight="1"/>
    <row r="90" ht="15" customHeight="1"/>
    <row r="91" ht="15" customHeight="1"/>
    <row r="92" ht="15" customHeight="1"/>
    <row r="93" ht="15" customHeight="1"/>
    <row r="94" ht="15" customHeight="1"/>
    <row r="95" ht="15" customHeight="1"/>
    <row r="96" ht="15" customHeight="1"/>
    <row r="97" ht="15" customHeight="1"/>
    <row r="98" ht="15" customHeight="1"/>
    <row r="99" ht="15" customHeight="1"/>
    <row r="100" ht="15" customHeight="1"/>
    <row r="101" ht="15" customHeight="1"/>
    <row r="102" ht="15" customHeight="1"/>
    <row r="103" ht="15" customHeight="1"/>
    <row r="104" ht="15" customHeight="1"/>
    <row r="105" ht="15" customHeight="1"/>
    <row r="106" ht="15" customHeight="1"/>
    <row r="107" ht="15" customHeight="1"/>
    <row r="108" ht="15" customHeight="1"/>
    <row r="109" ht="15" customHeight="1"/>
    <row r="110" ht="15" customHeight="1"/>
    <row r="111" ht="15" customHeight="1"/>
    <row r="112" ht="15" customHeight="1"/>
    <row r="113" ht="15" customHeight="1"/>
    <row r="114" ht="15" customHeight="1"/>
    <row r="115" ht="15" customHeight="1"/>
    <row r="116" ht="15" customHeight="1"/>
    <row r="117" ht="15" customHeight="1"/>
    <row r="118" ht="15" customHeight="1"/>
    <row r="119" ht="15" customHeight="1"/>
    <row r="120" ht="15" customHeight="1"/>
    <row r="121" ht="15" customHeight="1"/>
    <row r="122" ht="15" customHeight="1"/>
    <row r="123" ht="15" customHeight="1"/>
    <row r="124" ht="15" customHeight="1"/>
    <row r="125" ht="15" customHeight="1"/>
    <row r="126" ht="15" customHeight="1"/>
    <row r="127" ht="15" customHeight="1"/>
    <row r="128" ht="15" customHeight="1"/>
    <row r="129" ht="15" customHeight="1"/>
    <row r="130" ht="15" customHeight="1"/>
    <row r="131" ht="15" customHeight="1"/>
    <row r="132" ht="15" customHeight="1"/>
    <row r="133" ht="15" customHeight="1"/>
    <row r="134" ht="15" customHeight="1"/>
    <row r="135" ht="15" customHeight="1"/>
    <row r="136" ht="15" customHeight="1"/>
    <row r="137" ht="15" customHeight="1"/>
    <row r="138" ht="15" customHeight="1"/>
    <row r="139" ht="15" customHeight="1"/>
    <row r="140" ht="15" customHeight="1"/>
    <row r="141" ht="15" customHeight="1"/>
    <row r="142" ht="15" customHeight="1"/>
    <row r="143" ht="15" customHeight="1"/>
    <row r="144" ht="15" customHeight="1"/>
    <row r="145" ht="15" customHeight="1"/>
    <row r="146" ht="15" customHeight="1"/>
    <row r="147" ht="15" customHeight="1"/>
    <row r="148" ht="15" customHeight="1"/>
    <row r="149" ht="15" customHeight="1"/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5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0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20.25" customHeight="1"/>
    <row r="200" ht="20.25" customHeight="1"/>
    <row r="201" ht="20.25" customHeight="1"/>
    <row r="202" ht="20.25" customHeight="1"/>
    <row r="203" ht="20.25" customHeight="1"/>
    <row r="204" ht="20.25" customHeight="1"/>
    <row r="205" ht="20.25" customHeight="1"/>
    <row r="206" ht="20.25" customHeight="1"/>
    <row r="207" ht="20.25" customHeight="1"/>
    <row r="208" ht="20.25" customHeight="1"/>
    <row r="209" ht="20.25" customHeight="1"/>
    <row r="210" ht="20.25" customHeight="1"/>
    <row r="211" ht="20.25" customHeight="1"/>
    <row r="212" ht="20.25" customHeight="1"/>
    <row r="213" ht="20.25" customHeight="1"/>
    <row r="214" ht="20.25" customHeight="1"/>
    <row r="215" ht="20.25" customHeight="1"/>
    <row r="216" ht="20.25" customHeight="1"/>
    <row r="217" ht="20.25" customHeight="1"/>
    <row r="218" ht="20.25" customHeight="1"/>
    <row r="219" ht="20.25" customHeight="1"/>
    <row r="220" ht="20.25" customHeight="1"/>
    <row r="221" ht="20.25" customHeight="1"/>
    <row r="222" ht="20.25" customHeight="1"/>
    <row r="223" ht="20.25" customHeight="1"/>
    <row r="224" ht="20.25" customHeight="1"/>
    <row r="225" ht="20.25" customHeight="1"/>
    <row r="226" ht="20.25" customHeight="1"/>
    <row r="227" ht="20.25" customHeight="1"/>
    <row r="228" ht="20.25" customHeight="1"/>
    <row r="229" ht="20.25" customHeight="1"/>
    <row r="230" ht="20.25" customHeight="1"/>
    <row r="231" ht="20.25" customHeight="1"/>
    <row r="232" ht="20.25" customHeight="1"/>
    <row r="233" ht="20.25" customHeight="1"/>
    <row r="234" ht="20.25" customHeight="1"/>
    <row r="235" ht="20.25" customHeight="1"/>
    <row r="236" ht="20.25" customHeight="1"/>
    <row r="237" ht="20.25" customHeight="1"/>
    <row r="238" ht="20.25" customHeight="1"/>
    <row r="239" ht="20.25" customHeight="1"/>
    <row r="240" ht="20.25" customHeight="1"/>
    <row r="241" ht="20.25" customHeight="1"/>
    <row r="242" ht="20.25" customHeight="1"/>
    <row r="243" ht="20.25" customHeight="1"/>
    <row r="244" ht="20.25" customHeight="1"/>
    <row r="245" ht="20.25" customHeight="1"/>
    <row r="246" ht="20.25" customHeight="1"/>
    <row r="247" ht="20.25" customHeight="1"/>
    <row r="248" ht="20.25" customHeight="1"/>
    <row r="249" ht="20.25" customHeight="1"/>
    <row r="250" ht="20.25" customHeight="1"/>
    <row r="251" ht="20.25" customHeight="1"/>
    <row r="252" ht="20.25" customHeight="1"/>
    <row r="253" ht="20.25" customHeight="1"/>
    <row r="254" ht="20.25" customHeight="1"/>
    <row r="255" ht="20.25" customHeight="1"/>
    <row r="256" ht="20.25" customHeight="1"/>
    <row r="257" ht="20.25" customHeight="1"/>
    <row r="258" ht="20.25" customHeight="1"/>
    <row r="259" ht="20.25" customHeight="1"/>
    <row r="260" ht="20.25" customHeight="1"/>
    <row r="261" ht="20.25" customHeight="1"/>
    <row r="262" ht="20.25" customHeight="1"/>
    <row r="263" ht="20.25" customHeight="1"/>
    <row r="264" ht="20.25" customHeight="1"/>
    <row r="265" ht="20.25" customHeight="1"/>
    <row r="266" ht="20.25" customHeight="1"/>
    <row r="267" ht="20.25" customHeight="1"/>
    <row r="268" ht="20.25" customHeight="1"/>
    <row r="269" ht="20.25" customHeight="1"/>
    <row r="270" ht="20.25" customHeight="1"/>
    <row r="271" ht="20.25" customHeight="1"/>
    <row r="272" ht="20.25" customHeight="1"/>
    <row r="273" ht="20.25" customHeight="1"/>
    <row r="274" ht="20.25" customHeight="1"/>
    <row r="275" ht="20.25" customHeight="1"/>
    <row r="276" ht="20.25" customHeight="1"/>
    <row r="277" ht="20.25" customHeight="1"/>
    <row r="278" ht="20.25" customHeight="1"/>
    <row r="279" ht="20.25" customHeight="1"/>
    <row r="280" ht="20.25" customHeight="1"/>
    <row r="281" ht="20.25" customHeight="1"/>
    <row r="282" ht="20.25" customHeight="1"/>
    <row r="283" ht="20.25" customHeight="1"/>
    <row r="284" ht="20.25" customHeight="1"/>
    <row r="285" ht="20.25" customHeight="1"/>
    <row r="286" ht="20.25" customHeight="1"/>
    <row r="287" ht="20.25" customHeight="1"/>
    <row r="288" ht="20.25" customHeight="1"/>
    <row r="289" ht="20.25" customHeight="1"/>
    <row r="290" ht="20.25" customHeight="1"/>
    <row r="291" ht="20.25" customHeight="1"/>
    <row r="292" ht="20.25" customHeight="1"/>
    <row r="293" ht="20.25" customHeight="1"/>
    <row r="294" ht="20.25" customHeight="1"/>
    <row r="295" ht="20.25" customHeight="1"/>
    <row r="296" ht="20.25" customHeight="1"/>
    <row r="297" ht="20.25" customHeight="1"/>
    <row r="298" ht="20.25" customHeight="1"/>
    <row r="299" ht="20.25" customHeight="1"/>
    <row r="300" ht="20.25" customHeight="1"/>
    <row r="301" ht="20.25" customHeight="1"/>
    <row r="302" ht="20.25" customHeight="1"/>
    <row r="303" ht="20.25" customHeight="1"/>
    <row r="304" ht="20.25" customHeight="1"/>
    <row r="305" ht="20.25" customHeight="1"/>
    <row r="306" ht="20.25" customHeight="1"/>
    <row r="307" ht="20.25" customHeight="1"/>
    <row r="308" ht="20.25" customHeight="1"/>
    <row r="309" ht="20.25" customHeight="1"/>
    <row r="310" ht="20.25" customHeight="1"/>
    <row r="311" ht="20.25" customHeight="1"/>
    <row r="312" ht="20.25" customHeight="1"/>
    <row r="313" ht="20.25" customHeight="1"/>
    <row r="314" ht="20.25" customHeight="1"/>
    <row r="315" ht="20.25" customHeight="1"/>
    <row r="316" ht="20.25" customHeight="1"/>
    <row r="317" ht="20.25" customHeight="1"/>
    <row r="318" ht="20.25" customHeight="1"/>
    <row r="319" ht="20.25" customHeight="1"/>
    <row r="320" ht="20.25" customHeight="1"/>
    <row r="321" ht="20.25" customHeight="1"/>
    <row r="322" ht="20.25" customHeight="1"/>
    <row r="323" ht="20.25" customHeight="1"/>
    <row r="324" ht="20.25" customHeight="1"/>
    <row r="325" ht="20.25" customHeight="1"/>
    <row r="326" ht="20.25" customHeight="1"/>
    <row r="327" ht="20.25" customHeight="1"/>
    <row r="328" ht="20.25" customHeight="1"/>
    <row r="329" ht="20.25" customHeight="1"/>
    <row r="330" ht="20.25" customHeight="1"/>
    <row r="331" ht="20.25" customHeight="1"/>
    <row r="332" ht="20.25" customHeight="1"/>
    <row r="333" ht="20.25" customHeight="1"/>
    <row r="334" ht="20.25" customHeight="1"/>
    <row r="335" ht="20.25" customHeight="1"/>
    <row r="336" ht="20.25" customHeight="1"/>
    <row r="337" ht="20.25" customHeight="1"/>
    <row r="338" ht="20.25" customHeight="1"/>
    <row r="339" ht="20.25" customHeight="1"/>
    <row r="340" ht="20.25" customHeight="1"/>
    <row r="341" ht="20.25" customHeight="1"/>
    <row r="342" ht="20.25" customHeight="1"/>
    <row r="343" ht="20.25" customHeight="1"/>
    <row r="344" ht="20.25" customHeight="1"/>
    <row r="345" ht="20.25" customHeight="1"/>
    <row r="346" ht="20.25" customHeight="1"/>
    <row r="347" ht="20.25" customHeight="1"/>
    <row r="348" ht="20.25" customHeight="1"/>
    <row r="349" ht="20.25" customHeight="1"/>
    <row r="350" ht="20.25" customHeight="1"/>
    <row r="351" ht="20.25" customHeight="1"/>
    <row r="352" ht="20.25" customHeight="1"/>
  </sheetData>
  <mergeCells count="57">
    <mergeCell ref="R3:T3"/>
    <mergeCell ref="B15:C15"/>
    <mergeCell ref="D15:M15"/>
    <mergeCell ref="N15:AD15"/>
    <mergeCell ref="AE15:AL15"/>
    <mergeCell ref="A4:AM4"/>
    <mergeCell ref="B16:C16"/>
    <mergeCell ref="D16:M16"/>
    <mergeCell ref="N16:AD16"/>
    <mergeCell ref="AE16:AL16"/>
    <mergeCell ref="B17:C17"/>
    <mergeCell ref="D17:M17"/>
    <mergeCell ref="N17:AD17"/>
    <mergeCell ref="AE17:AL17"/>
    <mergeCell ref="B18:C18"/>
    <mergeCell ref="D18:M18"/>
    <mergeCell ref="N18:AD18"/>
    <mergeCell ref="AE18:AL18"/>
    <mergeCell ref="B19:C19"/>
    <mergeCell ref="D19:M19"/>
    <mergeCell ref="N19:AD19"/>
    <mergeCell ref="AE19:AL19"/>
    <mergeCell ref="B20:C20"/>
    <mergeCell ref="D20:M20"/>
    <mergeCell ref="N20:AD20"/>
    <mergeCell ref="AE20:AL20"/>
    <mergeCell ref="B21:C21"/>
    <mergeCell ref="D21:M21"/>
    <mergeCell ref="N21:AD21"/>
    <mergeCell ref="AE21:AL21"/>
    <mergeCell ref="D25:M25"/>
    <mergeCell ref="N25:AD25"/>
    <mergeCell ref="AE25:AL25"/>
    <mergeCell ref="B22:C22"/>
    <mergeCell ref="D22:M22"/>
    <mergeCell ref="N22:AD22"/>
    <mergeCell ref="AE22:AL22"/>
    <mergeCell ref="B23:C23"/>
    <mergeCell ref="D23:M23"/>
    <mergeCell ref="N23:AD23"/>
    <mergeCell ref="AE23:AL23"/>
    <mergeCell ref="AC32:AL32"/>
    <mergeCell ref="AC36:AL36"/>
    <mergeCell ref="A2:AM2"/>
    <mergeCell ref="B26:C26"/>
    <mergeCell ref="D26:M26"/>
    <mergeCell ref="N26:AD26"/>
    <mergeCell ref="AE26:AL26"/>
    <mergeCell ref="B27:C27"/>
    <mergeCell ref="D27:M27"/>
    <mergeCell ref="N27:AD27"/>
    <mergeCell ref="AE27:AL27"/>
    <mergeCell ref="B24:C24"/>
    <mergeCell ref="D24:M24"/>
    <mergeCell ref="N24:AD24"/>
    <mergeCell ref="AE24:AL24"/>
    <mergeCell ref="B25:C25"/>
  </mergeCells>
  <pageMargins left="0.7" right="0.7" top="0.75" bottom="0.75" header="0.3" footer="0.3"/>
  <pageSetup paperSize="9" scale="65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E46"/>
  <sheetViews>
    <sheetView showGridLines="0" view="pageBreakPreview" zoomScaleSheetLayoutView="100" workbookViewId="0">
      <selection activeCell="B6" sqref="B6:C8"/>
    </sheetView>
  </sheetViews>
  <sheetFormatPr defaultRowHeight="12.75"/>
  <cols>
    <col min="1" max="1" width="5.140625" customWidth="1"/>
    <col min="2" max="2" width="33.28515625" customWidth="1"/>
    <col min="3" max="3" width="43.7109375" customWidth="1"/>
    <col min="4" max="5" width="25.7109375" customWidth="1"/>
  </cols>
  <sheetData>
    <row r="1" spans="1:5" s="534" customFormat="1" ht="18.75">
      <c r="A1" s="3418" t="s">
        <v>371</v>
      </c>
      <c r="B1" s="3418"/>
      <c r="C1" s="3418"/>
      <c r="D1" s="3418"/>
      <c r="E1" s="3418"/>
    </row>
    <row r="2" spans="1:5" s="534" customFormat="1" ht="18.75">
      <c r="A2" s="3418" t="s">
        <v>372</v>
      </c>
      <c r="B2" s="3418"/>
      <c r="C2" s="3418"/>
      <c r="D2" s="3418"/>
      <c r="E2" s="3418"/>
    </row>
    <row r="3" spans="1:5" s="534" customFormat="1" ht="18.75">
      <c r="A3" s="535"/>
    </row>
    <row r="4" spans="1:5" s="534" customFormat="1" ht="18.75">
      <c r="A4" s="536"/>
    </row>
    <row r="5" spans="1:5" s="534" customFormat="1" ht="18.75">
      <c r="A5" s="536"/>
    </row>
    <row r="6" spans="1:5" s="534" customFormat="1" ht="18.75">
      <c r="B6" s="537" t="s">
        <v>1398</v>
      </c>
      <c r="C6" s="537">
        <f>name01</f>
        <v>0</v>
      </c>
    </row>
    <row r="7" spans="1:5" s="534" customFormat="1" ht="18.75">
      <c r="B7" s="537" t="s">
        <v>1399</v>
      </c>
      <c r="C7" s="537">
        <f>npwp01</f>
        <v>0</v>
      </c>
    </row>
    <row r="8" spans="1:5" s="534" customFormat="1" ht="18.75">
      <c r="B8" s="537" t="s">
        <v>1400</v>
      </c>
      <c r="C8" s="537"/>
    </row>
    <row r="9" spans="1:5" s="534" customFormat="1" ht="18.75">
      <c r="A9" s="536"/>
    </row>
    <row r="10" spans="1:5" s="527" customFormat="1">
      <c r="A10" s="3419" t="s">
        <v>360</v>
      </c>
      <c r="B10" s="3420" t="s">
        <v>364</v>
      </c>
      <c r="C10" s="3422" t="s">
        <v>366</v>
      </c>
      <c r="D10" s="3423" t="s">
        <v>373</v>
      </c>
      <c r="E10" s="3423" t="s">
        <v>374</v>
      </c>
    </row>
    <row r="11" spans="1:5" s="527" customFormat="1">
      <c r="A11" s="3419"/>
      <c r="B11" s="3421"/>
      <c r="C11" s="3422"/>
      <c r="D11" s="3423"/>
      <c r="E11" s="3423"/>
    </row>
    <row r="12" spans="1:5" s="527" customFormat="1" ht="21" customHeight="1">
      <c r="A12" s="3419"/>
      <c r="B12" s="531" t="s">
        <v>365</v>
      </c>
      <c r="C12" s="3422"/>
      <c r="D12" s="3423"/>
      <c r="E12" s="3423"/>
    </row>
    <row r="13" spans="1:5" s="527" customFormat="1" ht="30" customHeight="1">
      <c r="A13" s="529"/>
      <c r="B13" s="530"/>
      <c r="C13" s="528"/>
      <c r="D13" s="528"/>
      <c r="E13" s="528"/>
    </row>
    <row r="14" spans="1:5" s="527" customFormat="1" ht="30" customHeight="1">
      <c r="A14" s="529"/>
      <c r="B14" s="528"/>
      <c r="C14" s="528"/>
      <c r="D14" s="528"/>
      <c r="E14" s="528"/>
    </row>
    <row r="15" spans="1:5" s="527" customFormat="1" ht="30" customHeight="1">
      <c r="A15" s="529"/>
      <c r="B15" s="528"/>
      <c r="C15" s="528"/>
      <c r="D15" s="528"/>
      <c r="E15" s="528"/>
    </row>
    <row r="16" spans="1:5" s="527" customFormat="1" ht="30" customHeight="1">
      <c r="A16" s="529"/>
      <c r="B16" s="528"/>
      <c r="C16" s="528"/>
      <c r="D16" s="528"/>
      <c r="E16" s="528"/>
    </row>
    <row r="17" spans="1:5" s="527" customFormat="1" ht="30" customHeight="1">
      <c r="A17" s="529"/>
      <c r="B17" s="528"/>
      <c r="C17" s="528"/>
      <c r="D17" s="528"/>
      <c r="E17" s="528"/>
    </row>
    <row r="18" spans="1:5" s="527" customFormat="1" ht="30" customHeight="1">
      <c r="A18" s="529"/>
      <c r="B18" s="528"/>
      <c r="C18" s="528"/>
      <c r="D18" s="528"/>
      <c r="E18" s="528"/>
    </row>
    <row r="19" spans="1:5" s="527" customFormat="1" ht="30" customHeight="1">
      <c r="A19" s="529"/>
      <c r="B19" s="528"/>
      <c r="C19" s="528"/>
      <c r="D19" s="528"/>
      <c r="E19" s="528"/>
    </row>
    <row r="20" spans="1:5" s="527" customFormat="1" ht="30" customHeight="1">
      <c r="A20" s="529"/>
      <c r="B20" s="528"/>
      <c r="C20" s="528"/>
      <c r="D20" s="528"/>
      <c r="E20" s="528"/>
    </row>
    <row r="21" spans="1:5" s="527" customFormat="1" ht="30" customHeight="1">
      <c r="A21" s="529"/>
      <c r="B21" s="528"/>
      <c r="C21" s="528"/>
      <c r="D21" s="528"/>
      <c r="E21" s="528"/>
    </row>
    <row r="22" spans="1:5" s="527" customFormat="1" ht="30" customHeight="1">
      <c r="A22" s="529"/>
      <c r="B22" s="528"/>
      <c r="C22" s="528"/>
      <c r="D22" s="528"/>
      <c r="E22" s="528"/>
    </row>
    <row r="23" spans="1:5" s="527" customFormat="1" ht="30" customHeight="1">
      <c r="A23" s="529"/>
      <c r="B23" s="528"/>
      <c r="C23" s="528"/>
      <c r="D23" s="528"/>
      <c r="E23" s="528"/>
    </row>
    <row r="24" spans="1:5" s="527" customFormat="1" ht="30" customHeight="1">
      <c r="A24" s="529"/>
      <c r="B24" s="528"/>
      <c r="C24" s="528"/>
      <c r="D24" s="528"/>
      <c r="E24" s="528"/>
    </row>
    <row r="25" spans="1:5" s="527" customFormat="1" ht="30" customHeight="1">
      <c r="A25" s="529"/>
      <c r="B25" s="528"/>
      <c r="C25" s="528"/>
      <c r="D25" s="528"/>
      <c r="E25" s="528"/>
    </row>
    <row r="26" spans="1:5" s="527" customFormat="1" ht="30" customHeight="1">
      <c r="A26" s="529"/>
      <c r="B26" s="528"/>
      <c r="C26" s="528"/>
      <c r="D26" s="528"/>
      <c r="E26" s="528"/>
    </row>
    <row r="27" spans="1:5" s="527" customFormat="1" ht="30" customHeight="1">
      <c r="A27" s="529"/>
      <c r="B27" s="528"/>
      <c r="C27" s="528"/>
      <c r="D27" s="528"/>
      <c r="E27" s="528"/>
    </row>
    <row r="28" spans="1:5" s="527" customFormat="1" ht="30" customHeight="1">
      <c r="A28" s="529"/>
      <c r="B28" s="528"/>
      <c r="C28" s="528"/>
      <c r="D28" s="528"/>
      <c r="E28" s="528"/>
    </row>
    <row r="29" spans="1:5" s="527" customFormat="1" ht="30" customHeight="1">
      <c r="A29" s="529"/>
      <c r="B29" s="528"/>
      <c r="C29" s="528"/>
      <c r="D29" s="528"/>
      <c r="E29" s="528"/>
    </row>
    <row r="30" spans="1:5" s="527" customFormat="1" ht="30" customHeight="1">
      <c r="A30" s="529"/>
      <c r="B30" s="528"/>
      <c r="C30" s="528"/>
      <c r="D30" s="528"/>
      <c r="E30" s="528"/>
    </row>
    <row r="31" spans="1:5" s="527" customFormat="1" ht="30" customHeight="1">
      <c r="A31" s="529"/>
      <c r="B31" s="528"/>
      <c r="C31" s="528"/>
      <c r="D31" s="528"/>
      <c r="E31" s="528"/>
    </row>
    <row r="32" spans="1:5" s="527" customFormat="1" ht="30" customHeight="1">
      <c r="A32" s="529"/>
      <c r="B32" s="528"/>
      <c r="C32" s="528"/>
      <c r="D32" s="528"/>
      <c r="E32" s="528"/>
    </row>
    <row r="33" spans="1:5" s="533" customFormat="1" ht="30" customHeight="1">
      <c r="A33" s="3423" t="s">
        <v>367</v>
      </c>
      <c r="B33" s="3423"/>
      <c r="C33" s="3423"/>
      <c r="D33" s="532"/>
      <c r="E33" s="532"/>
    </row>
    <row r="34" spans="1:5">
      <c r="A34" s="526"/>
    </row>
    <row r="35" spans="1:5">
      <c r="A35" s="525"/>
    </row>
    <row r="36" spans="1:5">
      <c r="A36" s="525"/>
    </row>
    <row r="37" spans="1:5" s="534" customFormat="1" ht="18.75">
      <c r="D37" s="3427" t="s">
        <v>368</v>
      </c>
      <c r="E37" s="3427"/>
    </row>
    <row r="38" spans="1:5" s="534" customFormat="1" ht="18.75">
      <c r="D38" s="536"/>
    </row>
    <row r="39" spans="1:5" s="534" customFormat="1" ht="18.75">
      <c r="D39" s="536"/>
    </row>
    <row r="40" spans="1:5" s="534" customFormat="1" ht="18.75">
      <c r="D40" s="536"/>
    </row>
    <row r="41" spans="1:5" s="534" customFormat="1" ht="18.75">
      <c r="D41" s="536"/>
    </row>
    <row r="42" spans="1:5" s="534" customFormat="1" ht="18.75">
      <c r="D42" s="3427">
        <f>name01</f>
        <v>0</v>
      </c>
      <c r="E42" s="3427"/>
    </row>
    <row r="44" spans="1:5" s="538" customFormat="1" ht="18.75">
      <c r="B44" s="3424" t="s">
        <v>376</v>
      </c>
      <c r="C44" s="3425"/>
    </row>
    <row r="46" spans="1:5" ht="18.75">
      <c r="B46" s="3426" t="s">
        <v>375</v>
      </c>
      <c r="C46" s="3426"/>
    </row>
  </sheetData>
  <mergeCells count="12">
    <mergeCell ref="B44:C44"/>
    <mergeCell ref="B46:C46"/>
    <mergeCell ref="A33:C33"/>
    <mergeCell ref="D37:E37"/>
    <mergeCell ref="D42:E42"/>
    <mergeCell ref="A1:E1"/>
    <mergeCell ref="A2:E2"/>
    <mergeCell ref="A10:A12"/>
    <mergeCell ref="B10:B11"/>
    <mergeCell ref="C10:C12"/>
    <mergeCell ref="D10:D12"/>
    <mergeCell ref="E10:E12"/>
  </mergeCells>
  <printOptions horizontalCentered="1" verticalCentered="1"/>
  <pageMargins left="0.1" right="0.1" top="0.75" bottom="0.75" header="0.3" footer="0.3"/>
  <pageSetup paperSize="127" scale="65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E46"/>
  <sheetViews>
    <sheetView showGridLines="0" view="pageBreakPreview" zoomScaleSheetLayoutView="100" workbookViewId="0">
      <selection sqref="A1:E1"/>
    </sheetView>
  </sheetViews>
  <sheetFormatPr defaultRowHeight="12.75"/>
  <cols>
    <col min="1" max="1" width="5.140625" customWidth="1"/>
    <col min="2" max="2" width="33.28515625" customWidth="1"/>
    <col min="3" max="3" width="43.7109375" customWidth="1"/>
    <col min="4" max="5" width="25.7109375" customWidth="1"/>
  </cols>
  <sheetData>
    <row r="1" spans="1:5" s="534" customFormat="1" ht="18.75">
      <c r="A1" s="3418" t="s">
        <v>362</v>
      </c>
      <c r="B1" s="3418"/>
      <c r="C1" s="3418"/>
      <c r="D1" s="3418"/>
      <c r="E1" s="3418"/>
    </row>
    <row r="2" spans="1:5" s="534" customFormat="1" ht="18.75">
      <c r="A2" s="3418" t="s">
        <v>363</v>
      </c>
      <c r="B2" s="3418"/>
      <c r="C2" s="3418"/>
      <c r="D2" s="3418"/>
      <c r="E2" s="3418"/>
    </row>
    <row r="3" spans="1:5" s="534" customFormat="1" ht="18.75">
      <c r="A3" s="535"/>
    </row>
    <row r="4" spans="1:5" s="534" customFormat="1" ht="18.75">
      <c r="A4" s="536"/>
    </row>
    <row r="5" spans="1:5" s="534" customFormat="1" ht="18.75">
      <c r="A5" s="536"/>
    </row>
    <row r="6" spans="1:5" s="534" customFormat="1" ht="18.75">
      <c r="B6" s="537" t="s">
        <v>1398</v>
      </c>
      <c r="C6" s="537">
        <f>name01</f>
        <v>0</v>
      </c>
    </row>
    <row r="7" spans="1:5" s="534" customFormat="1" ht="18.75">
      <c r="B7" s="537" t="s">
        <v>1399</v>
      </c>
      <c r="C7" s="537">
        <f>npwp01</f>
        <v>0</v>
      </c>
    </row>
    <row r="8" spans="1:5" s="534" customFormat="1" ht="18.75">
      <c r="B8" s="537" t="s">
        <v>1400</v>
      </c>
      <c r="C8" s="537"/>
    </row>
    <row r="9" spans="1:5" s="534" customFormat="1" ht="18.75">
      <c r="A9" s="536"/>
    </row>
    <row r="10" spans="1:5" s="527" customFormat="1">
      <c r="A10" s="3419" t="s">
        <v>360</v>
      </c>
      <c r="B10" s="3420" t="s">
        <v>364</v>
      </c>
      <c r="C10" s="3422" t="s">
        <v>366</v>
      </c>
      <c r="D10" s="3423" t="s">
        <v>369</v>
      </c>
      <c r="E10" s="3423" t="s">
        <v>370</v>
      </c>
    </row>
    <row r="11" spans="1:5" s="527" customFormat="1">
      <c r="A11" s="3419"/>
      <c r="B11" s="3421"/>
      <c r="C11" s="3422"/>
      <c r="D11" s="3423"/>
      <c r="E11" s="3423"/>
    </row>
    <row r="12" spans="1:5" s="527" customFormat="1" ht="21" customHeight="1">
      <c r="A12" s="3419"/>
      <c r="B12" s="531" t="s">
        <v>365</v>
      </c>
      <c r="C12" s="3422"/>
      <c r="D12" s="3423"/>
      <c r="E12" s="3423"/>
    </row>
    <row r="13" spans="1:5" s="527" customFormat="1" ht="30" customHeight="1">
      <c r="A13" s="529"/>
      <c r="B13" s="530"/>
      <c r="C13" s="528"/>
      <c r="D13" s="528"/>
      <c r="E13" s="528"/>
    </row>
    <row r="14" spans="1:5" s="527" customFormat="1" ht="30" customHeight="1">
      <c r="A14" s="529"/>
      <c r="B14" s="528"/>
      <c r="C14" s="528"/>
      <c r="D14" s="528"/>
      <c r="E14" s="528"/>
    </row>
    <row r="15" spans="1:5" s="527" customFormat="1" ht="30" customHeight="1">
      <c r="A15" s="529"/>
      <c r="B15" s="528"/>
      <c r="C15" s="528"/>
      <c r="D15" s="528"/>
      <c r="E15" s="528"/>
    </row>
    <row r="16" spans="1:5" s="527" customFormat="1" ht="30" customHeight="1">
      <c r="A16" s="529"/>
      <c r="B16" s="528"/>
      <c r="C16" s="528"/>
      <c r="D16" s="528"/>
      <c r="E16" s="528"/>
    </row>
    <row r="17" spans="1:5" s="527" customFormat="1" ht="30" customHeight="1">
      <c r="A17" s="529"/>
      <c r="B17" s="528"/>
      <c r="C17" s="528"/>
      <c r="D17" s="528"/>
      <c r="E17" s="528"/>
    </row>
    <row r="18" spans="1:5" s="527" customFormat="1" ht="30" customHeight="1">
      <c r="A18" s="529"/>
      <c r="B18" s="528"/>
      <c r="C18" s="528"/>
      <c r="D18" s="528"/>
      <c r="E18" s="528"/>
    </row>
    <row r="19" spans="1:5" s="527" customFormat="1" ht="30" customHeight="1">
      <c r="A19" s="529"/>
      <c r="B19" s="528"/>
      <c r="C19" s="528"/>
      <c r="D19" s="528"/>
      <c r="E19" s="528"/>
    </row>
    <row r="20" spans="1:5" s="527" customFormat="1" ht="30" customHeight="1">
      <c r="A20" s="529"/>
      <c r="B20" s="528"/>
      <c r="C20" s="528"/>
      <c r="D20" s="528"/>
      <c r="E20" s="528"/>
    </row>
    <row r="21" spans="1:5" s="527" customFormat="1" ht="30" customHeight="1">
      <c r="A21" s="529"/>
      <c r="B21" s="528"/>
      <c r="C21" s="528"/>
      <c r="D21" s="528"/>
      <c r="E21" s="528"/>
    </row>
    <row r="22" spans="1:5" s="527" customFormat="1" ht="30" customHeight="1">
      <c r="A22" s="529"/>
      <c r="B22" s="528"/>
      <c r="C22" s="528"/>
      <c r="D22" s="528"/>
      <c r="E22" s="528"/>
    </row>
    <row r="23" spans="1:5" s="527" customFormat="1" ht="30" customHeight="1">
      <c r="A23" s="529"/>
      <c r="B23" s="528"/>
      <c r="C23" s="528"/>
      <c r="D23" s="528"/>
      <c r="E23" s="528"/>
    </row>
    <row r="24" spans="1:5" s="527" customFormat="1" ht="30" customHeight="1">
      <c r="A24" s="529"/>
      <c r="B24" s="528"/>
      <c r="C24" s="528"/>
      <c r="D24" s="528"/>
      <c r="E24" s="528"/>
    </row>
    <row r="25" spans="1:5" s="527" customFormat="1" ht="30" customHeight="1">
      <c r="A25" s="529"/>
      <c r="B25" s="528"/>
      <c r="C25" s="528"/>
      <c r="D25" s="528"/>
      <c r="E25" s="528"/>
    </row>
    <row r="26" spans="1:5" s="527" customFormat="1" ht="30" customHeight="1">
      <c r="A26" s="529"/>
      <c r="B26" s="528"/>
      <c r="C26" s="528"/>
      <c r="D26" s="528"/>
      <c r="E26" s="528"/>
    </row>
    <row r="27" spans="1:5" s="527" customFormat="1" ht="30" customHeight="1">
      <c r="A27" s="529"/>
      <c r="B27" s="528"/>
      <c r="C27" s="528"/>
      <c r="D27" s="528"/>
      <c r="E27" s="528"/>
    </row>
    <row r="28" spans="1:5" s="527" customFormat="1" ht="30" customHeight="1">
      <c r="A28" s="529"/>
      <c r="B28" s="528"/>
      <c r="C28" s="528"/>
      <c r="D28" s="528"/>
      <c r="E28" s="528"/>
    </row>
    <row r="29" spans="1:5" s="527" customFormat="1" ht="30" customHeight="1">
      <c r="A29" s="529"/>
      <c r="B29" s="528"/>
      <c r="C29" s="528"/>
      <c r="D29" s="528"/>
      <c r="E29" s="528"/>
    </row>
    <row r="30" spans="1:5" s="527" customFormat="1" ht="30" customHeight="1">
      <c r="A30" s="529"/>
      <c r="B30" s="528"/>
      <c r="C30" s="528"/>
      <c r="D30" s="528"/>
      <c r="E30" s="528"/>
    </row>
    <row r="31" spans="1:5" s="527" customFormat="1" ht="30" customHeight="1">
      <c r="A31" s="529"/>
      <c r="B31" s="528"/>
      <c r="C31" s="528"/>
      <c r="D31" s="528"/>
      <c r="E31" s="528"/>
    </row>
    <row r="32" spans="1:5" s="527" customFormat="1" ht="30" customHeight="1">
      <c r="A32" s="529"/>
      <c r="B32" s="528"/>
      <c r="C32" s="528"/>
      <c r="D32" s="528"/>
      <c r="E32" s="528"/>
    </row>
    <row r="33" spans="1:5" s="533" customFormat="1" ht="30" customHeight="1">
      <c r="A33" s="3423" t="s">
        <v>367</v>
      </c>
      <c r="B33" s="3423"/>
      <c r="C33" s="3423"/>
      <c r="D33" s="532"/>
      <c r="E33" s="532"/>
    </row>
    <row r="34" spans="1:5">
      <c r="A34" s="526"/>
    </row>
    <row r="35" spans="1:5">
      <c r="A35" s="525"/>
    </row>
    <row r="36" spans="1:5">
      <c r="A36" s="525"/>
    </row>
    <row r="37" spans="1:5" s="534" customFormat="1" ht="18.75">
      <c r="D37" s="3427" t="s">
        <v>368</v>
      </c>
      <c r="E37" s="3427"/>
    </row>
    <row r="38" spans="1:5" s="534" customFormat="1" ht="18.75">
      <c r="D38" s="536"/>
    </row>
    <row r="39" spans="1:5" s="534" customFormat="1" ht="18.75">
      <c r="D39" s="536"/>
    </row>
    <row r="40" spans="1:5" s="534" customFormat="1" ht="18.75">
      <c r="D40" s="536"/>
    </row>
    <row r="41" spans="1:5" s="534" customFormat="1" ht="18.75">
      <c r="D41" s="536"/>
    </row>
    <row r="42" spans="1:5" s="534" customFormat="1" ht="18.75">
      <c r="D42" s="3427">
        <f>name01</f>
        <v>0</v>
      </c>
      <c r="E42" s="3427"/>
    </row>
    <row r="44" spans="1:5" s="538" customFormat="1" ht="18.75">
      <c r="B44" s="3424" t="s">
        <v>376</v>
      </c>
      <c r="C44" s="3425"/>
    </row>
    <row r="46" spans="1:5" ht="18.75">
      <c r="B46" s="3426" t="s">
        <v>375</v>
      </c>
      <c r="C46" s="3426"/>
    </row>
  </sheetData>
  <mergeCells count="12">
    <mergeCell ref="B44:C44"/>
    <mergeCell ref="B46:C46"/>
    <mergeCell ref="D37:E37"/>
    <mergeCell ref="D42:E42"/>
    <mergeCell ref="A33:C33"/>
    <mergeCell ref="A1:E1"/>
    <mergeCell ref="A2:E2"/>
    <mergeCell ref="A10:A12"/>
    <mergeCell ref="B10:B11"/>
    <mergeCell ref="C10:C12"/>
    <mergeCell ref="D10:D12"/>
    <mergeCell ref="E10:E12"/>
  </mergeCells>
  <printOptions horizontalCentered="1" verticalCentered="1"/>
  <pageMargins left="0.1" right="0.1" top="0.75" bottom="0.75" header="0.3" footer="0.3"/>
  <pageSetup paperSize="127" scale="65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2:AL200"/>
  <sheetViews>
    <sheetView topLeftCell="A79" workbookViewId="0">
      <selection activeCell="R95" sqref="R95:U95"/>
    </sheetView>
  </sheetViews>
  <sheetFormatPr defaultColWidth="4.5703125" defaultRowHeight="12.75"/>
  <cols>
    <col min="1" max="36" width="4.5703125" style="1429" customWidth="1"/>
    <col min="37" max="37" width="7.85546875" style="1429" customWidth="1"/>
    <col min="38" max="16384" width="4.5703125" style="1429"/>
  </cols>
  <sheetData>
    <row r="2" spans="1:30" ht="24.75">
      <c r="A2" s="1428"/>
    </row>
    <row r="3" spans="1:30" ht="24.75">
      <c r="A3" s="1428"/>
    </row>
    <row r="4" spans="1:30" ht="24.75">
      <c r="A4" s="1428" t="s">
        <v>406</v>
      </c>
      <c r="E4" s="3470" t="str">
        <f>taxyear</f>
        <v/>
      </c>
      <c r="F4" s="3471"/>
    </row>
    <row r="5" spans="1:30" ht="5.25" customHeight="1">
      <c r="A5" s="1428"/>
      <c r="E5" s="1428"/>
    </row>
    <row r="6" spans="1:30" ht="8.25" customHeight="1">
      <c r="A6" s="1430"/>
      <c r="B6" s="1430"/>
      <c r="C6" s="1430"/>
      <c r="D6" s="1430"/>
      <c r="E6" s="1430"/>
      <c r="F6" s="1430"/>
      <c r="G6" s="1430"/>
      <c r="H6" s="1430"/>
      <c r="I6" s="1430"/>
      <c r="J6" s="1430"/>
      <c r="K6" s="1430"/>
      <c r="L6" s="1430"/>
      <c r="M6" s="1430"/>
      <c r="N6" s="1430"/>
      <c r="O6" s="1430"/>
      <c r="P6" s="1430"/>
      <c r="Q6" s="1430"/>
      <c r="R6" s="1430"/>
      <c r="S6" s="1430"/>
      <c r="T6" s="1430"/>
      <c r="U6" s="1430"/>
      <c r="V6" s="1430"/>
      <c r="W6" s="1430"/>
      <c r="X6" s="1430"/>
      <c r="Y6" s="1430"/>
      <c r="Z6" s="1430"/>
      <c r="AA6" s="1430"/>
      <c r="AB6" s="1430"/>
      <c r="AC6" s="1430"/>
    </row>
    <row r="8" spans="1:30">
      <c r="A8" s="1431" t="s">
        <v>1181</v>
      </c>
      <c r="B8" s="1432"/>
      <c r="C8" s="1432"/>
      <c r="D8" s="1432"/>
      <c r="E8" s="1432"/>
      <c r="F8" s="1432"/>
      <c r="G8" s="1432"/>
      <c r="H8" s="1432"/>
      <c r="I8" s="1432"/>
      <c r="J8" s="1432"/>
      <c r="K8" s="1432"/>
      <c r="L8" s="1432"/>
      <c r="M8" s="1432"/>
      <c r="N8" s="1432"/>
      <c r="O8" s="1432"/>
      <c r="P8" s="1432"/>
      <c r="Q8" s="1432"/>
      <c r="R8" s="1432"/>
      <c r="S8" s="1432"/>
      <c r="T8" s="1432"/>
      <c r="U8" s="1432"/>
      <c r="V8" s="1432"/>
      <c r="W8" s="1432"/>
      <c r="X8" s="1432"/>
      <c r="Y8" s="1432"/>
      <c r="Z8" s="1432"/>
      <c r="AA8" s="1432"/>
      <c r="AB8" s="1432"/>
      <c r="AC8" s="1432"/>
    </row>
    <row r="9" spans="1:30">
      <c r="A9" s="1433"/>
      <c r="B9" s="1433"/>
      <c r="C9" s="1433"/>
      <c r="D9" s="1433"/>
      <c r="E9" s="1433"/>
      <c r="F9" s="1433"/>
      <c r="G9" s="1433"/>
      <c r="H9" s="1433"/>
      <c r="I9" s="1433"/>
      <c r="J9" s="1433"/>
      <c r="K9" s="1433"/>
      <c r="L9" s="1433"/>
      <c r="M9" s="1433"/>
      <c r="N9" s="1433"/>
      <c r="O9" s="1433"/>
      <c r="P9" s="1433"/>
      <c r="Q9" s="1433"/>
      <c r="R9" s="1433"/>
      <c r="S9" s="1433"/>
      <c r="T9" s="1433"/>
      <c r="U9" s="1433"/>
      <c r="V9" s="1433"/>
      <c r="W9" s="1433"/>
      <c r="X9" s="1433"/>
      <c r="Y9" s="1433"/>
      <c r="Z9" s="1433"/>
      <c r="AA9" s="1433"/>
      <c r="AB9" s="1433"/>
      <c r="AC9" s="1433"/>
    </row>
    <row r="10" spans="1:30" ht="20.25">
      <c r="A10" s="1434" t="s">
        <v>1182</v>
      </c>
      <c r="B10" s="1433"/>
      <c r="C10" s="1433"/>
      <c r="D10" s="1433"/>
      <c r="E10" s="1433"/>
      <c r="F10" s="1433"/>
      <c r="G10" s="1433"/>
      <c r="H10" s="1433"/>
      <c r="I10" s="1433"/>
      <c r="J10" s="1433"/>
      <c r="K10" s="1433"/>
      <c r="L10" s="1433"/>
      <c r="M10" s="1433"/>
      <c r="N10" s="1433"/>
      <c r="O10" s="1433"/>
      <c r="P10" s="1433"/>
      <c r="Q10" s="1433"/>
      <c r="R10" s="1433"/>
      <c r="S10" s="1433"/>
      <c r="T10" s="1433"/>
      <c r="U10" s="1433"/>
      <c r="V10" s="1433"/>
      <c r="W10" s="1433"/>
      <c r="X10" s="1433"/>
      <c r="Y10" s="1433"/>
      <c r="Z10" s="1433"/>
      <c r="AA10" s="1433"/>
      <c r="AB10" s="1433"/>
      <c r="AC10" s="1433"/>
      <c r="AD10" s="1433"/>
    </row>
    <row r="11" spans="1:30">
      <c r="A11" s="1433"/>
      <c r="B11" s="1433"/>
      <c r="C11" s="1433"/>
      <c r="D11" s="1433"/>
      <c r="E11" s="1433"/>
      <c r="F11" s="1433"/>
      <c r="G11" s="1433"/>
      <c r="H11" s="1433"/>
      <c r="I11" s="1433"/>
      <c r="J11" s="1433"/>
      <c r="K11" s="1433"/>
      <c r="L11" s="1433"/>
      <c r="M11" s="1433"/>
      <c r="N11" s="1433"/>
      <c r="O11" s="1433"/>
      <c r="P11" s="1433"/>
      <c r="Q11" s="1433"/>
      <c r="R11" s="1433"/>
      <c r="S11" s="1433"/>
      <c r="T11" s="1433"/>
      <c r="U11" s="1433"/>
      <c r="V11" s="1433"/>
      <c r="W11" s="1433"/>
      <c r="X11" s="1433"/>
      <c r="Y11" s="1433"/>
      <c r="Z11" s="1433"/>
      <c r="AA11" s="1433"/>
      <c r="AB11" s="1433"/>
      <c r="AC11" s="1433"/>
      <c r="AD11" s="1433"/>
    </row>
    <row r="12" spans="1:30">
      <c r="A12" s="1435" t="s">
        <v>1183</v>
      </c>
      <c r="B12" s="1436"/>
      <c r="C12" s="1437"/>
      <c r="D12" s="1433"/>
      <c r="E12" s="1433"/>
      <c r="F12" s="1433"/>
      <c r="G12" s="1433"/>
      <c r="H12" s="1433"/>
      <c r="I12" s="1433"/>
      <c r="J12" s="1433"/>
      <c r="K12" s="1433"/>
      <c r="L12" s="1433"/>
      <c r="M12" s="1433"/>
      <c r="N12" s="1433"/>
      <c r="O12" s="1433"/>
      <c r="P12" s="1433"/>
      <c r="Q12" s="1433"/>
      <c r="R12" s="1433"/>
      <c r="S12" s="1433"/>
      <c r="T12" s="1433"/>
      <c r="U12" s="1433"/>
      <c r="V12" s="1433"/>
      <c r="W12" s="1433"/>
      <c r="X12" s="1433"/>
      <c r="Y12" s="1433"/>
      <c r="Z12" s="1433"/>
      <c r="AA12" s="1433"/>
      <c r="AB12" s="1433"/>
      <c r="AC12" s="1433"/>
      <c r="AD12" s="1433"/>
    </row>
    <row r="13" spans="1:30">
      <c r="A13" s="1435"/>
      <c r="B13" s="1613" t="s">
        <v>1353</v>
      </c>
      <c r="C13" s="1437"/>
      <c r="D13" s="1433"/>
      <c r="E13" s="1433"/>
      <c r="F13" s="1433"/>
      <c r="G13" s="1433"/>
      <c r="H13" s="1433"/>
      <c r="I13" s="1433"/>
      <c r="J13" s="1433"/>
      <c r="K13" s="1433"/>
      <c r="L13" s="1433"/>
      <c r="M13" s="1433"/>
      <c r="N13" s="3473"/>
      <c r="O13" s="3473"/>
      <c r="P13" s="3473"/>
      <c r="Q13" s="3473"/>
      <c r="R13" s="1433"/>
      <c r="S13" s="1433"/>
      <c r="T13" s="1433"/>
      <c r="U13" s="1433"/>
      <c r="V13" s="1433"/>
      <c r="W13" s="1433"/>
      <c r="X13" s="1433"/>
      <c r="Y13" s="1433"/>
      <c r="Z13" s="1433"/>
      <c r="AA13" s="1433"/>
      <c r="AB13" s="1433"/>
      <c r="AC13" s="1433"/>
      <c r="AD13" s="1433"/>
    </row>
    <row r="14" spans="1:30">
      <c r="A14" s="1433"/>
      <c r="B14" s="1438" t="s">
        <v>1184</v>
      </c>
      <c r="C14" s="1437"/>
      <c r="D14" s="1433"/>
      <c r="E14" s="1433"/>
      <c r="F14" s="1433"/>
      <c r="G14" s="1433"/>
      <c r="H14" s="1433"/>
      <c r="I14" s="1439"/>
      <c r="J14" s="3451"/>
      <c r="K14" s="3451"/>
      <c r="L14" s="3451"/>
      <c r="M14" s="3451"/>
      <c r="N14" s="1433"/>
      <c r="O14" s="1433"/>
      <c r="P14" s="1433"/>
      <c r="Q14" s="1433"/>
      <c r="R14" s="1433"/>
      <c r="S14" s="1433"/>
      <c r="T14" s="1433"/>
      <c r="U14" s="1433"/>
      <c r="V14" s="1433"/>
      <c r="W14" s="1433"/>
      <c r="X14" s="1433"/>
      <c r="Y14" s="1433"/>
      <c r="Z14" s="1433"/>
      <c r="AA14" s="1433"/>
      <c r="AB14" s="1433"/>
      <c r="AC14" s="1433"/>
      <c r="AD14" s="1433"/>
    </row>
    <row r="15" spans="1:30">
      <c r="A15" s="1433"/>
      <c r="B15" s="1440" t="s">
        <v>1185</v>
      </c>
      <c r="C15" s="1437"/>
      <c r="D15" s="1433"/>
      <c r="E15" s="1433"/>
      <c r="F15" s="1433"/>
      <c r="G15" s="1433"/>
      <c r="H15" s="1433"/>
      <c r="I15" s="1433"/>
      <c r="J15" s="3452"/>
      <c r="K15" s="3452"/>
      <c r="L15" s="3452"/>
      <c r="M15" s="3452"/>
      <c r="N15" s="1433"/>
      <c r="O15" s="1433"/>
      <c r="P15" s="1433"/>
      <c r="Q15" s="1433"/>
      <c r="R15" s="1433"/>
      <c r="S15" s="1433"/>
      <c r="T15" s="1433"/>
      <c r="U15" s="1433"/>
      <c r="V15" s="1433"/>
      <c r="W15" s="1433"/>
      <c r="X15" s="1433"/>
      <c r="Y15" s="1433"/>
      <c r="Z15" s="1433"/>
      <c r="AA15" s="1433"/>
      <c r="AB15" s="1433"/>
      <c r="AC15" s="1433"/>
      <c r="AD15" s="1433"/>
    </row>
    <row r="16" spans="1:30">
      <c r="A16" s="1433"/>
      <c r="B16" s="1440" t="s">
        <v>1186</v>
      </c>
      <c r="C16" s="1437"/>
      <c r="D16" s="1433"/>
      <c r="E16" s="1433"/>
      <c r="F16" s="1433"/>
      <c r="G16" s="1433"/>
      <c r="H16" s="1433"/>
      <c r="I16" s="1433"/>
      <c r="J16" s="1433"/>
      <c r="K16" s="1433"/>
      <c r="L16" s="1433"/>
      <c r="M16" s="1433"/>
      <c r="N16" s="3472"/>
      <c r="O16" s="3472"/>
      <c r="P16" s="3472"/>
      <c r="Q16" s="3472"/>
      <c r="R16" s="1433"/>
      <c r="S16" s="1433"/>
      <c r="T16" s="1433"/>
      <c r="U16" s="1433"/>
      <c r="V16" s="1433"/>
      <c r="W16" s="1433"/>
      <c r="X16" s="1433"/>
      <c r="Y16" s="1433"/>
      <c r="Z16" s="1433"/>
      <c r="AA16" s="1433"/>
      <c r="AB16" s="1433"/>
      <c r="AC16" s="1433"/>
      <c r="AD16" s="1433"/>
    </row>
    <row r="17" spans="1:38">
      <c r="A17" s="1433"/>
      <c r="B17" s="1436" t="s">
        <v>1187</v>
      </c>
      <c r="C17" s="1437"/>
      <c r="D17" s="1433"/>
      <c r="E17" s="1433"/>
      <c r="F17" s="1433"/>
      <c r="G17" s="1433"/>
      <c r="H17" s="1433"/>
      <c r="I17" s="1433"/>
      <c r="J17" s="1433"/>
      <c r="K17" s="1433"/>
      <c r="L17" s="1433"/>
      <c r="M17" s="1433"/>
      <c r="N17" s="3451"/>
      <c r="O17" s="3451"/>
      <c r="P17" s="3451"/>
      <c r="Q17" s="3451"/>
      <c r="R17" s="1433"/>
      <c r="S17" s="1433"/>
      <c r="T17" s="1433"/>
      <c r="U17" s="1433"/>
      <c r="V17" s="1433"/>
      <c r="W17" s="1433"/>
      <c r="X17" s="1433"/>
      <c r="Y17" s="1433"/>
      <c r="Z17" s="1433"/>
      <c r="AA17" s="1433"/>
      <c r="AB17" s="1433"/>
      <c r="AC17" s="1433"/>
      <c r="AD17" s="1433"/>
    </row>
    <row r="18" spans="1:38">
      <c r="A18" s="1433"/>
      <c r="B18" s="1436" t="s">
        <v>1188</v>
      </c>
      <c r="C18" s="1437"/>
      <c r="D18" s="1433"/>
      <c r="E18" s="1433"/>
      <c r="F18" s="1433"/>
      <c r="G18" s="1433"/>
      <c r="H18" s="1433"/>
      <c r="I18" s="1433"/>
      <c r="J18" s="1433"/>
      <c r="K18" s="1433"/>
      <c r="L18" s="1433"/>
      <c r="M18" s="1433"/>
      <c r="N18" s="3452"/>
      <c r="O18" s="3452"/>
      <c r="P18" s="3452"/>
      <c r="Q18" s="3452"/>
      <c r="R18" s="1437"/>
      <c r="S18" s="1437"/>
      <c r="T18" s="1437"/>
      <c r="U18" s="1437"/>
      <c r="V18" s="1437"/>
      <c r="W18" s="1433"/>
      <c r="X18" s="1433"/>
      <c r="Y18" s="1433"/>
      <c r="Z18" s="1433"/>
      <c r="AA18" s="1433"/>
      <c r="AB18" s="1433"/>
      <c r="AC18" s="1433"/>
      <c r="AD18" s="1433"/>
    </row>
    <row r="19" spans="1:38">
      <c r="A19" s="1433"/>
      <c r="B19" s="1436" t="s">
        <v>1189</v>
      </c>
      <c r="C19" s="1437"/>
      <c r="D19" s="1433"/>
      <c r="E19" s="1433"/>
      <c r="F19" s="1433"/>
      <c r="G19" s="1433"/>
      <c r="H19" s="1433"/>
      <c r="I19" s="1433"/>
      <c r="J19" s="1433"/>
      <c r="K19" s="1433"/>
      <c r="L19" s="1433"/>
      <c r="M19" s="1433"/>
      <c r="N19" s="1433"/>
      <c r="O19" s="1433"/>
      <c r="P19" s="1433"/>
      <c r="Q19" s="1433"/>
      <c r="R19" s="3452"/>
      <c r="S19" s="3452"/>
      <c r="T19" s="3452"/>
      <c r="U19" s="3452"/>
      <c r="V19" s="1441"/>
      <c r="W19" s="1433"/>
      <c r="X19" s="1433"/>
      <c r="Y19" s="1433"/>
      <c r="Z19" s="1433"/>
      <c r="AA19" s="1433"/>
      <c r="AB19" s="1433"/>
      <c r="AC19" s="1433"/>
      <c r="AD19" s="1433"/>
    </row>
    <row r="20" spans="1:38">
      <c r="A20" s="1433"/>
      <c r="B20" s="1436"/>
      <c r="C20" s="1437"/>
      <c r="D20" s="1433"/>
      <c r="E20" s="1433"/>
      <c r="F20" s="1433"/>
      <c r="G20" s="1433"/>
      <c r="H20" s="1433"/>
      <c r="I20" s="1433"/>
      <c r="J20" s="1433"/>
      <c r="K20" s="1433"/>
      <c r="L20" s="1433"/>
      <c r="M20" s="1433"/>
      <c r="N20" s="1433"/>
      <c r="O20" s="1433"/>
      <c r="P20" s="1433"/>
      <c r="Q20" s="1433"/>
      <c r="R20" s="1433"/>
      <c r="S20" s="1433"/>
      <c r="T20" s="1433"/>
      <c r="U20" s="1433"/>
      <c r="V20" s="1433"/>
      <c r="W20" s="1433"/>
      <c r="X20" s="1433"/>
      <c r="Y20" s="1433"/>
      <c r="Z20" s="1433"/>
      <c r="AA20" s="1433"/>
      <c r="AB20" s="1433"/>
      <c r="AC20" s="1433"/>
      <c r="AD20" s="1433"/>
    </row>
    <row r="21" spans="1:38">
      <c r="A21" s="1442" t="s">
        <v>1190</v>
      </c>
      <c r="B21" s="1436"/>
      <c r="C21" s="1437"/>
      <c r="D21" s="1433"/>
      <c r="E21" s="1433"/>
      <c r="F21" s="1433"/>
      <c r="G21" s="1433"/>
      <c r="H21" s="1433"/>
      <c r="I21" s="1433"/>
      <c r="J21" s="1433"/>
      <c r="K21" s="1433"/>
      <c r="L21" s="1433"/>
      <c r="M21" s="1433"/>
      <c r="N21" s="1433"/>
      <c r="O21" s="1433"/>
      <c r="P21" s="1433"/>
      <c r="Q21" s="1433"/>
      <c r="R21" s="1433"/>
      <c r="S21" s="1433"/>
      <c r="T21" s="1433"/>
      <c r="U21" s="1433"/>
      <c r="V21" s="1433"/>
      <c r="W21" s="1433"/>
      <c r="X21" s="1442"/>
      <c r="Y21" s="1433"/>
      <c r="Z21" s="1433"/>
      <c r="AA21" s="1433"/>
      <c r="AB21" s="1433"/>
      <c r="AC21" s="1433"/>
      <c r="AD21" s="1433"/>
    </row>
    <row r="22" spans="1:38">
      <c r="A22" s="1442"/>
      <c r="B22" s="1613" t="s">
        <v>1353</v>
      </c>
      <c r="C22" s="1437"/>
      <c r="D22" s="1433"/>
      <c r="E22" s="1433"/>
      <c r="F22" s="1433"/>
      <c r="G22" s="1433"/>
      <c r="H22" s="1433"/>
      <c r="I22" s="1433"/>
      <c r="J22" s="1433"/>
      <c r="K22" s="1433"/>
      <c r="L22" s="1433"/>
      <c r="M22" s="1433"/>
      <c r="N22" s="3467"/>
      <c r="O22" s="3467"/>
      <c r="P22" s="3467"/>
      <c r="Q22" s="3467"/>
      <c r="R22" s="1433"/>
      <c r="S22" s="1433"/>
      <c r="T22" s="1433"/>
      <c r="U22" s="1433"/>
      <c r="V22" s="1433"/>
      <c r="W22" s="1433"/>
      <c r="X22" s="1442" t="s">
        <v>1191</v>
      </c>
      <c r="Y22" s="1433"/>
      <c r="Z22" s="1433"/>
      <c r="AA22" s="1433"/>
      <c r="AB22" s="1433"/>
      <c r="AC22" s="1433"/>
      <c r="AD22" s="1433"/>
    </row>
    <row r="23" spans="1:38">
      <c r="A23" s="1436"/>
      <c r="B23" s="1436" t="s">
        <v>1184</v>
      </c>
      <c r="C23" s="1437"/>
      <c r="D23" s="1433"/>
      <c r="E23" s="1433"/>
      <c r="F23" s="1433"/>
      <c r="G23" s="1433"/>
      <c r="H23" s="1433"/>
      <c r="I23" s="1433"/>
      <c r="J23" s="3451"/>
      <c r="K23" s="3451"/>
      <c r="L23" s="3451"/>
      <c r="M23" s="3451"/>
      <c r="N23" s="1443"/>
      <c r="O23" s="1433"/>
      <c r="P23" s="1433"/>
      <c r="Q23" s="1433"/>
      <c r="R23" s="1433"/>
      <c r="S23" s="1433"/>
      <c r="T23" s="1433"/>
      <c r="U23" s="1433"/>
      <c r="V23" s="1433"/>
      <c r="W23" s="1433"/>
      <c r="X23" s="1433"/>
      <c r="Y23" s="1436" t="s">
        <v>1192</v>
      </c>
      <c r="Z23" s="1433"/>
      <c r="AA23" s="1433"/>
      <c r="AB23" s="1433"/>
      <c r="AC23" s="1433"/>
      <c r="AD23" s="1433"/>
      <c r="AF23" s="3433"/>
      <c r="AG23" s="3433"/>
      <c r="AH23" s="3433"/>
      <c r="AI23" s="3433"/>
      <c r="AK23" s="1444" t="str">
        <f>IF(AND(AF23&lt;=0),"A",IF(AND(AF23&lt;=50000000),"B",IF(AND(AF23&gt;50000000,AF23&lt;=250000000),"C",IF(AND(AF23&gt;250000000,AF23&lt;=500000000),"D","E"))))</f>
        <v>A</v>
      </c>
      <c r="AL23" s="1445"/>
    </row>
    <row r="24" spans="1:38">
      <c r="A24" s="1436"/>
      <c r="B24" s="1436" t="s">
        <v>1185</v>
      </c>
      <c r="C24" s="1437"/>
      <c r="D24" s="1433"/>
      <c r="E24" s="1433"/>
      <c r="F24" s="1433"/>
      <c r="G24" s="1433"/>
      <c r="H24" s="1433"/>
      <c r="I24" s="1433"/>
      <c r="J24" s="3452"/>
      <c r="K24" s="3452"/>
      <c r="L24" s="3452"/>
      <c r="M24" s="3452"/>
      <c r="N24" s="1443"/>
      <c r="O24" s="1433"/>
      <c r="P24" s="1433"/>
      <c r="Q24" s="1433"/>
      <c r="R24" s="1433"/>
      <c r="S24" s="1433"/>
      <c r="T24" s="1433"/>
      <c r="U24" s="1433"/>
      <c r="V24" s="1433"/>
      <c r="W24" s="1433"/>
      <c r="X24" s="1433"/>
      <c r="Y24" s="1436" t="s">
        <v>1193</v>
      </c>
      <c r="Z24" s="1433"/>
      <c r="AA24" s="1433"/>
      <c r="AB24" s="1433"/>
      <c r="AC24" s="1433"/>
      <c r="AD24" s="1433"/>
      <c r="AF24" s="3440"/>
      <c r="AG24" s="3440"/>
      <c r="AH24" s="3440"/>
      <c r="AI24" s="3440"/>
    </row>
    <row r="25" spans="1:38">
      <c r="A25" s="1433"/>
      <c r="B25" s="1440" t="s">
        <v>1186</v>
      </c>
      <c r="C25" s="1437"/>
      <c r="D25" s="1433"/>
      <c r="E25" s="1433"/>
      <c r="F25" s="1433"/>
      <c r="G25" s="1433"/>
      <c r="H25" s="1433"/>
      <c r="I25" s="1433"/>
      <c r="J25" s="1433"/>
      <c r="K25" s="1433"/>
      <c r="L25" s="1433"/>
      <c r="M25" s="1446"/>
      <c r="N25" s="3469"/>
      <c r="O25" s="3469"/>
      <c r="P25" s="3469"/>
      <c r="Q25" s="3469"/>
      <c r="R25" s="1433"/>
      <c r="S25" s="1433"/>
      <c r="T25" s="1433"/>
      <c r="U25" s="1433"/>
      <c r="V25" s="1433"/>
      <c r="W25" s="1433"/>
      <c r="X25" s="1433"/>
      <c r="Y25" s="1433" t="s">
        <v>1194</v>
      </c>
      <c r="Z25" s="1433"/>
      <c r="AA25" s="1433"/>
      <c r="AB25" s="1433"/>
      <c r="AC25" s="1433"/>
      <c r="AD25" s="1433"/>
      <c r="AF25" s="3433"/>
      <c r="AG25" s="3433"/>
      <c r="AH25" s="3433"/>
      <c r="AI25" s="3433"/>
      <c r="AK25" s="1444" t="str">
        <f>IF(AND(AF25&lt;=0),"A",IF(AND(AF25&lt;=50000000),"B",IF(AND(AF25&gt;50000000,AF25&lt;=250000000),"C",IF(AND(AF25&gt;250000000,AF25&lt;=500000000),"D","E"))))</f>
        <v>A</v>
      </c>
      <c r="AL25" s="1445"/>
    </row>
    <row r="26" spans="1:38">
      <c r="A26" s="1436"/>
      <c r="B26" s="1436" t="s">
        <v>1187</v>
      </c>
      <c r="C26" s="1437"/>
      <c r="D26" s="1433"/>
      <c r="E26" s="1433"/>
      <c r="F26" s="1433"/>
      <c r="G26" s="1433"/>
      <c r="H26" s="1433"/>
      <c r="I26" s="1433"/>
      <c r="J26" s="1433"/>
      <c r="K26" s="1433"/>
      <c r="L26" s="1433"/>
      <c r="M26" s="1433"/>
      <c r="N26" s="3467"/>
      <c r="O26" s="3467"/>
      <c r="P26" s="3467"/>
      <c r="Q26" s="3467"/>
      <c r="R26" s="1433"/>
      <c r="S26" s="1433"/>
      <c r="T26" s="1433"/>
      <c r="U26" s="1433"/>
      <c r="V26" s="1433"/>
      <c r="W26" s="1433"/>
      <c r="X26" s="1433"/>
      <c r="Y26" s="1436"/>
      <c r="Z26" s="1433"/>
      <c r="AA26" s="1433"/>
      <c r="AB26" s="1433"/>
      <c r="AC26" s="1433"/>
      <c r="AD26" s="1433"/>
      <c r="AF26" s="3433"/>
      <c r="AG26" s="3433"/>
      <c r="AH26" s="3433"/>
      <c r="AI26" s="3433"/>
      <c r="AK26" s="1444"/>
    </row>
    <row r="27" spans="1:38">
      <c r="A27" s="1436"/>
      <c r="B27" s="1436" t="s">
        <v>1188</v>
      </c>
      <c r="C27" s="1437"/>
      <c r="D27" s="1433"/>
      <c r="E27" s="1433"/>
      <c r="F27" s="1433"/>
      <c r="G27" s="1433"/>
      <c r="H27" s="1433"/>
      <c r="I27" s="1433"/>
      <c r="J27" s="1433"/>
      <c r="K27" s="1433"/>
      <c r="L27" s="1433"/>
      <c r="M27" s="1433"/>
      <c r="N27" s="3461"/>
      <c r="O27" s="3461"/>
      <c r="P27" s="3461"/>
      <c r="Q27" s="3461"/>
      <c r="R27" s="1433"/>
      <c r="S27" s="1433"/>
      <c r="T27" s="1433"/>
      <c r="U27" s="1433"/>
      <c r="V27" s="1433"/>
      <c r="W27" s="1433"/>
      <c r="X27" s="1433"/>
      <c r="Y27" s="1436"/>
      <c r="Z27" s="1433"/>
      <c r="AA27" s="1433"/>
      <c r="AB27" s="1433"/>
      <c r="AC27" s="1433"/>
      <c r="AD27" s="1433"/>
      <c r="AF27" s="3433"/>
      <c r="AG27" s="3433"/>
      <c r="AH27" s="3433"/>
      <c r="AI27" s="3433"/>
    </row>
    <row r="28" spans="1:38">
      <c r="A28" s="1436"/>
      <c r="B28" s="1436" t="s">
        <v>1195</v>
      </c>
      <c r="C28" s="1437"/>
      <c r="D28" s="1433"/>
      <c r="E28" s="1433"/>
      <c r="F28" s="1433"/>
      <c r="G28" s="1433"/>
      <c r="H28" s="1433"/>
      <c r="I28" s="1433"/>
      <c r="J28" s="1433"/>
      <c r="K28" s="1433"/>
      <c r="L28" s="1433"/>
      <c r="M28" s="3451"/>
      <c r="N28" s="3451"/>
      <c r="O28" s="3451"/>
      <c r="P28" s="3451"/>
      <c r="Q28" s="3451"/>
      <c r="R28" s="3468"/>
      <c r="S28" s="3458"/>
      <c r="T28" s="3458"/>
      <c r="U28" s="3458"/>
      <c r="V28" s="1433"/>
      <c r="W28" s="1433"/>
      <c r="X28" s="1433"/>
      <c r="Y28" s="1436"/>
      <c r="Z28" s="1433"/>
      <c r="AA28" s="1433"/>
      <c r="AB28" s="1433"/>
      <c r="AC28" s="1433"/>
      <c r="AD28" s="1433"/>
      <c r="AF28" s="3433"/>
      <c r="AG28" s="3433"/>
      <c r="AH28" s="3433"/>
      <c r="AI28" s="3433"/>
      <c r="AK28" s="1444"/>
    </row>
    <row r="29" spans="1:38">
      <c r="A29" s="1436"/>
      <c r="B29" s="1436"/>
      <c r="C29" s="1437"/>
      <c r="D29" s="1433"/>
      <c r="E29" s="1433"/>
      <c r="F29" s="1433"/>
      <c r="G29" s="1433"/>
      <c r="H29" s="1433"/>
      <c r="I29" s="1433"/>
      <c r="J29" s="1433"/>
      <c r="K29" s="1433"/>
      <c r="L29" s="1433"/>
      <c r="M29" s="1433"/>
      <c r="N29" s="1433"/>
      <c r="O29" s="1433"/>
      <c r="P29" s="1433"/>
      <c r="Q29" s="1433"/>
      <c r="R29" s="1433"/>
      <c r="S29" s="1433"/>
      <c r="T29" s="1433"/>
      <c r="U29" s="1433"/>
      <c r="V29" s="1433"/>
      <c r="W29" s="1433"/>
      <c r="X29" s="1433"/>
      <c r="Y29" s="1433"/>
      <c r="Z29" s="1433"/>
      <c r="AA29" s="1433"/>
      <c r="AB29" s="1433"/>
      <c r="AC29" s="1433"/>
      <c r="AD29" s="1433"/>
    </row>
    <row r="30" spans="1:38">
      <c r="A30" s="1435" t="s">
        <v>438</v>
      </c>
      <c r="B30" s="1436"/>
      <c r="C30" s="1437"/>
      <c r="D30" s="1433"/>
      <c r="E30" s="1433"/>
      <c r="F30" s="1433"/>
      <c r="G30" s="1433"/>
      <c r="H30" s="1433"/>
      <c r="I30" s="1433"/>
      <c r="J30" s="1433"/>
      <c r="K30" s="1433"/>
      <c r="L30" s="1433"/>
      <c r="M30" s="1433"/>
      <c r="N30" s="1433"/>
      <c r="O30" s="1433"/>
      <c r="P30" s="1433"/>
      <c r="Q30" s="1433"/>
      <c r="R30" s="3464"/>
      <c r="S30" s="3464"/>
      <c r="T30" s="3464"/>
      <c r="U30" s="3464"/>
      <c r="V30" s="1433"/>
      <c r="W30" s="1433"/>
      <c r="X30" s="1433"/>
      <c r="Y30" s="1433"/>
      <c r="Z30" s="1433"/>
      <c r="AA30" s="1433"/>
      <c r="AB30" s="1433"/>
      <c r="AC30" s="1433"/>
      <c r="AD30" s="1433"/>
    </row>
    <row r="31" spans="1:38">
      <c r="A31" s="1435"/>
      <c r="B31" s="1436"/>
      <c r="C31" s="1437"/>
      <c r="D31" s="1433"/>
      <c r="E31" s="1433"/>
      <c r="F31" s="1433"/>
      <c r="G31" s="1433"/>
      <c r="H31" s="1433"/>
      <c r="I31" s="1433"/>
      <c r="J31" s="1433"/>
      <c r="K31" s="1433"/>
      <c r="L31" s="1433"/>
      <c r="M31" s="1433"/>
      <c r="N31" s="1433"/>
      <c r="O31" s="1433"/>
      <c r="P31" s="1433"/>
      <c r="Q31" s="1433"/>
      <c r="R31" s="1433"/>
      <c r="S31" s="1433"/>
      <c r="T31" s="1433"/>
      <c r="U31" s="1433"/>
      <c r="V31" s="1433"/>
      <c r="W31" s="1433"/>
      <c r="X31" s="1442" t="s">
        <v>1191</v>
      </c>
      <c r="Y31" s="1433"/>
      <c r="Z31" s="1433"/>
      <c r="AA31" s="1433"/>
      <c r="AB31" s="1433"/>
      <c r="AC31" s="1433"/>
      <c r="AD31" s="1433"/>
    </row>
    <row r="32" spans="1:38">
      <c r="A32" s="1435" t="s">
        <v>1196</v>
      </c>
      <c r="B32" s="1436"/>
      <c r="C32" s="1437"/>
      <c r="D32" s="1433"/>
      <c r="E32" s="1433"/>
      <c r="F32" s="1433"/>
      <c r="G32" s="1433"/>
      <c r="H32" s="1433"/>
      <c r="I32" s="1433"/>
      <c r="J32" s="1433"/>
      <c r="K32" s="1433"/>
      <c r="L32" s="1433"/>
      <c r="M32" s="1433"/>
      <c r="N32" s="1433"/>
      <c r="O32" s="1433"/>
      <c r="P32" s="1433"/>
      <c r="Q32" s="1433"/>
      <c r="R32" s="3465"/>
      <c r="S32" s="3466"/>
      <c r="T32" s="3466"/>
      <c r="U32" s="3466"/>
      <c r="V32" s="1433"/>
      <c r="W32" s="1433"/>
      <c r="X32" s="1442"/>
      <c r="Y32" s="1433" t="s">
        <v>1393</v>
      </c>
      <c r="Z32" s="1433"/>
      <c r="AA32" s="1433"/>
      <c r="AB32" s="1433"/>
      <c r="AC32" s="1433"/>
      <c r="AD32" s="1433"/>
      <c r="AF32" s="3433">
        <f>N22</f>
        <v>0</v>
      </c>
      <c r="AG32" s="3433"/>
      <c r="AH32" s="3433"/>
      <c r="AI32" s="3433"/>
    </row>
    <row r="33" spans="1:38">
      <c r="A33" s="1435"/>
      <c r="B33" s="1436"/>
      <c r="C33" s="1437"/>
      <c r="D33" s="1433"/>
      <c r="E33" s="1433"/>
      <c r="F33" s="1433"/>
      <c r="G33" s="1433"/>
      <c r="H33" s="1433"/>
      <c r="I33" s="1433"/>
      <c r="J33" s="1433"/>
      <c r="K33" s="1433"/>
      <c r="L33" s="1433"/>
      <c r="M33" s="1433"/>
      <c r="N33" s="1433"/>
      <c r="O33" s="1433"/>
      <c r="P33" s="1433"/>
      <c r="Q33" s="1433"/>
      <c r="R33" s="1433"/>
      <c r="S33" s="1433"/>
      <c r="T33" s="1433"/>
      <c r="U33" s="1433"/>
      <c r="V33" s="1433"/>
      <c r="W33" s="1433"/>
      <c r="X33" s="1433"/>
      <c r="Y33" s="1436" t="s">
        <v>1192</v>
      </c>
      <c r="Z33" s="1433"/>
      <c r="AA33" s="1433"/>
      <c r="AB33" s="1433"/>
      <c r="AC33" s="1433"/>
      <c r="AD33" s="1433"/>
      <c r="AF33" s="3433"/>
      <c r="AG33" s="3433"/>
      <c r="AH33" s="3433"/>
      <c r="AI33" s="3433"/>
      <c r="AK33" s="1444" t="str">
        <f>IF(AND(AF33&lt;=0),"A",IF(AND(AF33&lt;=50000000),"B",IF(AND(AF33&gt;50000000,AF33&lt;=250000000),"C",IF(AND(AF33&gt;250000000,AF33&lt;=500000000),"D","E"))))</f>
        <v>A</v>
      </c>
      <c r="AL33" s="1445"/>
    </row>
    <row r="34" spans="1:38">
      <c r="A34" s="1435" t="s">
        <v>1197</v>
      </c>
      <c r="B34" s="1436"/>
      <c r="C34" s="1437"/>
      <c r="D34" s="1433"/>
      <c r="E34" s="1433"/>
      <c r="F34" s="1433"/>
      <c r="G34" s="1433"/>
      <c r="H34" s="1433"/>
      <c r="I34" s="1433"/>
      <c r="J34" s="1433"/>
      <c r="K34" s="1433"/>
      <c r="L34" s="1433"/>
      <c r="M34" s="1433"/>
      <c r="N34" s="1433"/>
      <c r="O34" s="1433"/>
      <c r="P34" s="1433"/>
      <c r="Q34" s="1433"/>
      <c r="R34" s="1433"/>
      <c r="S34" s="1433"/>
      <c r="T34" s="1433"/>
      <c r="U34" s="1433"/>
      <c r="V34" s="1433"/>
      <c r="W34" s="1433"/>
      <c r="X34" s="1433"/>
      <c r="Y34" s="1436" t="s">
        <v>1193</v>
      </c>
      <c r="Z34" s="1433"/>
      <c r="AA34" s="1433"/>
      <c r="AB34" s="1433"/>
      <c r="AC34" s="1433"/>
      <c r="AD34" s="1433"/>
      <c r="AF34" s="3440"/>
      <c r="AG34" s="3440"/>
      <c r="AH34" s="3440"/>
      <c r="AI34" s="3440"/>
    </row>
    <row r="35" spans="1:38">
      <c r="A35" s="1435"/>
      <c r="B35" s="1436" t="s">
        <v>1192</v>
      </c>
      <c r="C35" s="1437"/>
      <c r="D35" s="1433"/>
      <c r="E35" s="1433"/>
      <c r="F35" s="1433"/>
      <c r="G35" s="1433"/>
      <c r="H35" s="1433"/>
      <c r="I35" s="1433"/>
      <c r="J35" s="3455"/>
      <c r="K35" s="3455"/>
      <c r="L35" s="3455"/>
      <c r="M35" s="3455"/>
      <c r="N35" s="1433"/>
      <c r="O35" s="1433"/>
      <c r="P35" s="1433"/>
      <c r="Q35" s="1433"/>
      <c r="R35" s="1433"/>
      <c r="S35" s="1433"/>
      <c r="T35" s="1433"/>
      <c r="U35" s="1433"/>
      <c r="V35" s="1433"/>
      <c r="W35" s="1433"/>
      <c r="X35" s="1433"/>
      <c r="Y35" s="1433" t="s">
        <v>1194</v>
      </c>
      <c r="Z35" s="1433"/>
      <c r="AA35" s="1433"/>
      <c r="AB35" s="1433"/>
      <c r="AC35" s="1433"/>
      <c r="AD35" s="1433"/>
      <c r="AF35" s="3463"/>
      <c r="AG35" s="3463"/>
      <c r="AH35" s="3463"/>
      <c r="AI35" s="3463"/>
      <c r="AK35" s="1444" t="str">
        <f>IF(AND(AF35&lt;=0),"A",IF(AND(AF35&lt;=50000000),"B",IF(AND(AF35&gt;50000000,AF35&lt;=250000000),"C",IF(AND(AF35&gt;250000000,AF35&lt;=500000000),"D","E"))))</f>
        <v>A</v>
      </c>
      <c r="AL35" s="1445"/>
    </row>
    <row r="36" spans="1:38">
      <c r="A36" s="1435"/>
      <c r="B36" s="1436" t="s">
        <v>1193</v>
      </c>
      <c r="C36" s="1437"/>
      <c r="D36" s="1433"/>
      <c r="E36" s="1433"/>
      <c r="F36" s="1433"/>
      <c r="G36" s="1433"/>
      <c r="H36" s="1433"/>
      <c r="I36" s="1433"/>
      <c r="J36" s="3456"/>
      <c r="K36" s="3456"/>
      <c r="L36" s="3456"/>
      <c r="M36" s="3456"/>
      <c r="N36" s="1433"/>
      <c r="O36" s="1433"/>
      <c r="P36" s="1433"/>
      <c r="Q36" s="1433"/>
      <c r="R36" s="1433"/>
      <c r="S36" s="1433"/>
      <c r="T36" s="1433"/>
      <c r="U36" s="1433"/>
      <c r="V36" s="1433"/>
      <c r="W36" s="1433"/>
      <c r="X36" s="1433"/>
      <c r="Y36" s="1436" t="s">
        <v>1187</v>
      </c>
      <c r="Z36" s="1433"/>
      <c r="AA36" s="1433"/>
      <c r="AB36" s="1433"/>
      <c r="AC36" s="1433"/>
      <c r="AD36" s="1433"/>
      <c r="AF36" s="3433"/>
      <c r="AG36" s="3433"/>
      <c r="AH36" s="3433"/>
      <c r="AI36" s="3433"/>
    </row>
    <row r="37" spans="1:38">
      <c r="A37" s="1436"/>
      <c r="B37" s="1436" t="s">
        <v>1198</v>
      </c>
      <c r="C37" s="1437"/>
      <c r="D37" s="1433"/>
      <c r="E37" s="1433"/>
      <c r="F37" s="1433"/>
      <c r="G37" s="1433"/>
      <c r="H37" s="1433"/>
      <c r="I37" s="1433"/>
      <c r="J37" s="1433"/>
      <c r="K37" s="1433"/>
      <c r="L37" s="1433"/>
      <c r="M37" s="1433"/>
      <c r="N37" s="3455"/>
      <c r="O37" s="3455"/>
      <c r="P37" s="3455"/>
      <c r="Q37" s="3455"/>
      <c r="R37" s="1433"/>
      <c r="S37" s="1433"/>
      <c r="T37" s="1433"/>
      <c r="U37" s="1433"/>
      <c r="V37" s="1433"/>
      <c r="W37" s="1433"/>
      <c r="X37" s="1433"/>
      <c r="Y37" s="1436" t="s">
        <v>1188</v>
      </c>
      <c r="Z37" s="1433"/>
      <c r="AA37" s="1433"/>
      <c r="AB37" s="1433"/>
      <c r="AC37" s="1433"/>
      <c r="AD37" s="1433"/>
      <c r="AF37" s="3440"/>
      <c r="AG37" s="3440"/>
      <c r="AH37" s="3440"/>
      <c r="AI37" s="3440"/>
    </row>
    <row r="38" spans="1:38">
      <c r="A38" s="1435"/>
      <c r="B38" s="1433" t="s">
        <v>1199</v>
      </c>
      <c r="C38" s="1437"/>
      <c r="D38" s="1433"/>
      <c r="E38" s="1433"/>
      <c r="F38" s="1433"/>
      <c r="G38" s="1433"/>
      <c r="H38" s="1433"/>
      <c r="I38" s="1433"/>
      <c r="J38" s="1433"/>
      <c r="K38" s="1433"/>
      <c r="L38" s="1433"/>
      <c r="M38" s="1433"/>
      <c r="N38" s="3456"/>
      <c r="O38" s="3456"/>
      <c r="P38" s="3456"/>
      <c r="Q38" s="3456"/>
      <c r="R38" s="1433"/>
      <c r="S38" s="1433"/>
      <c r="T38" s="1433"/>
      <c r="U38" s="1433"/>
      <c r="V38" s="1433"/>
      <c r="W38" s="1433"/>
      <c r="X38" s="1433"/>
      <c r="Y38" s="1436" t="s">
        <v>1195</v>
      </c>
      <c r="Z38" s="1433"/>
      <c r="AA38" s="1433"/>
      <c r="AB38" s="1433"/>
      <c r="AC38" s="1433"/>
      <c r="AD38" s="1433"/>
      <c r="AF38" s="3463"/>
      <c r="AG38" s="3463"/>
      <c r="AH38" s="3463"/>
      <c r="AI38" s="3463"/>
      <c r="AK38" s="1444" t="str">
        <f>IF(AND(AF38&lt;=0),"A",IF(AND(AF38&lt;=50000000),"B",IF(AND(AF38&gt;50000000,AF38&lt;=250000000),"C",IF(AND(AF38&gt;250000000,AF38&lt;=500000000),"D","E"))))</f>
        <v>A</v>
      </c>
      <c r="AL38" s="1445"/>
    </row>
    <row r="39" spans="1:38">
      <c r="A39" s="1435"/>
      <c r="B39" s="1433" t="s">
        <v>1200</v>
      </c>
      <c r="C39" s="1437"/>
      <c r="D39" s="1433"/>
      <c r="E39" s="1433"/>
      <c r="F39" s="1433"/>
      <c r="G39" s="1433"/>
      <c r="H39" s="1433"/>
      <c r="I39" s="1433"/>
      <c r="J39" s="1433"/>
      <c r="K39" s="1433"/>
      <c r="L39" s="1433"/>
      <c r="M39" s="1433"/>
      <c r="N39" s="1433"/>
      <c r="O39" s="1433"/>
      <c r="P39" s="1433"/>
      <c r="Q39" s="1433"/>
      <c r="R39" s="3456"/>
      <c r="S39" s="3456"/>
      <c r="T39" s="3456"/>
      <c r="U39" s="3456"/>
      <c r="V39" s="1433"/>
      <c r="W39" s="1433"/>
      <c r="X39" s="1433"/>
      <c r="Y39" s="1436" t="s">
        <v>1201</v>
      </c>
      <c r="Z39" s="1433"/>
      <c r="AA39" s="1433"/>
      <c r="AB39" s="1433"/>
      <c r="AC39" s="1433"/>
      <c r="AD39" s="1433"/>
      <c r="AF39" s="3433"/>
      <c r="AG39" s="3433"/>
      <c r="AH39" s="3433"/>
      <c r="AI39" s="3433"/>
      <c r="AK39" s="1444" t="str">
        <f>IF(AND(AF39&lt;=0),"A",IF(AND(AF39&lt;=50000000),"B",IF(AND(AF39&gt;50000000,AF39&lt;=250000000),"C",IF(AND(AF39&gt;250000000,AF39&lt;=500000000),"D","E"))))</f>
        <v>A</v>
      </c>
      <c r="AL39" s="1445"/>
    </row>
    <row r="40" spans="1:38">
      <c r="A40" s="1435"/>
      <c r="B40" s="1433"/>
      <c r="C40" s="1437"/>
      <c r="D40" s="1433"/>
      <c r="E40" s="1433"/>
      <c r="F40" s="1433"/>
      <c r="G40" s="1433"/>
      <c r="H40" s="1433"/>
      <c r="I40" s="1433"/>
      <c r="J40" s="1433"/>
      <c r="K40" s="1433"/>
      <c r="L40" s="1433"/>
      <c r="M40" s="1433"/>
      <c r="N40" s="1433"/>
      <c r="O40" s="1433"/>
      <c r="P40" s="1433"/>
      <c r="Q40" s="1433"/>
      <c r="R40" s="1433"/>
      <c r="S40" s="1433"/>
      <c r="T40" s="1433"/>
      <c r="U40" s="1433"/>
      <c r="V40" s="1433"/>
      <c r="W40" s="1433"/>
      <c r="X40" s="1433"/>
      <c r="Y40" s="1433"/>
      <c r="Z40" s="1433"/>
      <c r="AA40" s="1433"/>
      <c r="AB40" s="1433"/>
      <c r="AC40" s="1433"/>
      <c r="AD40" s="1433"/>
    </row>
    <row r="41" spans="1:38">
      <c r="A41" s="1435" t="s">
        <v>1202</v>
      </c>
      <c r="B41" s="1436"/>
      <c r="C41" s="1437"/>
      <c r="D41" s="1433"/>
      <c r="E41" s="1433"/>
      <c r="F41" s="1433"/>
      <c r="G41" s="1433"/>
      <c r="H41" s="1433"/>
      <c r="I41" s="1433"/>
      <c r="J41" s="1433"/>
      <c r="K41" s="1433"/>
      <c r="L41" s="1433"/>
      <c r="M41" s="1433"/>
      <c r="N41" s="1433"/>
      <c r="O41" s="1433"/>
      <c r="P41" s="1433"/>
      <c r="Q41" s="1433"/>
      <c r="R41" s="1433"/>
      <c r="S41" s="1433"/>
      <c r="T41" s="1433"/>
      <c r="U41" s="1433"/>
      <c r="V41" s="1433"/>
      <c r="W41" s="1433"/>
      <c r="X41" s="1433"/>
      <c r="Y41" s="1433"/>
      <c r="Z41" s="1433"/>
      <c r="AA41" s="1433"/>
      <c r="AB41" s="1433"/>
      <c r="AC41" s="1433"/>
      <c r="AD41" s="1433"/>
    </row>
    <row r="42" spans="1:38">
      <c r="A42" s="1436"/>
      <c r="B42" s="1436" t="s">
        <v>1192</v>
      </c>
      <c r="C42" s="1437"/>
      <c r="D42" s="1433"/>
      <c r="E42" s="1433"/>
      <c r="F42" s="1433"/>
      <c r="G42" s="1433"/>
      <c r="H42" s="1433"/>
      <c r="I42" s="1433"/>
      <c r="J42" s="3455"/>
      <c r="K42" s="3455"/>
      <c r="L42" s="3455"/>
      <c r="M42" s="3455"/>
      <c r="N42" s="1433"/>
      <c r="O42" s="1433"/>
      <c r="P42" s="1433"/>
      <c r="Q42" s="1433"/>
      <c r="R42" s="1433"/>
      <c r="S42" s="1433"/>
      <c r="T42" s="1433"/>
      <c r="U42" s="1433"/>
      <c r="V42" s="1433"/>
      <c r="W42" s="1433"/>
      <c r="X42" s="1433"/>
      <c r="Y42" s="1433"/>
      <c r="Z42" s="1433"/>
      <c r="AA42" s="1433"/>
      <c r="AB42" s="1433"/>
      <c r="AC42" s="1433"/>
      <c r="AD42" s="1433"/>
      <c r="AE42" s="1445"/>
    </row>
    <row r="43" spans="1:38">
      <c r="A43" s="1436"/>
      <c r="B43" s="1436" t="s">
        <v>1193</v>
      </c>
      <c r="C43" s="1437"/>
      <c r="D43" s="1433"/>
      <c r="E43" s="1433"/>
      <c r="F43" s="1433"/>
      <c r="G43" s="1433"/>
      <c r="H43" s="1433"/>
      <c r="I43" s="1433"/>
      <c r="J43" s="3459"/>
      <c r="K43" s="3459"/>
      <c r="L43" s="3459"/>
      <c r="M43" s="3459"/>
      <c r="N43" s="1433"/>
      <c r="O43" s="1433"/>
      <c r="P43" s="1433"/>
      <c r="Q43" s="1433"/>
      <c r="R43" s="1433"/>
      <c r="S43" s="1433"/>
      <c r="T43" s="1433"/>
      <c r="U43" s="1433"/>
      <c r="V43" s="1433"/>
      <c r="W43" s="1433"/>
      <c r="X43" s="1442" t="s">
        <v>1203</v>
      </c>
      <c r="Y43" s="1433"/>
      <c r="Z43" s="1433"/>
      <c r="AA43" s="1433"/>
      <c r="AB43" s="1433"/>
      <c r="AC43" s="1433"/>
      <c r="AD43" s="1433"/>
    </row>
    <row r="44" spans="1:38">
      <c r="A44" s="1436"/>
      <c r="B44" s="1436" t="s">
        <v>1198</v>
      </c>
      <c r="C44" s="1437"/>
      <c r="D44" s="1433"/>
      <c r="E44" s="1433"/>
      <c r="F44" s="1433"/>
      <c r="G44" s="1433"/>
      <c r="H44" s="1433"/>
      <c r="I44" s="1433"/>
      <c r="J44" s="1446"/>
      <c r="K44" s="1446"/>
      <c r="L44" s="1446"/>
      <c r="M44" s="1446"/>
      <c r="N44" s="3455"/>
      <c r="O44" s="3455"/>
      <c r="P44" s="3455"/>
      <c r="Q44" s="3455"/>
      <c r="R44" s="1433"/>
      <c r="S44" s="1433"/>
      <c r="T44" s="1433"/>
      <c r="U44" s="1433"/>
      <c r="V44" s="1433"/>
      <c r="W44" s="1433"/>
      <c r="X44" s="1433"/>
      <c r="Y44" s="1436" t="s">
        <v>1192</v>
      </c>
      <c r="Z44" s="1433"/>
      <c r="AA44" s="1433"/>
      <c r="AB44" s="1433"/>
      <c r="AC44" s="1433"/>
      <c r="AD44" s="1433"/>
      <c r="AF44" s="3433"/>
      <c r="AG44" s="3433"/>
      <c r="AH44" s="3433"/>
      <c r="AI44" s="3433"/>
    </row>
    <row r="45" spans="1:38">
      <c r="A45" s="1436"/>
      <c r="B45" s="1433" t="s">
        <v>1199</v>
      </c>
      <c r="C45" s="1437"/>
      <c r="D45" s="1433"/>
      <c r="E45" s="1433"/>
      <c r="F45" s="1433"/>
      <c r="G45" s="1433"/>
      <c r="H45" s="1433"/>
      <c r="I45" s="1433"/>
      <c r="J45" s="1433"/>
      <c r="K45" s="1433"/>
      <c r="L45" s="1433"/>
      <c r="M45" s="1433"/>
      <c r="N45" s="3461"/>
      <c r="O45" s="3461"/>
      <c r="P45" s="3461"/>
      <c r="Q45" s="3461"/>
      <c r="R45" s="1433"/>
      <c r="S45" s="1433"/>
      <c r="T45" s="1433"/>
      <c r="U45" s="1433"/>
      <c r="V45" s="1433"/>
      <c r="W45" s="1433"/>
      <c r="X45" s="1433"/>
      <c r="Y45" s="1447" t="s">
        <v>1194</v>
      </c>
      <c r="Z45" s="1433"/>
      <c r="AA45" s="1433"/>
      <c r="AB45" s="1433"/>
      <c r="AC45" s="1433"/>
      <c r="AD45" s="1433"/>
      <c r="AF45" s="3433"/>
      <c r="AG45" s="3433"/>
      <c r="AH45" s="3433"/>
      <c r="AI45" s="3433"/>
    </row>
    <row r="46" spans="1:38" ht="13.5" thickBot="1">
      <c r="A46" s="1436"/>
      <c r="B46" s="1435" t="s">
        <v>1204</v>
      </c>
      <c r="C46" s="1437"/>
      <c r="D46" s="1433"/>
      <c r="E46" s="1433"/>
      <c r="F46" s="1433"/>
      <c r="G46" s="1433"/>
      <c r="H46" s="1433"/>
      <c r="I46" s="1433"/>
      <c r="J46" s="1433"/>
      <c r="K46" s="1433"/>
      <c r="L46" s="1433"/>
      <c r="M46" s="1433"/>
      <c r="N46" s="1433"/>
      <c r="O46" s="1433"/>
      <c r="P46" s="1433"/>
      <c r="Q46" s="1433"/>
      <c r="R46" s="3450"/>
      <c r="S46" s="3450"/>
      <c r="T46" s="3450"/>
      <c r="U46" s="3450"/>
      <c r="V46" s="1433"/>
      <c r="W46" s="1433"/>
      <c r="X46" s="1433"/>
      <c r="Y46" s="1447" t="s">
        <v>1205</v>
      </c>
      <c r="Z46" s="1433"/>
      <c r="AA46" s="1433"/>
      <c r="AB46" s="1433"/>
      <c r="AC46" s="1433"/>
      <c r="AD46" s="1433"/>
      <c r="AF46" s="3433"/>
      <c r="AG46" s="3433"/>
      <c r="AH46" s="3433"/>
      <c r="AI46" s="3433"/>
    </row>
    <row r="47" spans="1:38" ht="13.5" thickTop="1">
      <c r="A47" s="1436"/>
      <c r="B47" s="1436"/>
      <c r="C47" s="1437"/>
      <c r="D47" s="1433"/>
      <c r="E47" s="1433"/>
      <c r="F47" s="1433"/>
      <c r="G47" s="1433"/>
      <c r="H47" s="1433"/>
      <c r="I47" s="1433"/>
      <c r="J47" s="1433"/>
      <c r="K47" s="1433"/>
      <c r="L47" s="1433"/>
      <c r="M47" s="1433"/>
      <c r="N47" s="1433"/>
      <c r="O47" s="1433"/>
      <c r="P47" s="1433"/>
      <c r="Q47" s="1433"/>
      <c r="R47" s="1433"/>
      <c r="S47" s="1433"/>
      <c r="T47" s="1433"/>
      <c r="U47" s="1433"/>
      <c r="V47" s="1433"/>
      <c r="W47" s="1433"/>
      <c r="X47" s="1433"/>
      <c r="Y47" s="1433"/>
      <c r="Z47" s="1433"/>
      <c r="AA47" s="1433"/>
      <c r="AB47" s="1433"/>
      <c r="AC47" s="1433"/>
      <c r="AD47" s="1433"/>
    </row>
    <row r="48" spans="1:38">
      <c r="A48" s="1436"/>
      <c r="B48" s="1436"/>
      <c r="C48" s="1437"/>
      <c r="D48" s="1433"/>
      <c r="E48" s="1433"/>
      <c r="F48" s="1433"/>
      <c r="G48" s="1433"/>
      <c r="H48" s="1433"/>
      <c r="I48" s="1433"/>
      <c r="J48" s="1433"/>
      <c r="K48" s="1433"/>
      <c r="L48" s="1433"/>
      <c r="M48" s="1433"/>
      <c r="N48" s="1433"/>
      <c r="O48" s="1433"/>
      <c r="P48" s="1433"/>
      <c r="Q48" s="1433"/>
      <c r="R48" s="1433"/>
      <c r="S48" s="1433"/>
      <c r="T48" s="1433"/>
      <c r="U48" s="1433"/>
      <c r="V48" s="1433"/>
      <c r="W48" s="1433"/>
      <c r="X48" s="1433"/>
      <c r="Y48" s="1433"/>
      <c r="Z48" s="1433"/>
      <c r="AA48" s="1433"/>
      <c r="AB48" s="1433"/>
      <c r="AC48" s="1433"/>
      <c r="AD48" s="1433"/>
    </row>
    <row r="49" spans="1:37">
      <c r="A49" s="1438"/>
      <c r="B49" s="1436"/>
      <c r="C49" s="1437"/>
      <c r="D49" s="1433"/>
      <c r="E49" s="1433"/>
      <c r="F49" s="1433"/>
      <c r="G49" s="1433"/>
      <c r="H49" s="1433"/>
      <c r="I49" s="1433"/>
      <c r="J49" s="1433"/>
      <c r="K49" s="1433"/>
      <c r="L49" s="1433"/>
      <c r="M49" s="1433"/>
      <c r="N49" s="1433"/>
      <c r="O49" s="1433"/>
      <c r="P49" s="1433"/>
      <c r="Q49" s="1433"/>
      <c r="R49" s="1433"/>
      <c r="S49" s="1433"/>
      <c r="T49" s="1433"/>
      <c r="U49" s="1433"/>
      <c r="V49" s="1433"/>
      <c r="W49" s="1433"/>
      <c r="X49" s="1433"/>
      <c r="Y49" s="1433"/>
      <c r="Z49" s="1433"/>
      <c r="AA49" s="1433"/>
      <c r="AB49" s="1433"/>
      <c r="AC49" s="1433"/>
      <c r="AD49" s="1433"/>
    </row>
    <row r="50" spans="1:37" ht="20.25">
      <c r="A50" s="1434" t="s">
        <v>1206</v>
      </c>
      <c r="B50" s="1436"/>
      <c r="C50" s="1437"/>
      <c r="D50" s="1433"/>
      <c r="E50" s="1433"/>
      <c r="F50" s="1433"/>
      <c r="G50" s="1433"/>
      <c r="H50" s="1433"/>
      <c r="I50" s="1433"/>
      <c r="J50" s="1433"/>
      <c r="K50" s="1433"/>
      <c r="L50" s="1433"/>
      <c r="M50" s="1433"/>
      <c r="N50" s="1433"/>
      <c r="O50" s="1433"/>
      <c r="P50" s="1433"/>
      <c r="Q50" s="1433"/>
      <c r="R50" s="1433"/>
      <c r="S50" s="1433"/>
      <c r="T50" s="1433"/>
      <c r="U50" s="1433"/>
      <c r="V50" s="1433"/>
      <c r="W50" s="1433"/>
      <c r="X50" s="1433"/>
      <c r="Y50" s="1433"/>
      <c r="Z50" s="1433"/>
      <c r="AA50" s="1433"/>
      <c r="AB50" s="1433"/>
      <c r="AC50" s="1433"/>
      <c r="AD50" s="1433"/>
    </row>
    <row r="51" spans="1:37">
      <c r="A51" s="1442"/>
      <c r="B51" s="1436"/>
      <c r="C51" s="1436"/>
      <c r="D51" s="1447"/>
      <c r="E51" s="1447"/>
      <c r="F51" s="1447"/>
      <c r="G51" s="1447"/>
      <c r="H51" s="1447"/>
      <c r="I51" s="1447"/>
      <c r="J51" s="1447"/>
      <c r="K51" s="1447"/>
      <c r="L51" s="1447"/>
      <c r="M51" s="1447"/>
      <c r="N51" s="1447"/>
      <c r="O51" s="1447"/>
      <c r="P51" s="1447"/>
      <c r="Q51" s="1447"/>
      <c r="R51" s="1447"/>
      <c r="S51" s="1447"/>
      <c r="T51" s="1447"/>
      <c r="U51" s="1447"/>
      <c r="V51" s="1447"/>
      <c r="W51" s="1447"/>
      <c r="X51" s="1447"/>
      <c r="Y51" s="1447"/>
      <c r="Z51" s="1447"/>
      <c r="AA51" s="1447"/>
      <c r="AB51" s="1447"/>
      <c r="AC51" s="1447"/>
      <c r="AD51" s="1447"/>
      <c r="AE51" s="1448"/>
      <c r="AF51" s="1448"/>
      <c r="AG51" s="1448"/>
      <c r="AH51" s="1448"/>
      <c r="AI51" s="1448"/>
      <c r="AJ51" s="1448"/>
      <c r="AK51" s="1448"/>
    </row>
    <row r="52" spans="1:37">
      <c r="A52" s="1447"/>
      <c r="B52" s="1447"/>
      <c r="C52" s="1447"/>
      <c r="D52" s="1447"/>
      <c r="E52" s="1447"/>
      <c r="F52" s="1447"/>
      <c r="G52" s="1447"/>
      <c r="H52" s="1447"/>
      <c r="I52" s="1447"/>
      <c r="J52" s="1447"/>
      <c r="K52" s="1447"/>
      <c r="L52" s="1447"/>
      <c r="M52" s="1447"/>
      <c r="N52" s="1447"/>
      <c r="O52" s="1447"/>
      <c r="P52" s="1447"/>
      <c r="Q52" s="1447"/>
      <c r="R52" s="1447"/>
      <c r="S52" s="1447"/>
      <c r="T52" s="1447"/>
      <c r="U52" s="1447"/>
      <c r="V52" s="1447"/>
      <c r="W52" s="1447"/>
      <c r="X52" s="1447"/>
      <c r="Y52" s="1447"/>
      <c r="Z52" s="1447"/>
      <c r="AA52" s="1447"/>
      <c r="AB52" s="1447"/>
      <c r="AC52" s="1447"/>
      <c r="AD52" s="1447"/>
      <c r="AE52" s="1448"/>
      <c r="AF52" s="1448"/>
      <c r="AG52" s="1448"/>
      <c r="AH52" s="1448"/>
      <c r="AI52" s="1448"/>
      <c r="AJ52" s="1448"/>
      <c r="AK52" s="1448"/>
    </row>
    <row r="53" spans="1:37">
      <c r="A53" s="1435" t="s">
        <v>1207</v>
      </c>
      <c r="B53" s="1433"/>
      <c r="C53" s="1433"/>
      <c r="D53" s="1433"/>
      <c r="E53" s="1433"/>
      <c r="F53" s="1433"/>
      <c r="G53" s="1433"/>
      <c r="H53" s="1433"/>
      <c r="I53" s="1449"/>
      <c r="J53" s="1433"/>
      <c r="K53" s="1433"/>
      <c r="L53" s="1433"/>
      <c r="M53" s="1433"/>
      <c r="N53" s="1433"/>
      <c r="O53" s="1433"/>
      <c r="P53" s="1433"/>
      <c r="Q53" s="1433"/>
      <c r="R53" s="1433"/>
      <c r="S53" s="1433"/>
      <c r="T53" s="1433"/>
      <c r="U53" s="1433"/>
      <c r="V53" s="1433"/>
      <c r="W53" s="1433"/>
      <c r="X53" s="1433"/>
      <c r="Y53" s="1433"/>
      <c r="Z53" s="1433"/>
      <c r="AA53" s="1433"/>
      <c r="AB53" s="1433"/>
      <c r="AC53" s="1433"/>
      <c r="AD53" s="1433"/>
    </row>
    <row r="54" spans="1:37">
      <c r="A54" s="1435"/>
      <c r="B54" s="1433"/>
      <c r="C54" s="1433"/>
      <c r="D54" s="1433"/>
      <c r="E54" s="1433"/>
      <c r="F54" s="1433"/>
      <c r="G54" s="1433"/>
      <c r="H54" s="1433"/>
      <c r="I54" s="1433"/>
      <c r="J54" s="3458" t="s">
        <v>381</v>
      </c>
      <c r="K54" s="3462"/>
      <c r="L54" s="3462"/>
      <c r="M54" s="3462"/>
      <c r="N54" s="3462"/>
      <c r="O54" s="3462"/>
      <c r="P54" s="3462"/>
      <c r="Q54" s="3462"/>
      <c r="R54" s="3462"/>
      <c r="S54" s="3462"/>
      <c r="T54" s="3462"/>
      <c r="U54" s="3462"/>
      <c r="V54" s="3462"/>
      <c r="W54" s="3462"/>
      <c r="X54" s="3462"/>
      <c r="Y54" s="3462"/>
      <c r="Z54" s="3462"/>
      <c r="AA54" s="3462"/>
      <c r="AB54" s="3462"/>
      <c r="AC54" s="1433" t="s">
        <v>381</v>
      </c>
      <c r="AD54" s="1433"/>
    </row>
    <row r="55" spans="1:37">
      <c r="A55" s="1435"/>
      <c r="B55" s="1613" t="s">
        <v>1353</v>
      </c>
      <c r="C55" s="1433"/>
      <c r="D55" s="1433"/>
      <c r="E55" s="1433"/>
      <c r="F55" s="1433"/>
      <c r="G55" s="1433"/>
      <c r="H55" s="1433"/>
      <c r="I55" s="1433"/>
      <c r="J55" s="3451"/>
      <c r="K55" s="3451"/>
      <c r="L55" s="3451"/>
      <c r="M55" s="3451"/>
      <c r="N55" s="3451"/>
      <c r="O55" s="3451"/>
      <c r="P55" s="3451"/>
      <c r="Q55" s="3451"/>
      <c r="R55" s="1685"/>
      <c r="S55" s="1685"/>
      <c r="T55" s="1685"/>
      <c r="U55" s="1685"/>
      <c r="V55" s="1685"/>
      <c r="W55" s="1685"/>
      <c r="X55" s="1685"/>
      <c r="Y55" s="1685"/>
      <c r="Z55" s="1685"/>
      <c r="AA55" s="1685"/>
      <c r="AB55" s="1685"/>
      <c r="AC55" s="1433"/>
      <c r="AD55" s="1433"/>
    </row>
    <row r="56" spans="1:37">
      <c r="A56" s="1435"/>
      <c r="B56" s="1436" t="s">
        <v>1394</v>
      </c>
      <c r="C56" s="1433"/>
      <c r="D56" s="1433"/>
      <c r="E56" s="1433"/>
      <c r="F56" s="1433"/>
      <c r="G56" s="1433"/>
      <c r="H56" s="1433"/>
      <c r="I56" s="1433"/>
      <c r="J56" s="3452"/>
      <c r="K56" s="3452"/>
      <c r="L56" s="3452"/>
      <c r="M56" s="3452"/>
      <c r="N56" s="1683"/>
      <c r="O56" s="1683"/>
      <c r="P56" s="1683"/>
      <c r="Q56" s="1683"/>
      <c r="R56" s="1685"/>
      <c r="S56" s="1685"/>
      <c r="T56" s="1685"/>
      <c r="U56" s="1685"/>
      <c r="V56" s="1685"/>
      <c r="W56" s="1685"/>
      <c r="X56" s="1685"/>
      <c r="Y56" s="1685"/>
      <c r="Z56" s="1685"/>
      <c r="AA56" s="1685"/>
      <c r="AB56" s="1685"/>
      <c r="AC56" s="1433"/>
      <c r="AD56" s="1433"/>
    </row>
    <row r="57" spans="1:37">
      <c r="A57" s="1435"/>
      <c r="B57" s="1436" t="s">
        <v>1395</v>
      </c>
      <c r="C57" s="1433"/>
      <c r="D57" s="1433"/>
      <c r="E57" s="1433"/>
      <c r="F57" s="1433"/>
      <c r="G57" s="1433"/>
      <c r="H57" s="1433"/>
      <c r="I57" s="1433"/>
      <c r="J57" s="3451"/>
      <c r="K57" s="3451"/>
      <c r="L57" s="3451"/>
      <c r="M57" s="3451"/>
      <c r="N57" s="3451"/>
      <c r="O57" s="3451"/>
      <c r="P57" s="3451"/>
      <c r="Q57" s="3451"/>
      <c r="R57" s="1685"/>
      <c r="S57" s="1685"/>
      <c r="T57" s="1685"/>
      <c r="U57" s="1685"/>
      <c r="V57" s="1685"/>
      <c r="W57" s="1685"/>
      <c r="X57" s="1685"/>
      <c r="Y57" s="1685"/>
      <c r="Z57" s="1685"/>
      <c r="AA57" s="1685"/>
      <c r="AB57" s="1685"/>
      <c r="AC57" s="1433"/>
      <c r="AD57" s="1433"/>
    </row>
    <row r="58" spans="1:37">
      <c r="A58" s="1435"/>
      <c r="B58" s="1613"/>
      <c r="C58" s="1433"/>
      <c r="D58" s="1433"/>
      <c r="E58" s="1433"/>
      <c r="F58" s="1433"/>
      <c r="G58" s="1433"/>
      <c r="H58" s="1433"/>
      <c r="I58" s="1433"/>
      <c r="J58" s="1684"/>
      <c r="K58" s="1685"/>
      <c r="L58" s="1685"/>
      <c r="M58" s="1685"/>
      <c r="N58" s="1683"/>
      <c r="O58" s="1683"/>
      <c r="P58" s="1683"/>
      <c r="Q58" s="1683"/>
      <c r="R58" s="1685"/>
      <c r="S58" s="1685"/>
      <c r="T58" s="1685"/>
      <c r="U58" s="1685"/>
      <c r="V58" s="1685"/>
      <c r="W58" s="1685"/>
      <c r="X58" s="1685"/>
      <c r="Y58" s="1685"/>
      <c r="Z58" s="1685"/>
      <c r="AA58" s="1685"/>
      <c r="AB58" s="1685"/>
      <c r="AC58" s="1433"/>
      <c r="AD58" s="1433"/>
    </row>
    <row r="59" spans="1:37">
      <c r="A59" s="1433"/>
      <c r="B59" s="1436" t="s">
        <v>1208</v>
      </c>
      <c r="C59" s="1433"/>
      <c r="D59" s="1433"/>
      <c r="E59" s="1433"/>
      <c r="F59" s="1433"/>
      <c r="G59" s="1433"/>
      <c r="H59" s="1433"/>
      <c r="I59" s="1433"/>
      <c r="J59" s="3451"/>
      <c r="K59" s="3451"/>
      <c r="L59" s="3451"/>
      <c r="M59" s="3451"/>
      <c r="N59" s="1433"/>
      <c r="O59" s="1433"/>
      <c r="P59" s="1433"/>
      <c r="Q59" s="1433"/>
      <c r="R59" s="1433"/>
      <c r="S59" s="1433"/>
      <c r="T59" s="1433"/>
      <c r="U59" s="1433"/>
      <c r="V59" s="1433"/>
      <c r="W59" s="1433"/>
      <c r="X59" s="1433"/>
      <c r="Y59" s="1433"/>
      <c r="Z59" s="1433"/>
      <c r="AA59" s="1433"/>
      <c r="AB59" s="1433"/>
      <c r="AC59" s="1433"/>
      <c r="AD59" s="1433"/>
    </row>
    <row r="60" spans="1:37">
      <c r="A60" s="1433"/>
      <c r="B60" s="1436" t="s">
        <v>1185</v>
      </c>
      <c r="C60" s="1433"/>
      <c r="D60" s="1433"/>
      <c r="E60" s="1433"/>
      <c r="F60" s="1433"/>
      <c r="G60" s="1433"/>
      <c r="H60" s="1433"/>
      <c r="I60" s="1433"/>
      <c r="J60" s="3452"/>
      <c r="K60" s="3452"/>
      <c r="L60" s="3452"/>
      <c r="M60" s="3452"/>
      <c r="N60" s="1433"/>
      <c r="O60" s="1433"/>
      <c r="P60" s="1433"/>
      <c r="Q60" s="1433"/>
      <c r="R60" s="1433"/>
      <c r="S60" s="1433"/>
      <c r="T60" s="1433"/>
      <c r="U60" s="1433"/>
      <c r="V60" s="1433"/>
      <c r="W60" s="1433"/>
      <c r="X60" s="1433"/>
      <c r="Y60" s="1433"/>
      <c r="Z60" s="1433"/>
      <c r="AA60" s="1433"/>
      <c r="AB60" s="1433"/>
      <c r="AC60" s="1433"/>
      <c r="AD60" s="1433"/>
    </row>
    <row r="61" spans="1:37">
      <c r="A61" s="1433"/>
      <c r="B61" s="1440" t="s">
        <v>1186</v>
      </c>
      <c r="C61" s="1433"/>
      <c r="D61" s="1433"/>
      <c r="E61" s="1433"/>
      <c r="F61" s="1433"/>
      <c r="G61" s="1433"/>
      <c r="H61" s="1433"/>
      <c r="I61" s="1433"/>
      <c r="J61" s="1443"/>
      <c r="K61" s="1443"/>
      <c r="L61" s="1443"/>
      <c r="M61" s="1443"/>
      <c r="N61" s="3451"/>
      <c r="O61" s="3451"/>
      <c r="P61" s="3451"/>
      <c r="Q61" s="3451"/>
      <c r="R61" s="1433"/>
      <c r="S61" s="1433"/>
      <c r="T61" s="1433"/>
      <c r="U61" s="1433"/>
      <c r="V61" s="1433"/>
      <c r="W61" s="1433"/>
      <c r="X61" s="1433"/>
      <c r="Y61" s="1433"/>
      <c r="Z61" s="1433"/>
      <c r="AA61" s="1433"/>
      <c r="AB61" s="1433"/>
      <c r="AC61" s="1433"/>
      <c r="AD61" s="1433"/>
    </row>
    <row r="62" spans="1:37">
      <c r="A62" s="1433"/>
      <c r="B62" s="1436"/>
      <c r="C62" s="1433"/>
      <c r="D62" s="1433"/>
      <c r="E62" s="1433"/>
      <c r="F62" s="1433"/>
      <c r="G62" s="1433"/>
      <c r="H62" s="1433"/>
      <c r="I62" s="1433"/>
      <c r="J62" s="1433"/>
      <c r="K62" s="1433"/>
      <c r="L62" s="1433"/>
      <c r="M62" s="1433"/>
      <c r="N62" s="1443"/>
      <c r="O62" s="1443"/>
      <c r="P62" s="1443"/>
      <c r="Q62" s="1443"/>
      <c r="R62" s="1433"/>
      <c r="S62" s="1433"/>
      <c r="T62" s="1433"/>
      <c r="U62" s="1433"/>
      <c r="V62" s="1433"/>
      <c r="W62" s="1433"/>
      <c r="X62" s="1442"/>
      <c r="Y62" s="1433"/>
      <c r="Z62" s="1433"/>
      <c r="AA62" s="1433"/>
      <c r="AB62" s="1433"/>
      <c r="AC62" s="1433"/>
      <c r="AD62" s="1433"/>
      <c r="AF62" s="3442"/>
      <c r="AG62" s="3442"/>
      <c r="AH62" s="3442"/>
      <c r="AI62" s="3442"/>
    </row>
    <row r="63" spans="1:37">
      <c r="A63" s="1433"/>
      <c r="B63" s="1436" t="s">
        <v>1187</v>
      </c>
      <c r="C63" s="1433"/>
      <c r="D63" s="1433"/>
      <c r="E63" s="1433"/>
      <c r="F63" s="1433"/>
      <c r="G63" s="1433"/>
      <c r="H63" s="1433"/>
      <c r="I63" s="1433"/>
      <c r="J63" s="3451"/>
      <c r="K63" s="3451"/>
      <c r="L63" s="3451"/>
      <c r="M63" s="3451"/>
      <c r="N63" s="1433"/>
      <c r="O63" s="1433"/>
      <c r="P63" s="1433"/>
      <c r="Q63" s="1433"/>
      <c r="R63" s="1433"/>
      <c r="S63" s="1433"/>
      <c r="T63" s="1433"/>
      <c r="U63" s="1433"/>
      <c r="V63" s="1433"/>
      <c r="W63" s="1433"/>
      <c r="X63" s="1433"/>
      <c r="Y63" s="1433"/>
      <c r="Z63" s="1433"/>
      <c r="AA63" s="1433"/>
      <c r="AB63" s="1433"/>
      <c r="AC63" s="1433"/>
      <c r="AD63" s="1433"/>
    </row>
    <row r="64" spans="1:37">
      <c r="A64" s="1433"/>
      <c r="B64" s="1436" t="s">
        <v>1209</v>
      </c>
      <c r="C64" s="1433"/>
      <c r="D64" s="1433"/>
      <c r="E64" s="1433"/>
      <c r="F64" s="1433"/>
      <c r="G64" s="1433"/>
      <c r="H64" s="1433"/>
      <c r="I64" s="1433"/>
      <c r="J64" s="3452"/>
      <c r="K64" s="3452"/>
      <c r="L64" s="3452"/>
      <c r="M64" s="3452"/>
      <c r="N64" s="1433"/>
      <c r="O64" s="1433"/>
      <c r="P64" s="1433"/>
      <c r="Q64" s="1433"/>
      <c r="R64" s="1433"/>
      <c r="S64" s="1433"/>
      <c r="T64" s="1433"/>
      <c r="U64" s="1433"/>
      <c r="V64" s="1433"/>
      <c r="W64" s="1433"/>
      <c r="X64" s="1433"/>
      <c r="Y64" s="1433"/>
      <c r="Z64" s="1433"/>
      <c r="AA64" s="1433"/>
      <c r="AB64" s="1433"/>
      <c r="AC64" s="1433"/>
      <c r="AD64" s="1433"/>
    </row>
    <row r="65" spans="1:37">
      <c r="A65" s="1433"/>
      <c r="B65" s="1436" t="s">
        <v>1210</v>
      </c>
      <c r="C65" s="1433"/>
      <c r="D65" s="1433"/>
      <c r="E65" s="1433"/>
      <c r="F65" s="1433"/>
      <c r="G65" s="1433"/>
      <c r="H65" s="1433"/>
      <c r="I65" s="1433"/>
      <c r="J65" s="1443"/>
      <c r="K65" s="1443"/>
      <c r="L65" s="1443"/>
      <c r="M65" s="1443"/>
      <c r="N65" s="3451"/>
      <c r="O65" s="3451"/>
      <c r="P65" s="3451"/>
      <c r="Q65" s="3451"/>
      <c r="R65" s="1433"/>
      <c r="S65" s="1433"/>
      <c r="T65" s="1433"/>
      <c r="U65" s="1433"/>
      <c r="V65" s="1433"/>
      <c r="W65" s="1433"/>
      <c r="X65" s="1442" t="s">
        <v>1191</v>
      </c>
      <c r="Y65" s="1433"/>
      <c r="Z65" s="1433"/>
      <c r="AA65" s="1433"/>
      <c r="AB65" s="1433"/>
      <c r="AC65" s="1433"/>
      <c r="AD65" s="1433"/>
    </row>
    <row r="66" spans="1:37">
      <c r="A66" s="1433"/>
      <c r="B66" s="1436"/>
      <c r="C66" s="1433"/>
      <c r="D66" s="1433"/>
      <c r="E66" s="1433"/>
      <c r="F66" s="1433"/>
      <c r="G66" s="1433"/>
      <c r="H66" s="1433"/>
      <c r="I66" s="1433"/>
      <c r="J66" s="1433"/>
      <c r="K66" s="1433"/>
      <c r="L66" s="1433"/>
      <c r="M66" s="1433"/>
      <c r="N66" s="1443"/>
      <c r="O66" s="1443"/>
      <c r="P66" s="1443"/>
      <c r="Q66" s="1443"/>
      <c r="R66" s="1433"/>
      <c r="S66" s="1433"/>
      <c r="T66" s="1433"/>
      <c r="U66" s="1433"/>
      <c r="V66" s="1433"/>
      <c r="W66" s="1433"/>
      <c r="X66" s="1433"/>
      <c r="Y66" s="1436" t="s">
        <v>1192</v>
      </c>
      <c r="Z66" s="1433"/>
      <c r="AA66" s="1433"/>
      <c r="AB66" s="1433"/>
      <c r="AC66" s="1433"/>
      <c r="AD66" s="1433"/>
      <c r="AF66" s="3433"/>
      <c r="AG66" s="3433"/>
      <c r="AH66" s="3433"/>
      <c r="AI66" s="3433"/>
      <c r="AK66" s="1444" t="str">
        <f>IF(AND(AF66&lt;=0),"A",IF(AND(AF66&lt;=50000000),"B",IF(AND(AF66&gt;50000000,AF66&lt;=250000000),"C",IF(AND(AF66&gt;250000000,AF66&lt;=500000000),"D","E"))))</f>
        <v>A</v>
      </c>
    </row>
    <row r="67" spans="1:37">
      <c r="A67" s="1433"/>
      <c r="B67" s="1436" t="s">
        <v>1188</v>
      </c>
      <c r="C67" s="1433"/>
      <c r="D67" s="1433"/>
      <c r="E67" s="1433"/>
      <c r="F67" s="1433"/>
      <c r="G67" s="1433"/>
      <c r="H67" s="1433"/>
      <c r="I67" s="1433"/>
      <c r="J67" s="3451"/>
      <c r="K67" s="3451"/>
      <c r="L67" s="3451"/>
      <c r="M67" s="3451"/>
      <c r="N67" s="1433"/>
      <c r="O67" s="1433"/>
      <c r="P67" s="1433"/>
      <c r="Q67" s="1433"/>
      <c r="R67" s="1433"/>
      <c r="S67" s="1433"/>
      <c r="T67" s="1433"/>
      <c r="U67" s="1433"/>
      <c r="V67" s="1433"/>
      <c r="W67" s="1433"/>
      <c r="X67" s="1433"/>
      <c r="Y67" s="1436" t="s">
        <v>1193</v>
      </c>
      <c r="Z67" s="1433"/>
      <c r="AA67" s="1433"/>
      <c r="AB67" s="1433"/>
      <c r="AC67" s="1433"/>
      <c r="AD67" s="1433"/>
      <c r="AF67" s="3440"/>
      <c r="AG67" s="3440"/>
      <c r="AH67" s="3440"/>
      <c r="AI67" s="3440"/>
    </row>
    <row r="68" spans="1:37">
      <c r="A68" s="1433"/>
      <c r="B68" s="1436" t="s">
        <v>1211</v>
      </c>
      <c r="C68" s="1433"/>
      <c r="D68" s="1433"/>
      <c r="E68" s="1433"/>
      <c r="F68" s="1433"/>
      <c r="G68" s="1433"/>
      <c r="H68" s="1433"/>
      <c r="I68" s="1433"/>
      <c r="J68" s="3452"/>
      <c r="K68" s="3452"/>
      <c r="L68" s="3452"/>
      <c r="M68" s="3452"/>
      <c r="N68" s="1443"/>
      <c r="O68" s="1443"/>
      <c r="P68" s="1443"/>
      <c r="Q68" s="1443"/>
      <c r="R68" s="1433"/>
      <c r="S68" s="1433"/>
      <c r="T68" s="1433"/>
      <c r="U68" s="1433"/>
      <c r="V68" s="1433"/>
      <c r="W68" s="1433"/>
      <c r="X68" s="1433"/>
      <c r="Y68" s="1433" t="s">
        <v>1194</v>
      </c>
      <c r="Z68" s="1433"/>
      <c r="AA68" s="1433"/>
      <c r="AB68" s="1433"/>
      <c r="AC68" s="1433"/>
      <c r="AD68" s="1433"/>
      <c r="AF68" s="3433"/>
      <c r="AG68" s="3433"/>
      <c r="AH68" s="3433"/>
      <c r="AI68" s="3433"/>
      <c r="AK68" s="1444" t="str">
        <f>IF(AND(AF68&lt;=0),"A",IF(AND(AF68&lt;=50000000),"B",IF(AND(AF68&gt;50000000,AF68&lt;=250000000),"C",IF(AND(AF68&gt;250000000,AF68&lt;=500000000),"D","E"))))</f>
        <v>A</v>
      </c>
    </row>
    <row r="69" spans="1:37">
      <c r="A69" s="1433"/>
      <c r="B69" s="1436" t="s">
        <v>1212</v>
      </c>
      <c r="C69" s="1433"/>
      <c r="D69" s="1433"/>
      <c r="E69" s="1433"/>
      <c r="F69" s="1433"/>
      <c r="G69" s="1433"/>
      <c r="H69" s="1433"/>
      <c r="I69" s="1433"/>
      <c r="J69" s="1433"/>
      <c r="K69" s="1433"/>
      <c r="L69" s="1433"/>
      <c r="M69" s="1433"/>
      <c r="N69" s="3451"/>
      <c r="O69" s="3451"/>
      <c r="P69" s="3451"/>
      <c r="Q69" s="3451"/>
      <c r="R69" s="1433"/>
      <c r="S69" s="1433"/>
      <c r="T69" s="1433"/>
      <c r="U69" s="1433"/>
      <c r="V69" s="1433"/>
      <c r="W69" s="1433"/>
      <c r="X69" s="1433"/>
      <c r="Y69" s="1433"/>
      <c r="Z69" s="1433"/>
      <c r="AA69" s="1433"/>
      <c r="AB69" s="1433"/>
      <c r="AC69" s="1433"/>
      <c r="AD69" s="1433"/>
    </row>
    <row r="70" spans="1:37">
      <c r="A70" s="1436"/>
      <c r="B70" s="1433"/>
      <c r="C70" s="1433"/>
      <c r="D70" s="1433"/>
      <c r="E70" s="1433"/>
      <c r="F70" s="1433"/>
      <c r="G70" s="1433"/>
      <c r="H70" s="1433"/>
      <c r="I70" s="1433"/>
      <c r="J70" s="1433"/>
      <c r="K70" s="1433"/>
      <c r="L70" s="1433"/>
      <c r="M70" s="1433"/>
      <c r="N70" s="1450"/>
      <c r="O70" s="1450"/>
      <c r="P70" s="1450"/>
      <c r="Q70" s="1450"/>
      <c r="R70" s="1433"/>
      <c r="S70" s="1433"/>
      <c r="T70" s="1433"/>
      <c r="U70" s="1433"/>
      <c r="V70" s="1433"/>
      <c r="W70" s="1433"/>
      <c r="X70" s="1433"/>
      <c r="Y70" s="1433"/>
      <c r="Z70" s="1433"/>
      <c r="AA70" s="1433"/>
      <c r="AB70" s="1433"/>
      <c r="AC70" s="1433"/>
      <c r="AD70" s="1433"/>
    </row>
    <row r="71" spans="1:37">
      <c r="A71" s="1436"/>
      <c r="B71" s="1433" t="s">
        <v>1213</v>
      </c>
      <c r="C71" s="1433"/>
      <c r="D71" s="1433"/>
      <c r="E71" s="1433"/>
      <c r="F71" s="1433"/>
      <c r="G71" s="1433"/>
      <c r="H71" s="1433"/>
      <c r="I71" s="1433"/>
      <c r="J71" s="1433"/>
      <c r="K71" s="1433"/>
      <c r="L71" s="1433"/>
      <c r="M71" s="1433"/>
      <c r="N71" s="1433"/>
      <c r="O71" s="1433"/>
      <c r="P71" s="1433"/>
      <c r="Q71" s="1433"/>
      <c r="R71" s="3451"/>
      <c r="S71" s="3451"/>
      <c r="T71" s="3451"/>
      <c r="U71" s="3451"/>
      <c r="V71" s="1433"/>
      <c r="W71" s="1433"/>
      <c r="X71" s="1433"/>
      <c r="Y71" s="1433"/>
      <c r="Z71" s="1433"/>
      <c r="AA71" s="1433"/>
      <c r="AB71" s="1433"/>
      <c r="AC71" s="1433"/>
      <c r="AD71" s="1433"/>
    </row>
    <row r="72" spans="1:37">
      <c r="A72" s="1436"/>
      <c r="B72" s="1433"/>
      <c r="C72" s="1433"/>
      <c r="D72" s="1433"/>
      <c r="E72" s="1433"/>
      <c r="F72" s="1433"/>
      <c r="G72" s="1433"/>
      <c r="H72" s="1433"/>
      <c r="I72" s="1433"/>
      <c r="J72" s="1433"/>
      <c r="K72" s="1433"/>
      <c r="L72" s="1433"/>
      <c r="M72" s="1433"/>
      <c r="N72" s="1433"/>
      <c r="O72" s="1433"/>
      <c r="P72" s="1433"/>
      <c r="Q72" s="1433"/>
      <c r="R72" s="1433"/>
      <c r="S72" s="1433"/>
      <c r="T72" s="1433"/>
      <c r="U72" s="1433"/>
      <c r="V72" s="1433"/>
      <c r="W72" s="1433"/>
      <c r="X72" s="1433"/>
      <c r="Y72" s="1433"/>
      <c r="Z72" s="1433"/>
      <c r="AA72" s="1433"/>
      <c r="AB72" s="1433"/>
      <c r="AC72" s="1433"/>
      <c r="AD72" s="1433"/>
    </row>
    <row r="73" spans="1:37">
      <c r="A73" s="1435" t="s">
        <v>1214</v>
      </c>
      <c r="B73" s="1451"/>
      <c r="C73" s="1433"/>
      <c r="D73" s="1433"/>
      <c r="E73" s="1433"/>
      <c r="F73" s="1433"/>
      <c r="G73" s="1433"/>
      <c r="H73" s="1433"/>
      <c r="I73" s="1433"/>
      <c r="J73" s="1433"/>
      <c r="K73" s="1433"/>
      <c r="L73" s="1433"/>
      <c r="M73" s="1433"/>
      <c r="N73" s="1433"/>
      <c r="O73" s="1433"/>
      <c r="P73" s="1433"/>
      <c r="Q73" s="1433"/>
      <c r="R73" s="3452"/>
      <c r="S73" s="3452"/>
      <c r="T73" s="3452"/>
      <c r="U73" s="3452"/>
      <c r="V73" s="1433"/>
      <c r="W73" s="1433"/>
      <c r="X73" s="1433"/>
      <c r="Y73" s="1433"/>
      <c r="Z73" s="1433"/>
      <c r="AA73" s="1433"/>
      <c r="AB73" s="1433"/>
      <c r="AC73" s="1433"/>
      <c r="AD73" s="1433"/>
    </row>
    <row r="74" spans="1:37">
      <c r="A74" s="1435"/>
      <c r="B74" s="1451"/>
      <c r="C74" s="1433"/>
      <c r="D74" s="1433"/>
      <c r="E74" s="1433"/>
      <c r="F74" s="1433"/>
      <c r="G74" s="1433"/>
      <c r="H74" s="1433"/>
      <c r="I74" s="1433"/>
      <c r="J74" s="1433"/>
      <c r="K74" s="1433"/>
      <c r="L74" s="1433"/>
      <c r="M74" s="1433"/>
      <c r="N74" s="1433"/>
      <c r="O74" s="1433"/>
      <c r="P74" s="1433"/>
      <c r="Q74" s="1433"/>
      <c r="R74" s="1433"/>
      <c r="S74" s="1433"/>
      <c r="T74" s="1433"/>
      <c r="U74" s="1433"/>
      <c r="V74" s="1433"/>
      <c r="W74" s="1433"/>
      <c r="X74" s="1442" t="s">
        <v>1191</v>
      </c>
      <c r="Y74" s="1433"/>
      <c r="Z74" s="1433"/>
      <c r="AA74" s="1433"/>
      <c r="AB74" s="1433"/>
      <c r="AC74" s="1433"/>
      <c r="AD74" s="1433"/>
    </row>
    <row r="75" spans="1:37">
      <c r="A75" s="1435" t="s">
        <v>1196</v>
      </c>
      <c r="B75" s="1436"/>
      <c r="C75" s="1437"/>
      <c r="D75" s="1433"/>
      <c r="E75" s="1433"/>
      <c r="F75" s="1433"/>
      <c r="G75" s="1433"/>
      <c r="H75" s="1433"/>
      <c r="I75" s="1433"/>
      <c r="J75" s="1433"/>
      <c r="K75" s="1433"/>
      <c r="L75" s="3458"/>
      <c r="M75" s="3458"/>
      <c r="N75" s="1433"/>
      <c r="O75" s="1433"/>
      <c r="P75" s="1433"/>
      <c r="Q75" s="1433"/>
      <c r="R75" s="3451"/>
      <c r="S75" s="3451"/>
      <c r="T75" s="3451"/>
      <c r="U75" s="3451"/>
      <c r="V75" s="1433"/>
      <c r="W75" s="1433"/>
      <c r="X75" s="1442"/>
      <c r="Y75" s="1433" t="s">
        <v>1396</v>
      </c>
      <c r="Z75" s="1433"/>
      <c r="AA75" s="1433"/>
      <c r="AB75" s="1433"/>
      <c r="AC75" s="1433"/>
      <c r="AD75" s="1433"/>
      <c r="AF75" s="3433"/>
      <c r="AG75" s="3433"/>
      <c r="AH75" s="3433"/>
      <c r="AI75" s="3433"/>
    </row>
    <row r="76" spans="1:37">
      <c r="A76" s="1435"/>
      <c r="B76" s="1436"/>
      <c r="C76" s="1437"/>
      <c r="D76" s="1433"/>
      <c r="E76" s="1433"/>
      <c r="F76" s="1433"/>
      <c r="G76" s="1433"/>
      <c r="H76" s="1433"/>
      <c r="I76" s="1433"/>
      <c r="J76" s="1433"/>
      <c r="K76" s="3460"/>
      <c r="L76" s="3460"/>
      <c r="M76" s="3460"/>
      <c r="N76" s="1433"/>
      <c r="O76" s="1433"/>
      <c r="P76" s="1433"/>
      <c r="Q76" s="1433"/>
      <c r="R76" s="1433"/>
      <c r="S76" s="1433"/>
      <c r="T76" s="1433"/>
      <c r="U76" s="1433"/>
      <c r="V76" s="1433"/>
      <c r="W76" s="1433"/>
      <c r="X76" s="1433"/>
      <c r="Y76" s="1436" t="s">
        <v>1192</v>
      </c>
      <c r="Z76" s="1433"/>
      <c r="AA76" s="1433"/>
      <c r="AB76" s="1433"/>
      <c r="AC76" s="1433"/>
      <c r="AD76" s="1433"/>
      <c r="AF76" s="3433"/>
      <c r="AG76" s="3433"/>
      <c r="AH76" s="3433"/>
      <c r="AI76" s="3433"/>
      <c r="AK76" s="1444" t="str">
        <f>IF(AND(AF76&lt;=0),"A",IF(AND(AF76&lt;=50000000),"B",IF(AND(AF76&gt;50000000,AF76&lt;=250000000),"C",IF(AND(AF76&gt;250000000,AF76&lt;=500000000),"D","E"))))</f>
        <v>A</v>
      </c>
    </row>
    <row r="77" spans="1:37">
      <c r="A77" s="1435" t="s">
        <v>1197</v>
      </c>
      <c r="B77" s="1436"/>
      <c r="C77" s="1437"/>
      <c r="D77" s="1433"/>
      <c r="E77" s="1433"/>
      <c r="F77" s="1433"/>
      <c r="G77" s="1433"/>
      <c r="H77" s="1433"/>
      <c r="I77" s="1433"/>
      <c r="J77" s="1449"/>
      <c r="K77" s="1433"/>
      <c r="L77" s="1433"/>
      <c r="M77" s="1433"/>
      <c r="N77" s="1433"/>
      <c r="O77" s="1433"/>
      <c r="P77" s="1433"/>
      <c r="Q77" s="1433"/>
      <c r="R77" s="1433"/>
      <c r="S77" s="1433"/>
      <c r="T77" s="1433"/>
      <c r="U77" s="1433"/>
      <c r="V77" s="1433"/>
      <c r="W77" s="1433"/>
      <c r="X77" s="1433"/>
      <c r="Y77" s="1436" t="s">
        <v>1193</v>
      </c>
      <c r="Z77" s="1433"/>
      <c r="AA77" s="1433"/>
      <c r="AB77" s="1433"/>
      <c r="AC77" s="1433"/>
      <c r="AD77" s="1433"/>
      <c r="AF77" s="3440"/>
      <c r="AG77" s="3440"/>
      <c r="AH77" s="3440"/>
      <c r="AI77" s="3440"/>
    </row>
    <row r="78" spans="1:37">
      <c r="A78" s="1435"/>
      <c r="B78" s="1436" t="s">
        <v>1192</v>
      </c>
      <c r="C78" s="1437"/>
      <c r="D78" s="1433"/>
      <c r="E78" s="1433"/>
      <c r="F78" s="1433"/>
      <c r="G78" s="1433"/>
      <c r="H78" s="1433"/>
      <c r="I78" s="1433"/>
      <c r="J78" s="3451"/>
      <c r="K78" s="3451"/>
      <c r="L78" s="3451"/>
      <c r="M78" s="3451"/>
      <c r="N78" s="1433"/>
      <c r="O78" s="1433"/>
      <c r="P78" s="1433"/>
      <c r="Q78" s="1433"/>
      <c r="R78" s="1433"/>
      <c r="S78" s="1433"/>
      <c r="T78" s="1433"/>
      <c r="U78" s="1433"/>
      <c r="V78" s="1433"/>
      <c r="W78" s="1433"/>
      <c r="X78" s="1433"/>
      <c r="Y78" s="1433" t="s">
        <v>1194</v>
      </c>
      <c r="Z78" s="1433"/>
      <c r="AA78" s="1433"/>
      <c r="AB78" s="1433"/>
      <c r="AC78" s="1433"/>
      <c r="AD78" s="1433"/>
      <c r="AF78" s="3433"/>
      <c r="AG78" s="3433"/>
      <c r="AH78" s="3433"/>
      <c r="AI78" s="3433"/>
      <c r="AK78" s="1444" t="str">
        <f>IF(AND(AF78&lt;=0),"A",IF(AND(AF78&lt;=50000000),"B",IF(AND(AF78&gt;50000000,AF78&lt;=250000000),"C",IF(AND(AF78&gt;250000000,AF78&lt;=500000000),"D","E"))))</f>
        <v>A</v>
      </c>
    </row>
    <row r="79" spans="1:37">
      <c r="A79" s="1435"/>
      <c r="B79" s="1436" t="s">
        <v>1193</v>
      </c>
      <c r="C79" s="1437"/>
      <c r="D79" s="1433"/>
      <c r="E79" s="1433"/>
      <c r="F79" s="1433"/>
      <c r="G79" s="1433"/>
      <c r="H79" s="1433"/>
      <c r="I79" s="1433"/>
      <c r="J79" s="3456"/>
      <c r="K79" s="3456"/>
      <c r="L79" s="3456"/>
      <c r="M79" s="3456"/>
      <c r="N79" s="1433"/>
      <c r="O79" s="1433"/>
      <c r="P79" s="1433"/>
      <c r="Q79" s="1433"/>
      <c r="R79" s="1433"/>
      <c r="S79" s="1433"/>
      <c r="T79" s="1433"/>
      <c r="U79" s="1433"/>
      <c r="V79" s="1433"/>
      <c r="W79" s="1433"/>
      <c r="X79" s="1433"/>
      <c r="Y79" s="1436" t="s">
        <v>1187</v>
      </c>
      <c r="Z79" s="1433"/>
      <c r="AA79" s="1433"/>
      <c r="AB79" s="1433"/>
      <c r="AC79" s="1433"/>
      <c r="AD79" s="1433"/>
      <c r="AF79" s="3433"/>
      <c r="AG79" s="3433"/>
      <c r="AH79" s="3433"/>
      <c r="AI79" s="3433"/>
    </row>
    <row r="80" spans="1:37">
      <c r="A80" s="1436"/>
      <c r="B80" s="1436" t="s">
        <v>1198</v>
      </c>
      <c r="C80" s="1437"/>
      <c r="D80" s="1433"/>
      <c r="E80" s="1433"/>
      <c r="F80" s="1433"/>
      <c r="G80" s="1433"/>
      <c r="H80" s="1433"/>
      <c r="I80" s="1433"/>
      <c r="J80" s="1433"/>
      <c r="K80" s="1433"/>
      <c r="L80" s="1433"/>
      <c r="M80" s="1433"/>
      <c r="N80" s="3455"/>
      <c r="O80" s="3455"/>
      <c r="P80" s="3455"/>
      <c r="Q80" s="3455"/>
      <c r="R80" s="1433"/>
      <c r="S80" s="1433"/>
      <c r="T80" s="1433"/>
      <c r="U80" s="1433"/>
      <c r="V80" s="1433"/>
      <c r="W80" s="1433"/>
      <c r="X80" s="1433"/>
      <c r="Y80" s="1436" t="s">
        <v>1188</v>
      </c>
      <c r="Z80" s="1433"/>
      <c r="AA80" s="1433"/>
      <c r="AB80" s="1433"/>
      <c r="AC80" s="1433"/>
      <c r="AD80" s="1433"/>
      <c r="AF80" s="3440"/>
      <c r="AG80" s="3440"/>
      <c r="AH80" s="3440"/>
      <c r="AI80" s="3440"/>
    </row>
    <row r="81" spans="1:37">
      <c r="A81" s="1435"/>
      <c r="B81" s="1433" t="s">
        <v>1199</v>
      </c>
      <c r="C81" s="1437"/>
      <c r="D81" s="1433"/>
      <c r="E81" s="1433"/>
      <c r="F81" s="1433"/>
      <c r="G81" s="1433"/>
      <c r="H81" s="1433"/>
      <c r="I81" s="1433"/>
      <c r="J81" s="1433"/>
      <c r="K81" s="1433"/>
      <c r="L81" s="1433"/>
      <c r="M81" s="1433"/>
      <c r="N81" s="3456"/>
      <c r="O81" s="3456"/>
      <c r="P81" s="3456"/>
      <c r="Q81" s="3456"/>
      <c r="R81" s="1433"/>
      <c r="S81" s="1433"/>
      <c r="T81" s="1433"/>
      <c r="U81" s="1433"/>
      <c r="V81" s="1433"/>
      <c r="W81" s="1433"/>
      <c r="X81" s="1433"/>
      <c r="Y81" s="1436" t="s">
        <v>1215</v>
      </c>
      <c r="Z81" s="1433"/>
      <c r="AA81" s="1433"/>
      <c r="AB81" s="1433"/>
      <c r="AC81" s="1433"/>
      <c r="AD81" s="1433"/>
      <c r="AF81" s="3433"/>
      <c r="AG81" s="3433"/>
      <c r="AH81" s="3433"/>
      <c r="AI81" s="3433"/>
      <c r="AK81" s="1444" t="str">
        <f>IF(AND(AF81&lt;=0),"A",IF(AND(AF81&lt;=50000000),"B",IF(AND(AF81&gt;50000000,AF81&lt;=250000000),"C",IF(AND(AF81&gt;250000000,AF81&lt;=500000000),"D","E"))))</f>
        <v>A</v>
      </c>
    </row>
    <row r="82" spans="1:37">
      <c r="A82" s="1435"/>
      <c r="B82" s="1433" t="s">
        <v>1200</v>
      </c>
      <c r="C82" s="1437"/>
      <c r="D82" s="1433"/>
      <c r="E82" s="1433"/>
      <c r="F82" s="1433"/>
      <c r="G82" s="1433"/>
      <c r="H82" s="1433"/>
      <c r="I82" s="1433"/>
      <c r="J82" s="1433"/>
      <c r="K82" s="1433"/>
      <c r="L82" s="1433"/>
      <c r="M82" s="1433"/>
      <c r="N82" s="1433"/>
      <c r="O82" s="1433"/>
      <c r="P82" s="1433"/>
      <c r="Q82" s="1433"/>
      <c r="R82" s="3456"/>
      <c r="S82" s="3456"/>
      <c r="T82" s="3456"/>
      <c r="U82" s="3456"/>
      <c r="V82" s="1433"/>
      <c r="W82" s="1433"/>
      <c r="X82" s="1433"/>
      <c r="Y82" s="1436" t="s">
        <v>1201</v>
      </c>
      <c r="Z82" s="1433"/>
      <c r="AA82" s="1433"/>
      <c r="AB82" s="1433"/>
      <c r="AC82" s="1433"/>
      <c r="AD82" s="1433"/>
      <c r="AF82" s="3442"/>
      <c r="AG82" s="3442"/>
      <c r="AH82" s="3442"/>
      <c r="AI82" s="3442"/>
      <c r="AK82" s="1444" t="str">
        <f>IF(AND(AF82&lt;=0),"A",IF(AND(AF82&lt;=50000000),"B",IF(AND(AF82&gt;50000000,AF82&lt;=250000000),"C",IF(AND(AF82&gt;250000000,AF82&lt;=500000000),"D","E"))))</f>
        <v>A</v>
      </c>
    </row>
    <row r="83" spans="1:37">
      <c r="A83" s="1435"/>
      <c r="B83" s="1433"/>
      <c r="C83" s="1437"/>
      <c r="D83" s="1433"/>
      <c r="E83" s="1433"/>
      <c r="F83" s="1433"/>
      <c r="G83" s="1433"/>
      <c r="H83" s="1433"/>
      <c r="I83" s="1433"/>
      <c r="J83" s="1433"/>
      <c r="K83" s="1433"/>
      <c r="L83" s="1433"/>
      <c r="M83" s="1433"/>
      <c r="N83" s="1433"/>
      <c r="O83" s="1433"/>
      <c r="P83" s="1433"/>
      <c r="Q83" s="1433"/>
      <c r="R83" s="1433"/>
      <c r="S83" s="1433"/>
      <c r="T83" s="1433"/>
      <c r="U83" s="1433"/>
      <c r="V83" s="1433"/>
      <c r="W83" s="1433"/>
      <c r="X83" s="1433"/>
      <c r="Y83" s="1433"/>
      <c r="Z83" s="1433"/>
      <c r="AA83" s="1433"/>
      <c r="AB83" s="1433"/>
      <c r="AC83" s="1433"/>
      <c r="AD83" s="1433"/>
    </row>
    <row r="84" spans="1:37">
      <c r="A84" s="1435" t="s">
        <v>1202</v>
      </c>
      <c r="B84" s="1436"/>
      <c r="C84" s="1437"/>
      <c r="D84" s="1433"/>
      <c r="E84" s="1433"/>
      <c r="F84" s="1433"/>
      <c r="G84" s="1433"/>
      <c r="H84" s="1433"/>
      <c r="I84" s="1433"/>
      <c r="J84" s="1433"/>
      <c r="K84" s="1433"/>
      <c r="L84" s="1433"/>
      <c r="M84" s="1433"/>
      <c r="N84" s="1433"/>
      <c r="O84" s="1433"/>
      <c r="P84" s="1433"/>
      <c r="Q84" s="1433"/>
      <c r="R84" s="1433"/>
      <c r="S84" s="1433"/>
      <c r="T84" s="1433"/>
      <c r="U84" s="1433"/>
      <c r="V84" s="1433"/>
      <c r="W84" s="1433"/>
      <c r="X84" s="1433"/>
      <c r="Y84" s="1433"/>
      <c r="Z84" s="1433"/>
      <c r="AA84" s="1433"/>
      <c r="AB84" s="1433"/>
      <c r="AC84" s="1433"/>
      <c r="AD84" s="1433"/>
    </row>
    <row r="85" spans="1:37">
      <c r="A85" s="1436"/>
      <c r="B85" s="1436" t="s">
        <v>1192</v>
      </c>
      <c r="C85" s="1437"/>
      <c r="D85" s="1433"/>
      <c r="E85" s="1433"/>
      <c r="F85" s="1433"/>
      <c r="G85" s="1433"/>
      <c r="H85" s="1433"/>
      <c r="I85" s="1433"/>
      <c r="J85" s="3457"/>
      <c r="K85" s="3458"/>
      <c r="L85" s="3458"/>
      <c r="M85" s="3458"/>
      <c r="N85" s="1433"/>
      <c r="O85" s="1433"/>
      <c r="P85" s="1433"/>
      <c r="Q85" s="1433"/>
      <c r="R85" s="1433"/>
      <c r="S85" s="1433"/>
      <c r="T85" s="1433"/>
      <c r="U85" s="1433"/>
      <c r="V85" s="1433"/>
      <c r="W85" s="1433"/>
      <c r="X85" s="1442" t="s">
        <v>1203</v>
      </c>
      <c r="Y85" s="1433"/>
      <c r="Z85" s="1433"/>
      <c r="AA85" s="1433"/>
      <c r="AB85" s="1433"/>
      <c r="AC85" s="1433"/>
      <c r="AD85" s="1433"/>
    </row>
    <row r="86" spans="1:37">
      <c r="A86" s="1436"/>
      <c r="B86" s="1436" t="s">
        <v>1193</v>
      </c>
      <c r="C86" s="1437"/>
      <c r="D86" s="1433"/>
      <c r="E86" s="1433"/>
      <c r="F86" s="1433"/>
      <c r="G86" s="1433"/>
      <c r="H86" s="1433"/>
      <c r="I86" s="1433"/>
      <c r="J86" s="3459"/>
      <c r="K86" s="3459"/>
      <c r="L86" s="3459"/>
      <c r="M86" s="3459"/>
      <c r="N86" s="1433"/>
      <c r="O86" s="1433"/>
      <c r="P86" s="1433"/>
      <c r="Q86" s="1433"/>
      <c r="R86" s="1433"/>
      <c r="S86" s="1433"/>
      <c r="T86" s="1433"/>
      <c r="U86" s="1433"/>
      <c r="V86" s="1433"/>
      <c r="W86" s="1433"/>
      <c r="X86" s="1433"/>
      <c r="Y86" s="1436" t="s">
        <v>1192</v>
      </c>
      <c r="Z86" s="1433"/>
      <c r="AA86" s="1433"/>
      <c r="AB86" s="1433"/>
      <c r="AC86" s="1433"/>
      <c r="AD86" s="1433"/>
      <c r="AF86" s="3433"/>
      <c r="AG86" s="3433"/>
      <c r="AH86" s="3433"/>
      <c r="AI86" s="3433"/>
    </row>
    <row r="87" spans="1:37">
      <c r="A87" s="1436"/>
      <c r="B87" s="1436" t="s">
        <v>1198</v>
      </c>
      <c r="C87" s="1437"/>
      <c r="D87" s="1433"/>
      <c r="E87" s="1433"/>
      <c r="F87" s="1433"/>
      <c r="G87" s="1433"/>
      <c r="H87" s="1433"/>
      <c r="I87" s="1433"/>
      <c r="J87" s="1446"/>
      <c r="K87" s="1446"/>
      <c r="L87" s="1446"/>
      <c r="M87" s="1446"/>
      <c r="N87" s="3455"/>
      <c r="O87" s="3455"/>
      <c r="P87" s="3455"/>
      <c r="Q87" s="3455"/>
      <c r="R87" s="1433"/>
      <c r="S87" s="1433"/>
      <c r="T87" s="1433"/>
      <c r="U87" s="1433"/>
      <c r="V87" s="1433"/>
      <c r="W87" s="1433"/>
      <c r="X87" s="1433"/>
      <c r="Y87" s="1447" t="s">
        <v>1194</v>
      </c>
      <c r="Z87" s="1433"/>
      <c r="AA87" s="1433"/>
      <c r="AB87" s="1433"/>
      <c r="AC87" s="1433"/>
      <c r="AD87" s="1433"/>
      <c r="AF87" s="3433"/>
      <c r="AG87" s="3433"/>
      <c r="AH87" s="3433"/>
      <c r="AI87" s="3433"/>
    </row>
    <row r="88" spans="1:37">
      <c r="A88" s="1436"/>
      <c r="B88" s="1433" t="s">
        <v>1199</v>
      </c>
      <c r="C88" s="1437"/>
      <c r="D88" s="1433"/>
      <c r="E88" s="1433"/>
      <c r="F88" s="1433"/>
      <c r="G88" s="1433"/>
      <c r="H88" s="1433"/>
      <c r="I88" s="1433"/>
      <c r="J88" s="1433"/>
      <c r="K88" s="1433"/>
      <c r="L88" s="1433"/>
      <c r="M88" s="1433"/>
      <c r="N88" s="3456"/>
      <c r="O88" s="3456"/>
      <c r="P88" s="3456"/>
      <c r="Q88" s="3456"/>
      <c r="R88" s="1433"/>
      <c r="S88" s="1433"/>
      <c r="T88" s="1433"/>
      <c r="U88" s="1433"/>
      <c r="V88" s="1433"/>
      <c r="W88" s="1433"/>
      <c r="X88" s="1433"/>
      <c r="Y88" s="1447" t="s">
        <v>1205</v>
      </c>
      <c r="Z88" s="1433"/>
      <c r="AA88" s="1433"/>
      <c r="AB88" s="1433"/>
      <c r="AC88" s="1433"/>
      <c r="AD88" s="1433"/>
      <c r="AF88" s="3433"/>
      <c r="AG88" s="3433"/>
      <c r="AH88" s="3433"/>
      <c r="AI88" s="3433"/>
    </row>
    <row r="89" spans="1:37">
      <c r="A89" s="1436"/>
      <c r="B89" s="1435" t="s">
        <v>1204</v>
      </c>
      <c r="C89" s="1437"/>
      <c r="D89" s="1433"/>
      <c r="E89" s="1433"/>
      <c r="F89" s="1433"/>
      <c r="G89" s="1433"/>
      <c r="H89" s="1433"/>
      <c r="I89" s="1433"/>
      <c r="J89" s="1433"/>
      <c r="K89" s="1433"/>
      <c r="L89" s="1433"/>
      <c r="M89" s="1433"/>
      <c r="N89" s="1433"/>
      <c r="O89" s="1433"/>
      <c r="P89" s="1433"/>
      <c r="Q89" s="1433"/>
      <c r="R89" s="3453"/>
      <c r="S89" s="3453"/>
      <c r="T89" s="3453"/>
      <c r="U89" s="3453"/>
      <c r="V89" s="1433"/>
      <c r="W89" s="1433"/>
      <c r="X89" s="1433"/>
      <c r="Y89" s="1433"/>
      <c r="Z89" s="1433"/>
      <c r="AA89" s="1433"/>
      <c r="AB89" s="1433"/>
      <c r="AC89" s="1433"/>
      <c r="AD89" s="1433"/>
    </row>
    <row r="90" spans="1:37">
      <c r="A90" s="1433"/>
      <c r="B90" s="1433"/>
      <c r="C90" s="1433"/>
      <c r="D90" s="1433"/>
      <c r="E90" s="1433"/>
      <c r="F90" s="1433"/>
      <c r="G90" s="1433"/>
      <c r="H90" s="1433"/>
      <c r="I90" s="1433"/>
      <c r="J90" s="1433"/>
      <c r="K90" s="1433"/>
      <c r="L90" s="1433"/>
      <c r="M90" s="1433"/>
      <c r="N90" s="1433"/>
      <c r="O90" s="1433"/>
      <c r="P90" s="1433"/>
      <c r="Q90" s="1433"/>
      <c r="R90" s="1437"/>
      <c r="S90" s="1437"/>
      <c r="T90" s="1437"/>
      <c r="U90" s="1437"/>
      <c r="V90" s="1433"/>
      <c r="W90" s="1433"/>
      <c r="X90" s="1433"/>
      <c r="Y90" s="1433"/>
      <c r="Z90" s="1433"/>
      <c r="AA90" s="1433"/>
      <c r="AB90" s="1433"/>
      <c r="AC90" s="1433"/>
      <c r="AD90" s="1433"/>
    </row>
    <row r="91" spans="1:37">
      <c r="A91" s="1442" t="s">
        <v>1216</v>
      </c>
      <c r="B91" s="1433"/>
      <c r="C91" s="1433"/>
      <c r="D91" s="1433"/>
      <c r="E91" s="1433"/>
      <c r="F91" s="1433"/>
      <c r="G91" s="1433"/>
      <c r="H91" s="1433"/>
      <c r="I91" s="1433"/>
      <c r="J91" s="1433"/>
      <c r="K91" s="1433"/>
      <c r="L91" s="1433"/>
      <c r="M91" s="1433"/>
      <c r="N91" s="1433"/>
      <c r="O91" s="1433"/>
      <c r="P91" s="1433"/>
      <c r="Q91" s="1433"/>
      <c r="R91" s="1433"/>
      <c r="S91" s="1433"/>
      <c r="T91" s="1433"/>
      <c r="U91" s="1433"/>
      <c r="V91" s="1433"/>
      <c r="W91" s="1433"/>
      <c r="X91" s="1433"/>
      <c r="Y91" s="1433"/>
      <c r="Z91" s="1433"/>
      <c r="AA91" s="1433"/>
      <c r="AB91" s="1433"/>
      <c r="AC91" s="1433"/>
      <c r="AD91" s="1433"/>
    </row>
    <row r="92" spans="1:37">
      <c r="A92" s="1433"/>
      <c r="B92" s="1433" t="s">
        <v>1217</v>
      </c>
      <c r="C92" s="1433"/>
      <c r="D92" s="1433"/>
      <c r="E92" s="1433"/>
      <c r="F92" s="1433"/>
      <c r="G92" s="1433"/>
      <c r="H92" s="1433"/>
      <c r="I92" s="1433"/>
      <c r="J92" s="1433"/>
      <c r="K92" s="1433"/>
      <c r="L92" s="1433"/>
      <c r="M92" s="1433"/>
      <c r="N92" s="3451"/>
      <c r="O92" s="3451"/>
      <c r="P92" s="3451"/>
      <c r="Q92" s="3451"/>
      <c r="R92" s="1433"/>
      <c r="S92" s="1433"/>
      <c r="T92" s="1433"/>
      <c r="U92" s="1433"/>
      <c r="V92" s="1433"/>
      <c r="W92" s="1433"/>
      <c r="X92" s="1433"/>
      <c r="Y92" s="1433"/>
      <c r="Z92" s="1433"/>
      <c r="AA92" s="1433"/>
      <c r="AB92" s="1433"/>
      <c r="AC92" s="1433"/>
      <c r="AD92" s="1433"/>
    </row>
    <row r="93" spans="1:37">
      <c r="A93" s="1433"/>
      <c r="B93" s="1433" t="s">
        <v>1218</v>
      </c>
      <c r="C93" s="1433"/>
      <c r="D93" s="1433"/>
      <c r="E93" s="1433"/>
      <c r="F93" s="1433"/>
      <c r="G93" s="1433"/>
      <c r="H93" s="1433"/>
      <c r="I93" s="1433"/>
      <c r="J93" s="1433"/>
      <c r="K93" s="1433"/>
      <c r="L93" s="1433"/>
      <c r="M93" s="1433"/>
      <c r="N93" s="3451"/>
      <c r="O93" s="3451"/>
      <c r="P93" s="3451"/>
      <c r="Q93" s="3451"/>
      <c r="R93" s="1433"/>
      <c r="S93" s="1433"/>
      <c r="T93" s="1433"/>
      <c r="U93" s="1433"/>
      <c r="V93" s="1433"/>
      <c r="W93" s="1433"/>
      <c r="X93" s="1433"/>
      <c r="Y93" s="1433"/>
      <c r="Z93" s="1433"/>
      <c r="AA93" s="1433"/>
      <c r="AB93" s="1433"/>
      <c r="AC93" s="1433"/>
      <c r="AD93" s="1433"/>
    </row>
    <row r="94" spans="1:37">
      <c r="A94" s="1433"/>
      <c r="B94" s="1433" t="s">
        <v>1219</v>
      </c>
      <c r="C94" s="1433"/>
      <c r="D94" s="1433"/>
      <c r="E94" s="1433"/>
      <c r="F94" s="1433"/>
      <c r="G94" s="1433"/>
      <c r="H94" s="1433"/>
      <c r="I94" s="1433"/>
      <c r="J94" s="1433"/>
      <c r="K94" s="1433"/>
      <c r="L94" s="1433"/>
      <c r="M94" s="1433"/>
      <c r="N94" s="3452"/>
      <c r="O94" s="3452"/>
      <c r="P94" s="3452"/>
      <c r="Q94" s="3452"/>
      <c r="R94" s="1433"/>
      <c r="S94" s="1433"/>
      <c r="T94" s="1433"/>
      <c r="U94" s="1433"/>
      <c r="V94" s="1433"/>
      <c r="W94" s="1433"/>
      <c r="X94" s="1433"/>
      <c r="Y94" s="1433"/>
      <c r="Z94" s="1433"/>
      <c r="AA94" s="1433"/>
      <c r="AB94" s="1433"/>
      <c r="AC94" s="1433"/>
      <c r="AD94" s="1433"/>
    </row>
    <row r="95" spans="1:37">
      <c r="A95" s="1433"/>
      <c r="B95" s="1433" t="s">
        <v>1220</v>
      </c>
      <c r="C95" s="1433"/>
      <c r="D95" s="1433"/>
      <c r="E95" s="1433"/>
      <c r="F95" s="1433"/>
      <c r="G95" s="1433"/>
      <c r="H95" s="1433"/>
      <c r="I95" s="1433"/>
      <c r="J95" s="1433"/>
      <c r="K95" s="1433"/>
      <c r="L95" s="1433"/>
      <c r="M95" s="1433"/>
      <c r="N95" s="1433"/>
      <c r="O95" s="1433"/>
      <c r="P95" s="1433"/>
      <c r="Q95" s="1433"/>
      <c r="R95" s="3453"/>
      <c r="S95" s="3453"/>
      <c r="T95" s="3453"/>
      <c r="U95" s="3453"/>
      <c r="V95" s="1433"/>
      <c r="W95" s="1433"/>
      <c r="X95" s="1433"/>
      <c r="Y95" s="1433"/>
      <c r="Z95" s="1433"/>
      <c r="AA95" s="1433"/>
      <c r="AB95" s="1433"/>
      <c r="AC95" s="1433"/>
      <c r="AD95" s="1433"/>
    </row>
    <row r="96" spans="1:37">
      <c r="A96" s="1433"/>
      <c r="B96" s="1433"/>
      <c r="C96" s="1433"/>
      <c r="D96" s="1433"/>
      <c r="E96" s="1433"/>
      <c r="F96" s="1433"/>
      <c r="G96" s="1433"/>
      <c r="H96" s="1433"/>
      <c r="I96" s="1433"/>
      <c r="J96" s="1433"/>
      <c r="K96" s="1433"/>
      <c r="L96" s="1433"/>
      <c r="M96" s="1433"/>
      <c r="N96" s="1433"/>
      <c r="O96" s="1433"/>
      <c r="P96" s="1433"/>
      <c r="Q96" s="1433"/>
      <c r="R96" s="1433"/>
      <c r="S96" s="1433"/>
      <c r="T96" s="1433"/>
      <c r="U96" s="1433"/>
      <c r="V96" s="1433"/>
      <c r="W96" s="1433"/>
      <c r="X96" s="1433"/>
      <c r="Y96" s="1433"/>
      <c r="Z96" s="1433"/>
      <c r="AA96" s="1433"/>
      <c r="AB96" s="1433"/>
      <c r="AC96" s="1433"/>
      <c r="AD96" s="1433"/>
    </row>
    <row r="97" spans="1:31">
      <c r="A97" s="1442" t="s">
        <v>1221</v>
      </c>
      <c r="B97" s="1433"/>
      <c r="C97" s="1433"/>
      <c r="D97" s="1433"/>
      <c r="E97" s="1433"/>
      <c r="F97" s="1433"/>
      <c r="G97" s="1433"/>
      <c r="H97" s="1433"/>
      <c r="I97" s="1433"/>
      <c r="J97" s="1433"/>
      <c r="K97" s="1433"/>
      <c r="L97" s="1433"/>
      <c r="M97" s="1433"/>
      <c r="N97" s="1433"/>
      <c r="O97" s="1433"/>
      <c r="P97" s="1433"/>
      <c r="Q97" s="1433"/>
      <c r="R97" s="3452"/>
      <c r="S97" s="3452"/>
      <c r="T97" s="3452"/>
      <c r="U97" s="3452"/>
      <c r="V97" s="1433"/>
      <c r="W97" s="1433"/>
      <c r="X97" s="1433"/>
      <c r="Y97" s="1433"/>
      <c r="Z97" s="1433"/>
      <c r="AA97" s="1433"/>
      <c r="AB97" s="1433"/>
      <c r="AC97" s="1433"/>
      <c r="AD97" s="1433"/>
    </row>
    <row r="98" spans="1:31">
      <c r="A98" s="1433"/>
      <c r="B98" s="1433"/>
      <c r="C98" s="1433"/>
      <c r="D98" s="1433"/>
      <c r="E98" s="1433"/>
      <c r="F98" s="1433"/>
      <c r="G98" s="1433"/>
      <c r="H98" s="1433"/>
      <c r="I98" s="1433"/>
      <c r="J98" s="1433"/>
      <c r="K98" s="1433"/>
      <c r="L98" s="1433"/>
      <c r="M98" s="1433"/>
      <c r="N98" s="1433"/>
      <c r="O98" s="1433"/>
      <c r="P98" s="1433"/>
      <c r="Q98" s="1433"/>
      <c r="R98" s="1433"/>
      <c r="S98" s="1433"/>
      <c r="T98" s="1433"/>
      <c r="U98" s="1433"/>
      <c r="V98" s="1433"/>
      <c r="W98" s="1433"/>
      <c r="X98" s="1433"/>
      <c r="Y98" s="1433"/>
      <c r="Z98" s="1433"/>
      <c r="AA98" s="1433"/>
      <c r="AB98" s="1433"/>
      <c r="AC98" s="1433"/>
      <c r="AD98" s="1433"/>
    </row>
    <row r="99" spans="1:31">
      <c r="A99" s="1442" t="s">
        <v>1222</v>
      </c>
      <c r="B99" s="1433"/>
      <c r="C99" s="1433"/>
      <c r="D99" s="1433"/>
      <c r="E99" s="1433"/>
      <c r="F99" s="1433"/>
      <c r="G99" s="1433"/>
      <c r="H99" s="1433"/>
      <c r="I99" s="1433"/>
      <c r="J99" s="1433"/>
      <c r="K99" s="1433"/>
      <c r="L99" s="1433"/>
      <c r="M99" s="1433"/>
      <c r="N99" s="1433"/>
      <c r="O99" s="1433"/>
      <c r="P99" s="1433"/>
      <c r="Q99" s="1433"/>
      <c r="R99" s="3453"/>
      <c r="S99" s="3453"/>
      <c r="T99" s="3453"/>
      <c r="U99" s="3453"/>
      <c r="V99" s="1433"/>
      <c r="W99" s="1433"/>
      <c r="X99" s="1433"/>
      <c r="Y99" s="1433"/>
      <c r="Z99" s="1433"/>
      <c r="AA99" s="1433"/>
      <c r="AB99" s="1433"/>
      <c r="AC99" s="1433"/>
      <c r="AD99" s="1433"/>
    </row>
    <row r="100" spans="1:31">
      <c r="A100" s="1433"/>
      <c r="B100" s="1433"/>
      <c r="C100" s="1433"/>
      <c r="D100" s="1433"/>
      <c r="E100" s="1433"/>
      <c r="F100" s="1433"/>
      <c r="G100" s="1433"/>
      <c r="H100" s="1433"/>
      <c r="I100" s="1433"/>
      <c r="J100" s="1433"/>
      <c r="K100" s="1433"/>
      <c r="L100" s="1433"/>
      <c r="M100" s="1433"/>
      <c r="N100" s="1433"/>
      <c r="O100" s="1433"/>
      <c r="P100" s="1433"/>
      <c r="Q100" s="1433"/>
      <c r="R100" s="1433"/>
      <c r="S100" s="1433"/>
      <c r="T100" s="1433"/>
      <c r="U100" s="1433"/>
      <c r="V100" s="1433"/>
      <c r="W100" s="1433"/>
      <c r="X100" s="1433"/>
      <c r="Y100" s="1433"/>
      <c r="Z100" s="1433"/>
      <c r="AA100" s="1433"/>
      <c r="AB100" s="1433"/>
      <c r="AC100" s="1433"/>
      <c r="AD100" s="1433"/>
    </row>
    <row r="101" spans="1:31">
      <c r="A101" s="1442" t="s">
        <v>1223</v>
      </c>
      <c r="B101" s="1433"/>
      <c r="C101" s="1433"/>
      <c r="D101" s="1433"/>
      <c r="E101" s="1433"/>
      <c r="F101" s="1433"/>
      <c r="G101" s="1433"/>
      <c r="H101" s="1433"/>
      <c r="I101" s="1433"/>
      <c r="J101" s="1433"/>
      <c r="K101" s="1433"/>
      <c r="L101" s="1433"/>
      <c r="M101" s="1433"/>
      <c r="N101" s="1433"/>
      <c r="O101" s="1433"/>
      <c r="P101" s="1433"/>
      <c r="Q101" s="1433"/>
      <c r="R101" s="3454"/>
      <c r="S101" s="3454"/>
      <c r="T101" s="3454"/>
      <c r="U101" s="3454"/>
      <c r="V101" s="1433"/>
      <c r="W101" s="1433"/>
      <c r="X101" s="1433"/>
      <c r="Y101" s="1433"/>
      <c r="Z101" s="1433"/>
      <c r="AA101" s="1433"/>
      <c r="AB101" s="1433"/>
      <c r="AC101" s="1433"/>
      <c r="AD101" s="1433"/>
    </row>
    <row r="102" spans="1:31">
      <c r="A102" s="1435"/>
      <c r="B102" s="1433"/>
      <c r="C102" s="1433"/>
      <c r="D102" s="1433"/>
      <c r="E102" s="1433"/>
      <c r="F102" s="1433"/>
      <c r="G102" s="1433"/>
      <c r="H102" s="1433"/>
      <c r="I102" s="1433"/>
      <c r="J102" s="1433"/>
      <c r="K102" s="1433"/>
      <c r="L102" s="1433"/>
      <c r="M102" s="1433"/>
      <c r="N102" s="1433"/>
      <c r="O102" s="1433"/>
      <c r="P102" s="1433"/>
      <c r="Q102" s="1433"/>
      <c r="R102" s="1433"/>
      <c r="S102" s="1433"/>
      <c r="T102" s="1433"/>
      <c r="U102" s="1433"/>
      <c r="V102" s="1433"/>
      <c r="W102" s="1433"/>
      <c r="X102" s="1433"/>
      <c r="Y102" s="1433"/>
      <c r="Z102" s="1433"/>
      <c r="AA102" s="1433"/>
      <c r="AB102" s="1433"/>
      <c r="AC102" s="1433"/>
      <c r="AD102" s="1433"/>
    </row>
    <row r="103" spans="1:31" ht="13.5" thickBot="1">
      <c r="A103" s="1435" t="s">
        <v>1224</v>
      </c>
      <c r="B103" s="1433"/>
      <c r="C103" s="1433"/>
      <c r="D103" s="1433"/>
      <c r="E103" s="1433"/>
      <c r="F103" s="1433"/>
      <c r="G103" s="1433"/>
      <c r="H103" s="1433"/>
      <c r="I103" s="1433"/>
      <c r="J103" s="1433"/>
      <c r="K103" s="1433"/>
      <c r="L103" s="1433"/>
      <c r="M103" s="1433"/>
      <c r="N103" s="1433"/>
      <c r="O103" s="1433"/>
      <c r="P103" s="1433"/>
      <c r="Q103" s="1433"/>
      <c r="R103" s="3450"/>
      <c r="S103" s="3450"/>
      <c r="T103" s="3450"/>
      <c r="U103" s="3450"/>
      <c r="V103" s="1433"/>
      <c r="W103" s="1433"/>
      <c r="X103" s="1433"/>
      <c r="Y103" s="1433"/>
      <c r="Z103" s="1433"/>
      <c r="AA103" s="1433"/>
      <c r="AB103" s="1433"/>
      <c r="AC103" s="1433"/>
      <c r="AD103" s="1433"/>
    </row>
    <row r="104" spans="1:31" ht="13.5" thickTop="1">
      <c r="A104" s="1437"/>
      <c r="B104" s="1433"/>
      <c r="C104" s="1433"/>
      <c r="D104" s="1433"/>
      <c r="E104" s="1433"/>
      <c r="F104" s="1433"/>
      <c r="G104" s="1433"/>
      <c r="H104" s="1433"/>
      <c r="I104" s="1433"/>
      <c r="J104" s="1433"/>
      <c r="K104" s="1433"/>
      <c r="L104" s="1433"/>
      <c r="M104" s="1433"/>
      <c r="N104" s="1433"/>
      <c r="O104" s="1433"/>
      <c r="P104" s="1433"/>
      <c r="Q104" s="1433"/>
      <c r="R104" s="1433"/>
      <c r="S104" s="1433"/>
      <c r="T104" s="1433"/>
      <c r="U104" s="1433"/>
      <c r="V104" s="1433"/>
      <c r="W104" s="1433"/>
      <c r="X104" s="1433"/>
      <c r="Y104" s="1433"/>
      <c r="Z104" s="1433"/>
      <c r="AA104" s="1433"/>
      <c r="AB104" s="1433"/>
      <c r="AC104" s="1433"/>
      <c r="AD104" s="1433"/>
    </row>
    <row r="105" spans="1:31">
      <c r="A105" s="1431" t="s">
        <v>1225</v>
      </c>
      <c r="B105" s="1432"/>
      <c r="C105" s="1432"/>
      <c r="D105" s="1432"/>
      <c r="E105" s="1432"/>
      <c r="F105" s="1432"/>
      <c r="G105" s="1432"/>
      <c r="H105" s="1432"/>
      <c r="I105" s="1432"/>
      <c r="J105" s="1432"/>
      <c r="K105" s="1432"/>
      <c r="L105" s="1432"/>
      <c r="M105" s="1432"/>
      <c r="N105" s="1432"/>
      <c r="O105" s="1432"/>
      <c r="P105" s="1432"/>
      <c r="Q105" s="1432"/>
      <c r="R105" s="1432"/>
      <c r="S105" s="1432"/>
      <c r="T105" s="1432"/>
      <c r="U105" s="1432"/>
      <c r="V105" s="1432"/>
      <c r="W105" s="1432"/>
      <c r="X105" s="1432"/>
      <c r="Y105" s="1432"/>
      <c r="Z105" s="1432"/>
      <c r="AA105" s="1432"/>
      <c r="AB105" s="1432"/>
      <c r="AC105" s="1432"/>
    </row>
    <row r="106" spans="1:31">
      <c r="A106" s="1452"/>
      <c r="B106" s="1452"/>
      <c r="C106" s="1452"/>
      <c r="D106" s="1452"/>
      <c r="E106" s="1452"/>
      <c r="F106" s="1452"/>
      <c r="G106" s="1452"/>
      <c r="H106" s="1452"/>
      <c r="I106" s="1452"/>
      <c r="J106" s="1452"/>
      <c r="K106" s="1452"/>
      <c r="L106" s="1452"/>
      <c r="M106" s="1452"/>
      <c r="N106" s="1452"/>
      <c r="O106" s="1452"/>
      <c r="P106" s="1452"/>
      <c r="Q106" s="1452"/>
      <c r="R106" s="1452"/>
      <c r="S106" s="1452"/>
      <c r="T106" s="1452"/>
      <c r="U106" s="1452"/>
      <c r="V106" s="1452"/>
      <c r="W106" s="1452"/>
      <c r="X106" s="1452"/>
      <c r="Y106" s="1452"/>
      <c r="Z106" s="1452"/>
      <c r="AA106" s="1452"/>
      <c r="AB106" s="1452"/>
      <c r="AC106" s="1452"/>
      <c r="AD106" s="1452"/>
      <c r="AE106" s="1452"/>
    </row>
    <row r="107" spans="1:31" ht="20.25">
      <c r="A107" s="1453" t="s">
        <v>1182</v>
      </c>
      <c r="B107" s="1452"/>
      <c r="C107" s="1452"/>
      <c r="D107" s="1452"/>
      <c r="E107" s="1452"/>
      <c r="F107" s="1452"/>
      <c r="G107" s="1452"/>
      <c r="H107" s="1452"/>
      <c r="I107" s="1452"/>
      <c r="J107" s="1452"/>
      <c r="K107" s="1452"/>
      <c r="L107" s="1452"/>
      <c r="M107" s="1452"/>
      <c r="N107" s="1452"/>
      <c r="O107" s="1452"/>
      <c r="P107" s="1452"/>
      <c r="Q107" s="1452"/>
      <c r="R107" s="1452"/>
      <c r="S107" s="1452"/>
      <c r="T107" s="1452"/>
      <c r="U107" s="1452"/>
      <c r="V107" s="1452"/>
      <c r="W107" s="1452"/>
      <c r="X107" s="1452"/>
      <c r="Y107" s="1452"/>
      <c r="Z107" s="1452"/>
      <c r="AA107" s="1452"/>
      <c r="AB107" s="1452"/>
      <c r="AC107" s="1452"/>
      <c r="AD107" s="1452"/>
      <c r="AE107" s="1452"/>
    </row>
    <row r="108" spans="1:31">
      <c r="A108" s="1452"/>
      <c r="B108" s="1452"/>
      <c r="C108" s="1452"/>
      <c r="D108" s="1452"/>
      <c r="E108" s="1452"/>
      <c r="F108" s="1452"/>
      <c r="G108" s="1452"/>
      <c r="H108" s="1452"/>
      <c r="I108" s="1452"/>
      <c r="J108" s="1452"/>
      <c r="K108" s="1452"/>
      <c r="L108" s="1452"/>
      <c r="M108" s="1452"/>
      <c r="N108" s="1452"/>
      <c r="O108" s="1452"/>
      <c r="P108" s="1452"/>
      <c r="Q108" s="1452"/>
      <c r="R108" s="1452"/>
      <c r="S108" s="1452"/>
      <c r="T108" s="1452"/>
      <c r="U108" s="1452"/>
      <c r="V108" s="1452"/>
      <c r="W108" s="1452"/>
      <c r="X108" s="1452"/>
      <c r="Y108" s="1452"/>
      <c r="Z108" s="1452"/>
      <c r="AA108" s="1452"/>
      <c r="AB108" s="1452"/>
      <c r="AC108" s="1452"/>
      <c r="AD108" s="1452"/>
      <c r="AE108" s="1452"/>
    </row>
    <row r="109" spans="1:31">
      <c r="A109" s="1454" t="s">
        <v>1183</v>
      </c>
      <c r="B109" s="1455"/>
      <c r="C109" s="1456"/>
      <c r="D109" s="1452"/>
      <c r="E109" s="1452"/>
      <c r="F109" s="1452"/>
      <c r="G109" s="1452"/>
      <c r="H109" s="1452"/>
      <c r="I109" s="1452"/>
      <c r="J109" s="1452"/>
      <c r="K109" s="1452"/>
      <c r="L109" s="1452"/>
      <c r="M109" s="1452"/>
      <c r="N109" s="1452"/>
      <c r="O109" s="1452"/>
      <c r="P109" s="1452"/>
      <c r="Q109" s="1452"/>
      <c r="R109" s="1452"/>
      <c r="S109" s="1452"/>
      <c r="T109" s="1452"/>
      <c r="U109" s="1452"/>
      <c r="V109" s="1452"/>
      <c r="W109" s="1452"/>
      <c r="X109" s="1452"/>
      <c r="Y109" s="1452"/>
      <c r="Z109" s="1452"/>
      <c r="AA109" s="1452"/>
      <c r="AB109" s="1452"/>
      <c r="AC109" s="1452"/>
      <c r="AD109" s="1452"/>
      <c r="AE109" s="1452"/>
    </row>
    <row r="110" spans="1:31">
      <c r="A110" s="1454"/>
      <c r="B110" s="1614" t="s">
        <v>1354</v>
      </c>
      <c r="C110" s="1456"/>
      <c r="D110" s="1452"/>
      <c r="E110" s="1452"/>
      <c r="F110" s="1452"/>
      <c r="G110" s="1452"/>
      <c r="H110" s="1452"/>
      <c r="I110" s="1452"/>
      <c r="J110" s="1452"/>
      <c r="K110" s="1452"/>
      <c r="L110" s="1452"/>
      <c r="M110" s="1452"/>
      <c r="N110" s="3446"/>
      <c r="O110" s="3446"/>
      <c r="P110" s="3446"/>
      <c r="Q110" s="3446"/>
      <c r="R110" s="1452"/>
      <c r="S110" s="1452"/>
      <c r="T110" s="1452"/>
      <c r="U110" s="1452"/>
      <c r="V110" s="1452"/>
      <c r="W110" s="1452"/>
      <c r="X110" s="1452"/>
      <c r="Y110" s="1452"/>
      <c r="Z110" s="1452"/>
      <c r="AA110" s="1452"/>
      <c r="AB110" s="1452"/>
      <c r="AC110" s="1452"/>
      <c r="AD110" s="1452"/>
      <c r="AE110" s="1452"/>
    </row>
    <row r="111" spans="1:31">
      <c r="A111" s="1452"/>
      <c r="B111" s="1457" t="s">
        <v>1184</v>
      </c>
      <c r="C111" s="1456"/>
      <c r="D111" s="1452"/>
      <c r="E111" s="1452"/>
      <c r="F111" s="1452"/>
      <c r="G111" s="1452"/>
      <c r="H111" s="1452"/>
      <c r="I111" s="1458"/>
      <c r="J111" s="3434"/>
      <c r="K111" s="3434"/>
      <c r="L111" s="3434"/>
      <c r="M111" s="3434"/>
      <c r="N111" s="1452"/>
      <c r="O111" s="1452"/>
      <c r="P111" s="1452"/>
      <c r="Q111" s="1452"/>
      <c r="R111" s="1452"/>
      <c r="S111" s="1452"/>
      <c r="T111" s="1452"/>
      <c r="U111" s="1452"/>
      <c r="V111" s="1452"/>
      <c r="W111" s="1452"/>
      <c r="X111" s="1452"/>
      <c r="Y111" s="1452"/>
      <c r="Z111" s="1452"/>
      <c r="AA111" s="1452"/>
      <c r="AB111" s="1452"/>
      <c r="AC111" s="1452"/>
      <c r="AD111" s="1452"/>
      <c r="AE111" s="1452"/>
    </row>
    <row r="112" spans="1:31">
      <c r="A112" s="1452"/>
      <c r="B112" s="1459" t="s">
        <v>1185</v>
      </c>
      <c r="C112" s="1456"/>
      <c r="D112" s="1452"/>
      <c r="E112" s="1452"/>
      <c r="F112" s="1452"/>
      <c r="G112" s="1452"/>
      <c r="H112" s="1452"/>
      <c r="I112" s="1452"/>
      <c r="J112" s="3428"/>
      <c r="K112" s="3428"/>
      <c r="L112" s="3428"/>
      <c r="M112" s="3428"/>
      <c r="N112" s="1452"/>
      <c r="O112" s="1452"/>
      <c r="P112" s="1452"/>
      <c r="Q112" s="1452"/>
      <c r="R112" s="1452"/>
      <c r="S112" s="1452"/>
      <c r="T112" s="1452"/>
      <c r="U112" s="1452"/>
      <c r="V112" s="1452"/>
      <c r="W112" s="1452"/>
      <c r="X112" s="1452"/>
      <c r="Y112" s="1452"/>
      <c r="Z112" s="1452"/>
      <c r="AA112" s="1452"/>
      <c r="AB112" s="1452"/>
      <c r="AC112" s="1452"/>
      <c r="AD112" s="1452"/>
      <c r="AE112" s="1452"/>
    </row>
    <row r="113" spans="1:37">
      <c r="A113" s="1452"/>
      <c r="B113" s="1459" t="s">
        <v>1186</v>
      </c>
      <c r="C113" s="1456"/>
      <c r="D113" s="1452"/>
      <c r="E113" s="1452"/>
      <c r="F113" s="1452"/>
      <c r="G113" s="1452"/>
      <c r="H113" s="1452"/>
      <c r="I113" s="1452"/>
      <c r="J113" s="1452"/>
      <c r="K113" s="1452"/>
      <c r="L113" s="1452"/>
      <c r="M113" s="1452"/>
      <c r="N113" s="3449"/>
      <c r="O113" s="3449"/>
      <c r="P113" s="3449"/>
      <c r="Q113" s="3449"/>
      <c r="R113" s="1452"/>
      <c r="S113" s="1452"/>
      <c r="T113" s="1452"/>
      <c r="U113" s="1452"/>
      <c r="V113" s="1452"/>
      <c r="W113" s="1452"/>
      <c r="X113" s="1452"/>
      <c r="Y113" s="1452"/>
      <c r="Z113" s="1452"/>
      <c r="AA113" s="1452"/>
      <c r="AB113" s="1452"/>
      <c r="AC113" s="1452"/>
      <c r="AD113" s="1452"/>
      <c r="AE113" s="1452"/>
    </row>
    <row r="114" spans="1:37">
      <c r="A114" s="1452"/>
      <c r="B114" s="1455" t="s">
        <v>1187</v>
      </c>
      <c r="C114" s="1456"/>
      <c r="D114" s="1452"/>
      <c r="E114" s="1452"/>
      <c r="F114" s="1452"/>
      <c r="G114" s="1452"/>
      <c r="H114" s="1452"/>
      <c r="I114" s="1452"/>
      <c r="J114" s="1452"/>
      <c r="K114" s="1452"/>
      <c r="L114" s="1452"/>
      <c r="M114" s="1452"/>
      <c r="N114" s="3434"/>
      <c r="O114" s="3434"/>
      <c r="P114" s="3434"/>
      <c r="Q114" s="3434"/>
      <c r="R114" s="1452"/>
      <c r="S114" s="1452"/>
      <c r="T114" s="1452"/>
      <c r="U114" s="1452"/>
      <c r="V114" s="1452"/>
      <c r="W114" s="1452"/>
      <c r="X114" s="1452"/>
      <c r="Y114" s="1452"/>
      <c r="Z114" s="1452"/>
      <c r="AA114" s="1452"/>
      <c r="AB114" s="1452"/>
      <c r="AC114" s="1452"/>
      <c r="AD114" s="1452"/>
      <c r="AE114" s="1452"/>
    </row>
    <row r="115" spans="1:37">
      <c r="A115" s="1452"/>
      <c r="B115" s="1455" t="s">
        <v>1188</v>
      </c>
      <c r="C115" s="1456"/>
      <c r="D115" s="1452"/>
      <c r="E115" s="1452"/>
      <c r="F115" s="1452"/>
      <c r="G115" s="1452"/>
      <c r="H115" s="1452"/>
      <c r="I115" s="1452"/>
      <c r="J115" s="1452"/>
      <c r="K115" s="1452"/>
      <c r="L115" s="1452"/>
      <c r="M115" s="1452"/>
      <c r="N115" s="3428"/>
      <c r="O115" s="3428"/>
      <c r="P115" s="3428"/>
      <c r="Q115" s="3428"/>
      <c r="R115" s="1456"/>
      <c r="S115" s="1456"/>
      <c r="T115" s="1456"/>
      <c r="U115" s="1456"/>
      <c r="V115" s="1456"/>
      <c r="W115" s="1452"/>
      <c r="X115" s="1452"/>
      <c r="Y115" s="1452"/>
      <c r="Z115" s="1452"/>
      <c r="AA115" s="1452"/>
      <c r="AB115" s="1452"/>
      <c r="AC115" s="1452"/>
      <c r="AD115" s="1452"/>
      <c r="AE115" s="1452"/>
    </row>
    <row r="116" spans="1:37">
      <c r="A116" s="1452"/>
      <c r="B116" s="1455" t="s">
        <v>1189</v>
      </c>
      <c r="C116" s="1456"/>
      <c r="D116" s="1452"/>
      <c r="E116" s="1452"/>
      <c r="F116" s="1452"/>
      <c r="G116" s="1452"/>
      <c r="H116" s="1452"/>
      <c r="I116" s="1452"/>
      <c r="J116" s="1452"/>
      <c r="K116" s="1452"/>
      <c r="L116" s="1452"/>
      <c r="M116" s="1452"/>
      <c r="N116" s="1452"/>
      <c r="O116" s="1452"/>
      <c r="P116" s="1452"/>
      <c r="Q116" s="1452"/>
      <c r="R116" s="3428"/>
      <c r="S116" s="3428"/>
      <c r="T116" s="3428"/>
      <c r="U116" s="3428"/>
      <c r="V116" s="1460"/>
      <c r="W116" s="1452"/>
      <c r="X116" s="1452"/>
      <c r="Y116" s="1452"/>
      <c r="Z116" s="1452"/>
      <c r="AA116" s="1452"/>
      <c r="AB116" s="1452"/>
      <c r="AC116" s="1452"/>
      <c r="AD116" s="1452"/>
      <c r="AE116" s="1452"/>
    </row>
    <row r="117" spans="1:37">
      <c r="A117" s="1452"/>
      <c r="B117" s="1455"/>
      <c r="C117" s="1456"/>
      <c r="D117" s="1452"/>
      <c r="E117" s="1452"/>
      <c r="F117" s="1452"/>
      <c r="G117" s="1452"/>
      <c r="H117" s="1452"/>
      <c r="I117" s="1452"/>
      <c r="J117" s="1452"/>
      <c r="K117" s="1452"/>
      <c r="L117" s="1452"/>
      <c r="M117" s="1452"/>
      <c r="N117" s="1452"/>
      <c r="O117" s="1452"/>
      <c r="P117" s="1452"/>
      <c r="Q117" s="1452"/>
      <c r="R117" s="1452"/>
      <c r="S117" s="1452"/>
      <c r="T117" s="1452"/>
      <c r="U117" s="1452"/>
      <c r="V117" s="1452"/>
      <c r="W117" s="1452"/>
      <c r="X117" s="1452"/>
      <c r="Y117" s="1452"/>
      <c r="Z117" s="1452"/>
      <c r="AA117" s="1452"/>
      <c r="AB117" s="1452"/>
      <c r="AC117" s="1452"/>
      <c r="AD117" s="1452"/>
      <c r="AE117" s="1452"/>
    </row>
    <row r="118" spans="1:37">
      <c r="A118" s="1461" t="s">
        <v>1190</v>
      </c>
      <c r="B118" s="1455"/>
      <c r="C118" s="1456"/>
      <c r="D118" s="1452"/>
      <c r="E118" s="1452"/>
      <c r="F118" s="1452"/>
      <c r="G118" s="1452"/>
      <c r="H118" s="1452"/>
      <c r="I118" s="1452"/>
      <c r="J118" s="1452"/>
      <c r="K118" s="1452"/>
      <c r="L118" s="1452"/>
      <c r="M118" s="1452"/>
      <c r="N118" s="1452"/>
      <c r="O118" s="1452"/>
      <c r="P118" s="1452"/>
      <c r="Q118" s="1452"/>
      <c r="R118" s="1452"/>
      <c r="S118" s="1452"/>
      <c r="T118" s="1452"/>
      <c r="U118" s="1452"/>
      <c r="V118" s="1452"/>
      <c r="W118" s="1452"/>
      <c r="X118" s="1461" t="s">
        <v>1191</v>
      </c>
      <c r="Y118" s="1452"/>
      <c r="Z118" s="1452"/>
      <c r="AA118" s="1452"/>
      <c r="AB118" s="1452"/>
      <c r="AC118" s="1452"/>
      <c r="AD118" s="1452"/>
      <c r="AE118" s="1452"/>
    </row>
    <row r="119" spans="1:37">
      <c r="A119" s="1461"/>
      <c r="B119" s="1614" t="s">
        <v>1354</v>
      </c>
      <c r="C119" s="1456"/>
      <c r="D119" s="1452"/>
      <c r="E119" s="1452"/>
      <c r="F119" s="1452"/>
      <c r="G119" s="1452"/>
      <c r="H119" s="1452"/>
      <c r="I119" s="1452"/>
      <c r="J119" s="1452"/>
      <c r="K119" s="1452"/>
      <c r="L119" s="1452"/>
      <c r="M119" s="1452"/>
      <c r="N119" s="3434"/>
      <c r="O119" s="3434"/>
      <c r="P119" s="3434"/>
      <c r="Q119" s="3434"/>
      <c r="R119" s="1452"/>
      <c r="S119" s="1452"/>
      <c r="T119" s="1452"/>
      <c r="U119" s="1452"/>
      <c r="V119" s="1452"/>
      <c r="W119" s="1452"/>
      <c r="X119" s="1461"/>
      <c r="Y119" s="1452"/>
      <c r="Z119" s="1452"/>
      <c r="AA119" s="1452"/>
      <c r="AB119" s="1452"/>
      <c r="AC119" s="1452"/>
      <c r="AD119" s="1452"/>
      <c r="AE119" s="1452"/>
    </row>
    <row r="120" spans="1:37">
      <c r="A120" s="1455"/>
      <c r="B120" s="1455" t="s">
        <v>1184</v>
      </c>
      <c r="C120" s="1456"/>
      <c r="D120" s="1452"/>
      <c r="E120" s="1452"/>
      <c r="F120" s="1452"/>
      <c r="G120" s="1452"/>
      <c r="H120" s="1452"/>
      <c r="I120" s="1452"/>
      <c r="J120" s="3434"/>
      <c r="K120" s="3434"/>
      <c r="L120" s="3434"/>
      <c r="M120" s="3434"/>
      <c r="N120" s="1462"/>
      <c r="O120" s="1452"/>
      <c r="P120" s="1452"/>
      <c r="Q120" s="1452"/>
      <c r="R120" s="1452"/>
      <c r="S120" s="1452"/>
      <c r="T120" s="1452"/>
      <c r="U120" s="1452"/>
      <c r="V120" s="1452"/>
      <c r="W120" s="1452"/>
      <c r="X120" s="1452"/>
      <c r="Y120" s="1455" t="s">
        <v>1192</v>
      </c>
      <c r="Z120" s="1452"/>
      <c r="AA120" s="1452"/>
      <c r="AB120" s="1452"/>
      <c r="AC120" s="1452"/>
      <c r="AD120" s="1452"/>
      <c r="AE120" s="1452"/>
      <c r="AF120" s="3433"/>
      <c r="AG120" s="3433"/>
      <c r="AH120" s="3433"/>
      <c r="AI120" s="3433"/>
      <c r="AK120" s="1444" t="str">
        <f>IF(AND(AF120&lt;=0),"A",IF(AND(AF120&lt;=50000000),"B",IF(AND(AF120&gt;50000000,AF120&lt;=250000000),"C",IF(AND(AF120&gt;250000000,AF120&lt;=500000000),"D","E"))))</f>
        <v>A</v>
      </c>
    </row>
    <row r="121" spans="1:37">
      <c r="A121" s="1455"/>
      <c r="B121" s="1455" t="s">
        <v>1185</v>
      </c>
      <c r="C121" s="1456"/>
      <c r="D121" s="1452"/>
      <c r="E121" s="1452"/>
      <c r="F121" s="1452"/>
      <c r="G121" s="1452"/>
      <c r="H121" s="1452"/>
      <c r="I121" s="1452"/>
      <c r="J121" s="3428"/>
      <c r="K121" s="3428"/>
      <c r="L121" s="3428"/>
      <c r="M121" s="3428"/>
      <c r="N121" s="1462"/>
      <c r="O121" s="1452"/>
      <c r="P121" s="1452"/>
      <c r="Q121" s="1452"/>
      <c r="R121" s="1452"/>
      <c r="S121" s="1452"/>
      <c r="T121" s="1452"/>
      <c r="U121" s="1452"/>
      <c r="V121" s="1452"/>
      <c r="W121" s="1452"/>
      <c r="X121" s="1452"/>
      <c r="Y121" s="1455" t="s">
        <v>1193</v>
      </c>
      <c r="Z121" s="1452"/>
      <c r="AA121" s="1452"/>
      <c r="AB121" s="1452"/>
      <c r="AC121" s="1452"/>
      <c r="AD121" s="1452"/>
      <c r="AE121" s="1452"/>
      <c r="AF121" s="3440"/>
      <c r="AG121" s="3440"/>
      <c r="AH121" s="3440"/>
      <c r="AI121" s="3440"/>
    </row>
    <row r="122" spans="1:37">
      <c r="A122" s="1452"/>
      <c r="B122" s="1459" t="s">
        <v>1186</v>
      </c>
      <c r="C122" s="1456"/>
      <c r="D122" s="1452"/>
      <c r="E122" s="1452"/>
      <c r="F122" s="1452"/>
      <c r="G122" s="1452"/>
      <c r="H122" s="1452"/>
      <c r="I122" s="1452"/>
      <c r="J122" s="1452"/>
      <c r="K122" s="1452"/>
      <c r="L122" s="1452"/>
      <c r="M122" s="1463"/>
      <c r="N122" s="3449"/>
      <c r="O122" s="3449"/>
      <c r="P122" s="3449"/>
      <c r="Q122" s="3449"/>
      <c r="R122" s="1452"/>
      <c r="S122" s="1452"/>
      <c r="T122" s="1452"/>
      <c r="U122" s="1452"/>
      <c r="V122" s="1452"/>
      <c r="W122" s="1452"/>
      <c r="X122" s="1452"/>
      <c r="Y122" s="1452" t="s">
        <v>1194</v>
      </c>
      <c r="Z122" s="1452"/>
      <c r="AA122" s="1452"/>
      <c r="AB122" s="1452"/>
      <c r="AC122" s="1452"/>
      <c r="AD122" s="1452"/>
      <c r="AE122" s="1452"/>
      <c r="AF122" s="3433"/>
      <c r="AG122" s="3433"/>
      <c r="AH122" s="3433"/>
      <c r="AI122" s="3433"/>
      <c r="AK122" s="1444" t="str">
        <f>IF(AND(AF122&lt;=0),"A",IF(AND(AF122&lt;=50000000),"B",IF(AND(AF122&gt;50000000,AF122&lt;=250000000),"C",IF(AND(AF122&gt;250000000,AF122&lt;=500000000),"D","E"))))</f>
        <v>A</v>
      </c>
    </row>
    <row r="123" spans="1:37">
      <c r="A123" s="1455"/>
      <c r="B123" s="1455" t="s">
        <v>1187</v>
      </c>
      <c r="C123" s="1456"/>
      <c r="D123" s="1452"/>
      <c r="E123" s="1452"/>
      <c r="F123" s="1452"/>
      <c r="G123" s="1452"/>
      <c r="H123" s="1452"/>
      <c r="I123" s="1452"/>
      <c r="J123" s="1452"/>
      <c r="K123" s="1452"/>
      <c r="L123" s="1452"/>
      <c r="M123" s="1452"/>
      <c r="N123" s="3434"/>
      <c r="O123" s="3434"/>
      <c r="P123" s="3434"/>
      <c r="Q123" s="3434"/>
      <c r="R123" s="1452"/>
      <c r="S123" s="1452"/>
      <c r="T123" s="1452"/>
      <c r="U123" s="1452"/>
      <c r="V123" s="1452"/>
      <c r="W123" s="1452"/>
      <c r="X123" s="1452"/>
      <c r="Y123" s="1452"/>
      <c r="Z123" s="1452"/>
      <c r="AA123" s="1452"/>
      <c r="AB123" s="1452"/>
      <c r="AC123" s="1452"/>
      <c r="AD123" s="1452"/>
      <c r="AE123" s="1452"/>
    </row>
    <row r="124" spans="1:37">
      <c r="A124" s="1455"/>
      <c r="B124" s="1455" t="s">
        <v>1188</v>
      </c>
      <c r="C124" s="1456"/>
      <c r="D124" s="1452"/>
      <c r="E124" s="1452"/>
      <c r="F124" s="1452"/>
      <c r="G124" s="1452"/>
      <c r="H124" s="1452"/>
      <c r="I124" s="1452"/>
      <c r="J124" s="1452"/>
      <c r="K124" s="1452"/>
      <c r="L124" s="1452"/>
      <c r="M124" s="1452"/>
      <c r="N124" s="3428"/>
      <c r="O124" s="3428"/>
      <c r="P124" s="3428"/>
      <c r="Q124" s="3428"/>
      <c r="R124" s="1452"/>
      <c r="S124" s="1452"/>
      <c r="T124" s="1452"/>
      <c r="U124" s="1452"/>
      <c r="V124" s="1452"/>
      <c r="W124" s="1452"/>
      <c r="X124" s="1452"/>
      <c r="Y124" s="1452"/>
      <c r="Z124" s="1452"/>
      <c r="AA124" s="1452"/>
      <c r="AB124" s="1452"/>
      <c r="AC124" s="1452"/>
      <c r="AD124" s="1452"/>
      <c r="AE124" s="1452"/>
    </row>
    <row r="125" spans="1:37">
      <c r="A125" s="1455"/>
      <c r="B125" s="1455" t="s">
        <v>1195</v>
      </c>
      <c r="C125" s="1456"/>
      <c r="D125" s="1452"/>
      <c r="E125" s="1452"/>
      <c r="F125" s="1452"/>
      <c r="G125" s="1452"/>
      <c r="H125" s="1452"/>
      <c r="I125" s="1452"/>
      <c r="J125" s="1452"/>
      <c r="K125" s="1452"/>
      <c r="L125" s="1452"/>
      <c r="M125" s="3434"/>
      <c r="N125" s="3434"/>
      <c r="O125" s="3434"/>
      <c r="P125" s="3434"/>
      <c r="Q125" s="3434"/>
      <c r="R125" s="3446"/>
      <c r="S125" s="3437"/>
      <c r="T125" s="3437"/>
      <c r="U125" s="3437"/>
      <c r="V125" s="1452"/>
      <c r="W125" s="1452"/>
      <c r="X125" s="1452"/>
      <c r="Y125" s="1452"/>
      <c r="Z125" s="1452"/>
      <c r="AA125" s="1452"/>
      <c r="AB125" s="1452"/>
      <c r="AC125" s="1452"/>
      <c r="AD125" s="1452"/>
      <c r="AE125" s="1452"/>
    </row>
    <row r="126" spans="1:37">
      <c r="A126" s="1455"/>
      <c r="B126" s="1455"/>
      <c r="C126" s="1456"/>
      <c r="D126" s="1452"/>
      <c r="E126" s="1452"/>
      <c r="F126" s="1452"/>
      <c r="G126" s="1452"/>
      <c r="H126" s="1452"/>
      <c r="I126" s="1452"/>
      <c r="J126" s="1452"/>
      <c r="K126" s="1452"/>
      <c r="L126" s="1452"/>
      <c r="M126" s="1452"/>
      <c r="N126" s="1452"/>
      <c r="O126" s="1452"/>
      <c r="P126" s="1452"/>
      <c r="Q126" s="1452"/>
      <c r="R126" s="1452"/>
      <c r="S126" s="1452"/>
      <c r="T126" s="1452"/>
      <c r="U126" s="1452"/>
      <c r="V126" s="1452"/>
      <c r="W126" s="1452"/>
      <c r="X126" s="1452"/>
      <c r="Y126" s="1452"/>
      <c r="Z126" s="1452"/>
      <c r="AA126" s="1452"/>
      <c r="AB126" s="1452"/>
      <c r="AC126" s="1452"/>
      <c r="AD126" s="1452"/>
      <c r="AE126" s="1452"/>
    </row>
    <row r="127" spans="1:37">
      <c r="A127" s="1454" t="s">
        <v>438</v>
      </c>
      <c r="B127" s="1455"/>
      <c r="C127" s="1456"/>
      <c r="D127" s="1452"/>
      <c r="E127" s="1452"/>
      <c r="F127" s="1452"/>
      <c r="G127" s="1452"/>
      <c r="H127" s="1452"/>
      <c r="I127" s="1452"/>
      <c r="J127" s="1452"/>
      <c r="K127" s="1452"/>
      <c r="L127" s="1452"/>
      <c r="M127" s="1452"/>
      <c r="N127" s="1452"/>
      <c r="O127" s="1452"/>
      <c r="P127" s="1452"/>
      <c r="Q127" s="1452"/>
      <c r="R127" s="3447"/>
      <c r="S127" s="3448"/>
      <c r="T127" s="3448"/>
      <c r="U127" s="3448"/>
      <c r="V127" s="1452"/>
      <c r="W127" s="1452"/>
      <c r="X127" s="1452"/>
      <c r="Y127" s="1452"/>
      <c r="Z127" s="1452"/>
      <c r="AA127" s="1452"/>
      <c r="AB127" s="1452"/>
      <c r="AC127" s="1452"/>
      <c r="AD127" s="1452"/>
      <c r="AE127" s="1452"/>
    </row>
    <row r="128" spans="1:37">
      <c r="A128" s="1454"/>
      <c r="B128" s="1455"/>
      <c r="C128" s="1456"/>
      <c r="D128" s="1452"/>
      <c r="E128" s="1452"/>
      <c r="F128" s="1452"/>
      <c r="G128" s="1452"/>
      <c r="H128" s="1452"/>
      <c r="I128" s="1452"/>
      <c r="J128" s="1452"/>
      <c r="K128" s="1452"/>
      <c r="L128" s="1452"/>
      <c r="M128" s="1452"/>
      <c r="N128" s="1452"/>
      <c r="O128" s="1452"/>
      <c r="P128" s="1452"/>
      <c r="Q128" s="1452"/>
      <c r="R128" s="1452"/>
      <c r="S128" s="1452"/>
      <c r="T128" s="1452"/>
      <c r="U128" s="1452"/>
      <c r="V128" s="1452"/>
      <c r="W128" s="1452"/>
      <c r="X128" s="1461" t="s">
        <v>1191</v>
      </c>
      <c r="Y128" s="1452"/>
      <c r="Z128" s="1452"/>
      <c r="AA128" s="1452"/>
      <c r="AB128" s="1452"/>
      <c r="AC128" s="1452"/>
      <c r="AD128" s="1452"/>
      <c r="AE128" s="1452"/>
    </row>
    <row r="129" spans="1:37">
      <c r="A129" s="1454" t="s">
        <v>1196</v>
      </c>
      <c r="B129" s="1455"/>
      <c r="C129" s="1456"/>
      <c r="D129" s="1452"/>
      <c r="E129" s="1452"/>
      <c r="F129" s="1452"/>
      <c r="G129" s="1452"/>
      <c r="H129" s="1452"/>
      <c r="I129" s="1452"/>
      <c r="J129" s="1452"/>
      <c r="K129" s="1452"/>
      <c r="L129" s="1452"/>
      <c r="M129" s="1452"/>
      <c r="N129" s="1452"/>
      <c r="O129" s="1452"/>
      <c r="P129" s="1452"/>
      <c r="Q129" s="1452"/>
      <c r="R129" s="3447"/>
      <c r="S129" s="3448"/>
      <c r="T129" s="3448"/>
      <c r="U129" s="3448"/>
      <c r="V129" s="1452"/>
      <c r="W129" s="1452"/>
      <c r="X129" s="1461"/>
      <c r="Y129" s="1455" t="s">
        <v>1397</v>
      </c>
      <c r="Z129" s="1452"/>
      <c r="AA129" s="1452"/>
      <c r="AB129" s="1452"/>
      <c r="AC129" s="1452"/>
      <c r="AD129" s="1452"/>
      <c r="AE129" s="1452"/>
      <c r="AF129" s="3433"/>
      <c r="AG129" s="3433"/>
      <c r="AH129" s="3433"/>
      <c r="AI129" s="3433"/>
    </row>
    <row r="130" spans="1:37">
      <c r="A130" s="1454"/>
      <c r="B130" s="1455"/>
      <c r="C130" s="1456"/>
      <c r="D130" s="1452"/>
      <c r="E130" s="1452"/>
      <c r="F130" s="1452"/>
      <c r="G130" s="1452"/>
      <c r="H130" s="1452"/>
      <c r="I130" s="1452"/>
      <c r="J130" s="1452"/>
      <c r="K130" s="1452"/>
      <c r="L130" s="1452"/>
      <c r="M130" s="1452"/>
      <c r="N130" s="1452"/>
      <c r="O130" s="1452"/>
      <c r="P130" s="1452"/>
      <c r="Q130" s="1452"/>
      <c r="R130" s="1452"/>
      <c r="S130" s="1452"/>
      <c r="T130" s="1452"/>
      <c r="U130" s="1452"/>
      <c r="V130" s="1452"/>
      <c r="W130" s="1452"/>
      <c r="X130" s="1452"/>
      <c r="Y130" s="1455" t="s">
        <v>1192</v>
      </c>
      <c r="Z130" s="1452"/>
      <c r="AA130" s="1452"/>
      <c r="AB130" s="1452"/>
      <c r="AC130" s="1452"/>
      <c r="AD130" s="1452"/>
      <c r="AE130" s="1452"/>
      <c r="AF130" s="3433"/>
      <c r="AG130" s="3433"/>
      <c r="AH130" s="3433"/>
      <c r="AI130" s="3433"/>
      <c r="AK130" s="1444" t="str">
        <f>IF(AND(AF130&lt;=0),"A",IF(AND(AF130&lt;=50000000),"B",IF(AND(AF130&gt;50000000,AF130&lt;=250000000),"C",IF(AND(AF130&gt;250000000,AF130&lt;=500000000),"D","E"))))</f>
        <v>A</v>
      </c>
    </row>
    <row r="131" spans="1:37">
      <c r="A131" s="1454" t="s">
        <v>1197</v>
      </c>
      <c r="B131" s="1455"/>
      <c r="C131" s="1456"/>
      <c r="D131" s="1452"/>
      <c r="E131" s="1452"/>
      <c r="F131" s="1452"/>
      <c r="G131" s="1452"/>
      <c r="H131" s="1452"/>
      <c r="I131" s="1452"/>
      <c r="J131" s="1464" t="s">
        <v>1226</v>
      </c>
      <c r="K131" s="1452"/>
      <c r="L131" s="1452"/>
      <c r="M131" s="1452"/>
      <c r="N131" s="1452"/>
      <c r="O131" s="1452"/>
      <c r="P131" s="1452"/>
      <c r="Q131" s="1452"/>
      <c r="R131" s="1452"/>
      <c r="S131" s="1452"/>
      <c r="T131" s="1452"/>
      <c r="U131" s="1452"/>
      <c r="V131" s="1452"/>
      <c r="W131" s="1452"/>
      <c r="X131" s="1452"/>
      <c r="Y131" s="1455" t="s">
        <v>1193</v>
      </c>
      <c r="Z131" s="1452"/>
      <c r="AA131" s="1452"/>
      <c r="AB131" s="1452"/>
      <c r="AC131" s="1452"/>
      <c r="AD131" s="1452"/>
      <c r="AE131" s="1452"/>
      <c r="AF131" s="3440"/>
      <c r="AG131" s="3440"/>
      <c r="AH131" s="3440"/>
      <c r="AI131" s="3440"/>
    </row>
    <row r="132" spans="1:37">
      <c r="A132" s="1454"/>
      <c r="B132" s="1455" t="s">
        <v>1192</v>
      </c>
      <c r="C132" s="1456"/>
      <c r="D132" s="1452"/>
      <c r="E132" s="1452"/>
      <c r="F132" s="1452"/>
      <c r="G132" s="1452"/>
      <c r="H132" s="1452"/>
      <c r="I132" s="1452"/>
      <c r="J132" s="3439"/>
      <c r="K132" s="3439"/>
      <c r="L132" s="3439"/>
      <c r="M132" s="3439"/>
      <c r="N132" s="1452"/>
      <c r="O132" s="1452"/>
      <c r="P132" s="1452"/>
      <c r="Q132" s="1452"/>
      <c r="R132" s="1452"/>
      <c r="S132" s="1452"/>
      <c r="T132" s="1452"/>
      <c r="U132" s="1452"/>
      <c r="V132" s="1452"/>
      <c r="W132" s="1452"/>
      <c r="X132" s="1452"/>
      <c r="Y132" s="1452" t="s">
        <v>1194</v>
      </c>
      <c r="Z132" s="1452"/>
      <c r="AA132" s="1452"/>
      <c r="AB132" s="1452"/>
      <c r="AC132" s="1452"/>
      <c r="AD132" s="1452"/>
      <c r="AE132" s="1452"/>
      <c r="AF132" s="3433"/>
      <c r="AG132" s="3433"/>
      <c r="AH132" s="3433"/>
      <c r="AI132" s="3433"/>
      <c r="AK132" s="1444" t="str">
        <f>IF(AND(AF132&lt;=0),"A",IF(AND(AF132&lt;=50000000),"B",IF(AND(AF132&gt;50000000,AF132&lt;=250000000),"C",IF(AND(AF132&gt;250000000,AF132&lt;=500000000),"D","E"))))</f>
        <v>A</v>
      </c>
    </row>
    <row r="133" spans="1:37">
      <c r="A133" s="1454"/>
      <c r="B133" s="1455" t="s">
        <v>1193</v>
      </c>
      <c r="C133" s="1456"/>
      <c r="D133" s="1452"/>
      <c r="E133" s="1452"/>
      <c r="F133" s="1452"/>
      <c r="G133" s="1452"/>
      <c r="H133" s="1452"/>
      <c r="I133" s="1452"/>
      <c r="J133" s="3435"/>
      <c r="K133" s="3435"/>
      <c r="L133" s="3435"/>
      <c r="M133" s="3435"/>
      <c r="N133" s="1452"/>
      <c r="O133" s="1452"/>
      <c r="P133" s="1452"/>
      <c r="Q133" s="1452"/>
      <c r="R133" s="1452"/>
      <c r="S133" s="1452"/>
      <c r="T133" s="1452"/>
      <c r="U133" s="1452"/>
      <c r="V133" s="1452"/>
      <c r="W133" s="1452"/>
      <c r="X133" s="1452"/>
      <c r="Y133" s="1455" t="s">
        <v>1187</v>
      </c>
      <c r="Z133" s="1452"/>
      <c r="AA133" s="1452"/>
      <c r="AB133" s="1452"/>
      <c r="AC133" s="1452"/>
      <c r="AD133" s="1452"/>
      <c r="AE133" s="1452"/>
      <c r="AF133" s="3433"/>
      <c r="AG133" s="3433"/>
      <c r="AH133" s="3433"/>
      <c r="AI133" s="3433"/>
    </row>
    <row r="134" spans="1:37">
      <c r="A134" s="1455"/>
      <c r="B134" s="1455" t="s">
        <v>1198</v>
      </c>
      <c r="C134" s="1456"/>
      <c r="D134" s="1452"/>
      <c r="E134" s="1452"/>
      <c r="F134" s="1452"/>
      <c r="G134" s="1452"/>
      <c r="H134" s="1452"/>
      <c r="I134" s="1452"/>
      <c r="J134" s="1452"/>
      <c r="K134" s="1452"/>
      <c r="L134" s="1452"/>
      <c r="M134" s="1452"/>
      <c r="N134" s="3439"/>
      <c r="O134" s="3439"/>
      <c r="P134" s="3439"/>
      <c r="Q134" s="3439"/>
      <c r="R134" s="1452"/>
      <c r="S134" s="1452"/>
      <c r="T134" s="1452"/>
      <c r="U134" s="1452"/>
      <c r="V134" s="1452"/>
      <c r="W134" s="1452"/>
      <c r="X134" s="1452"/>
      <c r="Y134" s="1455" t="s">
        <v>1188</v>
      </c>
      <c r="Z134" s="1452"/>
      <c r="AA134" s="1452"/>
      <c r="AB134" s="1452"/>
      <c r="AC134" s="1452"/>
      <c r="AD134" s="1452"/>
      <c r="AE134" s="1452"/>
      <c r="AF134" s="3440"/>
      <c r="AG134" s="3440"/>
      <c r="AH134" s="3440"/>
      <c r="AI134" s="3440"/>
    </row>
    <row r="135" spans="1:37">
      <c r="A135" s="1454"/>
      <c r="B135" s="1452" t="s">
        <v>1199</v>
      </c>
      <c r="C135" s="1456"/>
      <c r="D135" s="1452"/>
      <c r="E135" s="1452"/>
      <c r="F135" s="1452"/>
      <c r="G135" s="1452"/>
      <c r="H135" s="1452"/>
      <c r="I135" s="1452"/>
      <c r="J135" s="1452"/>
      <c r="K135" s="1452"/>
      <c r="L135" s="1452"/>
      <c r="M135" s="1452"/>
      <c r="N135" s="3435"/>
      <c r="O135" s="3435"/>
      <c r="P135" s="3435"/>
      <c r="Q135" s="3435"/>
      <c r="R135" s="1452"/>
      <c r="S135" s="1452"/>
      <c r="T135" s="1452"/>
      <c r="U135" s="1452"/>
      <c r="V135" s="1452"/>
      <c r="W135" s="1452"/>
      <c r="X135" s="1452"/>
      <c r="Y135" s="1455" t="s">
        <v>1215</v>
      </c>
      <c r="Z135" s="1452"/>
      <c r="AA135" s="1452"/>
      <c r="AB135" s="1452"/>
      <c r="AC135" s="1452"/>
      <c r="AD135" s="1452"/>
      <c r="AE135" s="1452"/>
      <c r="AF135" s="3433"/>
      <c r="AG135" s="3433"/>
      <c r="AH135" s="3433"/>
      <c r="AI135" s="3433"/>
      <c r="AK135" s="1444" t="str">
        <f>IF(AND(AF135&lt;=0),"A",IF(AND(AF135&lt;=50000000),"B",IF(AND(AF135&gt;50000000,AF135&lt;=250000000),"C",IF(AND(AF135&gt;250000000,AF135&lt;=500000000),"D","E"))))</f>
        <v>A</v>
      </c>
    </row>
    <row r="136" spans="1:37">
      <c r="A136" s="1454"/>
      <c r="B136" s="1452" t="s">
        <v>1200</v>
      </c>
      <c r="C136" s="1456"/>
      <c r="D136" s="1452"/>
      <c r="E136" s="1452"/>
      <c r="F136" s="1452"/>
      <c r="G136" s="1452"/>
      <c r="H136" s="1452"/>
      <c r="I136" s="1452"/>
      <c r="J136" s="1452"/>
      <c r="K136" s="1452"/>
      <c r="L136" s="1452"/>
      <c r="M136" s="1452"/>
      <c r="N136" s="1452"/>
      <c r="O136" s="1452"/>
      <c r="P136" s="1452"/>
      <c r="Q136" s="1452"/>
      <c r="R136" s="3445"/>
      <c r="S136" s="3435"/>
      <c r="T136" s="3435"/>
      <c r="U136" s="3435"/>
      <c r="V136" s="1452"/>
      <c r="W136" s="1452"/>
      <c r="X136" s="1452"/>
      <c r="Y136" s="1455" t="s">
        <v>1201</v>
      </c>
      <c r="Z136" s="1452"/>
      <c r="AA136" s="1452"/>
      <c r="AB136" s="1452"/>
      <c r="AC136" s="1452"/>
      <c r="AD136" s="1452"/>
      <c r="AE136" s="1452"/>
      <c r="AF136" s="3433"/>
      <c r="AG136" s="3433"/>
      <c r="AH136" s="3433"/>
      <c r="AI136" s="3433"/>
      <c r="AK136" s="1444" t="str">
        <f>IF(AND(AF136&lt;=0),"A",IF(AND(AF136&lt;=50000000),"B",IF(AND(AF136&gt;50000000,AF136&lt;=250000000),"C",IF(AND(AF136&gt;250000000,AF136&lt;=500000000),"D","E"))))</f>
        <v>A</v>
      </c>
    </row>
    <row r="137" spans="1:37">
      <c r="A137" s="1454"/>
      <c r="B137" s="1452"/>
      <c r="C137" s="1456"/>
      <c r="D137" s="1452"/>
      <c r="E137" s="1452"/>
      <c r="F137" s="1452"/>
      <c r="G137" s="1452"/>
      <c r="H137" s="1452"/>
      <c r="I137" s="1452"/>
      <c r="J137" s="1452"/>
      <c r="K137" s="1452"/>
      <c r="L137" s="1452"/>
      <c r="M137" s="1452"/>
      <c r="N137" s="1452"/>
      <c r="O137" s="1452"/>
      <c r="P137" s="1452"/>
      <c r="Q137" s="1452"/>
      <c r="R137" s="1452"/>
      <c r="S137" s="1452"/>
      <c r="T137" s="1452"/>
      <c r="U137" s="1452"/>
      <c r="V137" s="1452"/>
      <c r="W137" s="1452"/>
      <c r="X137" s="1452"/>
      <c r="Y137" s="1452"/>
      <c r="Z137" s="1452"/>
      <c r="AA137" s="1452"/>
      <c r="AB137" s="1452"/>
      <c r="AC137" s="1452"/>
      <c r="AD137" s="1452"/>
      <c r="AE137" s="1452"/>
    </row>
    <row r="138" spans="1:37">
      <c r="A138" s="1454" t="s">
        <v>1202</v>
      </c>
      <c r="B138" s="1455"/>
      <c r="C138" s="1456"/>
      <c r="D138" s="1452"/>
      <c r="E138" s="1452"/>
      <c r="F138" s="1452"/>
      <c r="G138" s="1452"/>
      <c r="H138" s="1452"/>
      <c r="I138" s="1452"/>
      <c r="J138" s="1452"/>
      <c r="K138" s="1452"/>
      <c r="L138" s="1452"/>
      <c r="M138" s="1452"/>
      <c r="N138" s="1452"/>
      <c r="O138" s="1452"/>
      <c r="P138" s="1452"/>
      <c r="Q138" s="1452"/>
      <c r="R138" s="1452"/>
      <c r="S138" s="1452"/>
      <c r="T138" s="1452"/>
      <c r="U138" s="1452"/>
      <c r="V138" s="1452"/>
      <c r="W138" s="1452"/>
      <c r="X138" s="1461" t="s">
        <v>1227</v>
      </c>
      <c r="Y138" s="1452"/>
      <c r="Z138" s="1452"/>
      <c r="AA138" s="1452"/>
      <c r="AB138" s="1452"/>
      <c r="AC138" s="1452"/>
      <c r="AD138" s="1452"/>
      <c r="AE138" s="1452"/>
      <c r="AF138" s="3435"/>
      <c r="AG138" s="3435"/>
      <c r="AH138" s="3435"/>
      <c r="AI138" s="3435"/>
    </row>
    <row r="139" spans="1:37">
      <c r="A139" s="1455"/>
      <c r="B139" s="1455" t="s">
        <v>1192</v>
      </c>
      <c r="C139" s="1456"/>
      <c r="D139" s="1452"/>
      <c r="E139" s="1452"/>
      <c r="F139" s="1452"/>
      <c r="G139" s="1452"/>
      <c r="H139" s="1452"/>
      <c r="I139" s="1452"/>
      <c r="J139" s="3444"/>
      <c r="K139" s="3444"/>
      <c r="L139" s="3444"/>
      <c r="M139" s="3444"/>
      <c r="N139" s="1452"/>
      <c r="O139" s="1452"/>
      <c r="P139" s="1452"/>
      <c r="Q139" s="1452"/>
      <c r="R139" s="1452"/>
      <c r="S139" s="1452"/>
      <c r="T139" s="1452"/>
      <c r="U139" s="1452"/>
      <c r="V139" s="1452"/>
      <c r="W139" s="1452"/>
      <c r="X139" s="1452"/>
      <c r="Y139" s="1452"/>
      <c r="Z139" s="1452"/>
      <c r="AA139" s="1452"/>
      <c r="AB139" s="1452"/>
      <c r="AC139" s="1452"/>
      <c r="AD139" s="1452"/>
      <c r="AE139" s="1452"/>
    </row>
    <row r="140" spans="1:37">
      <c r="A140" s="1455"/>
      <c r="B140" s="1455" t="s">
        <v>1193</v>
      </c>
      <c r="C140" s="1456"/>
      <c r="D140" s="1452"/>
      <c r="E140" s="1452"/>
      <c r="F140" s="1452"/>
      <c r="G140" s="1452"/>
      <c r="H140" s="1452"/>
      <c r="I140" s="1452"/>
      <c r="J140" s="3438"/>
      <c r="K140" s="3438"/>
      <c r="L140" s="3438"/>
      <c r="M140" s="3438"/>
      <c r="N140" s="1452"/>
      <c r="O140" s="1452"/>
      <c r="P140" s="1452"/>
      <c r="Q140" s="1452"/>
      <c r="R140" s="1452"/>
      <c r="S140" s="1452"/>
      <c r="T140" s="1452"/>
      <c r="U140" s="1452"/>
      <c r="V140" s="1452"/>
      <c r="W140" s="1452"/>
      <c r="X140" s="1452"/>
      <c r="Y140" s="1452"/>
      <c r="Z140" s="1452"/>
      <c r="AA140" s="1452"/>
      <c r="AB140" s="1452"/>
      <c r="AC140" s="1452"/>
      <c r="AD140" s="1452"/>
      <c r="AE140" s="1452"/>
    </row>
    <row r="141" spans="1:37">
      <c r="A141" s="1455"/>
      <c r="B141" s="1455" t="s">
        <v>1198</v>
      </c>
      <c r="C141" s="1456"/>
      <c r="D141" s="1452"/>
      <c r="E141" s="1452"/>
      <c r="F141" s="1452"/>
      <c r="G141" s="1452"/>
      <c r="H141" s="1452"/>
      <c r="I141" s="1452"/>
      <c r="J141" s="1463"/>
      <c r="K141" s="1463"/>
      <c r="L141" s="1463"/>
      <c r="M141" s="1463"/>
      <c r="N141" s="3439"/>
      <c r="O141" s="3439"/>
      <c r="P141" s="3439"/>
      <c r="Q141" s="3439"/>
      <c r="R141" s="1452"/>
      <c r="S141" s="1452"/>
      <c r="T141" s="1452"/>
      <c r="U141" s="1452"/>
      <c r="V141" s="1452"/>
      <c r="W141" s="1452"/>
      <c r="X141" s="1461" t="s">
        <v>1203</v>
      </c>
      <c r="Y141" s="1452"/>
      <c r="Z141" s="1452"/>
      <c r="AA141" s="1452"/>
      <c r="AB141" s="1452"/>
      <c r="AC141" s="1452"/>
      <c r="AD141" s="1452"/>
      <c r="AE141" s="1452"/>
    </row>
    <row r="142" spans="1:37">
      <c r="A142" s="1455"/>
      <c r="B142" s="1452" t="s">
        <v>1199</v>
      </c>
      <c r="C142" s="1456"/>
      <c r="D142" s="1452"/>
      <c r="E142" s="1452"/>
      <c r="F142" s="1452"/>
      <c r="G142" s="1452"/>
      <c r="H142" s="1452"/>
      <c r="I142" s="1452"/>
      <c r="J142" s="1452"/>
      <c r="K142" s="1452"/>
      <c r="L142" s="1452"/>
      <c r="M142" s="1452"/>
      <c r="N142" s="3432"/>
      <c r="O142" s="3432"/>
      <c r="P142" s="3432"/>
      <c r="Q142" s="3432"/>
      <c r="R142" s="1452"/>
      <c r="S142" s="1452"/>
      <c r="T142" s="1452"/>
      <c r="U142" s="1452"/>
      <c r="V142" s="1452"/>
      <c r="W142" s="1452"/>
      <c r="X142" s="1452"/>
      <c r="Y142" s="1452" t="s">
        <v>1192</v>
      </c>
      <c r="Z142" s="1452"/>
      <c r="AA142" s="1452"/>
      <c r="AB142" s="1452"/>
      <c r="AC142" s="1452"/>
      <c r="AD142" s="1452"/>
      <c r="AE142" s="1452"/>
      <c r="AF142" s="3433"/>
      <c r="AG142" s="3433"/>
      <c r="AH142" s="3433"/>
      <c r="AI142" s="3433"/>
    </row>
    <row r="143" spans="1:37" ht="13.5" thickBot="1">
      <c r="A143" s="1455"/>
      <c r="B143" s="1454" t="s">
        <v>1204</v>
      </c>
      <c r="C143" s="1456"/>
      <c r="D143" s="1452"/>
      <c r="E143" s="1452"/>
      <c r="F143" s="1452"/>
      <c r="G143" s="1452"/>
      <c r="H143" s="1452"/>
      <c r="I143" s="1452"/>
      <c r="J143" s="1452"/>
      <c r="K143" s="1452"/>
      <c r="L143" s="1452"/>
      <c r="M143" s="1452"/>
      <c r="N143" s="1452"/>
      <c r="O143" s="1452"/>
      <c r="P143" s="1452"/>
      <c r="Q143" s="1452"/>
      <c r="R143" s="3431"/>
      <c r="S143" s="3431"/>
      <c r="T143" s="3431"/>
      <c r="U143" s="3431"/>
      <c r="V143" s="1452"/>
      <c r="W143" s="1452"/>
      <c r="X143" s="1452"/>
      <c r="Y143" s="1452" t="s">
        <v>1194</v>
      </c>
      <c r="Z143" s="1452"/>
      <c r="AA143" s="1452"/>
      <c r="AB143" s="1452"/>
      <c r="AC143" s="1452"/>
      <c r="AD143" s="1452"/>
      <c r="AE143" s="1452"/>
      <c r="AF143" s="3433"/>
      <c r="AG143" s="3433"/>
      <c r="AH143" s="3433"/>
      <c r="AI143" s="3433"/>
    </row>
    <row r="144" spans="1:37" ht="13.5" thickTop="1">
      <c r="A144" s="1455"/>
      <c r="B144" s="1455"/>
      <c r="C144" s="1456"/>
      <c r="D144" s="1452"/>
      <c r="E144" s="1452"/>
      <c r="F144" s="1452"/>
      <c r="G144" s="1452"/>
      <c r="H144" s="1452"/>
      <c r="I144" s="1452"/>
      <c r="J144" s="1452"/>
      <c r="K144" s="1452"/>
      <c r="L144" s="1452"/>
      <c r="M144" s="1452"/>
      <c r="N144" s="1452"/>
      <c r="O144" s="1452"/>
      <c r="P144" s="1452"/>
      <c r="Q144" s="1452"/>
      <c r="R144" s="1452"/>
      <c r="S144" s="1452"/>
      <c r="T144" s="1452"/>
      <c r="U144" s="1452"/>
      <c r="V144" s="1452"/>
      <c r="W144" s="1452"/>
      <c r="X144" s="1452"/>
      <c r="Y144" s="1452" t="s">
        <v>1205</v>
      </c>
      <c r="Z144" s="1452"/>
      <c r="AA144" s="1452"/>
      <c r="AB144" s="1452"/>
      <c r="AC144" s="1452"/>
      <c r="AD144" s="1452"/>
      <c r="AE144" s="1452"/>
      <c r="AF144" s="3433"/>
      <c r="AG144" s="3433"/>
      <c r="AH144" s="3433"/>
      <c r="AI144" s="3433"/>
    </row>
    <row r="145" spans="1:35">
      <c r="A145" s="1455"/>
      <c r="B145" s="1455"/>
      <c r="C145" s="1456"/>
      <c r="D145" s="1452"/>
      <c r="E145" s="1452"/>
      <c r="F145" s="1452"/>
      <c r="G145" s="1452"/>
      <c r="H145" s="1452"/>
      <c r="I145" s="1452"/>
      <c r="J145" s="1452"/>
      <c r="K145" s="1452"/>
      <c r="L145" s="1452"/>
      <c r="M145" s="1452"/>
      <c r="N145" s="1452"/>
      <c r="O145" s="1452"/>
      <c r="P145" s="1452"/>
      <c r="Q145" s="1452"/>
      <c r="R145" s="1452"/>
      <c r="S145" s="1452"/>
      <c r="T145" s="1452"/>
      <c r="U145" s="1452"/>
      <c r="V145" s="1452"/>
      <c r="W145" s="1452"/>
      <c r="X145" s="1452"/>
      <c r="Y145" s="1452"/>
      <c r="Z145" s="1452"/>
      <c r="AA145" s="1452"/>
      <c r="AB145" s="1452"/>
      <c r="AC145" s="1452"/>
      <c r="AD145" s="1452"/>
      <c r="AE145" s="1452"/>
    </row>
    <row r="146" spans="1:35">
      <c r="A146" s="1457"/>
      <c r="B146" s="1455"/>
      <c r="C146" s="1456"/>
      <c r="D146" s="1452"/>
      <c r="E146" s="1452"/>
      <c r="F146" s="1452"/>
      <c r="G146" s="1452"/>
      <c r="H146" s="1452"/>
      <c r="I146" s="1452"/>
      <c r="J146" s="1452"/>
      <c r="K146" s="1452"/>
      <c r="L146" s="1452"/>
      <c r="M146" s="1452"/>
      <c r="N146" s="1452"/>
      <c r="O146" s="1452"/>
      <c r="P146" s="1452"/>
      <c r="Q146" s="1452"/>
      <c r="R146" s="1452"/>
      <c r="S146" s="1452"/>
      <c r="T146" s="1452"/>
      <c r="U146" s="1452"/>
      <c r="V146" s="1452"/>
      <c r="W146" s="1452"/>
      <c r="X146" s="1452"/>
      <c r="Y146" s="1452"/>
      <c r="Z146" s="1452"/>
      <c r="AA146" s="1452"/>
      <c r="AB146" s="1452"/>
      <c r="AC146" s="1452"/>
      <c r="AD146" s="1452"/>
      <c r="AE146" s="1452"/>
    </row>
    <row r="147" spans="1:35" ht="20.25">
      <c r="A147" s="1453" t="s">
        <v>1206</v>
      </c>
      <c r="B147" s="1455"/>
      <c r="C147" s="1456"/>
      <c r="D147" s="1452"/>
      <c r="E147" s="1452"/>
      <c r="F147" s="1452"/>
      <c r="G147" s="1452"/>
      <c r="H147" s="1452"/>
      <c r="I147" s="1452"/>
      <c r="J147" s="1452"/>
      <c r="K147" s="1452"/>
      <c r="L147" s="1452"/>
      <c r="M147" s="1452"/>
      <c r="N147" s="1452"/>
      <c r="O147" s="1452"/>
      <c r="P147" s="1452"/>
      <c r="Q147" s="1452"/>
      <c r="R147" s="1452"/>
      <c r="S147" s="1452"/>
      <c r="T147" s="1452"/>
      <c r="U147" s="1452"/>
      <c r="V147" s="1452"/>
      <c r="W147" s="1452"/>
      <c r="X147" s="1452"/>
      <c r="Y147" s="1452"/>
      <c r="Z147" s="1452"/>
      <c r="AA147" s="1452"/>
      <c r="AB147" s="1452"/>
      <c r="AC147" s="1452"/>
      <c r="AD147" s="1452"/>
      <c r="AE147" s="1452"/>
    </row>
    <row r="148" spans="1:35">
      <c r="A148" s="1455"/>
      <c r="B148" s="1455"/>
      <c r="C148" s="1456"/>
      <c r="D148" s="1452"/>
      <c r="E148" s="1452"/>
      <c r="F148" s="1452"/>
      <c r="G148" s="1452"/>
      <c r="H148" s="1452"/>
      <c r="I148" s="1452"/>
      <c r="J148" s="1452"/>
      <c r="K148" s="1452"/>
      <c r="L148" s="1452"/>
      <c r="M148" s="1452"/>
      <c r="N148" s="1452"/>
      <c r="O148" s="1452"/>
      <c r="P148" s="1452"/>
      <c r="Q148" s="1452"/>
      <c r="R148" s="1452"/>
      <c r="S148" s="1452"/>
      <c r="T148" s="1452"/>
      <c r="U148" s="1452"/>
      <c r="V148" s="1452"/>
      <c r="W148" s="1452"/>
      <c r="X148" s="1452"/>
      <c r="Y148" s="1452"/>
      <c r="Z148" s="1452"/>
      <c r="AA148" s="1452"/>
      <c r="AB148" s="1452"/>
      <c r="AC148" s="1452"/>
      <c r="AD148" s="1452"/>
      <c r="AE148" s="1452"/>
    </row>
    <row r="149" spans="1:35">
      <c r="A149" s="1454" t="s">
        <v>1207</v>
      </c>
      <c r="B149" s="1452"/>
      <c r="C149" s="1452"/>
      <c r="D149" s="1452"/>
      <c r="E149" s="1452"/>
      <c r="F149" s="1452"/>
      <c r="G149" s="1452"/>
      <c r="H149" s="1452"/>
      <c r="I149" s="1465"/>
      <c r="J149" s="1452"/>
      <c r="K149" s="1452"/>
      <c r="L149" s="1452"/>
      <c r="M149" s="1452"/>
      <c r="N149" s="1452"/>
      <c r="O149" s="1452"/>
      <c r="P149" s="1452"/>
      <c r="Q149" s="1452"/>
      <c r="R149" s="1452"/>
      <c r="S149" s="1452"/>
      <c r="T149" s="1452"/>
      <c r="U149" s="1452"/>
      <c r="V149" s="1452"/>
      <c r="W149" s="1452"/>
      <c r="X149" s="1452"/>
      <c r="Y149" s="1452"/>
      <c r="Z149" s="1452"/>
      <c r="AA149" s="1452"/>
      <c r="AB149" s="1452"/>
      <c r="AC149" s="1452"/>
      <c r="AD149" s="1452"/>
      <c r="AE149" s="1452"/>
    </row>
    <row r="150" spans="1:35">
      <c r="A150" s="1454"/>
      <c r="B150" s="1452"/>
      <c r="C150" s="1452"/>
      <c r="D150" s="1452"/>
      <c r="E150" s="1452"/>
      <c r="F150" s="1452"/>
      <c r="G150" s="1452"/>
      <c r="H150" s="1452"/>
      <c r="I150" s="1452"/>
      <c r="J150" s="3443"/>
      <c r="K150" s="3443"/>
      <c r="L150" s="3443"/>
      <c r="M150" s="3443"/>
      <c r="N150" s="3443"/>
      <c r="O150" s="3443"/>
      <c r="P150" s="3443"/>
      <c r="Q150" s="3443"/>
      <c r="R150" s="3443"/>
      <c r="S150" s="3443"/>
      <c r="T150" s="3443"/>
      <c r="U150" s="3443"/>
      <c r="V150" s="3443"/>
      <c r="W150" s="3443"/>
      <c r="X150" s="3443"/>
      <c r="Y150" s="3443"/>
      <c r="Z150" s="3443"/>
      <c r="AA150" s="3443"/>
      <c r="AB150" s="3443"/>
      <c r="AC150" s="1452"/>
      <c r="AD150" s="1452"/>
      <c r="AE150" s="1452"/>
    </row>
    <row r="151" spans="1:35">
      <c r="A151" s="1454"/>
      <c r="B151" s="1455" t="s">
        <v>1397</v>
      </c>
      <c r="C151" s="1452"/>
      <c r="D151" s="1452"/>
      <c r="E151" s="1452"/>
      <c r="F151" s="1452"/>
      <c r="G151" s="1452"/>
      <c r="H151" s="1452"/>
      <c r="I151" s="1452"/>
      <c r="J151" s="3434"/>
      <c r="K151" s="3434"/>
      <c r="L151" s="3434"/>
      <c r="M151" s="3434"/>
      <c r="N151" s="1452"/>
      <c r="O151" s="1452"/>
      <c r="P151" s="1452"/>
      <c r="Q151" s="1452"/>
      <c r="R151" s="1682"/>
      <c r="S151" s="1682"/>
      <c r="T151" s="1682"/>
      <c r="U151" s="1682"/>
      <c r="V151" s="1682"/>
      <c r="W151" s="1682"/>
      <c r="X151" s="1682"/>
      <c r="Y151" s="1682"/>
      <c r="Z151" s="1682"/>
      <c r="AA151" s="1682"/>
      <c r="AB151" s="1682"/>
      <c r="AC151" s="1452"/>
      <c r="AD151" s="1452"/>
      <c r="AE151" s="1452"/>
    </row>
    <row r="152" spans="1:35">
      <c r="A152" s="1454"/>
      <c r="B152" s="1455" t="s">
        <v>1394</v>
      </c>
      <c r="C152" s="1452"/>
      <c r="D152" s="1452"/>
      <c r="E152" s="1452"/>
      <c r="F152" s="1452"/>
      <c r="G152" s="1452"/>
      <c r="H152" s="1452"/>
      <c r="I152" s="1452"/>
      <c r="J152" s="3428"/>
      <c r="K152" s="3428"/>
      <c r="L152" s="3428"/>
      <c r="M152" s="3428"/>
      <c r="N152" s="1452"/>
      <c r="O152" s="1452"/>
      <c r="P152" s="1452"/>
      <c r="Q152" s="1452"/>
      <c r="R152" s="1682"/>
      <c r="S152" s="1682"/>
      <c r="T152" s="1682"/>
      <c r="U152" s="1682"/>
      <c r="V152" s="1682"/>
      <c r="W152" s="1682"/>
      <c r="X152" s="1682"/>
      <c r="Y152" s="1682"/>
      <c r="Z152" s="1682"/>
      <c r="AA152" s="1682"/>
      <c r="AB152" s="1682"/>
      <c r="AC152" s="1452"/>
      <c r="AD152" s="1452"/>
      <c r="AE152" s="1452"/>
    </row>
    <row r="153" spans="1:35">
      <c r="A153" s="1454"/>
      <c r="B153" s="1455" t="s">
        <v>1395</v>
      </c>
      <c r="C153" s="1452"/>
      <c r="D153" s="1452"/>
      <c r="E153" s="1452"/>
      <c r="F153" s="1452"/>
      <c r="G153" s="1452"/>
      <c r="H153" s="1452"/>
      <c r="I153" s="1452"/>
      <c r="J153" s="1681"/>
      <c r="K153" s="1681"/>
      <c r="L153" s="1681"/>
      <c r="M153" s="1681"/>
      <c r="N153" s="3434"/>
      <c r="O153" s="3434"/>
      <c r="P153" s="3434"/>
      <c r="Q153" s="3434"/>
      <c r="R153" s="1682"/>
      <c r="S153" s="1682"/>
      <c r="T153" s="1682"/>
      <c r="U153" s="1682"/>
      <c r="V153" s="1682"/>
      <c r="W153" s="1682"/>
      <c r="X153" s="1682"/>
      <c r="Y153" s="1682"/>
      <c r="Z153" s="1682"/>
      <c r="AA153" s="1682"/>
      <c r="AB153" s="1682"/>
      <c r="AC153" s="1452"/>
      <c r="AD153" s="1452"/>
      <c r="AE153" s="1452"/>
    </row>
    <row r="154" spans="1:35">
      <c r="A154" s="1454"/>
      <c r="B154" s="1452"/>
      <c r="C154" s="1452"/>
      <c r="D154" s="1452"/>
      <c r="E154" s="1452"/>
      <c r="F154" s="1452"/>
      <c r="G154" s="1452"/>
      <c r="H154" s="1452"/>
      <c r="I154" s="1452"/>
      <c r="J154" s="1682"/>
      <c r="K154" s="1682"/>
      <c r="L154" s="1682"/>
      <c r="M154" s="1682"/>
      <c r="N154" s="1682"/>
      <c r="O154" s="1682"/>
      <c r="P154" s="1682"/>
      <c r="Q154" s="1682"/>
      <c r="R154" s="1682"/>
      <c r="S154" s="1682"/>
      <c r="T154" s="1682"/>
      <c r="U154" s="1682"/>
      <c r="V154" s="1682"/>
      <c r="W154" s="1682"/>
      <c r="X154" s="1682"/>
      <c r="Y154" s="1682"/>
      <c r="Z154" s="1682"/>
      <c r="AA154" s="1682"/>
      <c r="AB154" s="1682"/>
      <c r="AC154" s="1452"/>
      <c r="AD154" s="1452"/>
      <c r="AE154" s="1452"/>
    </row>
    <row r="155" spans="1:35">
      <c r="A155" s="1452"/>
      <c r="B155" s="1455" t="s">
        <v>1208</v>
      </c>
      <c r="C155" s="1452"/>
      <c r="D155" s="1452"/>
      <c r="E155" s="1452"/>
      <c r="F155" s="1452"/>
      <c r="G155" s="1452"/>
      <c r="H155" s="1452"/>
      <c r="I155" s="1452"/>
      <c r="J155" s="3434"/>
      <c r="K155" s="3434"/>
      <c r="L155" s="3434"/>
      <c r="M155" s="3434"/>
      <c r="N155" s="1452"/>
      <c r="O155" s="1452"/>
      <c r="P155" s="1452"/>
      <c r="Q155" s="1452"/>
      <c r="R155" s="1452"/>
      <c r="S155" s="1452"/>
      <c r="T155" s="1452"/>
      <c r="U155" s="1452"/>
      <c r="V155" s="1452"/>
      <c r="W155" s="1452"/>
      <c r="X155" s="1452"/>
      <c r="Y155" s="1452"/>
      <c r="Z155" s="1452"/>
      <c r="AA155" s="1452"/>
      <c r="AB155" s="1452"/>
      <c r="AC155" s="1452"/>
      <c r="AD155" s="1452"/>
      <c r="AE155" s="1452"/>
    </row>
    <row r="156" spans="1:35">
      <c r="A156" s="1452"/>
      <c r="B156" s="1455" t="s">
        <v>1185</v>
      </c>
      <c r="C156" s="1452"/>
      <c r="D156" s="1452"/>
      <c r="E156" s="1452"/>
      <c r="F156" s="1452"/>
      <c r="G156" s="1452"/>
      <c r="H156" s="1452"/>
      <c r="I156" s="1452"/>
      <c r="J156" s="3428"/>
      <c r="K156" s="3428"/>
      <c r="L156" s="3428"/>
      <c r="M156" s="3428"/>
      <c r="N156" s="1452"/>
      <c r="O156" s="1452"/>
      <c r="P156" s="1452"/>
      <c r="Q156" s="1452"/>
      <c r="R156" s="1452"/>
      <c r="S156" s="1452"/>
      <c r="T156" s="1452"/>
      <c r="U156" s="1452"/>
      <c r="V156" s="1452"/>
      <c r="W156" s="1452"/>
      <c r="X156" s="1452"/>
      <c r="Y156" s="1452"/>
      <c r="Z156" s="1452"/>
      <c r="AA156" s="1452"/>
      <c r="AB156" s="1452"/>
      <c r="AC156" s="1452"/>
      <c r="AD156" s="1452"/>
      <c r="AE156" s="1452"/>
    </row>
    <row r="157" spans="1:35">
      <c r="A157" s="1452"/>
      <c r="B157" s="1459" t="s">
        <v>1186</v>
      </c>
      <c r="C157" s="1452"/>
      <c r="D157" s="1452"/>
      <c r="E157" s="1452"/>
      <c r="F157" s="1452"/>
      <c r="G157" s="1452"/>
      <c r="H157" s="1452"/>
      <c r="I157" s="1452"/>
      <c r="J157" s="1462"/>
      <c r="K157" s="1462"/>
      <c r="L157" s="1462"/>
      <c r="M157" s="1462"/>
      <c r="N157" s="3434"/>
      <c r="O157" s="3434"/>
      <c r="P157" s="3434"/>
      <c r="Q157" s="3434"/>
      <c r="R157" s="1452"/>
      <c r="S157" s="1452"/>
      <c r="T157" s="1452"/>
      <c r="U157" s="1452"/>
      <c r="V157" s="1452"/>
      <c r="W157" s="1452"/>
      <c r="X157" s="1452"/>
      <c r="Y157" s="1452"/>
      <c r="Z157" s="1452"/>
      <c r="AA157" s="1452"/>
      <c r="AB157" s="1452"/>
      <c r="AC157" s="1452"/>
      <c r="AD157" s="1452"/>
      <c r="AE157" s="1452"/>
    </row>
    <row r="158" spans="1:35">
      <c r="A158" s="1452"/>
      <c r="B158" s="1455"/>
      <c r="C158" s="1452"/>
      <c r="D158" s="1452"/>
      <c r="E158" s="1452"/>
      <c r="F158" s="1452"/>
      <c r="G158" s="1452"/>
      <c r="H158" s="1452"/>
      <c r="I158" s="1452"/>
      <c r="J158" s="1452"/>
      <c r="K158" s="1452"/>
      <c r="L158" s="1452"/>
      <c r="M158" s="1452"/>
      <c r="N158" s="1462"/>
      <c r="O158" s="1462"/>
      <c r="P158" s="1462"/>
      <c r="Q158" s="1462"/>
      <c r="R158" s="1452"/>
      <c r="S158" s="1452"/>
      <c r="T158" s="1452"/>
      <c r="U158" s="1452"/>
      <c r="V158" s="1452"/>
      <c r="W158" s="1452"/>
      <c r="X158" s="1461" t="s">
        <v>1228</v>
      </c>
      <c r="Y158" s="1452"/>
      <c r="Z158" s="1452"/>
      <c r="AA158" s="1452"/>
      <c r="AB158" s="1452"/>
      <c r="AC158" s="1452"/>
      <c r="AD158" s="1452"/>
      <c r="AE158" s="1452"/>
      <c r="AF158" s="3442"/>
      <c r="AG158" s="3442"/>
      <c r="AH158" s="3442"/>
      <c r="AI158" s="3442"/>
    </row>
    <row r="159" spans="1:35">
      <c r="A159" s="1452"/>
      <c r="B159" s="1455" t="s">
        <v>1187</v>
      </c>
      <c r="C159" s="1452"/>
      <c r="D159" s="1452"/>
      <c r="E159" s="1452"/>
      <c r="F159" s="1452"/>
      <c r="G159" s="1452"/>
      <c r="H159" s="1452"/>
      <c r="I159" s="1452"/>
      <c r="J159" s="3434"/>
      <c r="K159" s="3434"/>
      <c r="L159" s="3434"/>
      <c r="M159" s="3434"/>
      <c r="N159" s="1452"/>
      <c r="O159" s="1452"/>
      <c r="P159" s="1452"/>
      <c r="Q159" s="1452"/>
      <c r="R159" s="1452"/>
      <c r="S159" s="1452"/>
      <c r="T159" s="1452"/>
      <c r="U159" s="1452"/>
      <c r="V159" s="1452"/>
      <c r="W159" s="1452"/>
      <c r="X159" s="1452"/>
      <c r="Y159" s="1452"/>
      <c r="Z159" s="1452"/>
      <c r="AA159" s="1452"/>
      <c r="AB159" s="1452"/>
      <c r="AC159" s="1452"/>
      <c r="AD159" s="1452"/>
      <c r="AE159" s="1452"/>
    </row>
    <row r="160" spans="1:35">
      <c r="A160" s="1452"/>
      <c r="B160" s="1455" t="s">
        <v>1209</v>
      </c>
      <c r="C160" s="1452"/>
      <c r="D160" s="1452"/>
      <c r="E160" s="1452"/>
      <c r="F160" s="1452"/>
      <c r="G160" s="1452"/>
      <c r="H160" s="1452"/>
      <c r="I160" s="1452"/>
      <c r="J160" s="3428"/>
      <c r="K160" s="3428"/>
      <c r="L160" s="3428"/>
      <c r="M160" s="3428"/>
      <c r="N160" s="1452"/>
      <c r="O160" s="1452"/>
      <c r="P160" s="1452"/>
      <c r="Q160" s="1452"/>
      <c r="R160" s="1452"/>
      <c r="S160" s="1452"/>
      <c r="T160" s="1452"/>
      <c r="U160" s="1452"/>
      <c r="V160" s="1452"/>
      <c r="W160" s="1452"/>
      <c r="X160" s="1452"/>
      <c r="Y160" s="1452"/>
      <c r="Z160" s="1452"/>
      <c r="AA160" s="1452"/>
      <c r="AB160" s="1452"/>
      <c r="AC160" s="1452"/>
      <c r="AD160" s="1452"/>
      <c r="AE160" s="1452"/>
    </row>
    <row r="161" spans="1:37">
      <c r="A161" s="1452"/>
      <c r="B161" s="1455" t="s">
        <v>1210</v>
      </c>
      <c r="C161" s="1452"/>
      <c r="D161" s="1452"/>
      <c r="E161" s="1452"/>
      <c r="F161" s="1452"/>
      <c r="G161" s="1452"/>
      <c r="H161" s="1452"/>
      <c r="I161" s="1452"/>
      <c r="J161" s="1462"/>
      <c r="K161" s="1462"/>
      <c r="L161" s="1462"/>
      <c r="M161" s="1462"/>
      <c r="N161" s="3434"/>
      <c r="O161" s="3434"/>
      <c r="P161" s="3434"/>
      <c r="Q161" s="3434"/>
      <c r="R161" s="1452"/>
      <c r="S161" s="1452"/>
      <c r="T161" s="1452"/>
      <c r="U161" s="1452"/>
      <c r="V161" s="1452"/>
      <c r="W161" s="1452"/>
      <c r="X161" s="1461" t="s">
        <v>1191</v>
      </c>
      <c r="Y161" s="1452"/>
      <c r="Z161" s="1452"/>
      <c r="AA161" s="1452"/>
      <c r="AB161" s="1452"/>
      <c r="AC161" s="1452"/>
      <c r="AD161" s="1452"/>
      <c r="AE161" s="1452"/>
    </row>
    <row r="162" spans="1:37">
      <c r="A162" s="1452"/>
      <c r="B162" s="1455"/>
      <c r="C162" s="1452"/>
      <c r="D162" s="1452"/>
      <c r="E162" s="1452"/>
      <c r="F162" s="1452"/>
      <c r="G162" s="1452"/>
      <c r="H162" s="1452"/>
      <c r="I162" s="1452"/>
      <c r="J162" s="1452"/>
      <c r="K162" s="1452"/>
      <c r="L162" s="1452"/>
      <c r="M162" s="1452"/>
      <c r="N162" s="1462"/>
      <c r="O162" s="1462"/>
      <c r="P162" s="1462"/>
      <c r="Q162" s="1462"/>
      <c r="R162" s="1452"/>
      <c r="S162" s="1452"/>
      <c r="T162" s="1452"/>
      <c r="U162" s="1452"/>
      <c r="V162" s="1452"/>
      <c r="W162" s="1452"/>
      <c r="X162" s="1452"/>
      <c r="Y162" s="1455" t="s">
        <v>1192</v>
      </c>
      <c r="Z162" s="1452"/>
      <c r="AA162" s="1452"/>
      <c r="AB162" s="1452"/>
      <c r="AC162" s="1452"/>
      <c r="AD162" s="1452"/>
      <c r="AE162" s="1452"/>
      <c r="AF162" s="3433"/>
      <c r="AG162" s="3433"/>
      <c r="AH162" s="3433"/>
      <c r="AI162" s="3433"/>
      <c r="AK162" s="1444" t="str">
        <f>IF(AND(AF162&lt;=0),"A",IF(AND(AF162&lt;=50000000),"B",IF(AND(AF162&gt;50000000,AF162&lt;=250000000),"C",IF(AND(AF162&gt;250000000,AF162&lt;=500000000),"D","E"))))</f>
        <v>A</v>
      </c>
    </row>
    <row r="163" spans="1:37">
      <c r="A163" s="1452"/>
      <c r="B163" s="1455" t="s">
        <v>1188</v>
      </c>
      <c r="C163" s="1452"/>
      <c r="D163" s="1452"/>
      <c r="E163" s="1452"/>
      <c r="F163" s="1452"/>
      <c r="G163" s="1452"/>
      <c r="H163" s="1452"/>
      <c r="I163" s="1452"/>
      <c r="J163" s="3434"/>
      <c r="K163" s="3434"/>
      <c r="L163" s="3434"/>
      <c r="M163" s="3434"/>
      <c r="N163" s="1452"/>
      <c r="O163" s="1452"/>
      <c r="P163" s="1452"/>
      <c r="Q163" s="1452"/>
      <c r="R163" s="1452"/>
      <c r="S163" s="1452"/>
      <c r="T163" s="1452"/>
      <c r="U163" s="1452"/>
      <c r="V163" s="1452"/>
      <c r="W163" s="1452"/>
      <c r="X163" s="1452"/>
      <c r="Y163" s="1455" t="s">
        <v>1193</v>
      </c>
      <c r="Z163" s="1452"/>
      <c r="AA163" s="1452"/>
      <c r="AB163" s="1452"/>
      <c r="AC163" s="1452"/>
      <c r="AD163" s="1452"/>
      <c r="AE163" s="1452"/>
      <c r="AF163" s="3440"/>
      <c r="AG163" s="3440"/>
      <c r="AH163" s="3440"/>
      <c r="AI163" s="3440"/>
    </row>
    <row r="164" spans="1:37">
      <c r="A164" s="1452"/>
      <c r="B164" s="1455" t="s">
        <v>1211</v>
      </c>
      <c r="C164" s="1452"/>
      <c r="D164" s="1452"/>
      <c r="E164" s="1452"/>
      <c r="F164" s="1452"/>
      <c r="G164" s="1452"/>
      <c r="H164" s="1452"/>
      <c r="I164" s="1452"/>
      <c r="J164" s="3428"/>
      <c r="K164" s="3428"/>
      <c r="L164" s="3428"/>
      <c r="M164" s="3428"/>
      <c r="N164" s="1462"/>
      <c r="O164" s="1462"/>
      <c r="P164" s="1462"/>
      <c r="Q164" s="1462"/>
      <c r="R164" s="1452"/>
      <c r="S164" s="1452"/>
      <c r="T164" s="1452"/>
      <c r="U164" s="1452"/>
      <c r="V164" s="1452"/>
      <c r="W164" s="1452"/>
      <c r="X164" s="1452"/>
      <c r="Y164" s="1452" t="s">
        <v>1194</v>
      </c>
      <c r="Z164" s="1452"/>
      <c r="AA164" s="1452"/>
      <c r="AB164" s="1452"/>
      <c r="AC164" s="1452"/>
      <c r="AD164" s="1452"/>
      <c r="AE164" s="1452"/>
      <c r="AF164" s="3433"/>
      <c r="AG164" s="3433"/>
      <c r="AH164" s="3433"/>
      <c r="AI164" s="3433"/>
      <c r="AK164" s="1444" t="str">
        <f>IF(AND(AF164&lt;=0),"A",IF(AND(AF164&lt;=50000000),"B",IF(AND(AF164&gt;50000000,AF164&lt;=250000000),"C",IF(AND(AF164&gt;250000000,AF164&lt;=500000000),"D","E"))))</f>
        <v>A</v>
      </c>
    </row>
    <row r="165" spans="1:37" ht="6.75" customHeight="1">
      <c r="A165" s="1452"/>
      <c r="B165" s="1455" t="s">
        <v>1212</v>
      </c>
      <c r="C165" s="1452"/>
      <c r="D165" s="1452"/>
      <c r="E165" s="1452"/>
      <c r="F165" s="1452"/>
      <c r="G165" s="1452"/>
      <c r="H165" s="1452"/>
      <c r="I165" s="1452"/>
      <c r="J165" s="1452"/>
      <c r="K165" s="1452"/>
      <c r="L165" s="1452"/>
      <c r="M165" s="1452"/>
      <c r="N165" s="3434"/>
      <c r="O165" s="3434"/>
      <c r="P165" s="3434"/>
      <c r="Q165" s="3434"/>
      <c r="R165" s="1452"/>
      <c r="S165" s="1452"/>
      <c r="T165" s="1452"/>
      <c r="U165" s="1452"/>
      <c r="V165" s="1452"/>
      <c r="W165" s="1452"/>
      <c r="X165" s="1452"/>
      <c r="Y165" s="1452"/>
      <c r="Z165" s="1452"/>
      <c r="AA165" s="1452"/>
      <c r="AB165" s="1452"/>
      <c r="AC165" s="1452"/>
      <c r="AD165" s="1452"/>
      <c r="AE165" s="1452"/>
    </row>
    <row r="166" spans="1:37">
      <c r="A166" s="1455"/>
      <c r="B166" s="1452"/>
      <c r="C166" s="1452"/>
      <c r="D166" s="1452"/>
      <c r="E166" s="1452"/>
      <c r="F166" s="1452"/>
      <c r="G166" s="1452"/>
      <c r="H166" s="1452"/>
      <c r="I166" s="1452"/>
      <c r="J166" s="1452"/>
      <c r="K166" s="1452"/>
      <c r="L166" s="1452"/>
      <c r="M166" s="1452"/>
      <c r="N166" s="1466"/>
      <c r="O166" s="1466"/>
      <c r="P166" s="1466"/>
      <c r="Q166" s="1466"/>
      <c r="R166" s="1452"/>
      <c r="S166" s="1452"/>
      <c r="T166" s="1452"/>
      <c r="U166" s="1452"/>
      <c r="V166" s="1452"/>
      <c r="W166" s="1452"/>
      <c r="X166" s="1452"/>
      <c r="Y166" s="1452"/>
      <c r="Z166" s="1452"/>
      <c r="AA166" s="1452"/>
      <c r="AB166" s="1452"/>
      <c r="AC166" s="1452"/>
      <c r="AD166" s="1452"/>
      <c r="AE166" s="1452"/>
    </row>
    <row r="167" spans="1:37">
      <c r="A167" s="1455"/>
      <c r="B167" s="1452" t="s">
        <v>1213</v>
      </c>
      <c r="C167" s="1452"/>
      <c r="D167" s="1452"/>
      <c r="E167" s="1452"/>
      <c r="F167" s="1452"/>
      <c r="G167" s="1452"/>
      <c r="H167" s="1452"/>
      <c r="I167" s="1452"/>
      <c r="J167" s="1452"/>
      <c r="K167" s="1452"/>
      <c r="L167" s="1452"/>
      <c r="M167" s="1452"/>
      <c r="N167" s="1452"/>
      <c r="O167" s="1452"/>
      <c r="P167" s="1452"/>
      <c r="Q167" s="1452"/>
      <c r="R167" s="3434"/>
      <c r="S167" s="3434"/>
      <c r="T167" s="3434"/>
      <c r="U167" s="3434"/>
      <c r="V167" s="1452"/>
      <c r="W167" s="1452"/>
      <c r="X167" s="1452"/>
      <c r="Y167" s="1452"/>
      <c r="Z167" s="1452"/>
      <c r="AA167" s="1452"/>
      <c r="AB167" s="1452"/>
      <c r="AC167" s="1452"/>
      <c r="AD167" s="1452"/>
      <c r="AE167" s="1452"/>
    </row>
    <row r="168" spans="1:37">
      <c r="A168" s="1455"/>
      <c r="B168" s="1452"/>
      <c r="C168" s="1452"/>
      <c r="D168" s="1452"/>
      <c r="E168" s="1452"/>
      <c r="F168" s="1452"/>
      <c r="G168" s="1452"/>
      <c r="H168" s="1452"/>
      <c r="I168" s="1452"/>
      <c r="J168" s="1452"/>
      <c r="K168" s="1452"/>
      <c r="L168" s="1452"/>
      <c r="M168" s="1452"/>
      <c r="N168" s="1452"/>
      <c r="O168" s="1452"/>
      <c r="P168" s="1452"/>
      <c r="Q168" s="1452"/>
      <c r="R168" s="1452"/>
      <c r="S168" s="1452"/>
      <c r="T168" s="1452"/>
      <c r="U168" s="1452"/>
      <c r="V168" s="1452"/>
      <c r="W168" s="1452"/>
      <c r="X168" s="1452"/>
      <c r="Y168" s="1452"/>
      <c r="Z168" s="1452"/>
      <c r="AA168" s="1452"/>
      <c r="AB168" s="1452"/>
      <c r="AC168" s="1452"/>
      <c r="AD168" s="1452"/>
      <c r="AE168" s="1452"/>
    </row>
    <row r="169" spans="1:37">
      <c r="A169" s="1454" t="s">
        <v>1214</v>
      </c>
      <c r="B169" s="1467"/>
      <c r="C169" s="1452"/>
      <c r="D169" s="1452"/>
      <c r="E169" s="1452"/>
      <c r="F169" s="1452"/>
      <c r="G169" s="1452"/>
      <c r="H169" s="1452"/>
      <c r="I169" s="1452"/>
      <c r="J169" s="1452"/>
      <c r="K169" s="1452"/>
      <c r="L169" s="1452"/>
      <c r="M169" s="1452"/>
      <c r="N169" s="1452"/>
      <c r="O169" s="1452"/>
      <c r="P169" s="1452"/>
      <c r="Q169" s="1452"/>
      <c r="R169" s="3428"/>
      <c r="S169" s="3428"/>
      <c r="T169" s="3428"/>
      <c r="U169" s="3428"/>
      <c r="V169" s="1452"/>
      <c r="W169" s="1452"/>
      <c r="X169" s="1452"/>
      <c r="Y169" s="1452"/>
      <c r="Z169" s="1452"/>
      <c r="AA169" s="1452"/>
      <c r="AB169" s="1452"/>
      <c r="AC169" s="1452"/>
      <c r="AD169" s="1452"/>
      <c r="AE169" s="1452"/>
    </row>
    <row r="170" spans="1:37">
      <c r="A170" s="1454"/>
      <c r="B170" s="1467"/>
      <c r="C170" s="1452"/>
      <c r="D170" s="1452"/>
      <c r="E170" s="1452"/>
      <c r="F170" s="1452"/>
      <c r="G170" s="1452"/>
      <c r="H170" s="1452"/>
      <c r="I170" s="1452"/>
      <c r="J170" s="1452"/>
      <c r="K170" s="1452"/>
      <c r="L170" s="1452"/>
      <c r="M170" s="1452"/>
      <c r="N170" s="1452"/>
      <c r="O170" s="1452"/>
      <c r="P170" s="1452"/>
      <c r="Q170" s="1452"/>
      <c r="R170" s="1452"/>
      <c r="S170" s="1452"/>
      <c r="T170" s="1452"/>
      <c r="U170" s="1452"/>
      <c r="V170" s="1452"/>
      <c r="W170" s="1452"/>
      <c r="X170" s="1461" t="s">
        <v>1191</v>
      </c>
      <c r="Y170" s="1452"/>
      <c r="Z170" s="1452"/>
      <c r="AA170" s="1452"/>
      <c r="AB170" s="1452"/>
      <c r="AC170" s="1452"/>
      <c r="AD170" s="1452"/>
      <c r="AE170" s="1452"/>
    </row>
    <row r="171" spans="1:37">
      <c r="A171" s="1454" t="s">
        <v>1196</v>
      </c>
      <c r="B171" s="1455"/>
      <c r="C171" s="1456"/>
      <c r="D171" s="1452"/>
      <c r="E171" s="1452"/>
      <c r="F171" s="1452"/>
      <c r="G171" s="1452"/>
      <c r="H171" s="1452"/>
      <c r="I171" s="1452"/>
      <c r="J171" s="1452"/>
      <c r="K171" s="1452"/>
      <c r="L171" s="1452"/>
      <c r="M171" s="1452"/>
      <c r="N171" s="1452"/>
      <c r="O171" s="1452"/>
      <c r="P171" s="1452"/>
      <c r="Q171" s="1452"/>
      <c r="R171" s="3434"/>
      <c r="S171" s="3434"/>
      <c r="T171" s="3434"/>
      <c r="U171" s="3434"/>
      <c r="V171" s="1452"/>
      <c r="W171" s="1452"/>
      <c r="X171" s="1461"/>
      <c r="Y171" s="1452" t="s">
        <v>1397</v>
      </c>
      <c r="Z171" s="1452"/>
      <c r="AA171" s="1452"/>
      <c r="AB171" s="1452"/>
      <c r="AC171" s="1452"/>
      <c r="AD171" s="1452"/>
      <c r="AE171" s="1452"/>
      <c r="AF171" s="3433"/>
      <c r="AG171" s="3433"/>
      <c r="AH171" s="3433"/>
      <c r="AI171" s="3433"/>
    </row>
    <row r="172" spans="1:37">
      <c r="A172" s="1454"/>
      <c r="B172" s="1455"/>
      <c r="C172" s="1456"/>
      <c r="D172" s="1452"/>
      <c r="E172" s="1452"/>
      <c r="F172" s="1452"/>
      <c r="G172" s="1452"/>
      <c r="H172" s="1452"/>
      <c r="I172" s="1452"/>
      <c r="J172" s="1452"/>
      <c r="K172" s="3441"/>
      <c r="L172" s="3441"/>
      <c r="M172" s="3441"/>
      <c r="N172" s="1452"/>
      <c r="O172" s="1452"/>
      <c r="P172" s="1452"/>
      <c r="Q172" s="1452"/>
      <c r="R172" s="1452"/>
      <c r="S172" s="1452"/>
      <c r="T172" s="1452"/>
      <c r="U172" s="1452"/>
      <c r="V172" s="1452"/>
      <c r="W172" s="1452"/>
      <c r="X172" s="1452"/>
      <c r="Y172" s="1455" t="s">
        <v>1192</v>
      </c>
      <c r="Z172" s="1452"/>
      <c r="AA172" s="1452"/>
      <c r="AB172" s="1452"/>
      <c r="AC172" s="1452"/>
      <c r="AD172" s="1452"/>
      <c r="AE172" s="1452"/>
      <c r="AF172" s="3433"/>
      <c r="AG172" s="3433"/>
      <c r="AH172" s="3433"/>
      <c r="AI172" s="3433"/>
      <c r="AK172" s="1444" t="str">
        <f>IF(AND(AF172&lt;=0),"A",IF(AND(AF172&lt;=50000000),"B",IF(AND(AF172&gt;50000000,AF172&lt;=250000000),"C",IF(AND(AF172&gt;250000000,AF172&lt;=500000000),"D","E"))))</f>
        <v>A</v>
      </c>
    </row>
    <row r="173" spans="1:37">
      <c r="A173" s="1454" t="s">
        <v>1197</v>
      </c>
      <c r="B173" s="1455"/>
      <c r="C173" s="1456"/>
      <c r="D173" s="1452"/>
      <c r="E173" s="1452"/>
      <c r="F173" s="1452"/>
      <c r="G173" s="1452"/>
      <c r="H173" s="1452"/>
      <c r="I173" s="1452"/>
      <c r="J173" s="1465"/>
      <c r="K173" s="1452"/>
      <c r="L173" s="1452"/>
      <c r="M173" s="1452"/>
      <c r="N173" s="1452"/>
      <c r="O173" s="1452"/>
      <c r="P173" s="1452"/>
      <c r="Q173" s="1452"/>
      <c r="R173" s="1452"/>
      <c r="S173" s="1452"/>
      <c r="T173" s="1452"/>
      <c r="U173" s="1452"/>
      <c r="V173" s="1452"/>
      <c r="W173" s="1452"/>
      <c r="X173" s="1452"/>
      <c r="Y173" s="1455" t="s">
        <v>1193</v>
      </c>
      <c r="Z173" s="1452"/>
      <c r="AA173" s="1452"/>
      <c r="AB173" s="1452"/>
      <c r="AC173" s="1452"/>
      <c r="AD173" s="1452"/>
      <c r="AE173" s="1452"/>
      <c r="AF173" s="3440"/>
      <c r="AG173" s="3440"/>
      <c r="AH173" s="3440"/>
      <c r="AI173" s="3440"/>
    </row>
    <row r="174" spans="1:37">
      <c r="A174" s="1454"/>
      <c r="B174" s="1455" t="s">
        <v>1192</v>
      </c>
      <c r="C174" s="1456"/>
      <c r="D174" s="1452"/>
      <c r="E174" s="1452"/>
      <c r="F174" s="1452"/>
      <c r="G174" s="1452"/>
      <c r="H174" s="1452"/>
      <c r="I174" s="1452"/>
      <c r="J174" s="3434"/>
      <c r="K174" s="3434"/>
      <c r="L174" s="3434"/>
      <c r="M174" s="3434"/>
      <c r="N174" s="1452"/>
      <c r="O174" s="1452"/>
      <c r="P174" s="1452"/>
      <c r="Q174" s="1452"/>
      <c r="R174" s="1452"/>
      <c r="S174" s="1452"/>
      <c r="T174" s="1452"/>
      <c r="U174" s="1452"/>
      <c r="V174" s="1452"/>
      <c r="W174" s="1452"/>
      <c r="X174" s="1452"/>
      <c r="Y174" s="1452" t="s">
        <v>1194</v>
      </c>
      <c r="Z174" s="1452"/>
      <c r="AA174" s="1452"/>
      <c r="AB174" s="1452"/>
      <c r="AC174" s="1452"/>
      <c r="AD174" s="1452"/>
      <c r="AE174" s="1452"/>
      <c r="AF174" s="3433"/>
      <c r="AG174" s="3433"/>
      <c r="AH174" s="3433"/>
      <c r="AI174" s="3433"/>
      <c r="AK174" s="1444" t="str">
        <f>IF(AND(AF174&lt;=0),"A",IF(AND(AF174&lt;=50000000),"B",IF(AND(AF174&gt;50000000,AF174&lt;=250000000),"C",IF(AND(AF174&gt;250000000,AF174&lt;=500000000),"D","E"))))</f>
        <v>A</v>
      </c>
    </row>
    <row r="175" spans="1:37">
      <c r="A175" s="1454"/>
      <c r="B175" s="1455" t="s">
        <v>1193</v>
      </c>
      <c r="C175" s="1456"/>
      <c r="D175" s="1452"/>
      <c r="E175" s="1452"/>
      <c r="F175" s="1452"/>
      <c r="G175" s="1452"/>
      <c r="H175" s="1452"/>
      <c r="I175" s="1452"/>
      <c r="J175" s="3435"/>
      <c r="K175" s="3435"/>
      <c r="L175" s="3435"/>
      <c r="M175" s="3435"/>
      <c r="N175" s="1452"/>
      <c r="O175" s="1452"/>
      <c r="P175" s="1452"/>
      <c r="Q175" s="1452"/>
      <c r="R175" s="1452"/>
      <c r="S175" s="1452"/>
      <c r="T175" s="1452"/>
      <c r="U175" s="1452"/>
      <c r="V175" s="1452"/>
      <c r="W175" s="1452"/>
      <c r="X175" s="1452"/>
      <c r="Y175" s="1455" t="s">
        <v>1187</v>
      </c>
      <c r="Z175" s="1452"/>
      <c r="AA175" s="1452"/>
      <c r="AB175" s="1452"/>
      <c r="AC175" s="1452"/>
      <c r="AD175" s="1452"/>
      <c r="AE175" s="1452"/>
      <c r="AF175" s="3433"/>
      <c r="AG175" s="3433"/>
      <c r="AH175" s="3433"/>
      <c r="AI175" s="3433"/>
    </row>
    <row r="176" spans="1:37">
      <c r="A176" s="1455"/>
      <c r="B176" s="1455" t="s">
        <v>1198</v>
      </c>
      <c r="C176" s="1456"/>
      <c r="D176" s="1452"/>
      <c r="E176" s="1452"/>
      <c r="F176" s="1452"/>
      <c r="G176" s="1452"/>
      <c r="H176" s="1452"/>
      <c r="I176" s="1452"/>
      <c r="J176" s="1452"/>
      <c r="K176" s="1452"/>
      <c r="L176" s="1452"/>
      <c r="M176" s="1452"/>
      <c r="N176" s="3439"/>
      <c r="O176" s="3439"/>
      <c r="P176" s="3439"/>
      <c r="Q176" s="3439"/>
      <c r="R176" s="1452"/>
      <c r="S176" s="1452"/>
      <c r="T176" s="1452"/>
      <c r="U176" s="1452"/>
      <c r="V176" s="1452"/>
      <c r="W176" s="1452"/>
      <c r="X176" s="1452"/>
      <c r="Y176" s="1455" t="s">
        <v>1188</v>
      </c>
      <c r="Z176" s="1452"/>
      <c r="AA176" s="1452"/>
      <c r="AB176" s="1452"/>
      <c r="AC176" s="1452"/>
      <c r="AD176" s="1452"/>
      <c r="AE176" s="1452"/>
      <c r="AF176" s="3440"/>
      <c r="AG176" s="3440"/>
      <c r="AH176" s="3440"/>
      <c r="AI176" s="3440"/>
    </row>
    <row r="177" spans="1:37">
      <c r="A177" s="1454"/>
      <c r="B177" s="1452" t="s">
        <v>1199</v>
      </c>
      <c r="C177" s="1456"/>
      <c r="D177" s="1452"/>
      <c r="E177" s="1452"/>
      <c r="F177" s="1452"/>
      <c r="G177" s="1452"/>
      <c r="H177" s="1452"/>
      <c r="I177" s="1452"/>
      <c r="J177" s="1452"/>
      <c r="K177" s="1452"/>
      <c r="L177" s="1452"/>
      <c r="M177" s="1452"/>
      <c r="N177" s="3435"/>
      <c r="O177" s="3435"/>
      <c r="P177" s="3435"/>
      <c r="Q177" s="3435"/>
      <c r="R177" s="1452"/>
      <c r="S177" s="1452"/>
      <c r="T177" s="1452"/>
      <c r="U177" s="1452"/>
      <c r="V177" s="1452"/>
      <c r="W177" s="1452"/>
      <c r="X177" s="1452"/>
      <c r="Y177" s="1455" t="s">
        <v>1215</v>
      </c>
      <c r="Z177" s="1452"/>
      <c r="AA177" s="1452"/>
      <c r="AB177" s="1452"/>
      <c r="AC177" s="1452"/>
      <c r="AD177" s="1452"/>
      <c r="AE177" s="1452"/>
      <c r="AF177" s="3433"/>
      <c r="AG177" s="3433"/>
      <c r="AH177" s="3433"/>
      <c r="AI177" s="3433"/>
      <c r="AK177" s="1444" t="str">
        <f>IF(AND(AF177&lt;=0),"A",IF(AND(AF177&lt;=50000000),"B",IF(AND(AF177&gt;50000000,AF177&lt;=250000000),"C",IF(AND(AF177&gt;250000000,AF177&lt;=500000000),"D","E"))))</f>
        <v>A</v>
      </c>
    </row>
    <row r="178" spans="1:37">
      <c r="A178" s="1454"/>
      <c r="B178" s="1452" t="s">
        <v>1200</v>
      </c>
      <c r="C178" s="1456"/>
      <c r="D178" s="1452"/>
      <c r="E178" s="1452"/>
      <c r="F178" s="1452"/>
      <c r="G178" s="1452"/>
      <c r="H178" s="1452"/>
      <c r="I178" s="1452"/>
      <c r="J178" s="1452"/>
      <c r="K178" s="1452"/>
      <c r="L178" s="1452"/>
      <c r="M178" s="1452"/>
      <c r="N178" s="1452"/>
      <c r="O178" s="1452"/>
      <c r="P178" s="1452"/>
      <c r="Q178" s="1452"/>
      <c r="R178" s="3435"/>
      <c r="S178" s="3435"/>
      <c r="T178" s="3435"/>
      <c r="U178" s="3435"/>
      <c r="V178" s="1452"/>
      <c r="W178" s="1452"/>
      <c r="X178" s="1452"/>
      <c r="Y178" s="1455" t="s">
        <v>1201</v>
      </c>
      <c r="Z178" s="1452"/>
      <c r="AA178" s="1452"/>
      <c r="AB178" s="1452"/>
      <c r="AC178" s="1452"/>
      <c r="AD178" s="1452"/>
      <c r="AE178" s="1452"/>
      <c r="AF178" s="3433"/>
      <c r="AG178" s="3433"/>
      <c r="AH178" s="3433"/>
      <c r="AI178" s="3433"/>
      <c r="AK178" s="1444" t="str">
        <f>IF(AND(AF178&lt;=0),"A",IF(AND(AF178&lt;=50000000),"B",IF(AND(AF178&gt;50000000,AF178&lt;=250000000),"C",IF(AND(AF178&gt;250000000,AF178&lt;=500000000),"D","E"))))</f>
        <v>A</v>
      </c>
    </row>
    <row r="179" spans="1:37">
      <c r="A179" s="1454"/>
      <c r="B179" s="1452"/>
      <c r="C179" s="1456"/>
      <c r="D179" s="1452"/>
      <c r="E179" s="1452"/>
      <c r="F179" s="1452"/>
      <c r="G179" s="1452"/>
      <c r="H179" s="1452"/>
      <c r="I179" s="1452"/>
      <c r="J179" s="1452"/>
      <c r="K179" s="1452"/>
      <c r="L179" s="1452"/>
      <c r="M179" s="1452"/>
      <c r="N179" s="1452"/>
      <c r="O179" s="1452"/>
      <c r="P179" s="1452"/>
      <c r="Q179" s="1452"/>
      <c r="R179" s="1452"/>
      <c r="S179" s="1452"/>
      <c r="T179" s="1452"/>
      <c r="U179" s="1452"/>
      <c r="V179" s="1452"/>
      <c r="W179" s="1452"/>
      <c r="X179" s="1452"/>
      <c r="Y179" s="1452"/>
      <c r="Z179" s="1452"/>
      <c r="AA179" s="1452"/>
      <c r="AB179" s="1452"/>
      <c r="AC179" s="1452"/>
      <c r="AD179" s="1452"/>
      <c r="AE179" s="1452"/>
    </row>
    <row r="180" spans="1:37">
      <c r="A180" s="1454" t="s">
        <v>1202</v>
      </c>
      <c r="B180" s="1455"/>
      <c r="C180" s="1456"/>
      <c r="D180" s="1452"/>
      <c r="E180" s="1452"/>
      <c r="F180" s="1452"/>
      <c r="G180" s="1452"/>
      <c r="H180" s="1452"/>
      <c r="I180" s="1452"/>
      <c r="J180" s="1452"/>
      <c r="K180" s="1452"/>
      <c r="L180" s="1452"/>
      <c r="M180" s="1452"/>
      <c r="N180" s="1452"/>
      <c r="O180" s="1452"/>
      <c r="P180" s="1452"/>
      <c r="Q180" s="1452"/>
      <c r="R180" s="1452"/>
      <c r="S180" s="1452"/>
      <c r="T180" s="1452"/>
      <c r="U180" s="1452"/>
      <c r="V180" s="1452"/>
      <c r="W180" s="1452"/>
      <c r="X180" s="1461" t="s">
        <v>1227</v>
      </c>
      <c r="Y180" s="1452"/>
      <c r="Z180" s="1452"/>
      <c r="AA180" s="1452"/>
      <c r="AB180" s="1452"/>
      <c r="AC180" s="1452"/>
      <c r="AD180" s="1452"/>
      <c r="AE180" s="1452"/>
      <c r="AF180" s="3435"/>
      <c r="AG180" s="3435"/>
      <c r="AH180" s="3435"/>
      <c r="AI180" s="3435"/>
    </row>
    <row r="181" spans="1:37">
      <c r="A181" s="1455"/>
      <c r="B181" s="1455" t="s">
        <v>1192</v>
      </c>
      <c r="C181" s="1456"/>
      <c r="D181" s="1452"/>
      <c r="E181" s="1452"/>
      <c r="F181" s="1452"/>
      <c r="G181" s="1452"/>
      <c r="H181" s="1452"/>
      <c r="I181" s="1452"/>
      <c r="J181" s="3436"/>
      <c r="K181" s="3437"/>
      <c r="L181" s="3437"/>
      <c r="M181" s="3437"/>
      <c r="N181" s="1452"/>
      <c r="O181" s="1452"/>
      <c r="P181" s="1452"/>
      <c r="Q181" s="1452"/>
      <c r="R181" s="1452"/>
      <c r="S181" s="1452"/>
      <c r="T181" s="1452"/>
      <c r="U181" s="1452"/>
      <c r="V181" s="1452"/>
      <c r="W181" s="1452"/>
      <c r="X181" s="1452"/>
      <c r="Y181" s="1452"/>
      <c r="Z181" s="1452"/>
      <c r="AA181" s="1452"/>
      <c r="AB181" s="1452"/>
      <c r="AC181" s="1452"/>
      <c r="AD181" s="1452"/>
      <c r="AE181" s="1452"/>
    </row>
    <row r="182" spans="1:37">
      <c r="A182" s="1455"/>
      <c r="B182" s="1455" t="s">
        <v>1193</v>
      </c>
      <c r="C182" s="1456"/>
      <c r="D182" s="1452"/>
      <c r="E182" s="1452"/>
      <c r="F182" s="1452"/>
      <c r="G182" s="1452"/>
      <c r="H182" s="1452"/>
      <c r="I182" s="1452"/>
      <c r="J182" s="3438"/>
      <c r="K182" s="3438"/>
      <c r="L182" s="3438"/>
      <c r="M182" s="3438"/>
      <c r="N182" s="1452"/>
      <c r="O182" s="1452"/>
      <c r="P182" s="1452"/>
      <c r="Q182" s="1452"/>
      <c r="R182" s="1452"/>
      <c r="S182" s="1452"/>
      <c r="T182" s="1452"/>
      <c r="U182" s="1452"/>
      <c r="V182" s="1452"/>
      <c r="W182" s="1452"/>
      <c r="X182" s="1452" t="s">
        <v>1203</v>
      </c>
      <c r="Y182" s="1452"/>
      <c r="Z182" s="1452"/>
      <c r="AA182" s="1452"/>
      <c r="AB182" s="1452"/>
      <c r="AC182" s="1452"/>
      <c r="AD182" s="1452"/>
      <c r="AE182" s="1452"/>
    </row>
    <row r="183" spans="1:37">
      <c r="A183" s="1455"/>
      <c r="B183" s="1455" t="s">
        <v>1198</v>
      </c>
      <c r="C183" s="1456"/>
      <c r="D183" s="1452"/>
      <c r="E183" s="1452"/>
      <c r="F183" s="1452"/>
      <c r="G183" s="1452"/>
      <c r="H183" s="1452"/>
      <c r="I183" s="1452"/>
      <c r="J183" s="1463"/>
      <c r="K183" s="1463"/>
      <c r="L183" s="1463"/>
      <c r="M183" s="1463"/>
      <c r="N183" s="3439"/>
      <c r="O183" s="3439"/>
      <c r="P183" s="3439"/>
      <c r="Q183" s="3439"/>
      <c r="R183" s="1452"/>
      <c r="S183" s="1452"/>
      <c r="T183" s="1452"/>
      <c r="U183" s="1452"/>
      <c r="V183" s="1452"/>
      <c r="W183" s="1452"/>
      <c r="X183" s="1452"/>
      <c r="Y183" s="1452" t="s">
        <v>1192</v>
      </c>
      <c r="Z183" s="1452"/>
      <c r="AA183" s="1452"/>
      <c r="AB183" s="1452"/>
      <c r="AC183" s="1452"/>
      <c r="AD183" s="1452"/>
      <c r="AE183" s="1452"/>
      <c r="AF183" s="3433"/>
      <c r="AG183" s="3433"/>
      <c r="AH183" s="3433"/>
      <c r="AI183" s="3433"/>
    </row>
    <row r="184" spans="1:37">
      <c r="A184" s="1455"/>
      <c r="B184" s="1452" t="s">
        <v>1199</v>
      </c>
      <c r="C184" s="1456"/>
      <c r="D184" s="1452"/>
      <c r="E184" s="1452"/>
      <c r="F184" s="1452"/>
      <c r="G184" s="1452"/>
      <c r="H184" s="1452"/>
      <c r="I184" s="1452"/>
      <c r="J184" s="1452"/>
      <c r="K184" s="1452"/>
      <c r="L184" s="1452"/>
      <c r="M184" s="1452"/>
      <c r="N184" s="3432"/>
      <c r="O184" s="3432"/>
      <c r="P184" s="3432"/>
      <c r="Q184" s="3432"/>
      <c r="R184" s="1452"/>
      <c r="S184" s="1452"/>
      <c r="T184" s="1452"/>
      <c r="U184" s="1452"/>
      <c r="V184" s="1452"/>
      <c r="W184" s="1452"/>
      <c r="X184" s="1452"/>
      <c r="Y184" s="1452" t="s">
        <v>1194</v>
      </c>
      <c r="Z184" s="1452"/>
      <c r="AA184" s="1452"/>
      <c r="AB184" s="1452"/>
      <c r="AC184" s="1452"/>
      <c r="AD184" s="1452"/>
      <c r="AE184" s="1452"/>
      <c r="AF184" s="3433"/>
      <c r="AG184" s="3433"/>
      <c r="AH184" s="3433"/>
      <c r="AI184" s="3433"/>
    </row>
    <row r="185" spans="1:37">
      <c r="A185" s="1455"/>
      <c r="B185" s="1454" t="s">
        <v>1204</v>
      </c>
      <c r="C185" s="1456"/>
      <c r="D185" s="1452"/>
      <c r="E185" s="1452"/>
      <c r="F185" s="1452"/>
      <c r="G185" s="1452"/>
      <c r="H185" s="1452"/>
      <c r="I185" s="1452"/>
      <c r="J185" s="1452"/>
      <c r="K185" s="1452"/>
      <c r="L185" s="1452"/>
      <c r="M185" s="1452"/>
      <c r="N185" s="1452"/>
      <c r="O185" s="1452"/>
      <c r="P185" s="1452"/>
      <c r="Q185" s="1452"/>
      <c r="R185" s="3429"/>
      <c r="S185" s="3429"/>
      <c r="T185" s="3429"/>
      <c r="U185" s="3429"/>
      <c r="V185" s="1452"/>
      <c r="W185" s="1452"/>
      <c r="X185" s="1452"/>
      <c r="Y185" s="1452" t="s">
        <v>1205</v>
      </c>
      <c r="Z185" s="1452"/>
      <c r="AA185" s="1452"/>
      <c r="AB185" s="1452"/>
      <c r="AC185" s="1452"/>
      <c r="AD185" s="1452"/>
      <c r="AE185" s="1452"/>
      <c r="AF185" s="3433"/>
      <c r="AG185" s="3433"/>
      <c r="AH185" s="3433"/>
      <c r="AI185" s="3433"/>
    </row>
    <row r="186" spans="1:37">
      <c r="A186" s="1452"/>
      <c r="B186" s="1452"/>
      <c r="C186" s="1452"/>
      <c r="D186" s="1452"/>
      <c r="E186" s="1452"/>
      <c r="F186" s="1452"/>
      <c r="G186" s="1452"/>
      <c r="H186" s="1452"/>
      <c r="I186" s="1452"/>
      <c r="J186" s="1452"/>
      <c r="K186" s="1452"/>
      <c r="L186" s="1452"/>
      <c r="M186" s="1452"/>
      <c r="N186" s="1452"/>
      <c r="O186" s="1452"/>
      <c r="P186" s="1452"/>
      <c r="Q186" s="1452"/>
      <c r="R186" s="1456"/>
      <c r="S186" s="1456"/>
      <c r="T186" s="1456"/>
      <c r="U186" s="1456"/>
      <c r="V186" s="1452"/>
      <c r="W186" s="1452"/>
      <c r="X186" s="1452"/>
      <c r="Y186" s="1452"/>
      <c r="Z186" s="1452"/>
      <c r="AA186" s="1452"/>
      <c r="AB186" s="1452"/>
      <c r="AC186" s="1452"/>
      <c r="AD186" s="1452"/>
      <c r="AE186" s="1452"/>
    </row>
    <row r="187" spans="1:37">
      <c r="A187" s="1461" t="s">
        <v>1216</v>
      </c>
      <c r="B187" s="1452"/>
      <c r="C187" s="1452"/>
      <c r="D187" s="1452"/>
      <c r="E187" s="1452"/>
      <c r="F187" s="1452"/>
      <c r="G187" s="1452"/>
      <c r="H187" s="1452"/>
      <c r="I187" s="1452"/>
      <c r="J187" s="1452"/>
      <c r="K187" s="1452"/>
      <c r="L187" s="1452"/>
      <c r="M187" s="1452"/>
      <c r="N187" s="1452"/>
      <c r="O187" s="1452"/>
      <c r="P187" s="1452"/>
      <c r="Q187" s="1452"/>
      <c r="R187" s="1452"/>
      <c r="S187" s="1452"/>
      <c r="T187" s="1452"/>
      <c r="U187" s="1452"/>
      <c r="V187" s="1452"/>
      <c r="W187" s="1452"/>
      <c r="X187" s="1452"/>
      <c r="Y187" s="1452"/>
      <c r="Z187" s="1452"/>
      <c r="AA187" s="1452"/>
      <c r="AB187" s="1452"/>
      <c r="AC187" s="1452"/>
      <c r="AD187" s="1452"/>
      <c r="AE187" s="1452"/>
    </row>
    <row r="188" spans="1:37">
      <c r="A188" s="1452"/>
      <c r="B188" s="1452" t="s">
        <v>1217</v>
      </c>
      <c r="C188" s="1452"/>
      <c r="D188" s="1452"/>
      <c r="E188" s="1452"/>
      <c r="F188" s="1452"/>
      <c r="G188" s="1452"/>
      <c r="H188" s="1452"/>
      <c r="I188" s="1452"/>
      <c r="J188" s="1452"/>
      <c r="K188" s="1452"/>
      <c r="L188" s="1452"/>
      <c r="M188" s="1452"/>
      <c r="N188" s="3434"/>
      <c r="O188" s="3434"/>
      <c r="P188" s="3434"/>
      <c r="Q188" s="3434"/>
      <c r="R188" s="1452"/>
      <c r="S188" s="1452"/>
      <c r="T188" s="1452"/>
      <c r="U188" s="1452"/>
      <c r="V188" s="1452"/>
      <c r="W188" s="1452"/>
      <c r="X188" s="1452"/>
      <c r="Y188" s="1452" t="s">
        <v>381</v>
      </c>
      <c r="Z188" s="1452"/>
      <c r="AA188" s="1452"/>
      <c r="AB188" s="1452"/>
      <c r="AC188" s="1452"/>
      <c r="AD188" s="1452"/>
      <c r="AE188" s="1452"/>
    </row>
    <row r="189" spans="1:37">
      <c r="A189" s="1452"/>
      <c r="B189" s="1452" t="s">
        <v>1218</v>
      </c>
      <c r="C189" s="1452"/>
      <c r="D189" s="1452"/>
      <c r="E189" s="1452"/>
      <c r="F189" s="1452"/>
      <c r="G189" s="1452"/>
      <c r="H189" s="1452"/>
      <c r="I189" s="1452"/>
      <c r="J189" s="1452"/>
      <c r="K189" s="1452"/>
      <c r="L189" s="1452"/>
      <c r="M189" s="1452"/>
      <c r="N189" s="3434"/>
      <c r="O189" s="3434"/>
      <c r="P189" s="3434"/>
      <c r="Q189" s="3434"/>
      <c r="R189" s="1452"/>
      <c r="S189" s="1452"/>
      <c r="T189" s="1452"/>
      <c r="U189" s="1452"/>
      <c r="V189" s="1452"/>
      <c r="W189" s="1452"/>
      <c r="X189" s="1452"/>
      <c r="Y189" s="1452"/>
      <c r="Z189" s="1452"/>
      <c r="AA189" s="1452"/>
      <c r="AB189" s="1452"/>
      <c r="AC189" s="1452"/>
      <c r="AD189" s="1452"/>
      <c r="AE189" s="1452"/>
    </row>
    <row r="190" spans="1:37">
      <c r="A190" s="1452"/>
      <c r="B190" s="1452" t="s">
        <v>1219</v>
      </c>
      <c r="C190" s="1452"/>
      <c r="D190" s="1452"/>
      <c r="E190" s="1452"/>
      <c r="F190" s="1452"/>
      <c r="G190" s="1452"/>
      <c r="H190" s="1452"/>
      <c r="I190" s="1452"/>
      <c r="J190" s="1452"/>
      <c r="K190" s="1452"/>
      <c r="L190" s="1452"/>
      <c r="M190" s="1452"/>
      <c r="N190" s="3428"/>
      <c r="O190" s="3428"/>
      <c r="P190" s="3428"/>
      <c r="Q190" s="3428"/>
      <c r="R190" s="1452"/>
      <c r="S190" s="1452"/>
      <c r="T190" s="1452"/>
      <c r="U190" s="1452"/>
      <c r="V190" s="1452"/>
      <c r="W190" s="1452"/>
      <c r="X190" s="1452"/>
      <c r="Y190" s="1452"/>
      <c r="Z190" s="1452"/>
      <c r="AA190" s="1452"/>
      <c r="AB190" s="1452"/>
      <c r="AC190" s="1452"/>
      <c r="AD190" s="1452"/>
      <c r="AE190" s="1452"/>
    </row>
    <row r="191" spans="1:37">
      <c r="A191" s="1452"/>
      <c r="B191" s="1452" t="s">
        <v>1220</v>
      </c>
      <c r="C191" s="1452"/>
      <c r="D191" s="1452"/>
      <c r="E191" s="1452"/>
      <c r="F191" s="1452"/>
      <c r="G191" s="1452"/>
      <c r="H191" s="1452"/>
      <c r="I191" s="1452"/>
      <c r="J191" s="1452"/>
      <c r="K191" s="1452"/>
      <c r="L191" s="1452"/>
      <c r="M191" s="1452"/>
      <c r="N191" s="1452"/>
      <c r="O191" s="1452"/>
      <c r="P191" s="1452"/>
      <c r="Q191" s="1452"/>
      <c r="R191" s="3429"/>
      <c r="S191" s="3429"/>
      <c r="T191" s="3429"/>
      <c r="U191" s="3429"/>
      <c r="V191" s="1452"/>
      <c r="W191" s="1452"/>
      <c r="X191" s="1452"/>
      <c r="Y191" s="1452" t="s">
        <v>381</v>
      </c>
      <c r="Z191" s="1452"/>
      <c r="AA191" s="1452" t="s">
        <v>381</v>
      </c>
      <c r="AB191" s="1452"/>
      <c r="AC191" s="1452"/>
      <c r="AD191" s="1452"/>
      <c r="AE191" s="1452"/>
    </row>
    <row r="192" spans="1:37">
      <c r="A192" s="1452"/>
      <c r="B192" s="1452"/>
      <c r="C192" s="1452"/>
      <c r="D192" s="1452"/>
      <c r="E192" s="1452"/>
      <c r="F192" s="1452"/>
      <c r="G192" s="1452"/>
      <c r="H192" s="1452"/>
      <c r="I192" s="1452"/>
      <c r="J192" s="1452"/>
      <c r="K192" s="1452"/>
      <c r="L192" s="1452"/>
      <c r="M192" s="1452"/>
      <c r="N192" s="1452"/>
      <c r="O192" s="1452"/>
      <c r="P192" s="1452"/>
      <c r="Q192" s="1452"/>
      <c r="R192" s="1452"/>
      <c r="S192" s="1452"/>
      <c r="T192" s="1452"/>
      <c r="U192" s="1452"/>
      <c r="V192" s="1452"/>
      <c r="W192" s="1452"/>
      <c r="X192" s="1452"/>
      <c r="Y192" s="1452"/>
      <c r="Z192" s="1452"/>
      <c r="AA192" s="1452"/>
      <c r="AB192" s="1452"/>
      <c r="AC192" s="1452"/>
      <c r="AD192" s="1452"/>
      <c r="AE192" s="1452"/>
    </row>
    <row r="193" spans="1:31">
      <c r="A193" s="1461" t="s">
        <v>1221</v>
      </c>
      <c r="B193" s="1452"/>
      <c r="C193" s="1452"/>
      <c r="D193" s="1452"/>
      <c r="E193" s="1452"/>
      <c r="F193" s="1452"/>
      <c r="G193" s="1452"/>
      <c r="H193" s="1452"/>
      <c r="I193" s="1452"/>
      <c r="J193" s="1452"/>
      <c r="K193" s="1452"/>
      <c r="L193" s="1452"/>
      <c r="M193" s="1452"/>
      <c r="N193" s="1452"/>
      <c r="O193" s="1452"/>
      <c r="P193" s="1452"/>
      <c r="Q193" s="1452"/>
      <c r="R193" s="3428"/>
      <c r="S193" s="3428"/>
      <c r="T193" s="3428"/>
      <c r="U193" s="3428"/>
      <c r="V193" s="1452"/>
      <c r="W193" s="1452"/>
      <c r="X193" s="1452"/>
      <c r="Y193" s="1452"/>
      <c r="Z193" s="1452"/>
      <c r="AA193" s="1452"/>
      <c r="AB193" s="1452"/>
      <c r="AC193" s="1452"/>
      <c r="AD193" s="1452"/>
      <c r="AE193" s="1452"/>
    </row>
    <row r="194" spans="1:31">
      <c r="A194" s="1452"/>
      <c r="B194" s="1452"/>
      <c r="C194" s="1452"/>
      <c r="D194" s="1452"/>
      <c r="E194" s="1452"/>
      <c r="F194" s="1452"/>
      <c r="G194" s="1452"/>
      <c r="H194" s="1452"/>
      <c r="I194" s="1452"/>
      <c r="J194" s="1452"/>
      <c r="K194" s="1452"/>
      <c r="L194" s="1452"/>
      <c r="M194" s="1452"/>
      <c r="N194" s="1452"/>
      <c r="O194" s="1452"/>
      <c r="P194" s="1452"/>
      <c r="Q194" s="1452"/>
      <c r="R194" s="1452"/>
      <c r="S194" s="1452"/>
      <c r="T194" s="1452"/>
      <c r="U194" s="1452"/>
      <c r="V194" s="1452"/>
      <c r="W194" s="1452"/>
      <c r="X194" s="1452"/>
      <c r="Y194" s="1452"/>
      <c r="Z194" s="1452"/>
      <c r="AA194" s="1452"/>
      <c r="AB194" s="1452"/>
      <c r="AC194" s="1452"/>
      <c r="AD194" s="1452"/>
      <c r="AE194" s="1452"/>
    </row>
    <row r="195" spans="1:31">
      <c r="A195" s="1461" t="s">
        <v>1222</v>
      </c>
      <c r="B195" s="1452"/>
      <c r="C195" s="1452"/>
      <c r="D195" s="1452"/>
      <c r="E195" s="1452"/>
      <c r="F195" s="1452"/>
      <c r="G195" s="1452"/>
      <c r="H195" s="1452"/>
      <c r="I195" s="1452"/>
      <c r="J195" s="1452"/>
      <c r="K195" s="1452"/>
      <c r="L195" s="1452"/>
      <c r="M195" s="1452"/>
      <c r="N195" s="1452"/>
      <c r="O195" s="1452"/>
      <c r="P195" s="1452"/>
      <c r="Q195" s="1452"/>
      <c r="R195" s="3429"/>
      <c r="S195" s="3429"/>
      <c r="T195" s="3429"/>
      <c r="U195" s="3429"/>
      <c r="V195" s="1452"/>
      <c r="W195" s="1452"/>
      <c r="X195" s="1452"/>
      <c r="Y195" s="1452"/>
      <c r="Z195" s="1452"/>
      <c r="AA195" s="1452"/>
      <c r="AB195" s="1452"/>
      <c r="AC195" s="1452"/>
      <c r="AD195" s="1452"/>
      <c r="AE195" s="1452"/>
    </row>
    <row r="196" spans="1:31">
      <c r="A196" s="1452"/>
      <c r="B196" s="1452"/>
      <c r="C196" s="1452"/>
      <c r="D196" s="1452"/>
      <c r="E196" s="1452"/>
      <c r="F196" s="1452"/>
      <c r="G196" s="1452"/>
      <c r="H196" s="1452"/>
      <c r="I196" s="1452"/>
      <c r="J196" s="1452"/>
      <c r="K196" s="1452"/>
      <c r="L196" s="1452"/>
      <c r="M196" s="1452"/>
      <c r="N196" s="1452"/>
      <c r="O196" s="1452"/>
      <c r="P196" s="1452"/>
      <c r="Q196" s="1452"/>
      <c r="R196" s="1452"/>
      <c r="S196" s="1452"/>
      <c r="T196" s="1452"/>
      <c r="U196" s="1452"/>
      <c r="V196" s="1452"/>
      <c r="W196" s="1452"/>
      <c r="X196" s="1452"/>
      <c r="Y196" s="1452"/>
      <c r="Z196" s="1452"/>
      <c r="AA196" s="1452"/>
      <c r="AB196" s="1452"/>
      <c r="AC196" s="1452"/>
      <c r="AD196" s="1452"/>
      <c r="AE196" s="1452"/>
    </row>
    <row r="197" spans="1:31">
      <c r="A197" s="1461" t="s">
        <v>1223</v>
      </c>
      <c r="B197" s="1452"/>
      <c r="C197" s="1452"/>
      <c r="D197" s="1452"/>
      <c r="E197" s="1452"/>
      <c r="F197" s="1452"/>
      <c r="G197" s="1452"/>
      <c r="H197" s="1452"/>
      <c r="I197" s="1452"/>
      <c r="J197" s="1452"/>
      <c r="K197" s="1452"/>
      <c r="L197" s="1452"/>
      <c r="M197" s="1452"/>
      <c r="N197" s="1452"/>
      <c r="O197" s="1452"/>
      <c r="P197" s="1452"/>
      <c r="Q197" s="1452"/>
      <c r="R197" s="3430"/>
      <c r="S197" s="3430"/>
      <c r="T197" s="3430"/>
      <c r="U197" s="3430"/>
      <c r="V197" s="1452"/>
      <c r="W197" s="1452"/>
      <c r="X197" s="1452"/>
      <c r="Y197" s="1452"/>
      <c r="Z197" s="1452"/>
      <c r="AA197" s="1452"/>
      <c r="AB197" s="1452"/>
      <c r="AC197" s="1452"/>
      <c r="AD197" s="1452"/>
      <c r="AE197" s="1452"/>
    </row>
    <row r="198" spans="1:31">
      <c r="A198" s="1454"/>
      <c r="B198" s="1452"/>
      <c r="C198" s="1452"/>
      <c r="D198" s="1452"/>
      <c r="E198" s="1452"/>
      <c r="F198" s="1452"/>
      <c r="G198" s="1452"/>
      <c r="H198" s="1452"/>
      <c r="I198" s="1452"/>
      <c r="J198" s="1452"/>
      <c r="K198" s="1452"/>
      <c r="L198" s="1452"/>
      <c r="M198" s="1452"/>
      <c r="N198" s="1452"/>
      <c r="O198" s="1452"/>
      <c r="P198" s="1452"/>
      <c r="Q198" s="1452"/>
      <c r="R198" s="1452"/>
      <c r="S198" s="1452"/>
      <c r="T198" s="1452"/>
      <c r="U198" s="1452"/>
      <c r="V198" s="1452"/>
      <c r="W198" s="1452"/>
      <c r="X198" s="1452"/>
      <c r="Y198" s="1452"/>
      <c r="Z198" s="1452"/>
      <c r="AA198" s="1452"/>
      <c r="AB198" s="1452"/>
      <c r="AC198" s="1452"/>
      <c r="AD198" s="1452"/>
      <c r="AE198" s="1452"/>
    </row>
    <row r="199" spans="1:31" ht="13.5" thickBot="1">
      <c r="A199" s="1454" t="s">
        <v>1224</v>
      </c>
      <c r="B199" s="1452"/>
      <c r="C199" s="1452"/>
      <c r="D199" s="1452"/>
      <c r="E199" s="1452"/>
      <c r="F199" s="1452"/>
      <c r="G199" s="1452"/>
      <c r="H199" s="1452"/>
      <c r="I199" s="1452"/>
      <c r="J199" s="1452"/>
      <c r="K199" s="1452"/>
      <c r="L199" s="1452"/>
      <c r="M199" s="1452"/>
      <c r="N199" s="1452"/>
      <c r="O199" s="1452"/>
      <c r="P199" s="1452"/>
      <c r="Q199" s="1452"/>
      <c r="R199" s="3431"/>
      <c r="S199" s="3431"/>
      <c r="T199" s="3431"/>
      <c r="U199" s="3431"/>
      <c r="V199" s="1452"/>
      <c r="W199" s="1452"/>
      <c r="X199" s="1452"/>
      <c r="Y199" s="1452"/>
      <c r="Z199" s="1452"/>
      <c r="AA199" s="1452"/>
      <c r="AB199" s="1452"/>
      <c r="AC199" s="1452"/>
      <c r="AD199" s="1452"/>
      <c r="AE199" s="1452"/>
    </row>
    <row r="200" spans="1:31" ht="13.5" thickTop="1">
      <c r="A200" s="1456"/>
      <c r="B200" s="1452"/>
      <c r="C200" s="1452"/>
      <c r="D200" s="1452"/>
      <c r="E200" s="1452"/>
      <c r="F200" s="1452"/>
      <c r="G200" s="1452"/>
      <c r="H200" s="1452"/>
      <c r="I200" s="1452"/>
      <c r="J200" s="1452"/>
      <c r="K200" s="1452"/>
      <c r="L200" s="1452"/>
      <c r="M200" s="1452"/>
      <c r="N200" s="1452"/>
      <c r="O200" s="1452"/>
      <c r="P200" s="1452"/>
      <c r="Q200" s="1452"/>
      <c r="R200" s="1452"/>
      <c r="S200" s="1452"/>
      <c r="T200" s="1452"/>
      <c r="U200" s="1452"/>
      <c r="V200" s="1452"/>
      <c r="W200" s="1452"/>
      <c r="X200" s="1452"/>
      <c r="Y200" s="1452"/>
      <c r="Z200" s="1452"/>
      <c r="AA200" s="1452"/>
      <c r="AB200" s="1452"/>
      <c r="AC200" s="1452"/>
      <c r="AD200" s="1452"/>
      <c r="AE200" s="1452"/>
    </row>
  </sheetData>
  <mergeCells count="191">
    <mergeCell ref="R19:U19"/>
    <mergeCell ref="J23:M23"/>
    <mergeCell ref="AF23:AI23"/>
    <mergeCell ref="J24:M24"/>
    <mergeCell ref="AF24:AI24"/>
    <mergeCell ref="N25:Q25"/>
    <mergeCell ref="AF25:AI25"/>
    <mergeCell ref="E4:F4"/>
    <mergeCell ref="J14:M14"/>
    <mergeCell ref="J15:M15"/>
    <mergeCell ref="N16:Q16"/>
    <mergeCell ref="N17:Q17"/>
    <mergeCell ref="N18:Q18"/>
    <mergeCell ref="N13:Q13"/>
    <mergeCell ref="N22:Q22"/>
    <mergeCell ref="R30:U30"/>
    <mergeCell ref="R32:U32"/>
    <mergeCell ref="AF33:AI33"/>
    <mergeCell ref="AF34:AI34"/>
    <mergeCell ref="J35:M35"/>
    <mergeCell ref="AF35:AI35"/>
    <mergeCell ref="N26:Q26"/>
    <mergeCell ref="AF26:AI26"/>
    <mergeCell ref="N27:Q27"/>
    <mergeCell ref="AF27:AI27"/>
    <mergeCell ref="M28:Q28"/>
    <mergeCell ref="R28:U28"/>
    <mergeCell ref="AF28:AI28"/>
    <mergeCell ref="AF32:AI32"/>
    <mergeCell ref="R39:U39"/>
    <mergeCell ref="AF39:AI39"/>
    <mergeCell ref="J42:M42"/>
    <mergeCell ref="J43:M43"/>
    <mergeCell ref="N44:Q44"/>
    <mergeCell ref="AF44:AI44"/>
    <mergeCell ref="J36:M36"/>
    <mergeCell ref="AF36:AI36"/>
    <mergeCell ref="N37:Q37"/>
    <mergeCell ref="AF37:AI37"/>
    <mergeCell ref="N38:Q38"/>
    <mergeCell ref="AF38:AI38"/>
    <mergeCell ref="J60:M60"/>
    <mergeCell ref="N61:Q61"/>
    <mergeCell ref="AF62:AI62"/>
    <mergeCell ref="J63:M63"/>
    <mergeCell ref="J64:M64"/>
    <mergeCell ref="N65:Q65"/>
    <mergeCell ref="N45:Q45"/>
    <mergeCell ref="AF45:AI45"/>
    <mergeCell ref="R46:U46"/>
    <mergeCell ref="AF46:AI46"/>
    <mergeCell ref="J54:AB54"/>
    <mergeCell ref="J59:M59"/>
    <mergeCell ref="N55:Q55"/>
    <mergeCell ref="J55:M55"/>
    <mergeCell ref="J56:M56"/>
    <mergeCell ref="J57:M57"/>
    <mergeCell ref="N57:Q57"/>
    <mergeCell ref="R71:U71"/>
    <mergeCell ref="R73:U73"/>
    <mergeCell ref="L75:M75"/>
    <mergeCell ref="R75:U75"/>
    <mergeCell ref="K76:M76"/>
    <mergeCell ref="AF76:AI76"/>
    <mergeCell ref="AF66:AI66"/>
    <mergeCell ref="J67:M67"/>
    <mergeCell ref="AF67:AI67"/>
    <mergeCell ref="J68:M68"/>
    <mergeCell ref="AF68:AI68"/>
    <mergeCell ref="N69:Q69"/>
    <mergeCell ref="AF75:AI75"/>
    <mergeCell ref="N81:Q81"/>
    <mergeCell ref="AF81:AI81"/>
    <mergeCell ref="R82:U82"/>
    <mergeCell ref="AF82:AI82"/>
    <mergeCell ref="J85:M85"/>
    <mergeCell ref="J86:M86"/>
    <mergeCell ref="AF86:AI86"/>
    <mergeCell ref="AF77:AI77"/>
    <mergeCell ref="J78:M78"/>
    <mergeCell ref="AF78:AI78"/>
    <mergeCell ref="J79:M79"/>
    <mergeCell ref="AF79:AI79"/>
    <mergeCell ref="N80:Q80"/>
    <mergeCell ref="AF80:AI80"/>
    <mergeCell ref="N93:Q93"/>
    <mergeCell ref="N94:Q94"/>
    <mergeCell ref="R95:U95"/>
    <mergeCell ref="R97:U97"/>
    <mergeCell ref="R99:U99"/>
    <mergeCell ref="R101:U101"/>
    <mergeCell ref="N87:Q87"/>
    <mergeCell ref="AF87:AI87"/>
    <mergeCell ref="N88:Q88"/>
    <mergeCell ref="AF88:AI88"/>
    <mergeCell ref="R89:U89"/>
    <mergeCell ref="N92:Q92"/>
    <mergeCell ref="R116:U116"/>
    <mergeCell ref="J120:M120"/>
    <mergeCell ref="AF120:AI120"/>
    <mergeCell ref="J121:M121"/>
    <mergeCell ref="AF121:AI121"/>
    <mergeCell ref="N122:Q122"/>
    <mergeCell ref="AF122:AI122"/>
    <mergeCell ref="R103:U103"/>
    <mergeCell ref="J111:M111"/>
    <mergeCell ref="J112:M112"/>
    <mergeCell ref="N113:Q113"/>
    <mergeCell ref="N114:Q114"/>
    <mergeCell ref="N115:Q115"/>
    <mergeCell ref="N110:Q110"/>
    <mergeCell ref="N119:Q119"/>
    <mergeCell ref="AF130:AI130"/>
    <mergeCell ref="AF131:AI131"/>
    <mergeCell ref="J132:M132"/>
    <mergeCell ref="AF132:AI132"/>
    <mergeCell ref="J133:M133"/>
    <mergeCell ref="AF133:AI133"/>
    <mergeCell ref="N123:Q123"/>
    <mergeCell ref="N124:Q124"/>
    <mergeCell ref="M125:Q125"/>
    <mergeCell ref="R125:U125"/>
    <mergeCell ref="R127:U127"/>
    <mergeCell ref="R129:U129"/>
    <mergeCell ref="AF129:AI129"/>
    <mergeCell ref="AF138:AI138"/>
    <mergeCell ref="J139:M139"/>
    <mergeCell ref="J140:M140"/>
    <mergeCell ref="N141:Q141"/>
    <mergeCell ref="N142:Q142"/>
    <mergeCell ref="AF142:AI142"/>
    <mergeCell ref="N134:Q134"/>
    <mergeCell ref="AF134:AI134"/>
    <mergeCell ref="N135:Q135"/>
    <mergeCell ref="AF135:AI135"/>
    <mergeCell ref="R136:U136"/>
    <mergeCell ref="AF136:AI136"/>
    <mergeCell ref="N157:Q157"/>
    <mergeCell ref="AF158:AI158"/>
    <mergeCell ref="J159:M159"/>
    <mergeCell ref="J160:M160"/>
    <mergeCell ref="N161:Q161"/>
    <mergeCell ref="AF162:AI162"/>
    <mergeCell ref="R143:U143"/>
    <mergeCell ref="AF143:AI143"/>
    <mergeCell ref="AF144:AI144"/>
    <mergeCell ref="J150:AB150"/>
    <mergeCell ref="J155:M155"/>
    <mergeCell ref="J156:M156"/>
    <mergeCell ref="J151:M151"/>
    <mergeCell ref="J152:M152"/>
    <mergeCell ref="N153:Q153"/>
    <mergeCell ref="R169:U169"/>
    <mergeCell ref="R171:U171"/>
    <mergeCell ref="K172:M172"/>
    <mergeCell ref="AF172:AI172"/>
    <mergeCell ref="AF173:AI173"/>
    <mergeCell ref="J174:M174"/>
    <mergeCell ref="AF174:AI174"/>
    <mergeCell ref="J163:M163"/>
    <mergeCell ref="AF163:AI163"/>
    <mergeCell ref="J164:M164"/>
    <mergeCell ref="AF164:AI164"/>
    <mergeCell ref="N165:Q165"/>
    <mergeCell ref="R167:U167"/>
    <mergeCell ref="AF171:AI171"/>
    <mergeCell ref="R178:U178"/>
    <mergeCell ref="AF178:AI178"/>
    <mergeCell ref="AF180:AI180"/>
    <mergeCell ref="J181:M181"/>
    <mergeCell ref="J182:M182"/>
    <mergeCell ref="N183:Q183"/>
    <mergeCell ref="AF183:AI183"/>
    <mergeCell ref="J175:M175"/>
    <mergeCell ref="AF175:AI175"/>
    <mergeCell ref="N176:Q176"/>
    <mergeCell ref="AF176:AI176"/>
    <mergeCell ref="N177:Q177"/>
    <mergeCell ref="AF177:AI177"/>
    <mergeCell ref="N190:Q190"/>
    <mergeCell ref="R191:U191"/>
    <mergeCell ref="R193:U193"/>
    <mergeCell ref="R195:U195"/>
    <mergeCell ref="R197:U197"/>
    <mergeCell ref="R199:U199"/>
    <mergeCell ref="N184:Q184"/>
    <mergeCell ref="AF184:AI184"/>
    <mergeCell ref="R185:U185"/>
    <mergeCell ref="AF185:AI185"/>
    <mergeCell ref="N188:Q188"/>
    <mergeCell ref="N189:Q18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N2020"/>
  <sheetViews>
    <sheetView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B29" sqref="B29"/>
    </sheetView>
  </sheetViews>
  <sheetFormatPr defaultRowHeight="12.75"/>
  <cols>
    <col min="3" max="3" width="14.7109375" customWidth="1"/>
    <col min="4" max="14" width="10.7109375" customWidth="1"/>
  </cols>
  <sheetData>
    <row r="1" spans="1:14" ht="18">
      <c r="A1" s="701" t="s">
        <v>598</v>
      </c>
      <c r="B1" s="701"/>
      <c r="C1" s="702"/>
      <c r="D1" s="703"/>
      <c r="E1" s="704"/>
      <c r="F1" s="705"/>
      <c r="G1" s="706"/>
      <c r="H1" s="705"/>
      <c r="I1" s="705"/>
      <c r="J1" s="707"/>
      <c r="K1" s="706"/>
      <c r="L1" s="705"/>
      <c r="M1" s="705"/>
      <c r="N1" s="705"/>
    </row>
    <row r="2" spans="1:14" ht="18">
      <c r="A2" s="702"/>
      <c r="B2" s="702"/>
      <c r="C2" s="702"/>
      <c r="D2" s="703"/>
      <c r="E2" s="704"/>
      <c r="F2" s="705"/>
      <c r="G2" s="706"/>
      <c r="H2" s="705"/>
      <c r="I2" s="705"/>
      <c r="J2" s="708"/>
      <c r="K2" s="706"/>
      <c r="L2" s="705"/>
      <c r="M2" s="705"/>
      <c r="N2" s="705"/>
    </row>
    <row r="3" spans="1:14" ht="15">
      <c r="A3" s="1628" t="s">
        <v>565</v>
      </c>
      <c r="B3" s="1628"/>
      <c r="C3" s="1628"/>
      <c r="D3" s="709" t="s">
        <v>599</v>
      </c>
      <c r="E3" s="710" t="s">
        <v>600</v>
      </c>
      <c r="F3" s="711" t="s">
        <v>601</v>
      </c>
      <c r="G3" s="712" t="s">
        <v>1381</v>
      </c>
      <c r="H3" s="711" t="s">
        <v>602</v>
      </c>
      <c r="I3" s="711" t="s">
        <v>603</v>
      </c>
      <c r="J3" s="713" t="s">
        <v>1382</v>
      </c>
      <c r="K3" s="712" t="s">
        <v>1383</v>
      </c>
      <c r="L3" s="711" t="s">
        <v>604</v>
      </c>
      <c r="M3" s="711" t="s">
        <v>605</v>
      </c>
      <c r="N3" s="711" t="s">
        <v>606</v>
      </c>
    </row>
    <row r="4" spans="1:14" ht="15">
      <c r="A4" s="705"/>
      <c r="B4" s="705"/>
      <c r="C4" s="714"/>
      <c r="D4" s="703"/>
      <c r="E4" s="710"/>
      <c r="F4" s="705"/>
      <c r="G4" s="706"/>
      <c r="H4" s="705"/>
      <c r="I4" s="705"/>
      <c r="J4" s="708"/>
      <c r="K4" s="706"/>
      <c r="L4" s="705"/>
      <c r="M4" s="705"/>
      <c r="N4" s="705"/>
    </row>
    <row r="5" spans="1:14" ht="15">
      <c r="A5" s="715" t="s">
        <v>607</v>
      </c>
      <c r="B5" s="715"/>
      <c r="C5" s="716"/>
      <c r="D5" s="703"/>
      <c r="E5" s="710"/>
      <c r="F5" s="705"/>
      <c r="G5" s="706"/>
      <c r="H5" s="705"/>
      <c r="I5" s="705"/>
      <c r="J5" s="708"/>
      <c r="K5" s="706"/>
      <c r="L5" s="705"/>
      <c r="M5" s="705"/>
      <c r="N5" s="705"/>
    </row>
    <row r="6" spans="1:14" ht="15">
      <c r="A6" s="715"/>
      <c r="B6" s="715" t="s">
        <v>608</v>
      </c>
      <c r="C6" s="716"/>
      <c r="D6" s="717"/>
      <c r="E6" s="710"/>
      <c r="F6" s="705"/>
      <c r="G6" s="706"/>
      <c r="H6" s="705"/>
      <c r="I6" s="705"/>
      <c r="J6" s="718"/>
      <c r="K6" s="706"/>
      <c r="L6" s="705"/>
      <c r="M6" s="705"/>
      <c r="N6" s="705"/>
    </row>
    <row r="7" spans="1:14" ht="15">
      <c r="A7" s="705"/>
      <c r="B7" s="705"/>
      <c r="C7" s="719">
        <v>40544</v>
      </c>
      <c r="D7" s="717">
        <v>9044</v>
      </c>
      <c r="E7" s="720">
        <v>8989.9599999999991</v>
      </c>
      <c r="F7" s="720">
        <v>14016.39</v>
      </c>
      <c r="G7" s="720">
        <v>11883.59</v>
      </c>
      <c r="H7" s="720">
        <v>8898.07</v>
      </c>
      <c r="I7" s="720">
        <v>6886.99</v>
      </c>
      <c r="J7" s="721">
        <v>107.9</v>
      </c>
      <c r="K7" s="720">
        <v>1163.1300000000001</v>
      </c>
      <c r="L7" s="720">
        <v>299.89</v>
      </c>
      <c r="M7" s="720">
        <v>2883.17</v>
      </c>
      <c r="N7" s="720">
        <v>199.72</v>
      </c>
    </row>
    <row r="8" spans="1:14" ht="15">
      <c r="A8" s="705"/>
      <c r="B8" s="705"/>
      <c r="C8" s="719">
        <v>40545</v>
      </c>
      <c r="D8" s="717">
        <v>9044</v>
      </c>
      <c r="E8" s="720">
        <v>8989.9599999999991</v>
      </c>
      <c r="F8" s="720">
        <v>14016.39</v>
      </c>
      <c r="G8" s="720">
        <v>11883.59</v>
      </c>
      <c r="H8" s="720">
        <v>8898.07</v>
      </c>
      <c r="I8" s="720">
        <v>6886.99</v>
      </c>
      <c r="J8" s="721">
        <v>107.9</v>
      </c>
      <c r="K8" s="720">
        <v>1163.1300000000001</v>
      </c>
      <c r="L8" s="720">
        <v>299.89</v>
      </c>
      <c r="M8" s="720">
        <v>2883.17</v>
      </c>
      <c r="N8" s="720">
        <v>199.72</v>
      </c>
    </row>
    <row r="9" spans="1:14" ht="15">
      <c r="A9" s="705"/>
      <c r="B9" s="705"/>
      <c r="C9" s="719">
        <v>40546</v>
      </c>
      <c r="D9" s="717">
        <v>9008</v>
      </c>
      <c r="E9" s="720">
        <v>9115.02</v>
      </c>
      <c r="F9" s="720">
        <v>13889.62</v>
      </c>
      <c r="G9" s="720">
        <v>11892.18</v>
      </c>
      <c r="H9" s="720">
        <v>8992.35</v>
      </c>
      <c r="I9" s="720">
        <v>6960.61</v>
      </c>
      <c r="J9" s="721">
        <v>109.81</v>
      </c>
      <c r="K9" s="720">
        <v>1157.5</v>
      </c>
      <c r="L9" s="720">
        <v>298.75</v>
      </c>
      <c r="M9" s="720">
        <v>2917.42</v>
      </c>
      <c r="N9" s="720">
        <v>199.79</v>
      </c>
    </row>
    <row r="10" spans="1:14" ht="15">
      <c r="A10" s="705"/>
      <c r="B10" s="705"/>
      <c r="C10" s="719">
        <v>40547</v>
      </c>
      <c r="D10" s="717">
        <v>9008</v>
      </c>
      <c r="E10" s="720">
        <v>9115.02</v>
      </c>
      <c r="F10" s="720">
        <v>13889.62</v>
      </c>
      <c r="G10" s="720">
        <v>11892.18</v>
      </c>
      <c r="H10" s="720">
        <v>8992.35</v>
      </c>
      <c r="I10" s="720">
        <v>6960.61</v>
      </c>
      <c r="J10" s="721">
        <v>109.81</v>
      </c>
      <c r="K10" s="720">
        <v>1157.5</v>
      </c>
      <c r="L10" s="720">
        <v>298.75</v>
      </c>
      <c r="M10" s="720">
        <v>2917.42</v>
      </c>
      <c r="N10" s="720">
        <v>199.79</v>
      </c>
    </row>
    <row r="11" spans="1:14" ht="15">
      <c r="A11" s="705"/>
      <c r="B11" s="705"/>
      <c r="C11" s="719">
        <v>40548</v>
      </c>
      <c r="D11" s="717">
        <v>9008</v>
      </c>
      <c r="E11" s="720">
        <v>9115.02</v>
      </c>
      <c r="F11" s="720">
        <v>13889.62</v>
      </c>
      <c r="G11" s="720">
        <v>11892.18</v>
      </c>
      <c r="H11" s="720">
        <v>8992.35</v>
      </c>
      <c r="I11" s="720">
        <v>6960.61</v>
      </c>
      <c r="J11" s="721">
        <v>109.81</v>
      </c>
      <c r="K11" s="720">
        <v>1157.5</v>
      </c>
      <c r="L11" s="720">
        <v>298.75</v>
      </c>
      <c r="M11" s="720">
        <v>2917.42</v>
      </c>
      <c r="N11" s="720">
        <v>199.79</v>
      </c>
    </row>
    <row r="12" spans="1:14" ht="15">
      <c r="A12" s="705"/>
      <c r="B12" s="705"/>
      <c r="C12" s="719">
        <v>40549</v>
      </c>
      <c r="D12" s="717">
        <v>9008</v>
      </c>
      <c r="E12" s="720">
        <v>9115.02</v>
      </c>
      <c r="F12" s="720">
        <v>13889.62</v>
      </c>
      <c r="G12" s="720">
        <v>11892.18</v>
      </c>
      <c r="H12" s="720">
        <v>8992.35</v>
      </c>
      <c r="I12" s="720">
        <v>6960.61</v>
      </c>
      <c r="J12" s="721">
        <v>109.81</v>
      </c>
      <c r="K12" s="720">
        <v>1157.5</v>
      </c>
      <c r="L12" s="720">
        <v>298.75</v>
      </c>
      <c r="M12" s="720">
        <v>2917.42</v>
      </c>
      <c r="N12" s="720">
        <v>199.79</v>
      </c>
    </row>
    <row r="13" spans="1:14" ht="15">
      <c r="A13" s="705"/>
      <c r="B13" s="705"/>
      <c r="C13" s="719">
        <v>40550</v>
      </c>
      <c r="D13" s="717">
        <v>9008</v>
      </c>
      <c r="E13" s="720">
        <v>9115.02</v>
      </c>
      <c r="F13" s="720">
        <v>13889.62</v>
      </c>
      <c r="G13" s="720">
        <v>11892.18</v>
      </c>
      <c r="H13" s="720">
        <v>8992.35</v>
      </c>
      <c r="I13" s="720">
        <v>6960.61</v>
      </c>
      <c r="J13" s="721">
        <v>109.81</v>
      </c>
      <c r="K13" s="720">
        <v>1157.5</v>
      </c>
      <c r="L13" s="720">
        <v>298.75</v>
      </c>
      <c r="M13" s="720">
        <v>2917.42</v>
      </c>
      <c r="N13" s="720">
        <v>199.79</v>
      </c>
    </row>
    <row r="14" spans="1:14" ht="15">
      <c r="A14" s="705"/>
      <c r="B14" s="705"/>
      <c r="C14" s="719">
        <v>40551</v>
      </c>
      <c r="D14" s="717">
        <v>9008</v>
      </c>
      <c r="E14" s="720">
        <v>9115.02</v>
      </c>
      <c r="F14" s="720">
        <v>13889.62</v>
      </c>
      <c r="G14" s="720">
        <v>11892.18</v>
      </c>
      <c r="H14" s="720">
        <v>8992.35</v>
      </c>
      <c r="I14" s="720">
        <v>6960.61</v>
      </c>
      <c r="J14" s="721">
        <v>109.81</v>
      </c>
      <c r="K14" s="720">
        <v>1157.5</v>
      </c>
      <c r="L14" s="720">
        <v>298.75</v>
      </c>
      <c r="M14" s="720">
        <v>2917.42</v>
      </c>
      <c r="N14" s="720">
        <v>199.79</v>
      </c>
    </row>
    <row r="15" spans="1:14" ht="15">
      <c r="A15" s="705"/>
      <c r="B15" s="705"/>
      <c r="C15" s="719">
        <v>40552</v>
      </c>
      <c r="D15" s="717">
        <v>9008</v>
      </c>
      <c r="E15" s="720">
        <v>9115.02</v>
      </c>
      <c r="F15" s="720">
        <v>13889.62</v>
      </c>
      <c r="G15" s="720">
        <v>11892.18</v>
      </c>
      <c r="H15" s="720">
        <v>8992.35</v>
      </c>
      <c r="I15" s="720">
        <v>6960.61</v>
      </c>
      <c r="J15" s="721">
        <v>109.81</v>
      </c>
      <c r="K15" s="720">
        <v>1157.5</v>
      </c>
      <c r="L15" s="720">
        <v>298.75</v>
      </c>
      <c r="M15" s="720">
        <v>2917.42</v>
      </c>
      <c r="N15" s="720">
        <v>199.79</v>
      </c>
    </row>
    <row r="16" spans="1:14" ht="15">
      <c r="A16" s="705"/>
      <c r="B16" s="705"/>
      <c r="C16" s="719">
        <v>40553</v>
      </c>
      <c r="D16" s="717">
        <v>8992</v>
      </c>
      <c r="E16" s="720">
        <v>9007.65</v>
      </c>
      <c r="F16" s="720">
        <v>13941.2</v>
      </c>
      <c r="G16" s="720">
        <v>11837.43</v>
      </c>
      <c r="H16" s="720">
        <v>9024.49</v>
      </c>
      <c r="I16" s="720">
        <v>6963.85</v>
      </c>
      <c r="J16" s="721">
        <v>108.68</v>
      </c>
      <c r="K16" s="720">
        <v>1157.07</v>
      </c>
      <c r="L16" s="720">
        <v>297.91000000000003</v>
      </c>
      <c r="M16" s="720">
        <v>2930.75</v>
      </c>
      <c r="N16" s="720">
        <v>199.51</v>
      </c>
    </row>
    <row r="17" spans="1:14" ht="15">
      <c r="A17" s="705"/>
      <c r="B17" s="705"/>
      <c r="C17" s="719">
        <v>40554</v>
      </c>
      <c r="D17" s="717">
        <v>8992</v>
      </c>
      <c r="E17" s="720">
        <v>9007.65</v>
      </c>
      <c r="F17" s="720">
        <v>13941.2</v>
      </c>
      <c r="G17" s="720">
        <v>11837.43</v>
      </c>
      <c r="H17" s="720">
        <v>9024.49</v>
      </c>
      <c r="I17" s="720">
        <v>6963.85</v>
      </c>
      <c r="J17" s="721">
        <v>108.68</v>
      </c>
      <c r="K17" s="720">
        <v>1157.07</v>
      </c>
      <c r="L17" s="720">
        <v>297.91000000000003</v>
      </c>
      <c r="M17" s="720">
        <v>2930.75</v>
      </c>
      <c r="N17" s="720">
        <v>199.51</v>
      </c>
    </row>
    <row r="18" spans="1:14" ht="15">
      <c r="A18" s="705"/>
      <c r="B18" s="705"/>
      <c r="C18" s="719">
        <v>40555</v>
      </c>
      <c r="D18" s="717">
        <v>8992</v>
      </c>
      <c r="E18" s="720">
        <v>9007.65</v>
      </c>
      <c r="F18" s="720">
        <v>13941.2</v>
      </c>
      <c r="G18" s="720">
        <v>11837.43</v>
      </c>
      <c r="H18" s="720">
        <v>9024.49</v>
      </c>
      <c r="I18" s="720">
        <v>6963.85</v>
      </c>
      <c r="J18" s="721">
        <v>108.68</v>
      </c>
      <c r="K18" s="720">
        <v>1157.07</v>
      </c>
      <c r="L18" s="720">
        <v>297.91000000000003</v>
      </c>
      <c r="M18" s="720">
        <v>2930.75</v>
      </c>
      <c r="N18" s="720">
        <v>199.51</v>
      </c>
    </row>
    <row r="19" spans="1:14" ht="15">
      <c r="A19" s="705"/>
      <c r="B19" s="705"/>
      <c r="C19" s="719">
        <v>40556</v>
      </c>
      <c r="D19" s="717">
        <v>8992</v>
      </c>
      <c r="E19" s="720">
        <v>9007.65</v>
      </c>
      <c r="F19" s="720">
        <v>13941.2</v>
      </c>
      <c r="G19" s="720">
        <v>11837.43</v>
      </c>
      <c r="H19" s="720">
        <v>9024.49</v>
      </c>
      <c r="I19" s="720">
        <v>6963.85</v>
      </c>
      <c r="J19" s="721">
        <v>108.68</v>
      </c>
      <c r="K19" s="720">
        <v>1157.07</v>
      </c>
      <c r="L19" s="720">
        <v>297.91000000000003</v>
      </c>
      <c r="M19" s="720">
        <v>2930.75</v>
      </c>
      <c r="N19" s="720">
        <v>199.51</v>
      </c>
    </row>
    <row r="20" spans="1:14" ht="15">
      <c r="A20" s="705"/>
      <c r="B20" s="705"/>
      <c r="C20" s="719">
        <v>40557</v>
      </c>
      <c r="D20" s="717">
        <v>8992</v>
      </c>
      <c r="E20" s="720">
        <v>9007.65</v>
      </c>
      <c r="F20" s="720">
        <v>13941.2</v>
      </c>
      <c r="G20" s="720">
        <v>11837.43</v>
      </c>
      <c r="H20" s="720">
        <v>9024.49</v>
      </c>
      <c r="I20" s="720">
        <v>6963.85</v>
      </c>
      <c r="J20" s="721">
        <v>108.68</v>
      </c>
      <c r="K20" s="720">
        <v>1157.07</v>
      </c>
      <c r="L20" s="720">
        <v>297.91000000000003</v>
      </c>
      <c r="M20" s="720">
        <v>2930.75</v>
      </c>
      <c r="N20" s="720">
        <v>199.51</v>
      </c>
    </row>
    <row r="21" spans="1:14" ht="15">
      <c r="A21" s="705"/>
      <c r="B21" s="705"/>
      <c r="C21" s="719">
        <v>40558</v>
      </c>
      <c r="D21" s="717">
        <v>8992</v>
      </c>
      <c r="E21" s="720">
        <v>9007.65</v>
      </c>
      <c r="F21" s="720">
        <v>13941.2</v>
      </c>
      <c r="G21" s="720">
        <v>11837.43</v>
      </c>
      <c r="H21" s="720">
        <v>9024.49</v>
      </c>
      <c r="I21" s="720">
        <v>6963.85</v>
      </c>
      <c r="J21" s="721">
        <v>108.68</v>
      </c>
      <c r="K21" s="720">
        <v>1157.07</v>
      </c>
      <c r="L21" s="720">
        <v>297.91000000000003</v>
      </c>
      <c r="M21" s="720">
        <v>2930.75</v>
      </c>
      <c r="N21" s="720">
        <v>199.51</v>
      </c>
    </row>
    <row r="22" spans="1:14" ht="15">
      <c r="A22" s="705"/>
      <c r="B22" s="705"/>
      <c r="C22" s="719">
        <v>40559</v>
      </c>
      <c r="D22" s="717">
        <v>8992</v>
      </c>
      <c r="E22" s="720">
        <v>9007.65</v>
      </c>
      <c r="F22" s="720">
        <v>13941.2</v>
      </c>
      <c r="G22" s="720">
        <v>11837.43</v>
      </c>
      <c r="H22" s="720">
        <v>9024.49</v>
      </c>
      <c r="I22" s="720">
        <v>6963.85</v>
      </c>
      <c r="J22" s="721">
        <v>108.68</v>
      </c>
      <c r="K22" s="720">
        <v>1157.07</v>
      </c>
      <c r="L22" s="720">
        <v>297.91000000000003</v>
      </c>
      <c r="M22" s="720">
        <v>2930.75</v>
      </c>
      <c r="N22" s="720">
        <v>199.51</v>
      </c>
    </row>
    <row r="23" spans="1:14" ht="15">
      <c r="A23" s="705"/>
      <c r="B23" s="705"/>
      <c r="C23" s="719">
        <v>40560</v>
      </c>
      <c r="D23" s="717">
        <v>9068</v>
      </c>
      <c r="E23" s="720">
        <v>9018.49</v>
      </c>
      <c r="F23" s="720">
        <v>14261.79</v>
      </c>
      <c r="G23" s="720">
        <v>11912.63</v>
      </c>
      <c r="H23" s="720">
        <v>9163.2999999999993</v>
      </c>
      <c r="I23" s="720">
        <v>7026.95</v>
      </c>
      <c r="J23" s="721">
        <v>109.33</v>
      </c>
      <c r="K23" s="720">
        <v>1166.31</v>
      </c>
      <c r="L23" s="720">
        <v>297.41000000000003</v>
      </c>
      <c r="M23" s="720">
        <v>2958.14</v>
      </c>
      <c r="N23" s="720">
        <v>200.41</v>
      </c>
    </row>
    <row r="24" spans="1:14" ht="15">
      <c r="A24" s="705"/>
      <c r="B24" s="705"/>
      <c r="C24" s="719">
        <v>40561</v>
      </c>
      <c r="D24" s="717">
        <v>9068</v>
      </c>
      <c r="E24" s="720">
        <v>9018.49</v>
      </c>
      <c r="F24" s="720">
        <v>14261.79</v>
      </c>
      <c r="G24" s="720">
        <v>11912.63</v>
      </c>
      <c r="H24" s="720">
        <v>9163.2999999999993</v>
      </c>
      <c r="I24" s="720">
        <v>7026.95</v>
      </c>
      <c r="J24" s="721">
        <v>109.33</v>
      </c>
      <c r="K24" s="720">
        <v>1166.31</v>
      </c>
      <c r="L24" s="720">
        <v>297.41000000000003</v>
      </c>
      <c r="M24" s="720">
        <v>2958.14</v>
      </c>
      <c r="N24" s="720">
        <v>200.41</v>
      </c>
    </row>
    <row r="25" spans="1:14" ht="15">
      <c r="A25" s="705"/>
      <c r="B25" s="705"/>
      <c r="C25" s="719">
        <v>40562</v>
      </c>
      <c r="D25" s="717">
        <v>9068</v>
      </c>
      <c r="E25" s="720">
        <v>9018.49</v>
      </c>
      <c r="F25" s="720">
        <v>14261.79</v>
      </c>
      <c r="G25" s="720">
        <v>11912.63</v>
      </c>
      <c r="H25" s="720">
        <v>9163.2999999999993</v>
      </c>
      <c r="I25" s="720">
        <v>7026.95</v>
      </c>
      <c r="J25" s="721">
        <v>109.33</v>
      </c>
      <c r="K25" s="720">
        <v>1166.31</v>
      </c>
      <c r="L25" s="720">
        <v>297.41000000000003</v>
      </c>
      <c r="M25" s="720">
        <v>2958.14</v>
      </c>
      <c r="N25" s="720">
        <v>200.41</v>
      </c>
    </row>
    <row r="26" spans="1:14" ht="15">
      <c r="A26" s="705"/>
      <c r="B26" s="705"/>
      <c r="C26" s="719">
        <v>40563</v>
      </c>
      <c r="D26" s="717">
        <v>9068</v>
      </c>
      <c r="E26" s="720">
        <v>9018.49</v>
      </c>
      <c r="F26" s="720">
        <v>14261.79</v>
      </c>
      <c r="G26" s="720">
        <v>11912.63</v>
      </c>
      <c r="H26" s="720">
        <v>9163.2999999999993</v>
      </c>
      <c r="I26" s="720">
        <v>7026.95</v>
      </c>
      <c r="J26" s="721">
        <v>109.33</v>
      </c>
      <c r="K26" s="720">
        <v>1166.31</v>
      </c>
      <c r="L26" s="720">
        <v>297.41000000000003</v>
      </c>
      <c r="M26" s="720">
        <v>2958.14</v>
      </c>
      <c r="N26" s="720">
        <v>200.41</v>
      </c>
    </row>
    <row r="27" spans="1:14" ht="15">
      <c r="A27" s="705"/>
      <c r="B27" s="705"/>
      <c r="C27" s="719">
        <v>40564</v>
      </c>
      <c r="D27" s="717">
        <v>9068</v>
      </c>
      <c r="E27" s="720">
        <v>9018.49</v>
      </c>
      <c r="F27" s="720">
        <v>14261.79</v>
      </c>
      <c r="G27" s="720">
        <v>11912.63</v>
      </c>
      <c r="H27" s="720">
        <v>9163.2999999999993</v>
      </c>
      <c r="I27" s="720">
        <v>7026.95</v>
      </c>
      <c r="J27" s="721">
        <v>109.33</v>
      </c>
      <c r="K27" s="720">
        <v>1166.31</v>
      </c>
      <c r="L27" s="720">
        <v>297.41000000000003</v>
      </c>
      <c r="M27" s="720">
        <v>2958.14</v>
      </c>
      <c r="N27" s="720">
        <v>200.41</v>
      </c>
    </row>
    <row r="28" spans="1:14" ht="15">
      <c r="A28" s="705"/>
      <c r="B28" s="705"/>
      <c r="C28" s="719">
        <v>40565</v>
      </c>
      <c r="D28" s="717">
        <v>9068</v>
      </c>
      <c r="E28" s="720">
        <v>9018.49</v>
      </c>
      <c r="F28" s="720">
        <v>14261.79</v>
      </c>
      <c r="G28" s="720">
        <v>11912.63</v>
      </c>
      <c r="H28" s="720">
        <v>9163.2999999999993</v>
      </c>
      <c r="I28" s="720">
        <v>7026.95</v>
      </c>
      <c r="J28" s="721">
        <v>109.33</v>
      </c>
      <c r="K28" s="720">
        <v>1166.31</v>
      </c>
      <c r="L28" s="720">
        <v>297.41000000000003</v>
      </c>
      <c r="M28" s="720">
        <v>2958.14</v>
      </c>
      <c r="N28" s="720">
        <v>200.41</v>
      </c>
    </row>
    <row r="29" spans="1:14" ht="15">
      <c r="A29" s="705"/>
      <c r="B29" s="705"/>
      <c r="C29" s="719">
        <v>40566</v>
      </c>
      <c r="D29" s="717">
        <v>9068</v>
      </c>
      <c r="E29" s="720">
        <v>9018.49</v>
      </c>
      <c r="F29" s="720">
        <v>14261.79</v>
      </c>
      <c r="G29" s="720">
        <v>11912.63</v>
      </c>
      <c r="H29" s="720">
        <v>9163.2999999999993</v>
      </c>
      <c r="I29" s="720">
        <v>7026.95</v>
      </c>
      <c r="J29" s="721">
        <v>109.33</v>
      </c>
      <c r="K29" s="720">
        <v>1166.31</v>
      </c>
      <c r="L29" s="720">
        <v>297.41000000000003</v>
      </c>
      <c r="M29" s="720">
        <v>2958.14</v>
      </c>
      <c r="N29" s="720">
        <v>200.41</v>
      </c>
    </row>
    <row r="30" spans="1:14" ht="15">
      <c r="A30" s="705"/>
      <c r="B30" s="705"/>
      <c r="C30" s="719">
        <v>40567</v>
      </c>
      <c r="D30" s="717">
        <v>9063.4</v>
      </c>
      <c r="E30" s="720">
        <v>9002.1299999999992</v>
      </c>
      <c r="F30" s="720">
        <v>14435.46</v>
      </c>
      <c r="G30" s="720">
        <v>12162.18</v>
      </c>
      <c r="H30" s="720">
        <v>9121.6</v>
      </c>
      <c r="I30" s="720">
        <v>7049.17</v>
      </c>
      <c r="J30" s="721">
        <v>109.64</v>
      </c>
      <c r="K30" s="720">
        <v>1164.9000000000001</v>
      </c>
      <c r="L30" s="720">
        <v>296.83</v>
      </c>
      <c r="M30" s="720">
        <v>2963.43</v>
      </c>
      <c r="N30" s="720">
        <v>199.26</v>
      </c>
    </row>
    <row r="31" spans="1:14" ht="15">
      <c r="A31" s="705"/>
      <c r="B31" s="705"/>
      <c r="C31" s="719">
        <v>40568</v>
      </c>
      <c r="D31" s="717">
        <v>9063.4</v>
      </c>
      <c r="E31" s="720">
        <v>9002.1299999999992</v>
      </c>
      <c r="F31" s="720">
        <v>14435.46</v>
      </c>
      <c r="G31" s="720">
        <v>12162.18</v>
      </c>
      <c r="H31" s="720">
        <v>9121.6</v>
      </c>
      <c r="I31" s="720">
        <v>7049.17</v>
      </c>
      <c r="J31" s="721">
        <v>109.64</v>
      </c>
      <c r="K31" s="720">
        <v>1164.9000000000001</v>
      </c>
      <c r="L31" s="720">
        <v>296.83</v>
      </c>
      <c r="M31" s="720">
        <v>2963.43</v>
      </c>
      <c r="N31" s="720">
        <v>199.26</v>
      </c>
    </row>
    <row r="32" spans="1:14" ht="15">
      <c r="A32" s="705"/>
      <c r="B32" s="705"/>
      <c r="C32" s="719">
        <v>40569</v>
      </c>
      <c r="D32" s="717">
        <v>9063.4</v>
      </c>
      <c r="E32" s="720">
        <v>9002.1299999999992</v>
      </c>
      <c r="F32" s="720">
        <v>14435.46</v>
      </c>
      <c r="G32" s="720">
        <v>12162.18</v>
      </c>
      <c r="H32" s="720">
        <v>9121.6</v>
      </c>
      <c r="I32" s="720">
        <v>7049.17</v>
      </c>
      <c r="J32" s="721">
        <v>109.64</v>
      </c>
      <c r="K32" s="720">
        <v>1164.9000000000001</v>
      </c>
      <c r="L32" s="720">
        <v>296.83</v>
      </c>
      <c r="M32" s="720">
        <v>2963.43</v>
      </c>
      <c r="N32" s="720">
        <v>199.26</v>
      </c>
    </row>
    <row r="33" spans="1:14" ht="15">
      <c r="A33" s="705"/>
      <c r="B33" s="705"/>
      <c r="C33" s="719">
        <v>40570</v>
      </c>
      <c r="D33" s="717">
        <v>9063.4</v>
      </c>
      <c r="E33" s="720">
        <v>9002.1299999999992</v>
      </c>
      <c r="F33" s="720">
        <v>14435.46</v>
      </c>
      <c r="G33" s="720">
        <v>12162.18</v>
      </c>
      <c r="H33" s="720">
        <v>9121.6</v>
      </c>
      <c r="I33" s="720">
        <v>7049.17</v>
      </c>
      <c r="J33" s="721">
        <v>109.64</v>
      </c>
      <c r="K33" s="720">
        <v>1164.9000000000001</v>
      </c>
      <c r="L33" s="720">
        <v>296.83</v>
      </c>
      <c r="M33" s="720">
        <v>2963.43</v>
      </c>
      <c r="N33" s="720">
        <v>199.26</v>
      </c>
    </row>
    <row r="34" spans="1:14" ht="15">
      <c r="A34" s="705"/>
      <c r="B34" s="705"/>
      <c r="C34" s="719">
        <v>40571</v>
      </c>
      <c r="D34" s="717">
        <v>9063.4</v>
      </c>
      <c r="E34" s="720">
        <v>9002.1299999999992</v>
      </c>
      <c r="F34" s="720">
        <v>14435.46</v>
      </c>
      <c r="G34" s="720">
        <v>12162.18</v>
      </c>
      <c r="H34" s="720">
        <v>9121.6</v>
      </c>
      <c r="I34" s="720">
        <v>7049.17</v>
      </c>
      <c r="J34" s="721">
        <v>109.64</v>
      </c>
      <c r="K34" s="720">
        <v>1164.9000000000001</v>
      </c>
      <c r="L34" s="720">
        <v>296.83</v>
      </c>
      <c r="M34" s="720">
        <v>2963.43</v>
      </c>
      <c r="N34" s="720">
        <v>199.26</v>
      </c>
    </row>
    <row r="35" spans="1:14" ht="15">
      <c r="A35" s="705"/>
      <c r="B35" s="705"/>
      <c r="C35" s="719">
        <v>40572</v>
      </c>
      <c r="D35" s="717">
        <v>9063.4</v>
      </c>
      <c r="E35" s="720">
        <v>9002.1299999999992</v>
      </c>
      <c r="F35" s="720">
        <v>14435.46</v>
      </c>
      <c r="G35" s="720">
        <v>12162.18</v>
      </c>
      <c r="H35" s="720">
        <v>9121.6</v>
      </c>
      <c r="I35" s="720">
        <v>7049.17</v>
      </c>
      <c r="J35" s="721">
        <v>109.64</v>
      </c>
      <c r="K35" s="720">
        <v>1164.9000000000001</v>
      </c>
      <c r="L35" s="720">
        <v>296.83</v>
      </c>
      <c r="M35" s="720">
        <v>2963.43</v>
      </c>
      <c r="N35" s="720">
        <v>199.26</v>
      </c>
    </row>
    <row r="36" spans="1:14" ht="15">
      <c r="A36" s="705"/>
      <c r="B36" s="705"/>
      <c r="C36" s="719">
        <v>40573</v>
      </c>
      <c r="D36" s="717">
        <v>9063.4</v>
      </c>
      <c r="E36" s="720">
        <v>9002.1299999999992</v>
      </c>
      <c r="F36" s="720">
        <v>14435.46</v>
      </c>
      <c r="G36" s="720">
        <v>12162.18</v>
      </c>
      <c r="H36" s="720">
        <v>9121.6</v>
      </c>
      <c r="I36" s="720">
        <v>7049.17</v>
      </c>
      <c r="J36" s="721">
        <v>109.64</v>
      </c>
      <c r="K36" s="720">
        <v>1164.9000000000001</v>
      </c>
      <c r="L36" s="720">
        <v>296.83</v>
      </c>
      <c r="M36" s="720">
        <v>2963.43</v>
      </c>
      <c r="N36" s="720">
        <v>199.26</v>
      </c>
    </row>
    <row r="37" spans="1:14" ht="15">
      <c r="A37" s="705"/>
      <c r="B37" s="705"/>
      <c r="C37" s="719">
        <v>40574</v>
      </c>
      <c r="D37" s="717">
        <v>9041</v>
      </c>
      <c r="E37" s="720">
        <v>8994.35</v>
      </c>
      <c r="F37" s="720">
        <v>14384.59</v>
      </c>
      <c r="G37" s="720">
        <v>12380.56</v>
      </c>
      <c r="H37" s="720">
        <v>9087.7099999999991</v>
      </c>
      <c r="I37" s="720">
        <v>7063.72</v>
      </c>
      <c r="J37" s="721">
        <v>109.56</v>
      </c>
      <c r="K37" s="720">
        <v>1160.53</v>
      </c>
      <c r="L37" s="720">
        <v>292.55</v>
      </c>
      <c r="M37" s="720">
        <v>2960.4</v>
      </c>
      <c r="N37" s="720">
        <v>198.05</v>
      </c>
    </row>
    <row r="38" spans="1:14" ht="15">
      <c r="A38" s="705"/>
      <c r="B38" s="705"/>
      <c r="C38" s="719">
        <v>40575</v>
      </c>
      <c r="D38" s="717">
        <v>9041</v>
      </c>
      <c r="E38" s="720">
        <v>8994.35</v>
      </c>
      <c r="F38" s="720">
        <v>14384.59</v>
      </c>
      <c r="G38" s="720">
        <v>12380.56</v>
      </c>
      <c r="H38" s="720">
        <v>9087.7099999999991</v>
      </c>
      <c r="I38" s="720">
        <v>7063.72</v>
      </c>
      <c r="J38" s="721">
        <v>109.56</v>
      </c>
      <c r="K38" s="720">
        <v>1160.53</v>
      </c>
      <c r="L38" s="720">
        <v>292.55</v>
      </c>
      <c r="M38" s="720">
        <v>2960.4</v>
      </c>
      <c r="N38" s="720">
        <v>198.05</v>
      </c>
    </row>
    <row r="39" spans="1:14" ht="15">
      <c r="A39" s="705"/>
      <c r="B39" s="705"/>
      <c r="C39" s="719">
        <v>40576</v>
      </c>
      <c r="D39" s="717">
        <v>9041</v>
      </c>
      <c r="E39" s="720">
        <v>8994.35</v>
      </c>
      <c r="F39" s="720">
        <v>14384.59</v>
      </c>
      <c r="G39" s="720">
        <v>12380.56</v>
      </c>
      <c r="H39" s="720">
        <v>9087.7099999999991</v>
      </c>
      <c r="I39" s="720">
        <v>7063.72</v>
      </c>
      <c r="J39" s="721">
        <v>109.56</v>
      </c>
      <c r="K39" s="720">
        <v>1160.53</v>
      </c>
      <c r="L39" s="720">
        <v>292.55</v>
      </c>
      <c r="M39" s="720">
        <v>2960.4</v>
      </c>
      <c r="N39" s="720">
        <v>198.05</v>
      </c>
    </row>
    <row r="40" spans="1:14" ht="15">
      <c r="A40" s="705"/>
      <c r="B40" s="705"/>
      <c r="C40" s="719">
        <v>40577</v>
      </c>
      <c r="D40" s="717">
        <v>9041</v>
      </c>
      <c r="E40" s="720">
        <v>8994.35</v>
      </c>
      <c r="F40" s="720">
        <v>14384.59</v>
      </c>
      <c r="G40" s="720">
        <v>12380.56</v>
      </c>
      <c r="H40" s="720">
        <v>9087.7099999999991</v>
      </c>
      <c r="I40" s="720">
        <v>7063.72</v>
      </c>
      <c r="J40" s="721">
        <v>109.56</v>
      </c>
      <c r="K40" s="720">
        <v>1160.53</v>
      </c>
      <c r="L40" s="720">
        <v>292.55</v>
      </c>
      <c r="M40" s="720">
        <v>2960.4</v>
      </c>
      <c r="N40" s="720">
        <v>198.05</v>
      </c>
    </row>
    <row r="41" spans="1:14" ht="15">
      <c r="A41" s="705"/>
      <c r="B41" s="705"/>
      <c r="C41" s="719">
        <v>40578</v>
      </c>
      <c r="D41" s="717">
        <v>9041</v>
      </c>
      <c r="E41" s="720">
        <v>8994.35</v>
      </c>
      <c r="F41" s="720">
        <v>14384.59</v>
      </c>
      <c r="G41" s="720">
        <v>12380.56</v>
      </c>
      <c r="H41" s="720">
        <v>9087.7099999999991</v>
      </c>
      <c r="I41" s="720">
        <v>7063.72</v>
      </c>
      <c r="J41" s="721">
        <v>109.56</v>
      </c>
      <c r="K41" s="720">
        <v>1160.53</v>
      </c>
      <c r="L41" s="720">
        <v>292.55</v>
      </c>
      <c r="M41" s="720">
        <v>2960.4</v>
      </c>
      <c r="N41" s="720">
        <v>198.05</v>
      </c>
    </row>
    <row r="42" spans="1:14" ht="15">
      <c r="A42" s="705"/>
      <c r="B42" s="705"/>
      <c r="C42" s="719">
        <v>40579</v>
      </c>
      <c r="D42" s="717">
        <v>9041</v>
      </c>
      <c r="E42" s="720">
        <v>8994.35</v>
      </c>
      <c r="F42" s="720">
        <v>14384.59</v>
      </c>
      <c r="G42" s="720">
        <v>12380.56</v>
      </c>
      <c r="H42" s="720">
        <v>9087.7099999999991</v>
      </c>
      <c r="I42" s="720">
        <v>7063.72</v>
      </c>
      <c r="J42" s="721">
        <v>109.56</v>
      </c>
      <c r="K42" s="720">
        <v>1160.53</v>
      </c>
      <c r="L42" s="720">
        <v>292.55</v>
      </c>
      <c r="M42" s="720">
        <v>2960.4</v>
      </c>
      <c r="N42" s="720">
        <v>198.05</v>
      </c>
    </row>
    <row r="43" spans="1:14" ht="15">
      <c r="A43" s="705"/>
      <c r="B43" s="705"/>
      <c r="C43" s="719">
        <v>40580</v>
      </c>
      <c r="D43" s="717">
        <v>9041</v>
      </c>
      <c r="E43" s="720">
        <v>8994.35</v>
      </c>
      <c r="F43" s="720">
        <v>14384.59</v>
      </c>
      <c r="G43" s="720">
        <v>12380.56</v>
      </c>
      <c r="H43" s="720">
        <v>9087.7099999999991</v>
      </c>
      <c r="I43" s="720">
        <v>7063.72</v>
      </c>
      <c r="J43" s="721">
        <v>109.56</v>
      </c>
      <c r="K43" s="720">
        <v>1160.53</v>
      </c>
      <c r="L43" s="720">
        <v>292.55</v>
      </c>
      <c r="M43" s="720">
        <v>2960.4</v>
      </c>
      <c r="N43" s="720">
        <v>198.05</v>
      </c>
    </row>
    <row r="44" spans="1:14" ht="15">
      <c r="A44" s="705"/>
      <c r="B44" s="705"/>
      <c r="C44" s="719">
        <v>40581</v>
      </c>
      <c r="D44" s="717">
        <v>9030</v>
      </c>
      <c r="E44" s="720">
        <v>9128.07</v>
      </c>
      <c r="F44" s="720">
        <v>14561.96</v>
      </c>
      <c r="G44" s="720">
        <v>12386.45</v>
      </c>
      <c r="H44" s="720">
        <v>9100.25</v>
      </c>
      <c r="I44" s="720">
        <v>7087.47</v>
      </c>
      <c r="J44" s="721">
        <v>110.65</v>
      </c>
      <c r="K44" s="720">
        <v>1159.33</v>
      </c>
      <c r="L44" s="720">
        <v>292.48</v>
      </c>
      <c r="M44" s="720">
        <v>2965.23</v>
      </c>
      <c r="N44" s="720">
        <v>197.47</v>
      </c>
    </row>
    <row r="45" spans="1:14" ht="15">
      <c r="A45" s="705"/>
      <c r="B45" s="705"/>
      <c r="C45" s="719">
        <v>40582</v>
      </c>
      <c r="D45" s="717">
        <v>9030</v>
      </c>
      <c r="E45" s="720">
        <v>9128.07</v>
      </c>
      <c r="F45" s="720">
        <v>14561.96</v>
      </c>
      <c r="G45" s="720">
        <v>12386.45</v>
      </c>
      <c r="H45" s="720">
        <v>9100.25</v>
      </c>
      <c r="I45" s="720">
        <v>7087.47</v>
      </c>
      <c r="J45" s="721">
        <v>110.65</v>
      </c>
      <c r="K45" s="720">
        <v>1159.33</v>
      </c>
      <c r="L45" s="720">
        <v>292.48</v>
      </c>
      <c r="M45" s="720">
        <v>2965.23</v>
      </c>
      <c r="N45" s="720">
        <v>197.47</v>
      </c>
    </row>
    <row r="46" spans="1:14" ht="15">
      <c r="A46" s="705"/>
      <c r="B46" s="705"/>
      <c r="C46" s="719">
        <v>40583</v>
      </c>
      <c r="D46" s="717">
        <v>9030</v>
      </c>
      <c r="E46" s="720">
        <v>9128.07</v>
      </c>
      <c r="F46" s="720">
        <v>14561.96</v>
      </c>
      <c r="G46" s="720">
        <v>12386.45</v>
      </c>
      <c r="H46" s="720">
        <v>9100.25</v>
      </c>
      <c r="I46" s="720">
        <v>7087.47</v>
      </c>
      <c r="J46" s="721">
        <v>110.65</v>
      </c>
      <c r="K46" s="720">
        <v>1159.33</v>
      </c>
      <c r="L46" s="720">
        <v>292.48</v>
      </c>
      <c r="M46" s="720">
        <v>2965.23</v>
      </c>
      <c r="N46" s="720">
        <v>197.47</v>
      </c>
    </row>
    <row r="47" spans="1:14" ht="15">
      <c r="A47" s="705"/>
      <c r="B47" s="705"/>
      <c r="C47" s="719">
        <v>40584</v>
      </c>
      <c r="D47" s="717">
        <v>9030</v>
      </c>
      <c r="E47" s="720">
        <v>9128.07</v>
      </c>
      <c r="F47" s="720">
        <v>14561.96</v>
      </c>
      <c r="G47" s="720">
        <v>12386.45</v>
      </c>
      <c r="H47" s="720">
        <v>9100.25</v>
      </c>
      <c r="I47" s="720">
        <v>7087.47</v>
      </c>
      <c r="J47" s="721">
        <v>110.65</v>
      </c>
      <c r="K47" s="720">
        <v>1159.33</v>
      </c>
      <c r="L47" s="720">
        <v>292.48</v>
      </c>
      <c r="M47" s="720">
        <v>2965.23</v>
      </c>
      <c r="N47" s="720">
        <v>197.47</v>
      </c>
    </row>
    <row r="48" spans="1:14" ht="15">
      <c r="A48" s="705"/>
      <c r="B48" s="705"/>
      <c r="C48" s="719">
        <v>40585</v>
      </c>
      <c r="D48" s="717">
        <v>9030</v>
      </c>
      <c r="E48" s="720">
        <v>9128.07</v>
      </c>
      <c r="F48" s="720">
        <v>14561.96</v>
      </c>
      <c r="G48" s="720">
        <v>12386.45</v>
      </c>
      <c r="H48" s="720">
        <v>9100.25</v>
      </c>
      <c r="I48" s="720">
        <v>7087.47</v>
      </c>
      <c r="J48" s="721">
        <v>110.65</v>
      </c>
      <c r="K48" s="720">
        <v>1159.33</v>
      </c>
      <c r="L48" s="720">
        <v>292.48</v>
      </c>
      <c r="M48" s="720">
        <v>2965.23</v>
      </c>
      <c r="N48" s="720">
        <v>197.47</v>
      </c>
    </row>
    <row r="49" spans="1:14" ht="15">
      <c r="A49" s="705"/>
      <c r="B49" s="705"/>
      <c r="C49" s="719">
        <v>40586</v>
      </c>
      <c r="D49" s="717">
        <v>9030</v>
      </c>
      <c r="E49" s="720">
        <v>9128.07</v>
      </c>
      <c r="F49" s="720">
        <v>14561.96</v>
      </c>
      <c r="G49" s="720">
        <v>12386.45</v>
      </c>
      <c r="H49" s="720">
        <v>9100.25</v>
      </c>
      <c r="I49" s="720">
        <v>7087.47</v>
      </c>
      <c r="J49" s="721">
        <v>110.65</v>
      </c>
      <c r="K49" s="720">
        <v>1159.33</v>
      </c>
      <c r="L49" s="720">
        <v>292.48</v>
      </c>
      <c r="M49" s="720">
        <v>2965.23</v>
      </c>
      <c r="N49" s="720">
        <v>197.47</v>
      </c>
    </row>
    <row r="50" spans="1:14" ht="15">
      <c r="A50" s="705"/>
      <c r="B50" s="705"/>
      <c r="C50" s="719">
        <v>40587</v>
      </c>
      <c r="D50" s="717">
        <v>9030</v>
      </c>
      <c r="E50" s="720">
        <v>9128.07</v>
      </c>
      <c r="F50" s="720">
        <v>14561.96</v>
      </c>
      <c r="G50" s="720">
        <v>12386.45</v>
      </c>
      <c r="H50" s="720">
        <v>9100.25</v>
      </c>
      <c r="I50" s="720">
        <v>7087.47</v>
      </c>
      <c r="J50" s="721">
        <v>110.65</v>
      </c>
      <c r="K50" s="720">
        <v>1159.33</v>
      </c>
      <c r="L50" s="720">
        <v>292.48</v>
      </c>
      <c r="M50" s="720">
        <v>2965.23</v>
      </c>
      <c r="N50" s="720">
        <v>197.47</v>
      </c>
    </row>
    <row r="51" spans="1:14" ht="15">
      <c r="A51" s="705"/>
      <c r="B51" s="705"/>
      <c r="C51" s="719">
        <v>40588</v>
      </c>
      <c r="D51" s="717">
        <v>8932.25</v>
      </c>
      <c r="E51" s="720">
        <v>9045.4699999999993</v>
      </c>
      <c r="F51" s="720">
        <v>14379.14</v>
      </c>
      <c r="G51" s="720">
        <v>12198.77</v>
      </c>
      <c r="H51" s="720">
        <v>8999.52</v>
      </c>
      <c r="I51" s="720">
        <v>7012.56</v>
      </c>
      <c r="J51" s="721">
        <v>108.51</v>
      </c>
      <c r="K51" s="720">
        <v>1147.3800000000001</v>
      </c>
      <c r="L51" s="720">
        <v>290.69</v>
      </c>
      <c r="M51" s="720">
        <v>2941.02</v>
      </c>
      <c r="N51" s="720">
        <v>196.49</v>
      </c>
    </row>
    <row r="52" spans="1:14" ht="15">
      <c r="A52" s="705"/>
      <c r="B52" s="705"/>
      <c r="C52" s="719">
        <v>40589</v>
      </c>
      <c r="D52" s="717">
        <v>8932.25</v>
      </c>
      <c r="E52" s="720">
        <v>9045.4699999999993</v>
      </c>
      <c r="F52" s="720">
        <v>14379.14</v>
      </c>
      <c r="G52" s="720">
        <v>12198.77</v>
      </c>
      <c r="H52" s="720">
        <v>8999.52</v>
      </c>
      <c r="I52" s="720">
        <v>7012.56</v>
      </c>
      <c r="J52" s="721">
        <v>108.51</v>
      </c>
      <c r="K52" s="720">
        <v>1147.3800000000001</v>
      </c>
      <c r="L52" s="720">
        <v>290.69</v>
      </c>
      <c r="M52" s="720">
        <v>2941.02</v>
      </c>
      <c r="N52" s="720">
        <v>196.49</v>
      </c>
    </row>
    <row r="53" spans="1:14" ht="15">
      <c r="A53" s="705"/>
      <c r="B53" s="705"/>
      <c r="C53" s="719">
        <v>40590</v>
      </c>
      <c r="D53" s="717">
        <v>8932.25</v>
      </c>
      <c r="E53" s="720">
        <v>9045.4699999999993</v>
      </c>
      <c r="F53" s="720">
        <v>14379.14</v>
      </c>
      <c r="G53" s="720">
        <v>12198.77</v>
      </c>
      <c r="H53" s="720">
        <v>8999.52</v>
      </c>
      <c r="I53" s="720">
        <v>7012.56</v>
      </c>
      <c r="J53" s="721">
        <v>108.51</v>
      </c>
      <c r="K53" s="720">
        <v>1147.3800000000001</v>
      </c>
      <c r="L53" s="720">
        <v>290.69</v>
      </c>
      <c r="M53" s="720">
        <v>2941.02</v>
      </c>
      <c r="N53" s="720">
        <v>196.49</v>
      </c>
    </row>
    <row r="54" spans="1:14" ht="15">
      <c r="A54" s="705"/>
      <c r="B54" s="705"/>
      <c r="C54" s="719">
        <v>40591</v>
      </c>
      <c r="D54" s="717">
        <v>8932.25</v>
      </c>
      <c r="E54" s="720">
        <v>9045.4699999999993</v>
      </c>
      <c r="F54" s="720">
        <v>14379.14</v>
      </c>
      <c r="G54" s="720">
        <v>12198.77</v>
      </c>
      <c r="H54" s="720">
        <v>8999.52</v>
      </c>
      <c r="I54" s="720">
        <v>7012.56</v>
      </c>
      <c r="J54" s="721">
        <v>108.51</v>
      </c>
      <c r="K54" s="720">
        <v>1147.3800000000001</v>
      </c>
      <c r="L54" s="720">
        <v>290.69</v>
      </c>
      <c r="M54" s="720">
        <v>2941.02</v>
      </c>
      <c r="N54" s="720">
        <v>196.49</v>
      </c>
    </row>
    <row r="55" spans="1:14" ht="15">
      <c r="A55" s="705"/>
      <c r="B55" s="705"/>
      <c r="C55" s="719">
        <v>40592</v>
      </c>
      <c r="D55" s="717">
        <v>8932.25</v>
      </c>
      <c r="E55" s="720">
        <v>9045.4699999999993</v>
      </c>
      <c r="F55" s="720">
        <v>14379.14</v>
      </c>
      <c r="G55" s="720">
        <v>12198.77</v>
      </c>
      <c r="H55" s="720">
        <v>8999.52</v>
      </c>
      <c r="I55" s="720">
        <v>7012.56</v>
      </c>
      <c r="J55" s="721">
        <v>108.51</v>
      </c>
      <c r="K55" s="720">
        <v>1147.3800000000001</v>
      </c>
      <c r="L55" s="720">
        <v>290.69</v>
      </c>
      <c r="M55" s="720">
        <v>2941.02</v>
      </c>
      <c r="N55" s="720">
        <v>196.49</v>
      </c>
    </row>
    <row r="56" spans="1:14" ht="15">
      <c r="A56" s="705"/>
      <c r="B56" s="705"/>
      <c r="C56" s="719">
        <v>40593</v>
      </c>
      <c r="D56" s="717">
        <v>8932.25</v>
      </c>
      <c r="E56" s="720">
        <v>9045.4699999999993</v>
      </c>
      <c r="F56" s="720">
        <v>14379.14</v>
      </c>
      <c r="G56" s="720">
        <v>12198.77</v>
      </c>
      <c r="H56" s="720">
        <v>8999.52</v>
      </c>
      <c r="I56" s="720">
        <v>7012.56</v>
      </c>
      <c r="J56" s="721">
        <v>108.51</v>
      </c>
      <c r="K56" s="720">
        <v>1147.3800000000001</v>
      </c>
      <c r="L56" s="720">
        <v>290.69</v>
      </c>
      <c r="M56" s="720">
        <v>2941.02</v>
      </c>
      <c r="N56" s="720">
        <v>196.49</v>
      </c>
    </row>
    <row r="57" spans="1:14" ht="15">
      <c r="A57" s="705"/>
      <c r="B57" s="705"/>
      <c r="C57" s="719">
        <v>40594</v>
      </c>
      <c r="D57" s="717">
        <v>8932.25</v>
      </c>
      <c r="E57" s="720">
        <v>9045.4699999999993</v>
      </c>
      <c r="F57" s="720">
        <v>14379.14</v>
      </c>
      <c r="G57" s="720">
        <v>12198.77</v>
      </c>
      <c r="H57" s="720">
        <v>8999.52</v>
      </c>
      <c r="I57" s="720">
        <v>7012.56</v>
      </c>
      <c r="J57" s="721">
        <v>108.51</v>
      </c>
      <c r="K57" s="720">
        <v>1147.3800000000001</v>
      </c>
      <c r="L57" s="720">
        <v>290.69</v>
      </c>
      <c r="M57" s="720">
        <v>2941.02</v>
      </c>
      <c r="N57" s="720">
        <v>196.49</v>
      </c>
    </row>
    <row r="58" spans="1:14" ht="15">
      <c r="A58" s="705"/>
      <c r="B58" s="705"/>
      <c r="C58" s="719">
        <v>40595</v>
      </c>
      <c r="D58" s="717">
        <v>8901</v>
      </c>
      <c r="E58" s="720">
        <v>8947.2900000000009</v>
      </c>
      <c r="F58" s="720">
        <v>14349.84</v>
      </c>
      <c r="G58" s="720">
        <v>12063.53</v>
      </c>
      <c r="H58" s="720">
        <v>9021.5300000000007</v>
      </c>
      <c r="I58" s="720">
        <v>6961.74</v>
      </c>
      <c r="J58" s="721">
        <v>106.62</v>
      </c>
      <c r="K58" s="720">
        <v>1142.51</v>
      </c>
      <c r="L58" s="720">
        <v>290.45</v>
      </c>
      <c r="M58" s="720">
        <v>2921.71</v>
      </c>
      <c r="N58" s="720">
        <v>195.82</v>
      </c>
    </row>
    <row r="59" spans="1:14" ht="15">
      <c r="A59" s="705"/>
      <c r="B59" s="705"/>
      <c r="C59" s="719">
        <v>40596</v>
      </c>
      <c r="D59" s="717">
        <v>8901</v>
      </c>
      <c r="E59" s="720">
        <v>8947.2900000000009</v>
      </c>
      <c r="F59" s="720">
        <v>14349.84</v>
      </c>
      <c r="G59" s="720">
        <v>12063.53</v>
      </c>
      <c r="H59" s="720">
        <v>9021.5300000000007</v>
      </c>
      <c r="I59" s="720">
        <v>6961.74</v>
      </c>
      <c r="J59" s="721">
        <v>106.62</v>
      </c>
      <c r="K59" s="720">
        <v>1142.51</v>
      </c>
      <c r="L59" s="720">
        <v>290.45</v>
      </c>
      <c r="M59" s="720">
        <v>2921.71</v>
      </c>
      <c r="N59" s="720">
        <v>195.82</v>
      </c>
    </row>
    <row r="60" spans="1:14" ht="15">
      <c r="A60" s="705"/>
      <c r="B60" s="705"/>
      <c r="C60" s="719">
        <v>40597</v>
      </c>
      <c r="D60" s="717">
        <v>8901</v>
      </c>
      <c r="E60" s="720">
        <v>8947.2900000000009</v>
      </c>
      <c r="F60" s="720">
        <v>14349.84</v>
      </c>
      <c r="G60" s="720">
        <v>12063.53</v>
      </c>
      <c r="H60" s="720">
        <v>9021.5300000000007</v>
      </c>
      <c r="I60" s="720">
        <v>6961.74</v>
      </c>
      <c r="J60" s="721">
        <v>106.62</v>
      </c>
      <c r="K60" s="720">
        <v>1142.51</v>
      </c>
      <c r="L60" s="720">
        <v>290.45</v>
      </c>
      <c r="M60" s="720">
        <v>2921.71</v>
      </c>
      <c r="N60" s="720">
        <v>195.82</v>
      </c>
    </row>
    <row r="61" spans="1:14" ht="15">
      <c r="A61" s="705"/>
      <c r="B61" s="705"/>
      <c r="C61" s="719">
        <v>40598</v>
      </c>
      <c r="D61" s="717">
        <v>8901</v>
      </c>
      <c r="E61" s="720">
        <v>8947.2900000000009</v>
      </c>
      <c r="F61" s="720">
        <v>14349.84</v>
      </c>
      <c r="G61" s="720">
        <v>12063.53</v>
      </c>
      <c r="H61" s="720">
        <v>9021.5300000000007</v>
      </c>
      <c r="I61" s="720">
        <v>6961.74</v>
      </c>
      <c r="J61" s="721">
        <v>106.62</v>
      </c>
      <c r="K61" s="720">
        <v>1142.51</v>
      </c>
      <c r="L61" s="720">
        <v>290.45</v>
      </c>
      <c r="M61" s="720">
        <v>2921.71</v>
      </c>
      <c r="N61" s="720">
        <v>195.82</v>
      </c>
    </row>
    <row r="62" spans="1:14" ht="15">
      <c r="A62" s="705"/>
      <c r="B62" s="705"/>
      <c r="C62" s="719">
        <v>40599</v>
      </c>
      <c r="D62" s="717">
        <v>8901</v>
      </c>
      <c r="E62" s="720">
        <v>8947.2900000000009</v>
      </c>
      <c r="F62" s="720">
        <v>14349.84</v>
      </c>
      <c r="G62" s="720">
        <v>12063.53</v>
      </c>
      <c r="H62" s="720">
        <v>9021.5300000000007</v>
      </c>
      <c r="I62" s="720">
        <v>6961.74</v>
      </c>
      <c r="J62" s="721">
        <v>106.62</v>
      </c>
      <c r="K62" s="720">
        <v>1142.51</v>
      </c>
      <c r="L62" s="720">
        <v>290.45</v>
      </c>
      <c r="M62" s="720">
        <v>2921.71</v>
      </c>
      <c r="N62" s="720">
        <v>195.82</v>
      </c>
    </row>
    <row r="63" spans="1:14" ht="15">
      <c r="A63" s="705"/>
      <c r="B63" s="705"/>
      <c r="C63" s="719">
        <v>40600</v>
      </c>
      <c r="D63" s="717">
        <v>8901</v>
      </c>
      <c r="E63" s="720">
        <v>8947.2900000000009</v>
      </c>
      <c r="F63" s="720">
        <v>14349.84</v>
      </c>
      <c r="G63" s="720">
        <v>12063.53</v>
      </c>
      <c r="H63" s="720">
        <v>9021.5300000000007</v>
      </c>
      <c r="I63" s="720">
        <v>6961.74</v>
      </c>
      <c r="J63" s="721">
        <v>106.62</v>
      </c>
      <c r="K63" s="720">
        <v>1142.51</v>
      </c>
      <c r="L63" s="720">
        <v>290.45</v>
      </c>
      <c r="M63" s="720">
        <v>2921.71</v>
      </c>
      <c r="N63" s="720">
        <v>195.82</v>
      </c>
    </row>
    <row r="64" spans="1:14" ht="15">
      <c r="A64" s="705"/>
      <c r="B64" s="705"/>
      <c r="C64" s="719">
        <v>40601</v>
      </c>
      <c r="D64" s="717">
        <v>8901</v>
      </c>
      <c r="E64" s="720">
        <v>8947.2900000000009</v>
      </c>
      <c r="F64" s="720">
        <v>14349.84</v>
      </c>
      <c r="G64" s="720">
        <v>12063.53</v>
      </c>
      <c r="H64" s="720">
        <v>9021.5300000000007</v>
      </c>
      <c r="I64" s="720">
        <v>6961.74</v>
      </c>
      <c r="J64" s="721">
        <v>106.62</v>
      </c>
      <c r="K64" s="720">
        <v>1142.51</v>
      </c>
      <c r="L64" s="720">
        <v>290.45</v>
      </c>
      <c r="M64" s="720">
        <v>2921.71</v>
      </c>
      <c r="N64" s="720">
        <v>195.82</v>
      </c>
    </row>
    <row r="65" spans="1:14" ht="15">
      <c r="A65" s="705"/>
      <c r="B65" s="705"/>
      <c r="C65" s="719">
        <v>40602</v>
      </c>
      <c r="D65" s="717">
        <v>8866</v>
      </c>
      <c r="E65" s="720">
        <v>8919.5499999999993</v>
      </c>
      <c r="F65" s="720">
        <v>14336.32</v>
      </c>
      <c r="G65" s="720">
        <v>12181.88</v>
      </c>
      <c r="H65" s="720">
        <v>8995.17</v>
      </c>
      <c r="I65" s="720">
        <v>6940.55</v>
      </c>
      <c r="J65" s="721">
        <v>107.52</v>
      </c>
      <c r="K65" s="720">
        <v>1137.7</v>
      </c>
      <c r="L65" s="720">
        <v>289.66000000000003</v>
      </c>
      <c r="M65" s="720">
        <v>2906.79</v>
      </c>
      <c r="N65" s="720">
        <v>196.08</v>
      </c>
    </row>
    <row r="66" spans="1:14" ht="15">
      <c r="A66" s="705"/>
      <c r="B66" s="705"/>
      <c r="C66" s="719">
        <v>40603</v>
      </c>
      <c r="D66" s="717">
        <v>8866</v>
      </c>
      <c r="E66" s="720">
        <v>8919.5499999999993</v>
      </c>
      <c r="F66" s="720">
        <v>14336.32</v>
      </c>
      <c r="G66" s="720">
        <v>12181.88</v>
      </c>
      <c r="H66" s="720">
        <v>8995.17</v>
      </c>
      <c r="I66" s="720">
        <v>6940.55</v>
      </c>
      <c r="J66" s="721">
        <v>107.52</v>
      </c>
      <c r="K66" s="720">
        <v>1137.7</v>
      </c>
      <c r="L66" s="720">
        <v>289.66000000000003</v>
      </c>
      <c r="M66" s="720">
        <v>2906.79</v>
      </c>
      <c r="N66" s="720">
        <v>196.08</v>
      </c>
    </row>
    <row r="67" spans="1:14" ht="15">
      <c r="A67" s="705"/>
      <c r="B67" s="705"/>
      <c r="C67" s="719">
        <v>40604</v>
      </c>
      <c r="D67" s="717">
        <v>8866</v>
      </c>
      <c r="E67" s="720">
        <v>8919.5499999999993</v>
      </c>
      <c r="F67" s="720">
        <v>14336.32</v>
      </c>
      <c r="G67" s="720">
        <v>12181.88</v>
      </c>
      <c r="H67" s="720">
        <v>8995.17</v>
      </c>
      <c r="I67" s="720">
        <v>6940.55</v>
      </c>
      <c r="J67" s="721">
        <v>107.52</v>
      </c>
      <c r="K67" s="720">
        <v>1137.7</v>
      </c>
      <c r="L67" s="720">
        <v>289.66000000000003</v>
      </c>
      <c r="M67" s="720">
        <v>2906.79</v>
      </c>
      <c r="N67" s="720">
        <v>196.08</v>
      </c>
    </row>
    <row r="68" spans="1:14" ht="15">
      <c r="A68" s="705"/>
      <c r="B68" s="705"/>
      <c r="C68" s="719">
        <v>40605</v>
      </c>
      <c r="D68" s="717">
        <v>8866</v>
      </c>
      <c r="E68" s="720">
        <v>8919.5499999999993</v>
      </c>
      <c r="F68" s="720">
        <v>14336.32</v>
      </c>
      <c r="G68" s="720">
        <v>12181.88</v>
      </c>
      <c r="H68" s="720">
        <v>8995.17</v>
      </c>
      <c r="I68" s="720">
        <v>6940.55</v>
      </c>
      <c r="J68" s="721">
        <v>107.52</v>
      </c>
      <c r="K68" s="720">
        <v>1137.7</v>
      </c>
      <c r="L68" s="720">
        <v>289.66000000000003</v>
      </c>
      <c r="M68" s="720">
        <v>2906.79</v>
      </c>
      <c r="N68" s="720">
        <v>196.08</v>
      </c>
    </row>
    <row r="69" spans="1:14" ht="15">
      <c r="A69" s="705"/>
      <c r="B69" s="705"/>
      <c r="C69" s="719">
        <v>40606</v>
      </c>
      <c r="D69" s="717">
        <v>8866</v>
      </c>
      <c r="E69" s="720">
        <v>8919.5499999999993</v>
      </c>
      <c r="F69" s="720">
        <v>14336.32</v>
      </c>
      <c r="G69" s="720">
        <v>12181.88</v>
      </c>
      <c r="H69" s="720">
        <v>8995.17</v>
      </c>
      <c r="I69" s="720">
        <v>6940.55</v>
      </c>
      <c r="J69" s="721">
        <v>107.52</v>
      </c>
      <c r="K69" s="720">
        <v>1137.7</v>
      </c>
      <c r="L69" s="720">
        <v>289.66000000000003</v>
      </c>
      <c r="M69" s="720">
        <v>2906.79</v>
      </c>
      <c r="N69" s="720">
        <v>196.08</v>
      </c>
    </row>
    <row r="70" spans="1:14" ht="15">
      <c r="A70" s="705"/>
      <c r="B70" s="705"/>
      <c r="C70" s="719">
        <v>40607</v>
      </c>
      <c r="D70" s="717">
        <v>8866</v>
      </c>
      <c r="E70" s="720">
        <v>8919.5499999999993</v>
      </c>
      <c r="F70" s="720">
        <v>14336.32</v>
      </c>
      <c r="G70" s="720">
        <v>12181.88</v>
      </c>
      <c r="H70" s="720">
        <v>8995.17</v>
      </c>
      <c r="I70" s="720">
        <v>6940.55</v>
      </c>
      <c r="J70" s="721">
        <v>107.52</v>
      </c>
      <c r="K70" s="720">
        <v>1137.7</v>
      </c>
      <c r="L70" s="720">
        <v>289.66000000000003</v>
      </c>
      <c r="M70" s="720">
        <v>2906.79</v>
      </c>
      <c r="N70" s="720">
        <v>196.08</v>
      </c>
    </row>
    <row r="71" spans="1:14" ht="15">
      <c r="A71" s="705"/>
      <c r="B71" s="705"/>
      <c r="C71" s="719">
        <v>40608</v>
      </c>
      <c r="D71" s="717">
        <v>8866</v>
      </c>
      <c r="E71" s="720">
        <v>8919.5499999999993</v>
      </c>
      <c r="F71" s="720">
        <v>14336.32</v>
      </c>
      <c r="G71" s="720">
        <v>12181.88</v>
      </c>
      <c r="H71" s="720">
        <v>8995.17</v>
      </c>
      <c r="I71" s="720">
        <v>6940.55</v>
      </c>
      <c r="J71" s="721">
        <v>107.52</v>
      </c>
      <c r="K71" s="720">
        <v>1137.7</v>
      </c>
      <c r="L71" s="720">
        <v>289.66000000000003</v>
      </c>
      <c r="M71" s="720">
        <v>2906.79</v>
      </c>
      <c r="N71" s="720">
        <v>196.08</v>
      </c>
    </row>
    <row r="72" spans="1:14" ht="15">
      <c r="A72" s="705"/>
      <c r="B72" s="705"/>
      <c r="C72" s="719">
        <v>40609</v>
      </c>
      <c r="D72" s="717">
        <v>8809</v>
      </c>
      <c r="E72" s="720">
        <v>8944.1299999999992</v>
      </c>
      <c r="F72" s="720">
        <v>14340.17</v>
      </c>
      <c r="G72" s="720">
        <v>12219.67</v>
      </c>
      <c r="H72" s="720">
        <v>9049.91</v>
      </c>
      <c r="I72" s="720">
        <v>6938.84</v>
      </c>
      <c r="J72" s="721">
        <v>107.38</v>
      </c>
      <c r="K72" s="720">
        <v>1130.9100000000001</v>
      </c>
      <c r="L72" s="720">
        <v>288.58999999999997</v>
      </c>
      <c r="M72" s="720">
        <v>2900.48</v>
      </c>
      <c r="N72" s="720">
        <v>195.36</v>
      </c>
    </row>
    <row r="73" spans="1:14" ht="15">
      <c r="A73" s="705"/>
      <c r="B73" s="705"/>
      <c r="C73" s="719">
        <v>40610</v>
      </c>
      <c r="D73" s="717">
        <v>8809</v>
      </c>
      <c r="E73" s="720">
        <v>8944.1299999999992</v>
      </c>
      <c r="F73" s="720">
        <v>14340.17</v>
      </c>
      <c r="G73" s="720">
        <v>12219.67</v>
      </c>
      <c r="H73" s="720">
        <v>9049.91</v>
      </c>
      <c r="I73" s="720">
        <v>6938.84</v>
      </c>
      <c r="J73" s="721">
        <v>107.38</v>
      </c>
      <c r="K73" s="720">
        <v>1130.9100000000001</v>
      </c>
      <c r="L73" s="720">
        <v>288.58999999999997</v>
      </c>
      <c r="M73" s="720">
        <v>2900.48</v>
      </c>
      <c r="N73" s="720">
        <v>195.36</v>
      </c>
    </row>
    <row r="74" spans="1:14" ht="15">
      <c r="A74" s="705"/>
      <c r="B74" s="705"/>
      <c r="C74" s="719">
        <v>40611</v>
      </c>
      <c r="D74" s="717">
        <v>8809</v>
      </c>
      <c r="E74" s="720">
        <v>8944.1299999999992</v>
      </c>
      <c r="F74" s="720">
        <v>14340.17</v>
      </c>
      <c r="G74" s="720">
        <v>12219.67</v>
      </c>
      <c r="H74" s="720">
        <v>9049.91</v>
      </c>
      <c r="I74" s="720">
        <v>6938.84</v>
      </c>
      <c r="J74" s="721">
        <v>107.38</v>
      </c>
      <c r="K74" s="720">
        <v>1130.9100000000001</v>
      </c>
      <c r="L74" s="720">
        <v>288.58999999999997</v>
      </c>
      <c r="M74" s="720">
        <v>2900.48</v>
      </c>
      <c r="N74" s="720">
        <v>195.36</v>
      </c>
    </row>
    <row r="75" spans="1:14" ht="15">
      <c r="A75" s="705"/>
      <c r="B75" s="705"/>
      <c r="C75" s="719">
        <v>40612</v>
      </c>
      <c r="D75" s="717">
        <v>8809</v>
      </c>
      <c r="E75" s="720">
        <v>8944.1299999999992</v>
      </c>
      <c r="F75" s="720">
        <v>14340.17</v>
      </c>
      <c r="G75" s="720">
        <v>12219.67</v>
      </c>
      <c r="H75" s="720">
        <v>9049.91</v>
      </c>
      <c r="I75" s="720">
        <v>6938.84</v>
      </c>
      <c r="J75" s="721">
        <v>107.38</v>
      </c>
      <c r="K75" s="720">
        <v>1130.9100000000001</v>
      </c>
      <c r="L75" s="720">
        <v>288.58999999999997</v>
      </c>
      <c r="M75" s="720">
        <v>2900.48</v>
      </c>
      <c r="N75" s="720">
        <v>195.36</v>
      </c>
    </row>
    <row r="76" spans="1:14" ht="15">
      <c r="A76" s="705"/>
      <c r="B76" s="705"/>
      <c r="C76" s="719">
        <v>40613</v>
      </c>
      <c r="D76" s="717">
        <v>8809</v>
      </c>
      <c r="E76" s="720">
        <v>8944.1299999999992</v>
      </c>
      <c r="F76" s="720">
        <v>14340.17</v>
      </c>
      <c r="G76" s="720">
        <v>12219.67</v>
      </c>
      <c r="H76" s="720">
        <v>9049.91</v>
      </c>
      <c r="I76" s="720">
        <v>6938.84</v>
      </c>
      <c r="J76" s="721">
        <v>107.38</v>
      </c>
      <c r="K76" s="720">
        <v>1130.9100000000001</v>
      </c>
      <c r="L76" s="720">
        <v>288.58999999999997</v>
      </c>
      <c r="M76" s="720">
        <v>2900.48</v>
      </c>
      <c r="N76" s="720">
        <v>195.36</v>
      </c>
    </row>
    <row r="77" spans="1:14" ht="15">
      <c r="A77" s="705"/>
      <c r="B77" s="705"/>
      <c r="C77" s="719">
        <v>40614</v>
      </c>
      <c r="D77" s="717">
        <v>8809</v>
      </c>
      <c r="E77" s="720">
        <v>8944.1299999999992</v>
      </c>
      <c r="F77" s="720">
        <v>14340.17</v>
      </c>
      <c r="G77" s="720">
        <v>12219.67</v>
      </c>
      <c r="H77" s="720">
        <v>9049.91</v>
      </c>
      <c r="I77" s="720">
        <v>6938.84</v>
      </c>
      <c r="J77" s="721">
        <v>107.38</v>
      </c>
      <c r="K77" s="720">
        <v>1130.9100000000001</v>
      </c>
      <c r="L77" s="720">
        <v>288.58999999999997</v>
      </c>
      <c r="M77" s="720">
        <v>2900.48</v>
      </c>
      <c r="N77" s="720">
        <v>195.36</v>
      </c>
    </row>
    <row r="78" spans="1:14" ht="15">
      <c r="A78" s="705"/>
      <c r="B78" s="705"/>
      <c r="C78" s="719">
        <v>40615</v>
      </c>
      <c r="D78" s="717">
        <v>8809</v>
      </c>
      <c r="E78" s="720">
        <v>8944.1299999999992</v>
      </c>
      <c r="F78" s="720">
        <v>14340.17</v>
      </c>
      <c r="G78" s="720">
        <v>12219.67</v>
      </c>
      <c r="H78" s="720">
        <v>9049.91</v>
      </c>
      <c r="I78" s="720">
        <v>6938.84</v>
      </c>
      <c r="J78" s="721">
        <v>107.38</v>
      </c>
      <c r="K78" s="720">
        <v>1130.9100000000001</v>
      </c>
      <c r="L78" s="720">
        <v>288.58999999999997</v>
      </c>
      <c r="M78" s="720">
        <v>2900.48</v>
      </c>
      <c r="N78" s="720">
        <v>195.36</v>
      </c>
    </row>
    <row r="79" spans="1:14" ht="15">
      <c r="A79" s="705"/>
      <c r="B79" s="705"/>
      <c r="C79" s="719">
        <v>40616</v>
      </c>
      <c r="D79" s="717">
        <v>8786.7999999999993</v>
      </c>
      <c r="E79" s="720">
        <v>8851.1200000000008</v>
      </c>
      <c r="F79" s="720">
        <v>14180.84</v>
      </c>
      <c r="G79" s="720">
        <v>12195.38</v>
      </c>
      <c r="H79" s="720">
        <v>9033.0400000000009</v>
      </c>
      <c r="I79" s="720">
        <v>6922.88</v>
      </c>
      <c r="J79" s="721">
        <v>106.25</v>
      </c>
      <c r="K79" s="720">
        <v>1128.23</v>
      </c>
      <c r="L79" s="720">
        <v>289.25</v>
      </c>
      <c r="M79" s="720">
        <v>2896.68</v>
      </c>
      <c r="N79" s="720">
        <v>194.9</v>
      </c>
    </row>
    <row r="80" spans="1:14" ht="15">
      <c r="A80" s="705"/>
      <c r="B80" s="705"/>
      <c r="C80" s="719">
        <v>40617</v>
      </c>
      <c r="D80" s="717">
        <v>8786.7999999999993</v>
      </c>
      <c r="E80" s="720">
        <v>8851.1200000000008</v>
      </c>
      <c r="F80" s="720">
        <v>14180.84</v>
      </c>
      <c r="G80" s="720">
        <v>12195.38</v>
      </c>
      <c r="H80" s="720">
        <v>9033.0400000000009</v>
      </c>
      <c r="I80" s="720">
        <v>6922.88</v>
      </c>
      <c r="J80" s="721">
        <v>106.25</v>
      </c>
      <c r="K80" s="720">
        <v>1128.23</v>
      </c>
      <c r="L80" s="720">
        <v>289.25</v>
      </c>
      <c r="M80" s="720">
        <v>2896.68</v>
      </c>
      <c r="N80" s="720">
        <v>194.9</v>
      </c>
    </row>
    <row r="81" spans="1:14" ht="15">
      <c r="A81" s="705"/>
      <c r="B81" s="705"/>
      <c r="C81" s="719">
        <v>40618</v>
      </c>
      <c r="D81" s="717">
        <v>8786.7999999999993</v>
      </c>
      <c r="E81" s="720">
        <v>8851.1200000000008</v>
      </c>
      <c r="F81" s="720">
        <v>14180.84</v>
      </c>
      <c r="G81" s="720">
        <v>12195.38</v>
      </c>
      <c r="H81" s="720">
        <v>9033.0400000000009</v>
      </c>
      <c r="I81" s="720">
        <v>6922.88</v>
      </c>
      <c r="J81" s="721">
        <v>106.25</v>
      </c>
      <c r="K81" s="720">
        <v>1128.23</v>
      </c>
      <c r="L81" s="720">
        <v>289.25</v>
      </c>
      <c r="M81" s="720">
        <v>2896.68</v>
      </c>
      <c r="N81" s="720">
        <v>194.9</v>
      </c>
    </row>
    <row r="82" spans="1:14" ht="15">
      <c r="A82" s="705"/>
      <c r="B82" s="705"/>
      <c r="C82" s="719">
        <v>40619</v>
      </c>
      <c r="D82" s="717">
        <v>8786.7999999999993</v>
      </c>
      <c r="E82" s="720">
        <v>8851.1200000000008</v>
      </c>
      <c r="F82" s="720">
        <v>14180.84</v>
      </c>
      <c r="G82" s="720">
        <v>12195.38</v>
      </c>
      <c r="H82" s="720">
        <v>9033.0400000000009</v>
      </c>
      <c r="I82" s="720">
        <v>6922.88</v>
      </c>
      <c r="J82" s="721">
        <v>106.25</v>
      </c>
      <c r="K82" s="720">
        <v>1128.23</v>
      </c>
      <c r="L82" s="720">
        <v>289.25</v>
      </c>
      <c r="M82" s="720">
        <v>2896.68</v>
      </c>
      <c r="N82" s="720">
        <v>194.9</v>
      </c>
    </row>
    <row r="83" spans="1:14" ht="15">
      <c r="A83" s="705"/>
      <c r="B83" s="705"/>
      <c r="C83" s="719">
        <v>40620</v>
      </c>
      <c r="D83" s="717">
        <v>8786.7999999999993</v>
      </c>
      <c r="E83" s="720">
        <v>8851.1200000000008</v>
      </c>
      <c r="F83" s="720">
        <v>14180.84</v>
      </c>
      <c r="G83" s="720">
        <v>12195.38</v>
      </c>
      <c r="H83" s="720">
        <v>9033.0400000000009</v>
      </c>
      <c r="I83" s="720">
        <v>6922.88</v>
      </c>
      <c r="J83" s="721">
        <v>106.25</v>
      </c>
      <c r="K83" s="720">
        <v>1128.23</v>
      </c>
      <c r="L83" s="720">
        <v>289.25</v>
      </c>
      <c r="M83" s="720">
        <v>2896.68</v>
      </c>
      <c r="N83" s="720">
        <v>194.9</v>
      </c>
    </row>
    <row r="84" spans="1:14" ht="15">
      <c r="A84" s="705"/>
      <c r="B84" s="705"/>
      <c r="C84" s="719">
        <v>40621</v>
      </c>
      <c r="D84" s="717">
        <v>8786.7999999999993</v>
      </c>
      <c r="E84" s="720">
        <v>8851.1200000000008</v>
      </c>
      <c r="F84" s="720">
        <v>14180.84</v>
      </c>
      <c r="G84" s="720">
        <v>12195.38</v>
      </c>
      <c r="H84" s="720">
        <v>9033.0400000000009</v>
      </c>
      <c r="I84" s="720">
        <v>6922.88</v>
      </c>
      <c r="J84" s="721">
        <v>106.25</v>
      </c>
      <c r="K84" s="720">
        <v>1128.23</v>
      </c>
      <c r="L84" s="720">
        <v>289.25</v>
      </c>
      <c r="M84" s="720">
        <v>2896.68</v>
      </c>
      <c r="N84" s="720">
        <v>194.9</v>
      </c>
    </row>
    <row r="85" spans="1:14" ht="15">
      <c r="A85" s="705"/>
      <c r="B85" s="705"/>
      <c r="C85" s="719">
        <v>40622</v>
      </c>
      <c r="D85" s="717">
        <v>8786.7999999999993</v>
      </c>
      <c r="E85" s="720">
        <v>8851.1200000000008</v>
      </c>
      <c r="F85" s="720">
        <v>14180.84</v>
      </c>
      <c r="G85" s="720">
        <v>12195.38</v>
      </c>
      <c r="H85" s="720">
        <v>9033.0400000000009</v>
      </c>
      <c r="I85" s="720">
        <v>6922.88</v>
      </c>
      <c r="J85" s="721">
        <v>106.25</v>
      </c>
      <c r="K85" s="720">
        <v>1128.23</v>
      </c>
      <c r="L85" s="720">
        <v>289.25</v>
      </c>
      <c r="M85" s="720">
        <v>2896.68</v>
      </c>
      <c r="N85" s="720">
        <v>194.9</v>
      </c>
    </row>
    <row r="86" spans="1:14" ht="15">
      <c r="A86" s="705"/>
      <c r="B86" s="705"/>
      <c r="C86" s="719">
        <v>40623</v>
      </c>
      <c r="D86" s="717">
        <v>8775.7999999999993</v>
      </c>
      <c r="E86" s="720">
        <v>8706.1200000000008</v>
      </c>
      <c r="F86" s="720">
        <v>14119.74</v>
      </c>
      <c r="G86" s="720">
        <v>12259.09</v>
      </c>
      <c r="H86" s="720">
        <v>8927.75</v>
      </c>
      <c r="I86" s="720">
        <v>6872.2</v>
      </c>
      <c r="J86" s="721">
        <v>108.57</v>
      </c>
      <c r="K86" s="720">
        <v>1125.4100000000001</v>
      </c>
      <c r="L86" s="720">
        <v>288.89</v>
      </c>
      <c r="M86" s="720">
        <v>2877.03</v>
      </c>
      <c r="N86" s="720">
        <v>194.35</v>
      </c>
    </row>
    <row r="87" spans="1:14" ht="15">
      <c r="A87" s="705"/>
      <c r="B87" s="705"/>
      <c r="C87" s="719">
        <v>40624</v>
      </c>
      <c r="D87" s="717">
        <v>8775.7999999999993</v>
      </c>
      <c r="E87" s="720">
        <v>8706.1200000000008</v>
      </c>
      <c r="F87" s="720">
        <v>14119.74</v>
      </c>
      <c r="G87" s="720">
        <v>12259.09</v>
      </c>
      <c r="H87" s="720">
        <v>8927.75</v>
      </c>
      <c r="I87" s="720">
        <v>6872.2</v>
      </c>
      <c r="J87" s="721">
        <v>108.57</v>
      </c>
      <c r="K87" s="720">
        <v>1125.4100000000001</v>
      </c>
      <c r="L87" s="720">
        <v>288.89</v>
      </c>
      <c r="M87" s="720">
        <v>2877.03</v>
      </c>
      <c r="N87" s="720">
        <v>194.35</v>
      </c>
    </row>
    <row r="88" spans="1:14" ht="15">
      <c r="A88" s="705"/>
      <c r="B88" s="705"/>
      <c r="C88" s="719">
        <v>40625</v>
      </c>
      <c r="D88" s="717">
        <v>8775.7999999999993</v>
      </c>
      <c r="E88" s="720">
        <v>8706.1200000000008</v>
      </c>
      <c r="F88" s="720">
        <v>14119.74</v>
      </c>
      <c r="G88" s="720">
        <v>12259.09</v>
      </c>
      <c r="H88" s="720">
        <v>8927.75</v>
      </c>
      <c r="I88" s="720">
        <v>6872.2</v>
      </c>
      <c r="J88" s="721">
        <v>108.57</v>
      </c>
      <c r="K88" s="720">
        <v>1125.4100000000001</v>
      </c>
      <c r="L88" s="720">
        <v>288.89</v>
      </c>
      <c r="M88" s="720">
        <v>2877.03</v>
      </c>
      <c r="N88" s="720">
        <v>194.35</v>
      </c>
    </row>
    <row r="89" spans="1:14" ht="15">
      <c r="A89" s="705"/>
      <c r="B89" s="705"/>
      <c r="C89" s="719">
        <v>40626</v>
      </c>
      <c r="D89" s="717">
        <v>8775.7999999999993</v>
      </c>
      <c r="E89" s="720">
        <v>8706.1200000000008</v>
      </c>
      <c r="F89" s="720">
        <v>14119.74</v>
      </c>
      <c r="G89" s="720">
        <v>12259.09</v>
      </c>
      <c r="H89" s="720">
        <v>8927.75</v>
      </c>
      <c r="I89" s="720">
        <v>6872.2</v>
      </c>
      <c r="J89" s="721">
        <v>108.57</v>
      </c>
      <c r="K89" s="720">
        <v>1125.4100000000001</v>
      </c>
      <c r="L89" s="720">
        <v>288.89</v>
      </c>
      <c r="M89" s="720">
        <v>2877.03</v>
      </c>
      <c r="N89" s="720">
        <v>194.35</v>
      </c>
    </row>
    <row r="90" spans="1:14" ht="15">
      <c r="A90" s="705"/>
      <c r="B90" s="705"/>
      <c r="C90" s="719">
        <v>40627</v>
      </c>
      <c r="D90" s="717">
        <v>8775.7999999999993</v>
      </c>
      <c r="E90" s="720">
        <v>8706.1200000000008</v>
      </c>
      <c r="F90" s="720">
        <v>14119.74</v>
      </c>
      <c r="G90" s="720">
        <v>12259.09</v>
      </c>
      <c r="H90" s="720">
        <v>8927.75</v>
      </c>
      <c r="I90" s="720">
        <v>6872.2</v>
      </c>
      <c r="J90" s="721">
        <v>108.57</v>
      </c>
      <c r="K90" s="720">
        <v>1125.4100000000001</v>
      </c>
      <c r="L90" s="720">
        <v>288.89</v>
      </c>
      <c r="M90" s="720">
        <v>2877.03</v>
      </c>
      <c r="N90" s="720">
        <v>194.35</v>
      </c>
    </row>
    <row r="91" spans="1:14" ht="15">
      <c r="A91" s="705"/>
      <c r="B91" s="705"/>
      <c r="C91" s="719">
        <v>40628</v>
      </c>
      <c r="D91" s="717">
        <v>8775.7999999999993</v>
      </c>
      <c r="E91" s="720">
        <v>8706.1200000000008</v>
      </c>
      <c r="F91" s="720">
        <v>14119.74</v>
      </c>
      <c r="G91" s="720">
        <v>12259.09</v>
      </c>
      <c r="H91" s="720">
        <v>8927.75</v>
      </c>
      <c r="I91" s="720">
        <v>6872.2</v>
      </c>
      <c r="J91" s="721">
        <v>108.57</v>
      </c>
      <c r="K91" s="720">
        <v>1125.4100000000001</v>
      </c>
      <c r="L91" s="720">
        <v>288.89</v>
      </c>
      <c r="M91" s="720">
        <v>2877.03</v>
      </c>
      <c r="N91" s="720">
        <v>194.35</v>
      </c>
    </row>
    <row r="92" spans="1:14" ht="15">
      <c r="A92" s="705"/>
      <c r="B92" s="705"/>
      <c r="C92" s="719">
        <v>40629</v>
      </c>
      <c r="D92" s="717">
        <v>8775.7999999999993</v>
      </c>
      <c r="E92" s="720">
        <v>8706.1200000000008</v>
      </c>
      <c r="F92" s="720">
        <v>14119.74</v>
      </c>
      <c r="G92" s="720">
        <v>12259.09</v>
      </c>
      <c r="H92" s="720">
        <v>8927.75</v>
      </c>
      <c r="I92" s="720">
        <v>6872.2</v>
      </c>
      <c r="J92" s="721">
        <v>108.57</v>
      </c>
      <c r="K92" s="720">
        <v>1125.4100000000001</v>
      </c>
      <c r="L92" s="720">
        <v>288.89</v>
      </c>
      <c r="M92" s="720">
        <v>2877.03</v>
      </c>
      <c r="N92" s="720">
        <v>194.35</v>
      </c>
    </row>
    <row r="93" spans="1:14" ht="15">
      <c r="A93" s="705"/>
      <c r="B93" s="705"/>
      <c r="C93" s="719">
        <v>40630</v>
      </c>
      <c r="D93" s="717">
        <v>8720.2000000000007</v>
      </c>
      <c r="E93" s="720">
        <v>8845.25</v>
      </c>
      <c r="F93" s="720">
        <v>14152.19</v>
      </c>
      <c r="G93" s="720">
        <v>12359.49</v>
      </c>
      <c r="H93" s="720">
        <v>8913.6299999999992</v>
      </c>
      <c r="I93" s="720">
        <v>6903.26</v>
      </c>
      <c r="J93" s="721">
        <v>107.69</v>
      </c>
      <c r="K93" s="720">
        <v>1118.6199999999999</v>
      </c>
      <c r="L93" s="720">
        <v>288.37</v>
      </c>
      <c r="M93" s="720">
        <v>2877.37</v>
      </c>
      <c r="N93" s="720">
        <v>194.23</v>
      </c>
    </row>
    <row r="94" spans="1:14" ht="15">
      <c r="A94" s="705"/>
      <c r="B94" s="705"/>
      <c r="C94" s="719">
        <v>40631</v>
      </c>
      <c r="D94" s="717">
        <v>8720.2000000000007</v>
      </c>
      <c r="E94" s="720">
        <v>8845.25</v>
      </c>
      <c r="F94" s="720">
        <v>14152.19</v>
      </c>
      <c r="G94" s="720">
        <v>12359.49</v>
      </c>
      <c r="H94" s="720">
        <v>8913.6299999999992</v>
      </c>
      <c r="I94" s="720">
        <v>6903.26</v>
      </c>
      <c r="J94" s="721">
        <v>107.69</v>
      </c>
      <c r="K94" s="720">
        <v>1118.6199999999999</v>
      </c>
      <c r="L94" s="720">
        <v>288.37</v>
      </c>
      <c r="M94" s="720">
        <v>2877.37</v>
      </c>
      <c r="N94" s="720">
        <v>194.23</v>
      </c>
    </row>
    <row r="95" spans="1:14" ht="15">
      <c r="A95" s="705"/>
      <c r="B95" s="705"/>
      <c r="C95" s="719">
        <v>40632</v>
      </c>
      <c r="D95" s="717">
        <v>8720.2000000000007</v>
      </c>
      <c r="E95" s="720">
        <v>8845.25</v>
      </c>
      <c r="F95" s="720">
        <v>14152.19</v>
      </c>
      <c r="G95" s="720">
        <v>12359.49</v>
      </c>
      <c r="H95" s="720">
        <v>8913.6299999999992</v>
      </c>
      <c r="I95" s="720">
        <v>6903.26</v>
      </c>
      <c r="J95" s="721">
        <v>107.69</v>
      </c>
      <c r="K95" s="720">
        <v>1118.6199999999999</v>
      </c>
      <c r="L95" s="720">
        <v>288.37</v>
      </c>
      <c r="M95" s="720">
        <v>2877.37</v>
      </c>
      <c r="N95" s="720">
        <v>194.23</v>
      </c>
    </row>
    <row r="96" spans="1:14" ht="15">
      <c r="A96" s="705"/>
      <c r="B96" s="705"/>
      <c r="C96" s="719">
        <v>40633</v>
      </c>
      <c r="D96" s="717">
        <v>8720.2000000000007</v>
      </c>
      <c r="E96" s="720">
        <v>8845.25</v>
      </c>
      <c r="F96" s="720">
        <v>14152.19</v>
      </c>
      <c r="G96" s="720">
        <v>12359.49</v>
      </c>
      <c r="H96" s="720">
        <v>8913.6299999999992</v>
      </c>
      <c r="I96" s="720">
        <v>6903.26</v>
      </c>
      <c r="J96" s="721">
        <v>107.69</v>
      </c>
      <c r="K96" s="720">
        <v>1118.6199999999999</v>
      </c>
      <c r="L96" s="720">
        <v>288.37</v>
      </c>
      <c r="M96" s="720">
        <v>2877.37</v>
      </c>
      <c r="N96" s="720">
        <v>194.23</v>
      </c>
    </row>
    <row r="97" spans="1:14" ht="15">
      <c r="A97" s="705"/>
      <c r="B97" s="705"/>
      <c r="C97" s="719">
        <v>40634</v>
      </c>
      <c r="D97" s="717">
        <v>8720.2000000000007</v>
      </c>
      <c r="E97" s="720">
        <v>8845.25</v>
      </c>
      <c r="F97" s="720">
        <v>14152.19</v>
      </c>
      <c r="G97" s="720">
        <v>12359.49</v>
      </c>
      <c r="H97" s="720">
        <v>8913.6299999999992</v>
      </c>
      <c r="I97" s="720">
        <v>6903.26</v>
      </c>
      <c r="J97" s="721">
        <v>107.69</v>
      </c>
      <c r="K97" s="720">
        <v>1118.6199999999999</v>
      </c>
      <c r="L97" s="720">
        <v>288.37</v>
      </c>
      <c r="M97" s="720">
        <v>2877.37</v>
      </c>
      <c r="N97" s="720">
        <v>194.23</v>
      </c>
    </row>
    <row r="98" spans="1:14" ht="15">
      <c r="A98" s="705"/>
      <c r="B98" s="705"/>
      <c r="C98" s="719">
        <v>40635</v>
      </c>
      <c r="D98" s="717">
        <v>8720.2000000000007</v>
      </c>
      <c r="E98" s="720">
        <v>8845.25</v>
      </c>
      <c r="F98" s="720">
        <v>14152.19</v>
      </c>
      <c r="G98" s="720">
        <v>12359.49</v>
      </c>
      <c r="H98" s="720">
        <v>8913.6299999999992</v>
      </c>
      <c r="I98" s="720">
        <v>6903.26</v>
      </c>
      <c r="J98" s="721">
        <v>107.69</v>
      </c>
      <c r="K98" s="720">
        <v>1118.6199999999999</v>
      </c>
      <c r="L98" s="720">
        <v>288.37</v>
      </c>
      <c r="M98" s="720">
        <v>2877.37</v>
      </c>
      <c r="N98" s="720">
        <v>194.23</v>
      </c>
    </row>
    <row r="99" spans="1:14" ht="15">
      <c r="A99" s="705"/>
      <c r="B99" s="705"/>
      <c r="C99" s="719">
        <v>40636</v>
      </c>
      <c r="D99" s="717">
        <v>8720.2000000000007</v>
      </c>
      <c r="E99" s="720">
        <v>8845.25</v>
      </c>
      <c r="F99" s="720">
        <v>14152.19</v>
      </c>
      <c r="G99" s="720">
        <v>12359.49</v>
      </c>
      <c r="H99" s="720">
        <v>8913.6299999999992</v>
      </c>
      <c r="I99" s="720">
        <v>6903.26</v>
      </c>
      <c r="J99" s="721">
        <v>107.69</v>
      </c>
      <c r="K99" s="720">
        <v>1118.6199999999999</v>
      </c>
      <c r="L99" s="720">
        <v>288.37</v>
      </c>
      <c r="M99" s="720">
        <v>2877.37</v>
      </c>
      <c r="N99" s="720">
        <v>194.23</v>
      </c>
    </row>
    <row r="100" spans="1:14" ht="15">
      <c r="A100" s="705"/>
      <c r="B100" s="705"/>
      <c r="C100" s="719">
        <v>40637</v>
      </c>
      <c r="D100" s="717">
        <v>8715</v>
      </c>
      <c r="E100" s="720">
        <v>8955.5300000000007</v>
      </c>
      <c r="F100" s="720">
        <v>13962.96</v>
      </c>
      <c r="G100" s="720">
        <v>12280.96</v>
      </c>
      <c r="H100" s="720">
        <v>8925.8700000000008</v>
      </c>
      <c r="I100" s="720">
        <v>6906.35</v>
      </c>
      <c r="J100" s="721">
        <v>106.09</v>
      </c>
      <c r="K100" s="720">
        <v>1118.21</v>
      </c>
      <c r="L100" s="720">
        <v>287.52999999999997</v>
      </c>
      <c r="M100" s="720">
        <v>2879.56</v>
      </c>
      <c r="N100" s="720">
        <v>194.7</v>
      </c>
    </row>
    <row r="101" spans="1:14" ht="15">
      <c r="A101" s="705"/>
      <c r="B101" s="705"/>
      <c r="C101" s="719">
        <v>40638</v>
      </c>
      <c r="D101" s="717">
        <v>8715</v>
      </c>
      <c r="E101" s="720">
        <v>8955.5300000000007</v>
      </c>
      <c r="F101" s="720">
        <v>13962.96</v>
      </c>
      <c r="G101" s="720">
        <v>12280.96</v>
      </c>
      <c r="H101" s="720">
        <v>8925.8700000000008</v>
      </c>
      <c r="I101" s="720">
        <v>6906.35</v>
      </c>
      <c r="J101" s="721">
        <v>106.09</v>
      </c>
      <c r="K101" s="720">
        <v>1118.21</v>
      </c>
      <c r="L101" s="720">
        <v>287.52999999999997</v>
      </c>
      <c r="M101" s="720">
        <v>2879.56</v>
      </c>
      <c r="N101" s="720">
        <v>194.7</v>
      </c>
    </row>
    <row r="102" spans="1:14" ht="15">
      <c r="A102" s="705"/>
      <c r="B102" s="705"/>
      <c r="C102" s="719">
        <v>40639</v>
      </c>
      <c r="D102" s="717">
        <v>8715</v>
      </c>
      <c r="E102" s="720">
        <v>8955.5300000000007</v>
      </c>
      <c r="F102" s="720">
        <v>13962.96</v>
      </c>
      <c r="G102" s="720">
        <v>12280.96</v>
      </c>
      <c r="H102" s="720">
        <v>8925.8700000000008</v>
      </c>
      <c r="I102" s="720">
        <v>6906.35</v>
      </c>
      <c r="J102" s="721">
        <v>106.09</v>
      </c>
      <c r="K102" s="720">
        <v>1118.21</v>
      </c>
      <c r="L102" s="720">
        <v>287.52999999999997</v>
      </c>
      <c r="M102" s="720">
        <v>2879.56</v>
      </c>
      <c r="N102" s="720">
        <v>194.7</v>
      </c>
    </row>
    <row r="103" spans="1:14" ht="15">
      <c r="A103" s="705"/>
      <c r="B103" s="705"/>
      <c r="C103" s="719">
        <v>40640</v>
      </c>
      <c r="D103" s="717">
        <v>8715</v>
      </c>
      <c r="E103" s="720">
        <v>8955.5300000000007</v>
      </c>
      <c r="F103" s="720">
        <v>13962.96</v>
      </c>
      <c r="G103" s="720">
        <v>12280.96</v>
      </c>
      <c r="H103" s="720">
        <v>8925.8700000000008</v>
      </c>
      <c r="I103" s="720">
        <v>6906.35</v>
      </c>
      <c r="J103" s="721">
        <v>106.09</v>
      </c>
      <c r="K103" s="720">
        <v>1118.21</v>
      </c>
      <c r="L103" s="720">
        <v>287.52999999999997</v>
      </c>
      <c r="M103" s="720">
        <v>2879.56</v>
      </c>
      <c r="N103" s="720">
        <v>194.7</v>
      </c>
    </row>
    <row r="104" spans="1:14" ht="15">
      <c r="A104" s="705"/>
      <c r="B104" s="705"/>
      <c r="C104" s="719">
        <v>40641</v>
      </c>
      <c r="D104" s="717">
        <v>8715</v>
      </c>
      <c r="E104" s="720">
        <v>8955.5300000000007</v>
      </c>
      <c r="F104" s="720">
        <v>13962.96</v>
      </c>
      <c r="G104" s="720">
        <v>12280.96</v>
      </c>
      <c r="H104" s="720">
        <v>8925.8700000000008</v>
      </c>
      <c r="I104" s="720">
        <v>6906.35</v>
      </c>
      <c r="J104" s="721">
        <v>106.09</v>
      </c>
      <c r="K104" s="720">
        <v>1118.21</v>
      </c>
      <c r="L104" s="720">
        <v>287.52999999999997</v>
      </c>
      <c r="M104" s="720">
        <v>2879.56</v>
      </c>
      <c r="N104" s="720">
        <v>194.7</v>
      </c>
    </row>
    <row r="105" spans="1:14" ht="15">
      <c r="A105" s="705"/>
      <c r="B105" s="705"/>
      <c r="C105" s="719">
        <v>40642</v>
      </c>
      <c r="D105" s="717">
        <v>8715</v>
      </c>
      <c r="E105" s="720">
        <v>8955.5300000000007</v>
      </c>
      <c r="F105" s="720">
        <v>13962.96</v>
      </c>
      <c r="G105" s="720">
        <v>12280.96</v>
      </c>
      <c r="H105" s="720">
        <v>8925.8700000000008</v>
      </c>
      <c r="I105" s="720">
        <v>6906.35</v>
      </c>
      <c r="J105" s="721">
        <v>106.09</v>
      </c>
      <c r="K105" s="720">
        <v>1118.21</v>
      </c>
      <c r="L105" s="720">
        <v>287.52999999999997</v>
      </c>
      <c r="M105" s="720">
        <v>2879.56</v>
      </c>
      <c r="N105" s="720">
        <v>194.7</v>
      </c>
    </row>
    <row r="106" spans="1:14" ht="15">
      <c r="A106" s="705"/>
      <c r="B106" s="705"/>
      <c r="C106" s="719">
        <v>40643</v>
      </c>
      <c r="D106" s="717">
        <v>8715</v>
      </c>
      <c r="E106" s="720">
        <v>8955.5300000000007</v>
      </c>
      <c r="F106" s="720">
        <v>13962.96</v>
      </c>
      <c r="G106" s="720">
        <v>12280.96</v>
      </c>
      <c r="H106" s="720">
        <v>8925.8700000000008</v>
      </c>
      <c r="I106" s="720">
        <v>6906.35</v>
      </c>
      <c r="J106" s="721">
        <v>106.09</v>
      </c>
      <c r="K106" s="720">
        <v>1118.21</v>
      </c>
      <c r="L106" s="720">
        <v>287.52999999999997</v>
      </c>
      <c r="M106" s="720">
        <v>2879.56</v>
      </c>
      <c r="N106" s="720">
        <v>194.7</v>
      </c>
    </row>
    <row r="107" spans="1:14" ht="15">
      <c r="A107" s="705"/>
      <c r="B107" s="705"/>
      <c r="C107" s="719">
        <v>40644</v>
      </c>
      <c r="D107" s="717">
        <v>8663</v>
      </c>
      <c r="E107" s="720">
        <v>9005.6200000000008</v>
      </c>
      <c r="F107" s="720">
        <v>14081.27</v>
      </c>
      <c r="G107" s="720">
        <v>12357.34</v>
      </c>
      <c r="H107" s="720">
        <v>8995.61</v>
      </c>
      <c r="I107" s="720">
        <v>6873</v>
      </c>
      <c r="J107" s="721">
        <v>102.18</v>
      </c>
      <c r="K107" s="720">
        <v>1114.54</v>
      </c>
      <c r="L107" s="720">
        <v>287.14</v>
      </c>
      <c r="M107" s="720">
        <v>2862.78</v>
      </c>
      <c r="N107" s="720">
        <v>195.7</v>
      </c>
    </row>
    <row r="108" spans="1:14" ht="15">
      <c r="A108" s="705"/>
      <c r="B108" s="705"/>
      <c r="C108" s="719">
        <v>40645</v>
      </c>
      <c r="D108" s="717">
        <v>8663</v>
      </c>
      <c r="E108" s="720">
        <v>9005.6200000000008</v>
      </c>
      <c r="F108" s="720">
        <v>14081.27</v>
      </c>
      <c r="G108" s="720">
        <v>12357.34</v>
      </c>
      <c r="H108" s="720">
        <v>8995.61</v>
      </c>
      <c r="I108" s="720">
        <v>6873</v>
      </c>
      <c r="J108" s="721">
        <v>102.18</v>
      </c>
      <c r="K108" s="720">
        <v>1114.54</v>
      </c>
      <c r="L108" s="720">
        <v>287.14</v>
      </c>
      <c r="M108" s="720">
        <v>2862.78</v>
      </c>
      <c r="N108" s="720">
        <v>195.7</v>
      </c>
    </row>
    <row r="109" spans="1:14" ht="15">
      <c r="A109" s="705"/>
      <c r="B109" s="705"/>
      <c r="C109" s="719">
        <v>40646</v>
      </c>
      <c r="D109" s="717">
        <v>8663</v>
      </c>
      <c r="E109" s="720">
        <v>9005.6200000000008</v>
      </c>
      <c r="F109" s="720">
        <v>14081.27</v>
      </c>
      <c r="G109" s="720">
        <v>12357.34</v>
      </c>
      <c r="H109" s="720">
        <v>8995.61</v>
      </c>
      <c r="I109" s="720">
        <v>6873</v>
      </c>
      <c r="J109" s="721">
        <v>102.18</v>
      </c>
      <c r="K109" s="720">
        <v>1114.54</v>
      </c>
      <c r="L109" s="720">
        <v>287.14</v>
      </c>
      <c r="M109" s="720">
        <v>2862.78</v>
      </c>
      <c r="N109" s="720">
        <v>195.7</v>
      </c>
    </row>
    <row r="110" spans="1:14" ht="15">
      <c r="A110" s="705"/>
      <c r="B110" s="705"/>
      <c r="C110" s="719">
        <v>40647</v>
      </c>
      <c r="D110" s="717">
        <v>8663</v>
      </c>
      <c r="E110" s="720">
        <v>9005.6200000000008</v>
      </c>
      <c r="F110" s="720">
        <v>14081.27</v>
      </c>
      <c r="G110" s="720">
        <v>12357.34</v>
      </c>
      <c r="H110" s="720">
        <v>8995.61</v>
      </c>
      <c r="I110" s="720">
        <v>6873</v>
      </c>
      <c r="J110" s="721">
        <v>102.18</v>
      </c>
      <c r="K110" s="720">
        <v>1114.54</v>
      </c>
      <c r="L110" s="720">
        <v>287.14</v>
      </c>
      <c r="M110" s="720">
        <v>2862.78</v>
      </c>
      <c r="N110" s="720">
        <v>195.7</v>
      </c>
    </row>
    <row r="111" spans="1:14" ht="15">
      <c r="A111" s="705"/>
      <c r="B111" s="705"/>
      <c r="C111" s="719">
        <v>40648</v>
      </c>
      <c r="D111" s="717">
        <v>8663</v>
      </c>
      <c r="E111" s="720">
        <v>9005.6200000000008</v>
      </c>
      <c r="F111" s="720">
        <v>14081.27</v>
      </c>
      <c r="G111" s="720">
        <v>12357.34</v>
      </c>
      <c r="H111" s="720">
        <v>8995.61</v>
      </c>
      <c r="I111" s="720">
        <v>6873</v>
      </c>
      <c r="J111" s="721">
        <v>102.18</v>
      </c>
      <c r="K111" s="720">
        <v>1114.54</v>
      </c>
      <c r="L111" s="720">
        <v>287.14</v>
      </c>
      <c r="M111" s="720">
        <v>2862.78</v>
      </c>
      <c r="N111" s="720">
        <v>195.7</v>
      </c>
    </row>
    <row r="112" spans="1:14" ht="15">
      <c r="A112" s="705"/>
      <c r="B112" s="705"/>
      <c r="C112" s="719">
        <v>40649</v>
      </c>
      <c r="D112" s="717">
        <v>8663</v>
      </c>
      <c r="E112" s="720">
        <v>9005.6200000000008</v>
      </c>
      <c r="F112" s="720">
        <v>14081.27</v>
      </c>
      <c r="G112" s="720">
        <v>12357.34</v>
      </c>
      <c r="H112" s="720">
        <v>8995.61</v>
      </c>
      <c r="I112" s="720">
        <v>6873</v>
      </c>
      <c r="J112" s="721">
        <v>102.18</v>
      </c>
      <c r="K112" s="720">
        <v>1114.54</v>
      </c>
      <c r="L112" s="720">
        <v>287.14</v>
      </c>
      <c r="M112" s="720">
        <v>2862.78</v>
      </c>
      <c r="N112" s="720">
        <v>195.7</v>
      </c>
    </row>
    <row r="113" spans="1:14" ht="15">
      <c r="A113" s="705"/>
      <c r="B113" s="705"/>
      <c r="C113" s="719">
        <v>40650</v>
      </c>
      <c r="D113" s="717">
        <v>8663</v>
      </c>
      <c r="E113" s="720">
        <v>9005.6200000000008</v>
      </c>
      <c r="F113" s="720">
        <v>14081.27</v>
      </c>
      <c r="G113" s="720">
        <v>12357.34</v>
      </c>
      <c r="H113" s="720">
        <v>8995.61</v>
      </c>
      <c r="I113" s="720">
        <v>6873</v>
      </c>
      <c r="J113" s="721">
        <v>102.18</v>
      </c>
      <c r="K113" s="720">
        <v>1114.54</v>
      </c>
      <c r="L113" s="720">
        <v>287.14</v>
      </c>
      <c r="M113" s="720">
        <v>2862.78</v>
      </c>
      <c r="N113" s="720">
        <v>195.7</v>
      </c>
    </row>
    <row r="114" spans="1:14" ht="15">
      <c r="A114" s="705"/>
      <c r="B114" s="705"/>
      <c r="C114" s="719">
        <v>40651</v>
      </c>
      <c r="D114" s="717">
        <v>8659.75</v>
      </c>
      <c r="E114" s="720">
        <v>9101.18</v>
      </c>
      <c r="F114" s="720">
        <v>14127.73</v>
      </c>
      <c r="G114" s="720">
        <v>12530.44</v>
      </c>
      <c r="H114" s="720">
        <v>9038.7000000000007</v>
      </c>
      <c r="I114" s="720">
        <v>6889.77</v>
      </c>
      <c r="J114" s="721">
        <v>102.58</v>
      </c>
      <c r="K114" s="720">
        <v>1114.0999999999999</v>
      </c>
      <c r="L114" s="720">
        <v>287.77</v>
      </c>
      <c r="M114" s="720">
        <v>2862.37</v>
      </c>
      <c r="N114" s="720">
        <v>195.76</v>
      </c>
    </row>
    <row r="115" spans="1:14" ht="15">
      <c r="A115" s="705"/>
      <c r="B115" s="705"/>
      <c r="C115" s="719">
        <v>40652</v>
      </c>
      <c r="D115" s="717">
        <v>8659.75</v>
      </c>
      <c r="E115" s="720">
        <v>9101.18</v>
      </c>
      <c r="F115" s="720">
        <v>14127.73</v>
      </c>
      <c r="G115" s="720">
        <v>12530.44</v>
      </c>
      <c r="H115" s="720">
        <v>9038.7000000000007</v>
      </c>
      <c r="I115" s="720">
        <v>6889.77</v>
      </c>
      <c r="J115" s="721">
        <v>102.58</v>
      </c>
      <c r="K115" s="720">
        <v>1114.0999999999999</v>
      </c>
      <c r="L115" s="720">
        <v>287.77</v>
      </c>
      <c r="M115" s="720">
        <v>2862.37</v>
      </c>
      <c r="N115" s="720">
        <v>195.76</v>
      </c>
    </row>
    <row r="116" spans="1:14" ht="15">
      <c r="A116" s="705"/>
      <c r="B116" s="705"/>
      <c r="C116" s="719">
        <v>40653</v>
      </c>
      <c r="D116" s="717">
        <v>8659.75</v>
      </c>
      <c r="E116" s="720">
        <v>9101.18</v>
      </c>
      <c r="F116" s="720">
        <v>14127.73</v>
      </c>
      <c r="G116" s="720">
        <v>12530.44</v>
      </c>
      <c r="H116" s="720">
        <v>9038.7000000000007</v>
      </c>
      <c r="I116" s="720">
        <v>6889.77</v>
      </c>
      <c r="J116" s="721">
        <v>102.58</v>
      </c>
      <c r="K116" s="720">
        <v>1114.0999999999999</v>
      </c>
      <c r="L116" s="720">
        <v>287.77</v>
      </c>
      <c r="M116" s="720">
        <v>2862.37</v>
      </c>
      <c r="N116" s="720">
        <v>195.76</v>
      </c>
    </row>
    <row r="117" spans="1:14" ht="15">
      <c r="A117" s="705"/>
      <c r="B117" s="705"/>
      <c r="C117" s="719">
        <v>40654</v>
      </c>
      <c r="D117" s="717">
        <v>8659.75</v>
      </c>
      <c r="E117" s="720">
        <v>9101.18</v>
      </c>
      <c r="F117" s="720">
        <v>14127.73</v>
      </c>
      <c r="G117" s="720">
        <v>12530.44</v>
      </c>
      <c r="H117" s="720">
        <v>9038.7000000000007</v>
      </c>
      <c r="I117" s="720">
        <v>6889.77</v>
      </c>
      <c r="J117" s="721">
        <v>102.58</v>
      </c>
      <c r="K117" s="720">
        <v>1114.0999999999999</v>
      </c>
      <c r="L117" s="720">
        <v>287.77</v>
      </c>
      <c r="M117" s="720">
        <v>2862.37</v>
      </c>
      <c r="N117" s="720">
        <v>195.76</v>
      </c>
    </row>
    <row r="118" spans="1:14" ht="15">
      <c r="A118" s="705"/>
      <c r="B118" s="705"/>
      <c r="C118" s="719">
        <v>40655</v>
      </c>
      <c r="D118" s="717">
        <v>8659.75</v>
      </c>
      <c r="E118" s="720">
        <v>9101.18</v>
      </c>
      <c r="F118" s="720">
        <v>14127.73</v>
      </c>
      <c r="G118" s="720">
        <v>12530.44</v>
      </c>
      <c r="H118" s="720">
        <v>9038.7000000000007</v>
      </c>
      <c r="I118" s="720">
        <v>6889.77</v>
      </c>
      <c r="J118" s="721">
        <v>102.58</v>
      </c>
      <c r="K118" s="720">
        <v>1114.0999999999999</v>
      </c>
      <c r="L118" s="720">
        <v>287.77</v>
      </c>
      <c r="M118" s="720">
        <v>2862.37</v>
      </c>
      <c r="N118" s="720">
        <v>195.76</v>
      </c>
    </row>
    <row r="119" spans="1:14" ht="15">
      <c r="A119" s="705"/>
      <c r="B119" s="705"/>
      <c r="C119" s="719">
        <v>40656</v>
      </c>
      <c r="D119" s="717">
        <v>8659.75</v>
      </c>
      <c r="E119" s="720">
        <v>9101.18</v>
      </c>
      <c r="F119" s="720">
        <v>14127.73</v>
      </c>
      <c r="G119" s="720">
        <v>12530.44</v>
      </c>
      <c r="H119" s="720">
        <v>9038.7000000000007</v>
      </c>
      <c r="I119" s="720">
        <v>6889.77</v>
      </c>
      <c r="J119" s="721">
        <v>102.58</v>
      </c>
      <c r="K119" s="720">
        <v>1114.0999999999999</v>
      </c>
      <c r="L119" s="720">
        <v>287.77</v>
      </c>
      <c r="M119" s="720">
        <v>2862.37</v>
      </c>
      <c r="N119" s="720">
        <v>195.76</v>
      </c>
    </row>
    <row r="120" spans="1:14" ht="15">
      <c r="A120" s="705"/>
      <c r="B120" s="705"/>
      <c r="C120" s="719">
        <v>40657</v>
      </c>
      <c r="D120" s="717">
        <v>8659.75</v>
      </c>
      <c r="E120" s="720">
        <v>9101.18</v>
      </c>
      <c r="F120" s="720">
        <v>14127.73</v>
      </c>
      <c r="G120" s="720">
        <v>12530.44</v>
      </c>
      <c r="H120" s="720">
        <v>9038.7000000000007</v>
      </c>
      <c r="I120" s="720">
        <v>6889.77</v>
      </c>
      <c r="J120" s="721">
        <v>102.58</v>
      </c>
      <c r="K120" s="720">
        <v>1114.0999999999999</v>
      </c>
      <c r="L120" s="720">
        <v>287.77</v>
      </c>
      <c r="M120" s="720">
        <v>2862.37</v>
      </c>
      <c r="N120" s="720">
        <v>195.76</v>
      </c>
    </row>
    <row r="121" spans="1:14" ht="15">
      <c r="A121" s="705"/>
      <c r="B121" s="705"/>
      <c r="C121" s="719">
        <v>40658</v>
      </c>
      <c r="D121" s="717">
        <v>8664</v>
      </c>
      <c r="E121" s="720">
        <v>9187.59</v>
      </c>
      <c r="F121" s="720">
        <v>14157.48</v>
      </c>
      <c r="G121" s="720">
        <v>12490.46</v>
      </c>
      <c r="H121" s="720">
        <v>9053.69</v>
      </c>
      <c r="I121" s="720">
        <v>6972.43</v>
      </c>
      <c r="J121" s="721">
        <v>104.9</v>
      </c>
      <c r="K121" s="720">
        <v>1114.1500000000001</v>
      </c>
      <c r="L121" s="720">
        <v>288.7</v>
      </c>
      <c r="M121" s="720">
        <v>2870.38</v>
      </c>
      <c r="N121" s="720">
        <v>195.02</v>
      </c>
    </row>
    <row r="122" spans="1:14" ht="15">
      <c r="A122" s="705"/>
      <c r="B122" s="705"/>
      <c r="C122" s="719">
        <v>40659</v>
      </c>
      <c r="D122" s="717">
        <v>8664</v>
      </c>
      <c r="E122" s="720">
        <v>9187.59</v>
      </c>
      <c r="F122" s="720">
        <v>14157.48</v>
      </c>
      <c r="G122" s="720">
        <v>12490.46</v>
      </c>
      <c r="H122" s="720">
        <v>9053.69</v>
      </c>
      <c r="I122" s="720">
        <v>6972.43</v>
      </c>
      <c r="J122" s="721">
        <v>104.9</v>
      </c>
      <c r="K122" s="720">
        <v>1114.1500000000001</v>
      </c>
      <c r="L122" s="720">
        <v>288.7</v>
      </c>
      <c r="M122" s="720">
        <v>2870.38</v>
      </c>
      <c r="N122" s="720">
        <v>195.02</v>
      </c>
    </row>
    <row r="123" spans="1:14" ht="15">
      <c r="A123" s="705"/>
      <c r="B123" s="705"/>
      <c r="C123" s="719">
        <v>40660</v>
      </c>
      <c r="D123" s="717">
        <v>8664</v>
      </c>
      <c r="E123" s="720">
        <v>9187.59</v>
      </c>
      <c r="F123" s="720">
        <v>14157.48</v>
      </c>
      <c r="G123" s="720">
        <v>12490.46</v>
      </c>
      <c r="H123" s="720">
        <v>9053.69</v>
      </c>
      <c r="I123" s="720">
        <v>6972.43</v>
      </c>
      <c r="J123" s="721">
        <v>104.9</v>
      </c>
      <c r="K123" s="720">
        <v>1114.1500000000001</v>
      </c>
      <c r="L123" s="720">
        <v>288.7</v>
      </c>
      <c r="M123" s="720">
        <v>2870.38</v>
      </c>
      <c r="N123" s="720">
        <v>195.02</v>
      </c>
    </row>
    <row r="124" spans="1:14" ht="15">
      <c r="A124" s="705"/>
      <c r="B124" s="705"/>
      <c r="C124" s="719">
        <v>40661</v>
      </c>
      <c r="D124" s="717">
        <v>8664</v>
      </c>
      <c r="E124" s="720">
        <v>9187.59</v>
      </c>
      <c r="F124" s="720">
        <v>14157.48</v>
      </c>
      <c r="G124" s="720">
        <v>12490.46</v>
      </c>
      <c r="H124" s="720">
        <v>9053.69</v>
      </c>
      <c r="I124" s="720">
        <v>6972.43</v>
      </c>
      <c r="J124" s="721">
        <v>104.9</v>
      </c>
      <c r="K124" s="720">
        <v>1114.1500000000001</v>
      </c>
      <c r="L124" s="720">
        <v>288.7</v>
      </c>
      <c r="M124" s="720">
        <v>2870.38</v>
      </c>
      <c r="N124" s="720">
        <v>195.02</v>
      </c>
    </row>
    <row r="125" spans="1:14" ht="15">
      <c r="A125" s="705"/>
      <c r="B125" s="705"/>
      <c r="C125" s="719">
        <v>40662</v>
      </c>
      <c r="D125" s="717">
        <v>8664</v>
      </c>
      <c r="E125" s="720">
        <v>9187.59</v>
      </c>
      <c r="F125" s="720">
        <v>14157.48</v>
      </c>
      <c r="G125" s="720">
        <v>12490.46</v>
      </c>
      <c r="H125" s="720">
        <v>9053.69</v>
      </c>
      <c r="I125" s="720">
        <v>6972.43</v>
      </c>
      <c r="J125" s="721">
        <v>104.9</v>
      </c>
      <c r="K125" s="720">
        <v>1114.1500000000001</v>
      </c>
      <c r="L125" s="720">
        <v>288.7</v>
      </c>
      <c r="M125" s="720">
        <v>2870.38</v>
      </c>
      <c r="N125" s="720">
        <v>195.02</v>
      </c>
    </row>
    <row r="126" spans="1:14" ht="15">
      <c r="A126" s="705"/>
      <c r="B126" s="705"/>
      <c r="C126" s="719">
        <v>40663</v>
      </c>
      <c r="D126" s="717">
        <v>8664</v>
      </c>
      <c r="E126" s="720">
        <v>9187.59</v>
      </c>
      <c r="F126" s="720">
        <v>14157.48</v>
      </c>
      <c r="G126" s="720">
        <v>12490.46</v>
      </c>
      <c r="H126" s="720">
        <v>9053.69</v>
      </c>
      <c r="I126" s="720">
        <v>6972.43</v>
      </c>
      <c r="J126" s="721">
        <v>104.9</v>
      </c>
      <c r="K126" s="720">
        <v>1114.1500000000001</v>
      </c>
      <c r="L126" s="720">
        <v>288.7</v>
      </c>
      <c r="M126" s="720">
        <v>2870.38</v>
      </c>
      <c r="N126" s="720">
        <v>195.02</v>
      </c>
    </row>
    <row r="127" spans="1:14" ht="15">
      <c r="A127" s="705"/>
      <c r="B127" s="705"/>
      <c r="C127" s="719">
        <v>40664</v>
      </c>
      <c r="D127" s="717">
        <v>8664</v>
      </c>
      <c r="E127" s="720">
        <v>9187.59</v>
      </c>
      <c r="F127" s="720">
        <v>14157.48</v>
      </c>
      <c r="G127" s="720">
        <v>12490.46</v>
      </c>
      <c r="H127" s="720">
        <v>9053.69</v>
      </c>
      <c r="I127" s="720">
        <v>6972.43</v>
      </c>
      <c r="J127" s="721">
        <v>104.9</v>
      </c>
      <c r="K127" s="720">
        <v>1114.1500000000001</v>
      </c>
      <c r="L127" s="720">
        <v>288.7</v>
      </c>
      <c r="M127" s="720">
        <v>2870.38</v>
      </c>
      <c r="N127" s="720">
        <v>195.02</v>
      </c>
    </row>
    <row r="128" spans="1:14" ht="15">
      <c r="A128" s="705"/>
      <c r="B128" s="705"/>
      <c r="C128" s="719">
        <v>40665</v>
      </c>
      <c r="D128" s="717">
        <v>8618</v>
      </c>
      <c r="E128" s="720">
        <v>9316.32</v>
      </c>
      <c r="F128" s="720">
        <v>14262.2</v>
      </c>
      <c r="G128" s="720">
        <v>12655.29</v>
      </c>
      <c r="H128" s="720">
        <v>9050.31</v>
      </c>
      <c r="I128" s="720">
        <v>6997.93</v>
      </c>
      <c r="J128" s="721">
        <v>105.15</v>
      </c>
      <c r="K128" s="720">
        <v>1109</v>
      </c>
      <c r="L128" s="720">
        <v>287.83999999999997</v>
      </c>
      <c r="M128" s="720">
        <v>2891.38</v>
      </c>
      <c r="N128" s="720">
        <v>193.87</v>
      </c>
    </row>
    <row r="129" spans="1:14" ht="15">
      <c r="A129" s="705"/>
      <c r="B129" s="705"/>
      <c r="C129" s="719">
        <v>40666</v>
      </c>
      <c r="D129" s="717">
        <v>8618</v>
      </c>
      <c r="E129" s="720">
        <v>9316.32</v>
      </c>
      <c r="F129" s="720">
        <v>14262.2</v>
      </c>
      <c r="G129" s="720">
        <v>12655.29</v>
      </c>
      <c r="H129" s="720">
        <v>9050.31</v>
      </c>
      <c r="I129" s="720">
        <v>6997.93</v>
      </c>
      <c r="J129" s="721">
        <v>105.15</v>
      </c>
      <c r="K129" s="720">
        <v>1109</v>
      </c>
      <c r="L129" s="720">
        <v>287.83999999999997</v>
      </c>
      <c r="M129" s="720">
        <v>2891.38</v>
      </c>
      <c r="N129" s="720">
        <v>193.87</v>
      </c>
    </row>
    <row r="130" spans="1:14" ht="15">
      <c r="A130" s="705"/>
      <c r="B130" s="705"/>
      <c r="C130" s="719">
        <v>40667</v>
      </c>
      <c r="D130" s="717">
        <v>8618</v>
      </c>
      <c r="E130" s="720">
        <v>9316.32</v>
      </c>
      <c r="F130" s="720">
        <v>14262.2</v>
      </c>
      <c r="G130" s="720">
        <v>12655.29</v>
      </c>
      <c r="H130" s="720">
        <v>9050.31</v>
      </c>
      <c r="I130" s="720">
        <v>6997.93</v>
      </c>
      <c r="J130" s="721">
        <v>105.15</v>
      </c>
      <c r="K130" s="720">
        <v>1109</v>
      </c>
      <c r="L130" s="720">
        <v>287.83999999999997</v>
      </c>
      <c r="M130" s="720">
        <v>2891.38</v>
      </c>
      <c r="N130" s="720">
        <v>193.87</v>
      </c>
    </row>
    <row r="131" spans="1:14" ht="15">
      <c r="A131" s="705"/>
      <c r="B131" s="705"/>
      <c r="C131" s="719">
        <v>40668</v>
      </c>
      <c r="D131" s="717">
        <v>8618</v>
      </c>
      <c r="E131" s="720">
        <v>9316.32</v>
      </c>
      <c r="F131" s="720">
        <v>14262.2</v>
      </c>
      <c r="G131" s="720">
        <v>12655.29</v>
      </c>
      <c r="H131" s="720">
        <v>9050.31</v>
      </c>
      <c r="I131" s="720">
        <v>6997.93</v>
      </c>
      <c r="J131" s="721">
        <v>105.15</v>
      </c>
      <c r="K131" s="720">
        <v>1109</v>
      </c>
      <c r="L131" s="720">
        <v>287.83999999999997</v>
      </c>
      <c r="M131" s="720">
        <v>2891.38</v>
      </c>
      <c r="N131" s="720">
        <v>193.87</v>
      </c>
    </row>
    <row r="132" spans="1:14" ht="15">
      <c r="A132" s="705"/>
      <c r="B132" s="705"/>
      <c r="C132" s="719">
        <v>40669</v>
      </c>
      <c r="D132" s="717">
        <v>8618</v>
      </c>
      <c r="E132" s="720">
        <v>9316.32</v>
      </c>
      <c r="F132" s="720">
        <v>14262.2</v>
      </c>
      <c r="G132" s="720">
        <v>12655.29</v>
      </c>
      <c r="H132" s="720">
        <v>9050.31</v>
      </c>
      <c r="I132" s="720">
        <v>6997.93</v>
      </c>
      <c r="J132" s="721">
        <v>105.15</v>
      </c>
      <c r="K132" s="720">
        <v>1109</v>
      </c>
      <c r="L132" s="720">
        <v>287.83999999999997</v>
      </c>
      <c r="M132" s="720">
        <v>2891.38</v>
      </c>
      <c r="N132" s="720">
        <v>193.87</v>
      </c>
    </row>
    <row r="133" spans="1:14" ht="15">
      <c r="A133" s="705"/>
      <c r="B133" s="705"/>
      <c r="C133" s="719">
        <v>40670</v>
      </c>
      <c r="D133" s="717">
        <v>8618</v>
      </c>
      <c r="E133" s="720">
        <v>9316.32</v>
      </c>
      <c r="F133" s="720">
        <v>14262.2</v>
      </c>
      <c r="G133" s="720">
        <v>12655.29</v>
      </c>
      <c r="H133" s="720">
        <v>9050.31</v>
      </c>
      <c r="I133" s="720">
        <v>6997.93</v>
      </c>
      <c r="J133" s="721">
        <v>105.15</v>
      </c>
      <c r="K133" s="720">
        <v>1109</v>
      </c>
      <c r="L133" s="720">
        <v>287.83999999999997</v>
      </c>
      <c r="M133" s="720">
        <v>2891.38</v>
      </c>
      <c r="N133" s="720">
        <v>193.87</v>
      </c>
    </row>
    <row r="134" spans="1:14" ht="15">
      <c r="A134" s="705"/>
      <c r="B134" s="705"/>
      <c r="C134" s="719">
        <v>40671</v>
      </c>
      <c r="D134" s="717">
        <v>8618</v>
      </c>
      <c r="E134" s="720">
        <v>9316.32</v>
      </c>
      <c r="F134" s="720">
        <v>14262.2</v>
      </c>
      <c r="G134" s="720">
        <v>12655.29</v>
      </c>
      <c r="H134" s="720">
        <v>9050.31</v>
      </c>
      <c r="I134" s="720">
        <v>6997.93</v>
      </c>
      <c r="J134" s="721">
        <v>105.15</v>
      </c>
      <c r="K134" s="720">
        <v>1109</v>
      </c>
      <c r="L134" s="720">
        <v>287.83999999999997</v>
      </c>
      <c r="M134" s="720">
        <v>2891.38</v>
      </c>
      <c r="N134" s="720">
        <v>193.87</v>
      </c>
    </row>
    <row r="135" spans="1:14" ht="15">
      <c r="A135" s="705"/>
      <c r="B135" s="705"/>
      <c r="C135" s="719">
        <v>40672</v>
      </c>
      <c r="D135" s="717">
        <v>8553</v>
      </c>
      <c r="E135" s="720">
        <v>9273.69</v>
      </c>
      <c r="F135" s="720">
        <v>14155.03</v>
      </c>
      <c r="G135" s="720">
        <v>12685.28</v>
      </c>
      <c r="H135" s="720">
        <v>8965.82</v>
      </c>
      <c r="I135" s="720">
        <v>6966.28</v>
      </c>
      <c r="J135" s="721">
        <v>105.62</v>
      </c>
      <c r="K135" s="720">
        <v>1100.92</v>
      </c>
      <c r="L135" s="720">
        <v>285.25</v>
      </c>
      <c r="M135" s="720">
        <v>2875.76</v>
      </c>
      <c r="N135" s="720">
        <v>192.32</v>
      </c>
    </row>
    <row r="136" spans="1:14" ht="15">
      <c r="A136" s="705"/>
      <c r="B136" s="705"/>
      <c r="C136" s="719">
        <v>40673</v>
      </c>
      <c r="D136" s="717">
        <v>8553</v>
      </c>
      <c r="E136" s="720">
        <v>9273.69</v>
      </c>
      <c r="F136" s="720">
        <v>14155.03</v>
      </c>
      <c r="G136" s="720">
        <v>12685.28</v>
      </c>
      <c r="H136" s="720">
        <v>8965.82</v>
      </c>
      <c r="I136" s="720">
        <v>6966.28</v>
      </c>
      <c r="J136" s="721">
        <v>105.62</v>
      </c>
      <c r="K136" s="720">
        <v>1100.92</v>
      </c>
      <c r="L136" s="720">
        <v>285.25</v>
      </c>
      <c r="M136" s="720">
        <v>2875.76</v>
      </c>
      <c r="N136" s="720">
        <v>192.32</v>
      </c>
    </row>
    <row r="137" spans="1:14" ht="15">
      <c r="A137" s="705"/>
      <c r="B137" s="705"/>
      <c r="C137" s="719">
        <v>40674</v>
      </c>
      <c r="D137" s="717">
        <v>8553</v>
      </c>
      <c r="E137" s="720">
        <v>9273.69</v>
      </c>
      <c r="F137" s="720">
        <v>14155.03</v>
      </c>
      <c r="G137" s="720">
        <v>12685.28</v>
      </c>
      <c r="H137" s="720">
        <v>8965.82</v>
      </c>
      <c r="I137" s="720">
        <v>6966.28</v>
      </c>
      <c r="J137" s="721">
        <v>105.62</v>
      </c>
      <c r="K137" s="720">
        <v>1100.92</v>
      </c>
      <c r="L137" s="720">
        <v>285.25</v>
      </c>
      <c r="M137" s="720">
        <v>2875.76</v>
      </c>
      <c r="N137" s="720">
        <v>192.32</v>
      </c>
    </row>
    <row r="138" spans="1:14" ht="15">
      <c r="A138" s="705"/>
      <c r="B138" s="705"/>
      <c r="C138" s="719">
        <v>40675</v>
      </c>
      <c r="D138" s="717">
        <v>8553</v>
      </c>
      <c r="E138" s="720">
        <v>9273.69</v>
      </c>
      <c r="F138" s="720">
        <v>14155.03</v>
      </c>
      <c r="G138" s="720">
        <v>12685.28</v>
      </c>
      <c r="H138" s="720">
        <v>8965.82</v>
      </c>
      <c r="I138" s="720">
        <v>6966.28</v>
      </c>
      <c r="J138" s="721">
        <v>105.62</v>
      </c>
      <c r="K138" s="720">
        <v>1100.92</v>
      </c>
      <c r="L138" s="720">
        <v>285.25</v>
      </c>
      <c r="M138" s="720">
        <v>2875.76</v>
      </c>
      <c r="N138" s="720">
        <v>192.32</v>
      </c>
    </row>
    <row r="139" spans="1:14" ht="15">
      <c r="A139" s="705"/>
      <c r="B139" s="705"/>
      <c r="C139" s="719">
        <v>40676</v>
      </c>
      <c r="D139" s="717">
        <v>8553</v>
      </c>
      <c r="E139" s="720">
        <v>9273.69</v>
      </c>
      <c r="F139" s="720">
        <v>14155.03</v>
      </c>
      <c r="G139" s="720">
        <v>12685.28</v>
      </c>
      <c r="H139" s="720">
        <v>8965.82</v>
      </c>
      <c r="I139" s="720">
        <v>6966.28</v>
      </c>
      <c r="J139" s="721">
        <v>105.62</v>
      </c>
      <c r="K139" s="720">
        <v>1100.92</v>
      </c>
      <c r="L139" s="720">
        <v>285.25</v>
      </c>
      <c r="M139" s="720">
        <v>2875.76</v>
      </c>
      <c r="N139" s="720">
        <v>192.32</v>
      </c>
    </row>
    <row r="140" spans="1:14" ht="15">
      <c r="A140" s="705"/>
      <c r="B140" s="705"/>
      <c r="C140" s="719">
        <v>40677</v>
      </c>
      <c r="D140" s="717">
        <v>8553</v>
      </c>
      <c r="E140" s="720">
        <v>9273.69</v>
      </c>
      <c r="F140" s="720">
        <v>14155.03</v>
      </c>
      <c r="G140" s="720">
        <v>12685.28</v>
      </c>
      <c r="H140" s="720">
        <v>8965.82</v>
      </c>
      <c r="I140" s="720">
        <v>6966.28</v>
      </c>
      <c r="J140" s="721">
        <v>105.62</v>
      </c>
      <c r="K140" s="720">
        <v>1100.92</v>
      </c>
      <c r="L140" s="720">
        <v>285.25</v>
      </c>
      <c r="M140" s="720">
        <v>2875.76</v>
      </c>
      <c r="N140" s="720">
        <v>192.32</v>
      </c>
    </row>
    <row r="141" spans="1:14" ht="15">
      <c r="A141" s="705"/>
      <c r="B141" s="705"/>
      <c r="C141" s="719">
        <v>40678</v>
      </c>
      <c r="D141" s="717">
        <v>8553</v>
      </c>
      <c r="E141" s="720">
        <v>9273.69</v>
      </c>
      <c r="F141" s="720">
        <v>14155.03</v>
      </c>
      <c r="G141" s="720">
        <v>12685.28</v>
      </c>
      <c r="H141" s="720">
        <v>8965.82</v>
      </c>
      <c r="I141" s="720">
        <v>6966.28</v>
      </c>
      <c r="J141" s="721">
        <v>105.62</v>
      </c>
      <c r="K141" s="720">
        <v>1100.92</v>
      </c>
      <c r="L141" s="720">
        <v>285.25</v>
      </c>
      <c r="M141" s="720">
        <v>2875.76</v>
      </c>
      <c r="N141" s="720">
        <v>192.32</v>
      </c>
    </row>
    <row r="142" spans="1:14" ht="15">
      <c r="A142" s="705"/>
      <c r="B142" s="705"/>
      <c r="C142" s="719">
        <v>40679</v>
      </c>
      <c r="D142" s="717">
        <v>8554</v>
      </c>
      <c r="E142" s="720">
        <v>9162.7000000000007</v>
      </c>
      <c r="F142" s="720">
        <v>13953.69</v>
      </c>
      <c r="G142" s="720">
        <v>12199.26</v>
      </c>
      <c r="H142" s="720">
        <v>8880.17</v>
      </c>
      <c r="I142" s="720">
        <v>6912.46</v>
      </c>
      <c r="J142" s="721">
        <v>105.86</v>
      </c>
      <c r="K142" s="720">
        <v>1100.47</v>
      </c>
      <c r="L142" s="720">
        <v>282.97000000000003</v>
      </c>
      <c r="M142" s="720">
        <v>2855.81</v>
      </c>
      <c r="N142" s="720">
        <v>190.95</v>
      </c>
    </row>
    <row r="143" spans="1:14" ht="15">
      <c r="A143" s="705"/>
      <c r="B143" s="705"/>
      <c r="C143" s="719">
        <v>40680</v>
      </c>
      <c r="D143" s="717">
        <v>8554</v>
      </c>
      <c r="E143" s="720">
        <v>9162.7000000000007</v>
      </c>
      <c r="F143" s="720">
        <v>13953.69</v>
      </c>
      <c r="G143" s="720">
        <v>12199.26</v>
      </c>
      <c r="H143" s="720">
        <v>8880.17</v>
      </c>
      <c r="I143" s="720">
        <v>6912.46</v>
      </c>
      <c r="J143" s="721">
        <v>105.86</v>
      </c>
      <c r="K143" s="720">
        <v>1100.47</v>
      </c>
      <c r="L143" s="720">
        <v>282.97000000000003</v>
      </c>
      <c r="M143" s="720">
        <v>2855.81</v>
      </c>
      <c r="N143" s="720">
        <v>190.95</v>
      </c>
    </row>
    <row r="144" spans="1:14" ht="15">
      <c r="A144" s="705"/>
      <c r="B144" s="705"/>
      <c r="C144" s="719">
        <v>40681</v>
      </c>
      <c r="D144" s="717">
        <v>8554</v>
      </c>
      <c r="E144" s="720">
        <v>9162.7000000000007</v>
      </c>
      <c r="F144" s="720">
        <v>13953.69</v>
      </c>
      <c r="G144" s="720">
        <v>12199.26</v>
      </c>
      <c r="H144" s="720">
        <v>8880.17</v>
      </c>
      <c r="I144" s="720">
        <v>6912.46</v>
      </c>
      <c r="J144" s="721">
        <v>105.86</v>
      </c>
      <c r="K144" s="720">
        <v>1100.47</v>
      </c>
      <c r="L144" s="720">
        <v>282.97000000000003</v>
      </c>
      <c r="M144" s="720">
        <v>2855.81</v>
      </c>
      <c r="N144" s="720">
        <v>190.95</v>
      </c>
    </row>
    <row r="145" spans="1:14" ht="15">
      <c r="A145" s="705"/>
      <c r="B145" s="705"/>
      <c r="C145" s="719">
        <v>40682</v>
      </c>
      <c r="D145" s="717">
        <v>8554</v>
      </c>
      <c r="E145" s="720">
        <v>9162.7000000000007</v>
      </c>
      <c r="F145" s="720">
        <v>13953.69</v>
      </c>
      <c r="G145" s="720">
        <v>12199.26</v>
      </c>
      <c r="H145" s="720">
        <v>8880.17</v>
      </c>
      <c r="I145" s="720">
        <v>6912.46</v>
      </c>
      <c r="J145" s="721">
        <v>105.86</v>
      </c>
      <c r="K145" s="720">
        <v>1100.47</v>
      </c>
      <c r="L145" s="720">
        <v>282.97000000000003</v>
      </c>
      <c r="M145" s="720">
        <v>2855.81</v>
      </c>
      <c r="N145" s="720">
        <v>190.95</v>
      </c>
    </row>
    <row r="146" spans="1:14" ht="15">
      <c r="A146" s="705"/>
      <c r="B146" s="705"/>
      <c r="C146" s="719">
        <v>40683</v>
      </c>
      <c r="D146" s="717">
        <v>8554</v>
      </c>
      <c r="E146" s="720">
        <v>9162.7000000000007</v>
      </c>
      <c r="F146" s="720">
        <v>13953.69</v>
      </c>
      <c r="G146" s="720">
        <v>12199.26</v>
      </c>
      <c r="H146" s="720">
        <v>8880.17</v>
      </c>
      <c r="I146" s="720">
        <v>6912.46</v>
      </c>
      <c r="J146" s="721">
        <v>105.86</v>
      </c>
      <c r="K146" s="720">
        <v>1100.47</v>
      </c>
      <c r="L146" s="720">
        <v>282.97000000000003</v>
      </c>
      <c r="M146" s="720">
        <v>2855.81</v>
      </c>
      <c r="N146" s="720">
        <v>190.95</v>
      </c>
    </row>
    <row r="147" spans="1:14" ht="15">
      <c r="A147" s="705"/>
      <c r="B147" s="705"/>
      <c r="C147" s="719">
        <v>40684</v>
      </c>
      <c r="D147" s="717">
        <v>8554</v>
      </c>
      <c r="E147" s="720">
        <v>9162.7000000000007</v>
      </c>
      <c r="F147" s="720">
        <v>13953.69</v>
      </c>
      <c r="G147" s="720">
        <v>12199.26</v>
      </c>
      <c r="H147" s="720">
        <v>8880.17</v>
      </c>
      <c r="I147" s="720">
        <v>6912.46</v>
      </c>
      <c r="J147" s="721">
        <v>105.86</v>
      </c>
      <c r="K147" s="720">
        <v>1100.47</v>
      </c>
      <c r="L147" s="720">
        <v>282.97000000000003</v>
      </c>
      <c r="M147" s="720">
        <v>2855.81</v>
      </c>
      <c r="N147" s="720">
        <v>190.95</v>
      </c>
    </row>
    <row r="148" spans="1:14" ht="15">
      <c r="A148" s="705"/>
      <c r="B148" s="705"/>
      <c r="C148" s="719">
        <v>40685</v>
      </c>
      <c r="D148" s="717">
        <v>8554</v>
      </c>
      <c r="E148" s="720">
        <v>9162.7000000000007</v>
      </c>
      <c r="F148" s="720">
        <v>13953.69</v>
      </c>
      <c r="G148" s="720">
        <v>12199.26</v>
      </c>
      <c r="H148" s="720">
        <v>8880.17</v>
      </c>
      <c r="I148" s="720">
        <v>6912.46</v>
      </c>
      <c r="J148" s="721">
        <v>105.86</v>
      </c>
      <c r="K148" s="720">
        <v>1100.47</v>
      </c>
      <c r="L148" s="720">
        <v>282.97000000000003</v>
      </c>
      <c r="M148" s="720">
        <v>2855.81</v>
      </c>
      <c r="N148" s="720">
        <v>190.95</v>
      </c>
    </row>
    <row r="149" spans="1:14" ht="15">
      <c r="A149" s="705"/>
      <c r="B149" s="705"/>
      <c r="C149" s="719">
        <v>40686</v>
      </c>
      <c r="D149" s="717">
        <v>8569</v>
      </c>
      <c r="E149" s="720">
        <v>9107.5400000000009</v>
      </c>
      <c r="F149" s="720">
        <v>13892.22</v>
      </c>
      <c r="G149" s="720">
        <v>12209.93</v>
      </c>
      <c r="H149" s="720">
        <v>8827.42</v>
      </c>
      <c r="I149" s="720">
        <v>6897.86</v>
      </c>
      <c r="J149" s="721">
        <v>105.2</v>
      </c>
      <c r="K149" s="720">
        <v>1102.08</v>
      </c>
      <c r="L149" s="720">
        <v>283.02</v>
      </c>
      <c r="M149" s="720">
        <v>2823.74</v>
      </c>
      <c r="N149" s="720">
        <v>190.13</v>
      </c>
    </row>
    <row r="150" spans="1:14" ht="15">
      <c r="A150" s="705"/>
      <c r="B150" s="705"/>
      <c r="C150" s="719">
        <v>40687</v>
      </c>
      <c r="D150" s="717">
        <v>8569</v>
      </c>
      <c r="E150" s="720">
        <v>9107.5400000000009</v>
      </c>
      <c r="F150" s="720">
        <v>13892.22</v>
      </c>
      <c r="G150" s="720">
        <v>12209.93</v>
      </c>
      <c r="H150" s="720">
        <v>8827.42</v>
      </c>
      <c r="I150" s="720">
        <v>6897.86</v>
      </c>
      <c r="J150" s="721">
        <v>105.2</v>
      </c>
      <c r="K150" s="720">
        <v>1102.08</v>
      </c>
      <c r="L150" s="720">
        <v>283.02</v>
      </c>
      <c r="M150" s="720">
        <v>2823.74</v>
      </c>
      <c r="N150" s="720">
        <v>190.13</v>
      </c>
    </row>
    <row r="151" spans="1:14" ht="15">
      <c r="A151" s="705"/>
      <c r="B151" s="705"/>
      <c r="C151" s="719">
        <v>40688</v>
      </c>
      <c r="D151" s="717">
        <v>8569</v>
      </c>
      <c r="E151" s="720">
        <v>9107.5400000000009</v>
      </c>
      <c r="F151" s="720">
        <v>13892.22</v>
      </c>
      <c r="G151" s="720">
        <v>12209.93</v>
      </c>
      <c r="H151" s="720">
        <v>8827.42</v>
      </c>
      <c r="I151" s="720">
        <v>6897.86</v>
      </c>
      <c r="J151" s="721">
        <v>105.2</v>
      </c>
      <c r="K151" s="720">
        <v>1102.08</v>
      </c>
      <c r="L151" s="720">
        <v>283.02</v>
      </c>
      <c r="M151" s="720">
        <v>2823.74</v>
      </c>
      <c r="N151" s="720">
        <v>190.13</v>
      </c>
    </row>
    <row r="152" spans="1:14" ht="15">
      <c r="A152" s="705"/>
      <c r="B152" s="705"/>
      <c r="C152" s="719">
        <v>40689</v>
      </c>
      <c r="D152" s="717">
        <v>8569</v>
      </c>
      <c r="E152" s="720">
        <v>9107.5400000000009</v>
      </c>
      <c r="F152" s="720">
        <v>13892.22</v>
      </c>
      <c r="G152" s="720">
        <v>12209.93</v>
      </c>
      <c r="H152" s="720">
        <v>8827.42</v>
      </c>
      <c r="I152" s="720">
        <v>6897.86</v>
      </c>
      <c r="J152" s="721">
        <v>105.2</v>
      </c>
      <c r="K152" s="720">
        <v>1102.08</v>
      </c>
      <c r="L152" s="720">
        <v>283.02</v>
      </c>
      <c r="M152" s="720">
        <v>2823.74</v>
      </c>
      <c r="N152" s="720">
        <v>190.13</v>
      </c>
    </row>
    <row r="153" spans="1:14" ht="15">
      <c r="A153" s="705"/>
      <c r="B153" s="705"/>
      <c r="C153" s="719">
        <v>40690</v>
      </c>
      <c r="D153" s="717">
        <v>8569</v>
      </c>
      <c r="E153" s="720">
        <v>9107.5400000000009</v>
      </c>
      <c r="F153" s="720">
        <v>13892.22</v>
      </c>
      <c r="G153" s="720">
        <v>12209.93</v>
      </c>
      <c r="H153" s="720">
        <v>8827.42</v>
      </c>
      <c r="I153" s="720">
        <v>6897.86</v>
      </c>
      <c r="J153" s="721">
        <v>105.2</v>
      </c>
      <c r="K153" s="720">
        <v>1102.08</v>
      </c>
      <c r="L153" s="720">
        <v>283.02</v>
      </c>
      <c r="M153" s="720">
        <v>2823.74</v>
      </c>
      <c r="N153" s="720">
        <v>190.13</v>
      </c>
    </row>
    <row r="154" spans="1:14" ht="15">
      <c r="A154" s="705"/>
      <c r="B154" s="705"/>
      <c r="C154" s="719">
        <v>40691</v>
      </c>
      <c r="D154" s="717">
        <v>8569</v>
      </c>
      <c r="E154" s="720">
        <v>9107.5400000000009</v>
      </c>
      <c r="F154" s="720">
        <v>13892.22</v>
      </c>
      <c r="G154" s="720">
        <v>12209.93</v>
      </c>
      <c r="H154" s="720">
        <v>8827.42</v>
      </c>
      <c r="I154" s="720">
        <v>6897.86</v>
      </c>
      <c r="J154" s="721">
        <v>105.2</v>
      </c>
      <c r="K154" s="720">
        <v>1102.08</v>
      </c>
      <c r="L154" s="720">
        <v>283.02</v>
      </c>
      <c r="M154" s="720">
        <v>2823.74</v>
      </c>
      <c r="N154" s="720">
        <v>190.13</v>
      </c>
    </row>
    <row r="155" spans="1:14" ht="15">
      <c r="A155" s="705"/>
      <c r="B155" s="705"/>
      <c r="C155" s="719">
        <v>40692</v>
      </c>
      <c r="D155" s="717">
        <v>8569</v>
      </c>
      <c r="E155" s="720">
        <v>9107.5400000000009</v>
      </c>
      <c r="F155" s="720">
        <v>13892.22</v>
      </c>
      <c r="G155" s="720">
        <v>12209.93</v>
      </c>
      <c r="H155" s="720">
        <v>8827.42</v>
      </c>
      <c r="I155" s="720">
        <v>6897.86</v>
      </c>
      <c r="J155" s="721">
        <v>105.2</v>
      </c>
      <c r="K155" s="720">
        <v>1102.08</v>
      </c>
      <c r="L155" s="720">
        <v>283.02</v>
      </c>
      <c r="M155" s="720">
        <v>2823.74</v>
      </c>
      <c r="N155" s="720">
        <v>190.13</v>
      </c>
    </row>
    <row r="156" spans="1:14" ht="15">
      <c r="A156" s="705"/>
      <c r="B156" s="705"/>
      <c r="C156" s="719">
        <v>40693</v>
      </c>
      <c r="D156" s="717">
        <v>8584</v>
      </c>
      <c r="E156" s="720">
        <v>9074.9699999999993</v>
      </c>
      <c r="F156" s="720">
        <v>13967.04</v>
      </c>
      <c r="G156" s="720">
        <v>12112.09</v>
      </c>
      <c r="H156" s="720">
        <v>8775.99</v>
      </c>
      <c r="I156" s="720">
        <v>6892.4</v>
      </c>
      <c r="J156" s="721">
        <v>105.12</v>
      </c>
      <c r="K156" s="720">
        <v>1103.0999999999999</v>
      </c>
      <c r="L156" s="720">
        <v>282.29000000000002</v>
      </c>
      <c r="M156" s="720">
        <v>2813.92</v>
      </c>
      <c r="N156" s="720">
        <v>189.61</v>
      </c>
    </row>
    <row r="157" spans="1:14" ht="15">
      <c r="A157" s="705"/>
      <c r="B157" s="705"/>
      <c r="C157" s="719">
        <v>40694</v>
      </c>
      <c r="D157" s="717">
        <v>8584</v>
      </c>
      <c r="E157" s="720">
        <v>9074.9699999999993</v>
      </c>
      <c r="F157" s="720">
        <v>13967.04</v>
      </c>
      <c r="G157" s="720">
        <v>12112.09</v>
      </c>
      <c r="H157" s="720">
        <v>8775.99</v>
      </c>
      <c r="I157" s="720">
        <v>6892.4</v>
      </c>
      <c r="J157" s="721">
        <v>105.12</v>
      </c>
      <c r="K157" s="720">
        <v>1103.0999999999999</v>
      </c>
      <c r="L157" s="720">
        <v>282.29000000000002</v>
      </c>
      <c r="M157" s="720">
        <v>2813.92</v>
      </c>
      <c r="N157" s="720">
        <v>189.61</v>
      </c>
    </row>
    <row r="158" spans="1:14" ht="15">
      <c r="A158" s="705"/>
      <c r="B158" s="705"/>
      <c r="C158" s="719">
        <v>40695</v>
      </c>
      <c r="D158" s="717">
        <v>8584</v>
      </c>
      <c r="E158" s="720">
        <v>9074.9699999999993</v>
      </c>
      <c r="F158" s="720">
        <v>13967.04</v>
      </c>
      <c r="G158" s="720">
        <v>12112.09</v>
      </c>
      <c r="H158" s="720">
        <v>8775.99</v>
      </c>
      <c r="I158" s="720">
        <v>6892.4</v>
      </c>
      <c r="J158" s="721">
        <v>105.12</v>
      </c>
      <c r="K158" s="720">
        <v>1103.0999999999999</v>
      </c>
      <c r="L158" s="720">
        <v>282.29000000000002</v>
      </c>
      <c r="M158" s="720">
        <v>2813.92</v>
      </c>
      <c r="N158" s="720">
        <v>189.61</v>
      </c>
    </row>
    <row r="159" spans="1:14" ht="15">
      <c r="A159" s="705"/>
      <c r="B159" s="705"/>
      <c r="C159" s="719">
        <v>40696</v>
      </c>
      <c r="D159" s="717">
        <v>8584</v>
      </c>
      <c r="E159" s="720">
        <v>9074.9699999999993</v>
      </c>
      <c r="F159" s="720">
        <v>13967.04</v>
      </c>
      <c r="G159" s="720">
        <v>12112.09</v>
      </c>
      <c r="H159" s="720">
        <v>8775.99</v>
      </c>
      <c r="I159" s="720">
        <v>6892.4</v>
      </c>
      <c r="J159" s="721">
        <v>105.12</v>
      </c>
      <c r="K159" s="720">
        <v>1103.0999999999999</v>
      </c>
      <c r="L159" s="720">
        <v>282.29000000000002</v>
      </c>
      <c r="M159" s="720">
        <v>2813.92</v>
      </c>
      <c r="N159" s="720">
        <v>189.61</v>
      </c>
    </row>
    <row r="160" spans="1:14" ht="15">
      <c r="A160" s="705"/>
      <c r="B160" s="705"/>
      <c r="C160" s="719">
        <v>40697</v>
      </c>
      <c r="D160" s="717">
        <v>8584</v>
      </c>
      <c r="E160" s="720">
        <v>9074.9699999999993</v>
      </c>
      <c r="F160" s="720">
        <v>13967.04</v>
      </c>
      <c r="G160" s="720">
        <v>12112.09</v>
      </c>
      <c r="H160" s="720">
        <v>8775.99</v>
      </c>
      <c r="I160" s="720">
        <v>6892.4</v>
      </c>
      <c r="J160" s="721">
        <v>105.12</v>
      </c>
      <c r="K160" s="720">
        <v>1103.0999999999999</v>
      </c>
      <c r="L160" s="720">
        <v>282.29000000000002</v>
      </c>
      <c r="M160" s="720">
        <v>2813.92</v>
      </c>
      <c r="N160" s="720">
        <v>189.61</v>
      </c>
    </row>
    <row r="161" spans="1:14" ht="15">
      <c r="A161" s="705"/>
      <c r="B161" s="705"/>
      <c r="C161" s="719">
        <v>40698</v>
      </c>
      <c r="D161" s="717">
        <v>8584</v>
      </c>
      <c r="E161" s="720">
        <v>9074.9699999999993</v>
      </c>
      <c r="F161" s="720">
        <v>13967.04</v>
      </c>
      <c r="G161" s="720">
        <v>12112.09</v>
      </c>
      <c r="H161" s="720">
        <v>8775.99</v>
      </c>
      <c r="I161" s="720">
        <v>6892.4</v>
      </c>
      <c r="J161" s="721">
        <v>105.12</v>
      </c>
      <c r="K161" s="720">
        <v>1103.0999999999999</v>
      </c>
      <c r="L161" s="720">
        <v>282.29000000000002</v>
      </c>
      <c r="M161" s="720">
        <v>2813.92</v>
      </c>
      <c r="N161" s="720">
        <v>189.61</v>
      </c>
    </row>
    <row r="162" spans="1:14" ht="15">
      <c r="A162" s="705"/>
      <c r="B162" s="705"/>
      <c r="C162" s="719">
        <v>40699</v>
      </c>
      <c r="D162" s="717">
        <v>8584</v>
      </c>
      <c r="E162" s="720">
        <v>9074.9699999999993</v>
      </c>
      <c r="F162" s="720">
        <v>13967.04</v>
      </c>
      <c r="G162" s="720">
        <v>12112.09</v>
      </c>
      <c r="H162" s="720">
        <v>8775.99</v>
      </c>
      <c r="I162" s="720">
        <v>6892.4</v>
      </c>
      <c r="J162" s="721">
        <v>105.12</v>
      </c>
      <c r="K162" s="720">
        <v>1103.0999999999999</v>
      </c>
      <c r="L162" s="720">
        <v>282.29000000000002</v>
      </c>
      <c r="M162" s="720">
        <v>2813.92</v>
      </c>
      <c r="N162" s="720">
        <v>189.61</v>
      </c>
    </row>
    <row r="163" spans="1:14" ht="15">
      <c r="A163" s="705"/>
      <c r="B163" s="705"/>
      <c r="C163" s="719">
        <v>40700</v>
      </c>
      <c r="D163" s="717">
        <v>8549</v>
      </c>
      <c r="E163" s="720">
        <v>9146.7900000000009</v>
      </c>
      <c r="F163" s="720">
        <v>14083.62</v>
      </c>
      <c r="G163" s="720">
        <v>12270.59</v>
      </c>
      <c r="H163" s="720">
        <v>8790.2900000000009</v>
      </c>
      <c r="I163" s="720">
        <v>6926.61</v>
      </c>
      <c r="J163" s="721">
        <v>105.34</v>
      </c>
      <c r="K163" s="720">
        <v>1099.04</v>
      </c>
      <c r="L163" s="720">
        <v>282.01</v>
      </c>
      <c r="M163" s="720">
        <v>2833.28</v>
      </c>
      <c r="N163" s="720">
        <v>189.55</v>
      </c>
    </row>
    <row r="164" spans="1:14" ht="15">
      <c r="A164" s="705"/>
      <c r="B164" s="705"/>
      <c r="C164" s="719">
        <v>40701</v>
      </c>
      <c r="D164" s="717">
        <v>8549</v>
      </c>
      <c r="E164" s="720">
        <v>9146.7900000000009</v>
      </c>
      <c r="F164" s="720">
        <v>14083.62</v>
      </c>
      <c r="G164" s="720">
        <v>12270.59</v>
      </c>
      <c r="H164" s="720">
        <v>8790.2900000000009</v>
      </c>
      <c r="I164" s="720">
        <v>6926.61</v>
      </c>
      <c r="J164" s="721">
        <v>105.34</v>
      </c>
      <c r="K164" s="720">
        <v>1099.04</v>
      </c>
      <c r="L164" s="720">
        <v>282.01</v>
      </c>
      <c r="M164" s="720">
        <v>2833.28</v>
      </c>
      <c r="N164" s="720">
        <v>189.55</v>
      </c>
    </row>
    <row r="165" spans="1:14" ht="15">
      <c r="A165" s="705"/>
      <c r="B165" s="705"/>
      <c r="C165" s="719">
        <v>40702</v>
      </c>
      <c r="D165" s="717">
        <v>8549</v>
      </c>
      <c r="E165" s="720">
        <v>9146.7900000000009</v>
      </c>
      <c r="F165" s="720">
        <v>14083.62</v>
      </c>
      <c r="G165" s="720">
        <v>12270.59</v>
      </c>
      <c r="H165" s="720">
        <v>8790.2900000000009</v>
      </c>
      <c r="I165" s="720">
        <v>6926.61</v>
      </c>
      <c r="J165" s="721">
        <v>105.34</v>
      </c>
      <c r="K165" s="720">
        <v>1099.04</v>
      </c>
      <c r="L165" s="720">
        <v>282.01</v>
      </c>
      <c r="M165" s="720">
        <v>2833.28</v>
      </c>
      <c r="N165" s="720">
        <v>189.55</v>
      </c>
    </row>
    <row r="166" spans="1:14" ht="15">
      <c r="A166" s="705"/>
      <c r="B166" s="705"/>
      <c r="C166" s="719">
        <v>40703</v>
      </c>
      <c r="D166" s="717">
        <v>8549</v>
      </c>
      <c r="E166" s="720">
        <v>9146.7900000000009</v>
      </c>
      <c r="F166" s="720">
        <v>14083.62</v>
      </c>
      <c r="G166" s="720">
        <v>12270.59</v>
      </c>
      <c r="H166" s="720">
        <v>8790.2900000000009</v>
      </c>
      <c r="I166" s="720">
        <v>6926.61</v>
      </c>
      <c r="J166" s="721">
        <v>105.34</v>
      </c>
      <c r="K166" s="720">
        <v>1099.04</v>
      </c>
      <c r="L166" s="720">
        <v>282.01</v>
      </c>
      <c r="M166" s="720">
        <v>2833.28</v>
      </c>
      <c r="N166" s="720">
        <v>189.55</v>
      </c>
    </row>
    <row r="167" spans="1:14" ht="15">
      <c r="A167" s="705"/>
      <c r="B167" s="705"/>
      <c r="C167" s="719">
        <v>40704</v>
      </c>
      <c r="D167" s="717">
        <v>8549</v>
      </c>
      <c r="E167" s="720">
        <v>9146.7900000000009</v>
      </c>
      <c r="F167" s="720">
        <v>14083.62</v>
      </c>
      <c r="G167" s="720">
        <v>12270.59</v>
      </c>
      <c r="H167" s="720">
        <v>8790.2900000000009</v>
      </c>
      <c r="I167" s="720">
        <v>6926.61</v>
      </c>
      <c r="J167" s="721">
        <v>105.34</v>
      </c>
      <c r="K167" s="720">
        <v>1099.04</v>
      </c>
      <c r="L167" s="720">
        <v>282.01</v>
      </c>
      <c r="M167" s="720">
        <v>2833.28</v>
      </c>
      <c r="N167" s="720">
        <v>189.55</v>
      </c>
    </row>
    <row r="168" spans="1:14" ht="15">
      <c r="A168" s="705"/>
      <c r="B168" s="705"/>
      <c r="C168" s="719">
        <v>40705</v>
      </c>
      <c r="D168" s="717">
        <v>8549</v>
      </c>
      <c r="E168" s="720">
        <v>9146.7900000000009</v>
      </c>
      <c r="F168" s="720">
        <v>14083.62</v>
      </c>
      <c r="G168" s="720">
        <v>12270.59</v>
      </c>
      <c r="H168" s="720">
        <v>8790.2900000000009</v>
      </c>
      <c r="I168" s="720">
        <v>6926.61</v>
      </c>
      <c r="J168" s="721">
        <v>105.34</v>
      </c>
      <c r="K168" s="720">
        <v>1099.04</v>
      </c>
      <c r="L168" s="720">
        <v>282.01</v>
      </c>
      <c r="M168" s="720">
        <v>2833.28</v>
      </c>
      <c r="N168" s="720">
        <v>189.55</v>
      </c>
    </row>
    <row r="169" spans="1:14" ht="15">
      <c r="A169" s="705"/>
      <c r="B169" s="705"/>
      <c r="C169" s="719">
        <v>40706</v>
      </c>
      <c r="D169" s="717">
        <v>8549</v>
      </c>
      <c r="E169" s="720">
        <v>9146.7900000000009</v>
      </c>
      <c r="F169" s="720">
        <v>14083.62</v>
      </c>
      <c r="G169" s="720">
        <v>12270.59</v>
      </c>
      <c r="H169" s="720">
        <v>8790.2900000000009</v>
      </c>
      <c r="I169" s="720">
        <v>6926.61</v>
      </c>
      <c r="J169" s="721">
        <v>105.34</v>
      </c>
      <c r="K169" s="720">
        <v>1099.04</v>
      </c>
      <c r="L169" s="720">
        <v>282.01</v>
      </c>
      <c r="M169" s="720">
        <v>2833.28</v>
      </c>
      <c r="N169" s="720">
        <v>189.55</v>
      </c>
    </row>
    <row r="170" spans="1:14" ht="15">
      <c r="A170" s="705"/>
      <c r="B170" s="705"/>
      <c r="C170" s="719">
        <v>40707</v>
      </c>
      <c r="D170" s="717">
        <v>8516</v>
      </c>
      <c r="E170" s="720">
        <v>9072.56</v>
      </c>
      <c r="F170" s="720">
        <v>13965.57</v>
      </c>
      <c r="G170" s="720">
        <v>12437.5</v>
      </c>
      <c r="H170" s="720">
        <v>8711.1</v>
      </c>
      <c r="I170" s="720">
        <v>6921.05</v>
      </c>
      <c r="J170" s="721">
        <v>106.35</v>
      </c>
      <c r="K170" s="720">
        <v>1094.55</v>
      </c>
      <c r="L170" s="720">
        <v>280.51</v>
      </c>
      <c r="M170" s="720">
        <v>2825.96</v>
      </c>
      <c r="N170" s="720">
        <v>190.43</v>
      </c>
    </row>
    <row r="171" spans="1:14" ht="15">
      <c r="A171" s="705"/>
      <c r="B171" s="705"/>
      <c r="C171" s="719">
        <v>40708</v>
      </c>
      <c r="D171" s="717">
        <v>8516</v>
      </c>
      <c r="E171" s="720">
        <v>9072.56</v>
      </c>
      <c r="F171" s="720">
        <v>13965.57</v>
      </c>
      <c r="G171" s="720">
        <v>12437.5</v>
      </c>
      <c r="H171" s="720">
        <v>8711.1</v>
      </c>
      <c r="I171" s="720">
        <v>6921.05</v>
      </c>
      <c r="J171" s="721">
        <v>106.35</v>
      </c>
      <c r="K171" s="720">
        <v>1094.55</v>
      </c>
      <c r="L171" s="720">
        <v>280.51</v>
      </c>
      <c r="M171" s="720">
        <v>2825.96</v>
      </c>
      <c r="N171" s="720">
        <v>190.43</v>
      </c>
    </row>
    <row r="172" spans="1:14" ht="15">
      <c r="A172" s="705"/>
      <c r="B172" s="705"/>
      <c r="C172" s="719">
        <v>40709</v>
      </c>
      <c r="D172" s="717">
        <v>8516</v>
      </c>
      <c r="E172" s="720">
        <v>9072.56</v>
      </c>
      <c r="F172" s="720">
        <v>13965.57</v>
      </c>
      <c r="G172" s="720">
        <v>12437.5</v>
      </c>
      <c r="H172" s="720">
        <v>8711.1</v>
      </c>
      <c r="I172" s="720">
        <v>6921.05</v>
      </c>
      <c r="J172" s="721">
        <v>106.35</v>
      </c>
      <c r="K172" s="720">
        <v>1094.55</v>
      </c>
      <c r="L172" s="720">
        <v>280.51</v>
      </c>
      <c r="M172" s="720">
        <v>2825.96</v>
      </c>
      <c r="N172" s="720">
        <v>190.43</v>
      </c>
    </row>
    <row r="173" spans="1:14" ht="15">
      <c r="A173" s="705"/>
      <c r="B173" s="705"/>
      <c r="C173" s="719">
        <v>40710</v>
      </c>
      <c r="D173" s="717">
        <v>8516</v>
      </c>
      <c r="E173" s="720">
        <v>9072.56</v>
      </c>
      <c r="F173" s="720">
        <v>13965.57</v>
      </c>
      <c r="G173" s="720">
        <v>12437.5</v>
      </c>
      <c r="H173" s="720">
        <v>8711.1</v>
      </c>
      <c r="I173" s="720">
        <v>6921.05</v>
      </c>
      <c r="J173" s="721">
        <v>106.35</v>
      </c>
      <c r="K173" s="720">
        <v>1094.55</v>
      </c>
      <c r="L173" s="720">
        <v>280.51</v>
      </c>
      <c r="M173" s="720">
        <v>2825.96</v>
      </c>
      <c r="N173" s="720">
        <v>190.43</v>
      </c>
    </row>
    <row r="174" spans="1:14" ht="15">
      <c r="A174" s="705"/>
      <c r="B174" s="705"/>
      <c r="C174" s="719">
        <v>40711</v>
      </c>
      <c r="D174" s="717">
        <v>8516</v>
      </c>
      <c r="E174" s="720">
        <v>9072.56</v>
      </c>
      <c r="F174" s="720">
        <v>13965.57</v>
      </c>
      <c r="G174" s="720">
        <v>12437.5</v>
      </c>
      <c r="H174" s="720">
        <v>8711.1</v>
      </c>
      <c r="I174" s="720">
        <v>6921.05</v>
      </c>
      <c r="J174" s="721">
        <v>106.35</v>
      </c>
      <c r="K174" s="720">
        <v>1094.55</v>
      </c>
      <c r="L174" s="720">
        <v>280.51</v>
      </c>
      <c r="M174" s="720">
        <v>2825.96</v>
      </c>
      <c r="N174" s="720">
        <v>190.43</v>
      </c>
    </row>
    <row r="175" spans="1:14" ht="15">
      <c r="A175" s="705"/>
      <c r="B175" s="705"/>
      <c r="C175" s="719">
        <v>40712</v>
      </c>
      <c r="D175" s="717">
        <v>8516</v>
      </c>
      <c r="E175" s="720">
        <v>9072.56</v>
      </c>
      <c r="F175" s="720">
        <v>13965.57</v>
      </c>
      <c r="G175" s="720">
        <v>12437.5</v>
      </c>
      <c r="H175" s="720">
        <v>8711.1</v>
      </c>
      <c r="I175" s="720">
        <v>6921.05</v>
      </c>
      <c r="J175" s="721">
        <v>106.35</v>
      </c>
      <c r="K175" s="720">
        <v>1094.55</v>
      </c>
      <c r="L175" s="720">
        <v>280.51</v>
      </c>
      <c r="M175" s="720">
        <v>2825.96</v>
      </c>
      <c r="N175" s="720">
        <v>190.43</v>
      </c>
    </row>
    <row r="176" spans="1:14" ht="15">
      <c r="A176" s="705"/>
      <c r="B176" s="705"/>
      <c r="C176" s="719">
        <v>40713</v>
      </c>
      <c r="D176" s="717">
        <v>8516</v>
      </c>
      <c r="E176" s="720">
        <v>9072.56</v>
      </c>
      <c r="F176" s="720">
        <v>13965.57</v>
      </c>
      <c r="G176" s="720">
        <v>12437.5</v>
      </c>
      <c r="H176" s="720">
        <v>8711.1</v>
      </c>
      <c r="I176" s="720">
        <v>6921.05</v>
      </c>
      <c r="J176" s="721">
        <v>106.35</v>
      </c>
      <c r="K176" s="720">
        <v>1094.55</v>
      </c>
      <c r="L176" s="720">
        <v>280.51</v>
      </c>
      <c r="M176" s="720">
        <v>2825.96</v>
      </c>
      <c r="N176" s="720">
        <v>190.43</v>
      </c>
    </row>
    <row r="177" spans="1:14" ht="15">
      <c r="A177" s="705"/>
      <c r="B177" s="705"/>
      <c r="C177" s="719">
        <v>40714</v>
      </c>
      <c r="D177" s="717">
        <v>8563</v>
      </c>
      <c r="E177" s="720">
        <v>9072.76</v>
      </c>
      <c r="F177" s="720">
        <v>13914.91</v>
      </c>
      <c r="G177" s="720">
        <v>12233.73</v>
      </c>
      <c r="H177" s="720">
        <v>8759.51</v>
      </c>
      <c r="I177" s="720">
        <v>6923.64</v>
      </c>
      <c r="J177" s="721">
        <v>106.25</v>
      </c>
      <c r="K177" s="720">
        <v>1098.78</v>
      </c>
      <c r="L177" s="720">
        <v>280.35000000000002</v>
      </c>
      <c r="M177" s="720">
        <v>2817.89</v>
      </c>
      <c r="N177" s="720">
        <v>191.04</v>
      </c>
    </row>
    <row r="178" spans="1:14" ht="15">
      <c r="A178" s="705"/>
      <c r="B178" s="705"/>
      <c r="C178" s="719">
        <v>40715</v>
      </c>
      <c r="D178" s="717">
        <v>8563</v>
      </c>
      <c r="E178" s="720">
        <v>9072.76</v>
      </c>
      <c r="F178" s="720">
        <v>13914.91</v>
      </c>
      <c r="G178" s="720">
        <v>12233.73</v>
      </c>
      <c r="H178" s="720">
        <v>8759.51</v>
      </c>
      <c r="I178" s="720">
        <v>6923.64</v>
      </c>
      <c r="J178" s="721">
        <v>106.25</v>
      </c>
      <c r="K178" s="720">
        <v>1098.78</v>
      </c>
      <c r="L178" s="720">
        <v>280.35000000000002</v>
      </c>
      <c r="M178" s="720">
        <v>2817.89</v>
      </c>
      <c r="N178" s="720">
        <v>191.04</v>
      </c>
    </row>
    <row r="179" spans="1:14" ht="15">
      <c r="A179" s="705"/>
      <c r="B179" s="705"/>
      <c r="C179" s="719">
        <v>40716</v>
      </c>
      <c r="D179" s="717">
        <v>8563</v>
      </c>
      <c r="E179" s="720">
        <v>9072.76</v>
      </c>
      <c r="F179" s="720">
        <v>13914.91</v>
      </c>
      <c r="G179" s="720">
        <v>12233.73</v>
      </c>
      <c r="H179" s="720">
        <v>8759.51</v>
      </c>
      <c r="I179" s="720">
        <v>6923.64</v>
      </c>
      <c r="J179" s="721">
        <v>106.25</v>
      </c>
      <c r="K179" s="720">
        <v>1098.78</v>
      </c>
      <c r="L179" s="720">
        <v>280.35000000000002</v>
      </c>
      <c r="M179" s="720">
        <v>2817.89</v>
      </c>
      <c r="N179" s="720">
        <v>191.04</v>
      </c>
    </row>
    <row r="180" spans="1:14" ht="15">
      <c r="A180" s="705"/>
      <c r="B180" s="705"/>
      <c r="C180" s="719">
        <v>40717</v>
      </c>
      <c r="D180" s="717">
        <v>8563</v>
      </c>
      <c r="E180" s="720">
        <v>9072.76</v>
      </c>
      <c r="F180" s="720">
        <v>13914.91</v>
      </c>
      <c r="G180" s="720">
        <v>12233.73</v>
      </c>
      <c r="H180" s="720">
        <v>8759.51</v>
      </c>
      <c r="I180" s="720">
        <v>6923.64</v>
      </c>
      <c r="J180" s="721">
        <v>106.25</v>
      </c>
      <c r="K180" s="720">
        <v>1098.78</v>
      </c>
      <c r="L180" s="720">
        <v>280.35000000000002</v>
      </c>
      <c r="M180" s="720">
        <v>2817.89</v>
      </c>
      <c r="N180" s="720">
        <v>191.04</v>
      </c>
    </row>
    <row r="181" spans="1:14" ht="15">
      <c r="A181" s="705"/>
      <c r="B181" s="705"/>
      <c r="C181" s="719">
        <v>40718</v>
      </c>
      <c r="D181" s="717">
        <v>8563</v>
      </c>
      <c r="E181" s="720">
        <v>9072.76</v>
      </c>
      <c r="F181" s="720">
        <v>13914.91</v>
      </c>
      <c r="G181" s="720">
        <v>12233.73</v>
      </c>
      <c r="H181" s="720">
        <v>8759.51</v>
      </c>
      <c r="I181" s="720">
        <v>6923.64</v>
      </c>
      <c r="J181" s="721">
        <v>106.25</v>
      </c>
      <c r="K181" s="720">
        <v>1098.78</v>
      </c>
      <c r="L181" s="720">
        <v>280.35000000000002</v>
      </c>
      <c r="M181" s="720">
        <v>2817.89</v>
      </c>
      <c r="N181" s="720">
        <v>191.04</v>
      </c>
    </row>
    <row r="182" spans="1:14" ht="15">
      <c r="A182" s="705"/>
      <c r="B182" s="705"/>
      <c r="C182" s="719">
        <v>40719</v>
      </c>
      <c r="D182" s="717">
        <v>8563</v>
      </c>
      <c r="E182" s="720">
        <v>9072.76</v>
      </c>
      <c r="F182" s="720">
        <v>13914.91</v>
      </c>
      <c r="G182" s="720">
        <v>12233.73</v>
      </c>
      <c r="H182" s="720">
        <v>8759.51</v>
      </c>
      <c r="I182" s="720">
        <v>6923.64</v>
      </c>
      <c r="J182" s="721">
        <v>106.25</v>
      </c>
      <c r="K182" s="720">
        <v>1098.78</v>
      </c>
      <c r="L182" s="720">
        <v>280.35000000000002</v>
      </c>
      <c r="M182" s="720">
        <v>2817.89</v>
      </c>
      <c r="N182" s="720">
        <v>191.04</v>
      </c>
    </row>
    <row r="183" spans="1:14" ht="15">
      <c r="A183" s="705"/>
      <c r="B183" s="705"/>
      <c r="C183" s="719">
        <v>40720</v>
      </c>
      <c r="D183" s="717">
        <v>8563</v>
      </c>
      <c r="E183" s="720">
        <v>9072.76</v>
      </c>
      <c r="F183" s="720">
        <v>13914.91</v>
      </c>
      <c r="G183" s="720">
        <v>12233.73</v>
      </c>
      <c r="H183" s="720">
        <v>8759.51</v>
      </c>
      <c r="I183" s="720">
        <v>6923.64</v>
      </c>
      <c r="J183" s="721">
        <v>106.25</v>
      </c>
      <c r="K183" s="720">
        <v>1098.78</v>
      </c>
      <c r="L183" s="720">
        <v>280.35000000000002</v>
      </c>
      <c r="M183" s="720">
        <v>2817.89</v>
      </c>
      <c r="N183" s="720">
        <v>191.04</v>
      </c>
    </row>
    <row r="184" spans="1:14" ht="15">
      <c r="A184" s="705"/>
      <c r="B184" s="705"/>
      <c r="C184" s="719">
        <v>40721</v>
      </c>
      <c r="D184" s="717">
        <v>8603</v>
      </c>
      <c r="E184" s="720">
        <v>9085.7999999999993</v>
      </c>
      <c r="F184" s="720">
        <v>13856.51</v>
      </c>
      <c r="G184" s="720">
        <v>12312.96</v>
      </c>
      <c r="H184" s="720">
        <v>8806.61</v>
      </c>
      <c r="I184" s="720">
        <v>6969.6</v>
      </c>
      <c r="J184" s="721">
        <v>107.13</v>
      </c>
      <c r="K184" s="720">
        <v>1104.3900000000001</v>
      </c>
      <c r="L184" s="720">
        <v>281.77</v>
      </c>
      <c r="M184" s="720">
        <v>2837.85</v>
      </c>
      <c r="N184" s="720">
        <v>191.5</v>
      </c>
    </row>
    <row r="185" spans="1:14" ht="15">
      <c r="A185" s="705"/>
      <c r="B185" s="705"/>
      <c r="C185" s="719">
        <v>40722</v>
      </c>
      <c r="D185" s="717">
        <v>8603</v>
      </c>
      <c r="E185" s="720">
        <v>9085.7999999999993</v>
      </c>
      <c r="F185" s="720">
        <v>13856.51</v>
      </c>
      <c r="G185" s="720">
        <v>12312.96</v>
      </c>
      <c r="H185" s="720">
        <v>8806.61</v>
      </c>
      <c r="I185" s="720">
        <v>6969.6</v>
      </c>
      <c r="J185" s="721">
        <v>107.13</v>
      </c>
      <c r="K185" s="720">
        <v>1104.3900000000001</v>
      </c>
      <c r="L185" s="720">
        <v>281.77</v>
      </c>
      <c r="M185" s="720">
        <v>2837.85</v>
      </c>
      <c r="N185" s="720">
        <v>191.5</v>
      </c>
    </row>
    <row r="186" spans="1:14" ht="15">
      <c r="A186" s="705"/>
      <c r="B186" s="705"/>
      <c r="C186" s="719">
        <v>40723</v>
      </c>
      <c r="D186" s="717">
        <v>8603</v>
      </c>
      <c r="E186" s="720">
        <v>9085.7999999999993</v>
      </c>
      <c r="F186" s="720">
        <v>13856.51</v>
      </c>
      <c r="G186" s="720">
        <v>12312.96</v>
      </c>
      <c r="H186" s="720">
        <v>8806.61</v>
      </c>
      <c r="I186" s="720">
        <v>6969.6</v>
      </c>
      <c r="J186" s="721">
        <v>107.13</v>
      </c>
      <c r="K186" s="720">
        <v>1104.3900000000001</v>
      </c>
      <c r="L186" s="720">
        <v>281.77</v>
      </c>
      <c r="M186" s="720">
        <v>2837.85</v>
      </c>
      <c r="N186" s="720">
        <v>191.5</v>
      </c>
    </row>
    <row r="187" spans="1:14" ht="15">
      <c r="A187" s="705"/>
      <c r="B187" s="705"/>
      <c r="C187" s="719">
        <v>40724</v>
      </c>
      <c r="D187" s="717">
        <v>8603</v>
      </c>
      <c r="E187" s="720">
        <v>9085.7999999999993</v>
      </c>
      <c r="F187" s="720">
        <v>13856.51</v>
      </c>
      <c r="G187" s="720">
        <v>12312.96</v>
      </c>
      <c r="H187" s="720">
        <v>8806.61</v>
      </c>
      <c r="I187" s="720">
        <v>6969.6</v>
      </c>
      <c r="J187" s="721">
        <v>107.13</v>
      </c>
      <c r="K187" s="720">
        <v>1104.3900000000001</v>
      </c>
      <c r="L187" s="720">
        <v>281.77</v>
      </c>
      <c r="M187" s="720">
        <v>2837.85</v>
      </c>
      <c r="N187" s="720">
        <v>191.5</v>
      </c>
    </row>
    <row r="188" spans="1:14" ht="15">
      <c r="A188" s="705"/>
      <c r="B188" s="705"/>
      <c r="C188" s="719">
        <v>40725</v>
      </c>
      <c r="D188" s="717">
        <v>8603</v>
      </c>
      <c r="E188" s="720">
        <v>9085.7999999999993</v>
      </c>
      <c r="F188" s="720">
        <v>13856.51</v>
      </c>
      <c r="G188" s="720">
        <v>12312.96</v>
      </c>
      <c r="H188" s="720">
        <v>8806.61</v>
      </c>
      <c r="I188" s="720">
        <v>6969.6</v>
      </c>
      <c r="J188" s="721">
        <v>107.13</v>
      </c>
      <c r="K188" s="720">
        <v>1104.3900000000001</v>
      </c>
      <c r="L188" s="720">
        <v>281.77</v>
      </c>
      <c r="M188" s="720">
        <v>2837.85</v>
      </c>
      <c r="N188" s="720">
        <v>191.5</v>
      </c>
    </row>
    <row r="189" spans="1:14" ht="15">
      <c r="A189" s="705"/>
      <c r="B189" s="705"/>
      <c r="C189" s="719">
        <v>40726</v>
      </c>
      <c r="D189" s="717">
        <v>8603</v>
      </c>
      <c r="E189" s="720">
        <v>9085.7999999999993</v>
      </c>
      <c r="F189" s="720">
        <v>13856.51</v>
      </c>
      <c r="G189" s="720">
        <v>12312.96</v>
      </c>
      <c r="H189" s="720">
        <v>8806.61</v>
      </c>
      <c r="I189" s="720">
        <v>6969.6</v>
      </c>
      <c r="J189" s="721">
        <v>107.13</v>
      </c>
      <c r="K189" s="720">
        <v>1104.3900000000001</v>
      </c>
      <c r="L189" s="720">
        <v>281.77</v>
      </c>
      <c r="M189" s="720">
        <v>2837.85</v>
      </c>
      <c r="N189" s="720">
        <v>191.5</v>
      </c>
    </row>
    <row r="190" spans="1:14" ht="15">
      <c r="A190" s="705"/>
      <c r="B190" s="705"/>
      <c r="C190" s="719">
        <v>40727</v>
      </c>
      <c r="D190" s="717">
        <v>8603</v>
      </c>
      <c r="E190" s="720">
        <v>9085.7999999999993</v>
      </c>
      <c r="F190" s="720">
        <v>13856.51</v>
      </c>
      <c r="G190" s="720">
        <v>12312.96</v>
      </c>
      <c r="H190" s="720">
        <v>8806.61</v>
      </c>
      <c r="I190" s="720">
        <v>6969.6</v>
      </c>
      <c r="J190" s="721">
        <v>107.13</v>
      </c>
      <c r="K190" s="720">
        <v>1104.3900000000001</v>
      </c>
      <c r="L190" s="720">
        <v>281.77</v>
      </c>
      <c r="M190" s="720">
        <v>2837.85</v>
      </c>
      <c r="N190" s="720">
        <v>191.5</v>
      </c>
    </row>
    <row r="191" spans="1:14" ht="15">
      <c r="A191" s="705"/>
      <c r="B191" s="705"/>
      <c r="C191" s="719">
        <v>40728</v>
      </c>
      <c r="D191" s="717">
        <v>8600</v>
      </c>
      <c r="E191" s="720">
        <v>9128.91</v>
      </c>
      <c r="F191" s="720">
        <v>13783.14</v>
      </c>
      <c r="G191" s="720">
        <v>12397.81</v>
      </c>
      <c r="H191" s="720">
        <v>8840.5499999999993</v>
      </c>
      <c r="I191" s="720">
        <v>6968.11</v>
      </c>
      <c r="J191" s="721">
        <v>106.4</v>
      </c>
      <c r="K191" s="720">
        <v>1104.68</v>
      </c>
      <c r="L191" s="720">
        <v>278.85000000000002</v>
      </c>
      <c r="M191" s="720">
        <v>2832.95</v>
      </c>
      <c r="N191" s="720">
        <v>191.48</v>
      </c>
    </row>
    <row r="192" spans="1:14" ht="15">
      <c r="A192" s="705"/>
      <c r="B192" s="705"/>
      <c r="C192" s="719">
        <v>40729</v>
      </c>
      <c r="D192" s="717">
        <v>8600</v>
      </c>
      <c r="E192" s="720">
        <v>9128.91</v>
      </c>
      <c r="F192" s="720">
        <v>13783.14</v>
      </c>
      <c r="G192" s="720">
        <v>12397.81</v>
      </c>
      <c r="H192" s="720">
        <v>8840.5499999999993</v>
      </c>
      <c r="I192" s="720">
        <v>6968.11</v>
      </c>
      <c r="J192" s="721">
        <v>106.4</v>
      </c>
      <c r="K192" s="720">
        <v>1104.68</v>
      </c>
      <c r="L192" s="720">
        <v>278.85000000000002</v>
      </c>
      <c r="M192" s="720">
        <v>2832.95</v>
      </c>
      <c r="N192" s="720">
        <v>191.48</v>
      </c>
    </row>
    <row r="193" spans="1:14" ht="15">
      <c r="A193" s="705"/>
      <c r="B193" s="705"/>
      <c r="C193" s="719">
        <v>40730</v>
      </c>
      <c r="D193" s="717">
        <v>8600</v>
      </c>
      <c r="E193" s="720">
        <v>9128.91</v>
      </c>
      <c r="F193" s="720">
        <v>13783.14</v>
      </c>
      <c r="G193" s="720">
        <v>12397.81</v>
      </c>
      <c r="H193" s="720">
        <v>8840.5499999999993</v>
      </c>
      <c r="I193" s="720">
        <v>6968.11</v>
      </c>
      <c r="J193" s="721">
        <v>106.4</v>
      </c>
      <c r="K193" s="720">
        <v>1104.68</v>
      </c>
      <c r="L193" s="720">
        <v>278.85000000000002</v>
      </c>
      <c r="M193" s="720">
        <v>2832.95</v>
      </c>
      <c r="N193" s="720">
        <v>191.48</v>
      </c>
    </row>
    <row r="194" spans="1:14" ht="15">
      <c r="A194" s="705"/>
      <c r="B194" s="705"/>
      <c r="C194" s="719">
        <v>40731</v>
      </c>
      <c r="D194" s="717">
        <v>8600</v>
      </c>
      <c r="E194" s="720">
        <v>9128.91</v>
      </c>
      <c r="F194" s="720">
        <v>13783.14</v>
      </c>
      <c r="G194" s="720">
        <v>12397.81</v>
      </c>
      <c r="H194" s="720">
        <v>8840.5499999999993</v>
      </c>
      <c r="I194" s="720">
        <v>6968.11</v>
      </c>
      <c r="J194" s="721">
        <v>106.4</v>
      </c>
      <c r="K194" s="720">
        <v>1104.68</v>
      </c>
      <c r="L194" s="720">
        <v>278.85000000000002</v>
      </c>
      <c r="M194" s="720">
        <v>2832.95</v>
      </c>
      <c r="N194" s="720">
        <v>191.48</v>
      </c>
    </row>
    <row r="195" spans="1:14" ht="15">
      <c r="A195" s="705"/>
      <c r="B195" s="705"/>
      <c r="C195" s="719">
        <v>40732</v>
      </c>
      <c r="D195" s="717">
        <v>8600</v>
      </c>
      <c r="E195" s="720">
        <v>9128.91</v>
      </c>
      <c r="F195" s="720">
        <v>13783.14</v>
      </c>
      <c r="G195" s="720">
        <v>12397.81</v>
      </c>
      <c r="H195" s="720">
        <v>8840.5499999999993</v>
      </c>
      <c r="I195" s="720">
        <v>6968.11</v>
      </c>
      <c r="J195" s="721">
        <v>106.4</v>
      </c>
      <c r="K195" s="720">
        <v>1104.68</v>
      </c>
      <c r="L195" s="720">
        <v>278.85000000000002</v>
      </c>
      <c r="M195" s="720">
        <v>2832.95</v>
      </c>
      <c r="N195" s="720">
        <v>191.48</v>
      </c>
    </row>
    <row r="196" spans="1:14" ht="15">
      <c r="A196" s="705"/>
      <c r="B196" s="705"/>
      <c r="C196" s="719">
        <v>40733</v>
      </c>
      <c r="D196" s="717">
        <v>8600</v>
      </c>
      <c r="E196" s="720">
        <v>9128.91</v>
      </c>
      <c r="F196" s="720">
        <v>13783.14</v>
      </c>
      <c r="G196" s="720">
        <v>12397.81</v>
      </c>
      <c r="H196" s="720">
        <v>8840.5499999999993</v>
      </c>
      <c r="I196" s="720">
        <v>6968.11</v>
      </c>
      <c r="J196" s="721">
        <v>106.4</v>
      </c>
      <c r="K196" s="720">
        <v>1104.68</v>
      </c>
      <c r="L196" s="720">
        <v>278.85000000000002</v>
      </c>
      <c r="M196" s="720">
        <v>2832.95</v>
      </c>
      <c r="N196" s="720">
        <v>191.48</v>
      </c>
    </row>
    <row r="197" spans="1:14" ht="15">
      <c r="A197" s="705"/>
      <c r="B197" s="705"/>
      <c r="C197" s="719">
        <v>40734</v>
      </c>
      <c r="D197" s="717">
        <v>8600</v>
      </c>
      <c r="E197" s="720">
        <v>9128.91</v>
      </c>
      <c r="F197" s="720">
        <v>13783.14</v>
      </c>
      <c r="G197" s="720">
        <v>12397.81</v>
      </c>
      <c r="H197" s="720">
        <v>8840.5499999999993</v>
      </c>
      <c r="I197" s="720">
        <v>6968.11</v>
      </c>
      <c r="J197" s="721">
        <v>106.4</v>
      </c>
      <c r="K197" s="720">
        <v>1104.68</v>
      </c>
      <c r="L197" s="720">
        <v>278.85000000000002</v>
      </c>
      <c r="M197" s="720">
        <v>2832.95</v>
      </c>
      <c r="N197" s="720">
        <v>191.48</v>
      </c>
    </row>
    <row r="198" spans="1:14" ht="15">
      <c r="A198" s="705"/>
      <c r="B198" s="705"/>
      <c r="C198" s="719">
        <v>40735</v>
      </c>
      <c r="D198" s="717">
        <v>8533</v>
      </c>
      <c r="E198" s="720">
        <v>9158.4599999999991</v>
      </c>
      <c r="F198" s="720">
        <v>13667.73</v>
      </c>
      <c r="G198" s="720">
        <v>12288.07</v>
      </c>
      <c r="H198" s="720">
        <v>8874.4</v>
      </c>
      <c r="I198" s="720">
        <v>6963.81</v>
      </c>
      <c r="J198" s="721">
        <v>105.26</v>
      </c>
      <c r="K198" s="720">
        <v>1096.42</v>
      </c>
      <c r="L198" s="720">
        <v>280.74</v>
      </c>
      <c r="M198" s="720">
        <v>2838.54</v>
      </c>
      <c r="N198" s="720">
        <v>191.98</v>
      </c>
    </row>
    <row r="199" spans="1:14" ht="15">
      <c r="A199" s="705"/>
      <c r="B199" s="705"/>
      <c r="C199" s="719">
        <v>40736</v>
      </c>
      <c r="D199" s="717">
        <v>8533</v>
      </c>
      <c r="E199" s="720">
        <v>9158.4599999999991</v>
      </c>
      <c r="F199" s="720">
        <v>13667.73</v>
      </c>
      <c r="G199" s="720">
        <v>12288.07</v>
      </c>
      <c r="H199" s="720">
        <v>8874.4</v>
      </c>
      <c r="I199" s="720">
        <v>6963.81</v>
      </c>
      <c r="J199" s="721">
        <v>105.26</v>
      </c>
      <c r="K199" s="720">
        <v>1096.42</v>
      </c>
      <c r="L199" s="720">
        <v>280.74</v>
      </c>
      <c r="M199" s="720">
        <v>2838.54</v>
      </c>
      <c r="N199" s="720">
        <v>191.98</v>
      </c>
    </row>
    <row r="200" spans="1:14" ht="15">
      <c r="A200" s="705"/>
      <c r="B200" s="705"/>
      <c r="C200" s="719">
        <v>40737</v>
      </c>
      <c r="D200" s="717">
        <v>8533</v>
      </c>
      <c r="E200" s="720">
        <v>9158.4599999999991</v>
      </c>
      <c r="F200" s="720">
        <v>13667.73</v>
      </c>
      <c r="G200" s="720">
        <v>12288.07</v>
      </c>
      <c r="H200" s="720">
        <v>8874.4</v>
      </c>
      <c r="I200" s="720">
        <v>6963.81</v>
      </c>
      <c r="J200" s="721">
        <v>105.26</v>
      </c>
      <c r="K200" s="720">
        <v>1096.42</v>
      </c>
      <c r="L200" s="720">
        <v>280.74</v>
      </c>
      <c r="M200" s="720">
        <v>2838.54</v>
      </c>
      <c r="N200" s="720">
        <v>191.98</v>
      </c>
    </row>
    <row r="201" spans="1:14" ht="15">
      <c r="A201" s="705"/>
      <c r="B201" s="705"/>
      <c r="C201" s="719">
        <v>40738</v>
      </c>
      <c r="D201" s="717">
        <v>8533</v>
      </c>
      <c r="E201" s="720">
        <v>9158.4599999999991</v>
      </c>
      <c r="F201" s="720">
        <v>13667.73</v>
      </c>
      <c r="G201" s="720">
        <v>12288.07</v>
      </c>
      <c r="H201" s="720">
        <v>8874.4</v>
      </c>
      <c r="I201" s="720">
        <v>6963.81</v>
      </c>
      <c r="J201" s="721">
        <v>105.26</v>
      </c>
      <c r="K201" s="720">
        <v>1096.42</v>
      </c>
      <c r="L201" s="720">
        <v>280.74</v>
      </c>
      <c r="M201" s="720">
        <v>2838.54</v>
      </c>
      <c r="N201" s="720">
        <v>191.98</v>
      </c>
    </row>
    <row r="202" spans="1:14" ht="15">
      <c r="A202" s="705"/>
      <c r="B202" s="705"/>
      <c r="C202" s="719">
        <v>40739</v>
      </c>
      <c r="D202" s="717">
        <v>8533</v>
      </c>
      <c r="E202" s="720">
        <v>9158.4599999999991</v>
      </c>
      <c r="F202" s="720">
        <v>13667.73</v>
      </c>
      <c r="G202" s="720">
        <v>12288.07</v>
      </c>
      <c r="H202" s="720">
        <v>8874.4</v>
      </c>
      <c r="I202" s="720">
        <v>6963.81</v>
      </c>
      <c r="J202" s="721">
        <v>105.26</v>
      </c>
      <c r="K202" s="720">
        <v>1096.42</v>
      </c>
      <c r="L202" s="720">
        <v>280.74</v>
      </c>
      <c r="M202" s="720">
        <v>2838.54</v>
      </c>
      <c r="N202" s="720">
        <v>191.98</v>
      </c>
    </row>
    <row r="203" spans="1:14" ht="15">
      <c r="A203" s="705"/>
      <c r="B203" s="705"/>
      <c r="C203" s="719">
        <v>40740</v>
      </c>
      <c r="D203" s="717">
        <v>8533</v>
      </c>
      <c r="E203" s="720">
        <v>9158.4599999999991</v>
      </c>
      <c r="F203" s="720">
        <v>13667.73</v>
      </c>
      <c r="G203" s="720">
        <v>12288.07</v>
      </c>
      <c r="H203" s="720">
        <v>8874.4</v>
      </c>
      <c r="I203" s="720">
        <v>6963.81</v>
      </c>
      <c r="J203" s="721">
        <v>105.26</v>
      </c>
      <c r="K203" s="720">
        <v>1096.42</v>
      </c>
      <c r="L203" s="720">
        <v>280.74</v>
      </c>
      <c r="M203" s="720">
        <v>2838.54</v>
      </c>
      <c r="N203" s="720">
        <v>191.98</v>
      </c>
    </row>
    <row r="204" spans="1:14" ht="15">
      <c r="A204" s="705"/>
      <c r="B204" s="705"/>
      <c r="C204" s="719">
        <v>40741</v>
      </c>
      <c r="D204" s="717">
        <v>8533</v>
      </c>
      <c r="E204" s="720">
        <v>9158.4599999999991</v>
      </c>
      <c r="F204" s="720">
        <v>13667.73</v>
      </c>
      <c r="G204" s="720">
        <v>12288.07</v>
      </c>
      <c r="H204" s="720">
        <v>8874.4</v>
      </c>
      <c r="I204" s="720">
        <v>6963.81</v>
      </c>
      <c r="J204" s="721">
        <v>105.26</v>
      </c>
      <c r="K204" s="720">
        <v>1096.42</v>
      </c>
      <c r="L204" s="720">
        <v>280.74</v>
      </c>
      <c r="M204" s="720">
        <v>2838.54</v>
      </c>
      <c r="N204" s="720">
        <v>191.98</v>
      </c>
    </row>
    <row r="205" spans="1:14" ht="15">
      <c r="A205" s="705"/>
      <c r="B205" s="705"/>
      <c r="C205" s="719">
        <v>40742</v>
      </c>
      <c r="D205" s="717">
        <v>8545</v>
      </c>
      <c r="E205" s="720">
        <v>9137.6</v>
      </c>
      <c r="F205" s="720">
        <v>13709.47</v>
      </c>
      <c r="G205" s="720">
        <v>12046.69</v>
      </c>
      <c r="H205" s="720">
        <v>8876.2199999999993</v>
      </c>
      <c r="I205" s="720">
        <v>6998.95</v>
      </c>
      <c r="J205" s="721">
        <v>107.7</v>
      </c>
      <c r="K205" s="720">
        <v>1096.75</v>
      </c>
      <c r="L205" s="720">
        <v>283.16000000000003</v>
      </c>
      <c r="M205" s="720">
        <v>2835.12</v>
      </c>
      <c r="N205" s="720">
        <v>191.78</v>
      </c>
    </row>
    <row r="206" spans="1:14" ht="15">
      <c r="A206" s="705"/>
      <c r="B206" s="705"/>
      <c r="C206" s="719">
        <v>40743</v>
      </c>
      <c r="D206" s="717">
        <v>8545</v>
      </c>
      <c r="E206" s="720">
        <v>9137.6</v>
      </c>
      <c r="F206" s="720">
        <v>13709.47</v>
      </c>
      <c r="G206" s="720">
        <v>12046.69</v>
      </c>
      <c r="H206" s="720">
        <v>8876.2199999999993</v>
      </c>
      <c r="I206" s="720">
        <v>6998.95</v>
      </c>
      <c r="J206" s="721">
        <v>107.7</v>
      </c>
      <c r="K206" s="720">
        <v>1096.75</v>
      </c>
      <c r="L206" s="720">
        <v>283.16000000000003</v>
      </c>
      <c r="M206" s="720">
        <v>2835.12</v>
      </c>
      <c r="N206" s="720">
        <v>191.78</v>
      </c>
    </row>
    <row r="207" spans="1:14" ht="15">
      <c r="A207" s="705"/>
      <c r="B207" s="705"/>
      <c r="C207" s="719">
        <v>40744</v>
      </c>
      <c r="D207" s="717">
        <v>8545</v>
      </c>
      <c r="E207" s="720">
        <v>9137.6</v>
      </c>
      <c r="F207" s="720">
        <v>13709.47</v>
      </c>
      <c r="G207" s="720">
        <v>12046.69</v>
      </c>
      <c r="H207" s="720">
        <v>8876.2199999999993</v>
      </c>
      <c r="I207" s="720">
        <v>6998.95</v>
      </c>
      <c r="J207" s="721">
        <v>107.7</v>
      </c>
      <c r="K207" s="720">
        <v>1096.75</v>
      </c>
      <c r="L207" s="720">
        <v>283.16000000000003</v>
      </c>
      <c r="M207" s="720">
        <v>2835.12</v>
      </c>
      <c r="N207" s="720">
        <v>191.78</v>
      </c>
    </row>
    <row r="208" spans="1:14" ht="15">
      <c r="A208" s="705"/>
      <c r="B208" s="705"/>
      <c r="C208" s="719">
        <v>40745</v>
      </c>
      <c r="D208" s="717">
        <v>8545</v>
      </c>
      <c r="E208" s="720">
        <v>9137.6</v>
      </c>
      <c r="F208" s="720">
        <v>13709.47</v>
      </c>
      <c r="G208" s="720">
        <v>12046.69</v>
      </c>
      <c r="H208" s="720">
        <v>8876.2199999999993</v>
      </c>
      <c r="I208" s="720">
        <v>6998.95</v>
      </c>
      <c r="J208" s="721">
        <v>107.7</v>
      </c>
      <c r="K208" s="720">
        <v>1096.75</v>
      </c>
      <c r="L208" s="720">
        <v>283.16000000000003</v>
      </c>
      <c r="M208" s="720">
        <v>2835.12</v>
      </c>
      <c r="N208" s="720">
        <v>191.78</v>
      </c>
    </row>
    <row r="209" spans="1:14" ht="15">
      <c r="A209" s="705"/>
      <c r="B209" s="705"/>
      <c r="C209" s="719">
        <v>40746</v>
      </c>
      <c r="D209" s="717">
        <v>8545</v>
      </c>
      <c r="E209" s="720">
        <v>9137.6</v>
      </c>
      <c r="F209" s="720">
        <v>13709.47</v>
      </c>
      <c r="G209" s="720">
        <v>12046.69</v>
      </c>
      <c r="H209" s="720">
        <v>8876.2199999999993</v>
      </c>
      <c r="I209" s="720">
        <v>6998.95</v>
      </c>
      <c r="J209" s="721">
        <v>107.7</v>
      </c>
      <c r="K209" s="720">
        <v>1096.75</v>
      </c>
      <c r="L209" s="720">
        <v>283.16000000000003</v>
      </c>
      <c r="M209" s="720">
        <v>2835.12</v>
      </c>
      <c r="N209" s="720">
        <v>191.78</v>
      </c>
    </row>
    <row r="210" spans="1:14" ht="15">
      <c r="A210" s="705"/>
      <c r="B210" s="705"/>
      <c r="C210" s="719">
        <v>40747</v>
      </c>
      <c r="D210" s="717">
        <v>8545</v>
      </c>
      <c r="E210" s="720">
        <v>9137.6</v>
      </c>
      <c r="F210" s="720">
        <v>13709.47</v>
      </c>
      <c r="G210" s="720">
        <v>12046.69</v>
      </c>
      <c r="H210" s="720">
        <v>8876.2199999999993</v>
      </c>
      <c r="I210" s="720">
        <v>6998.95</v>
      </c>
      <c r="J210" s="721">
        <v>107.7</v>
      </c>
      <c r="K210" s="720">
        <v>1096.75</v>
      </c>
      <c r="L210" s="720">
        <v>283.16000000000003</v>
      </c>
      <c r="M210" s="720">
        <v>2835.12</v>
      </c>
      <c r="N210" s="720">
        <v>191.78</v>
      </c>
    </row>
    <row r="211" spans="1:14" ht="15">
      <c r="A211" s="705"/>
      <c r="B211" s="705"/>
      <c r="C211" s="719">
        <v>40748</v>
      </c>
      <c r="D211" s="717">
        <v>8545</v>
      </c>
      <c r="E211" s="720">
        <v>9137.6</v>
      </c>
      <c r="F211" s="720">
        <v>13709.47</v>
      </c>
      <c r="G211" s="720">
        <v>12046.69</v>
      </c>
      <c r="H211" s="720">
        <v>8876.2199999999993</v>
      </c>
      <c r="I211" s="720">
        <v>6998.95</v>
      </c>
      <c r="J211" s="721">
        <v>107.7</v>
      </c>
      <c r="K211" s="720">
        <v>1096.75</v>
      </c>
      <c r="L211" s="720">
        <v>283.16000000000003</v>
      </c>
      <c r="M211" s="720">
        <v>2835.12</v>
      </c>
      <c r="N211" s="720">
        <v>191.78</v>
      </c>
    </row>
    <row r="212" spans="1:14" ht="15">
      <c r="A212" s="705"/>
      <c r="B212" s="705"/>
      <c r="C212" s="719">
        <v>40749</v>
      </c>
      <c r="D212" s="717">
        <v>8543</v>
      </c>
      <c r="E212" s="720">
        <v>9155.9599999999991</v>
      </c>
      <c r="F212" s="720">
        <v>13806.55</v>
      </c>
      <c r="G212" s="720">
        <v>12130.49</v>
      </c>
      <c r="H212" s="720">
        <v>8983.51</v>
      </c>
      <c r="I212" s="720">
        <v>7036.62</v>
      </c>
      <c r="J212" s="721">
        <v>108.32</v>
      </c>
      <c r="K212" s="720">
        <v>1096.1199999999999</v>
      </c>
      <c r="L212" s="720">
        <v>285.38</v>
      </c>
      <c r="M212" s="720">
        <v>2848.08</v>
      </c>
      <c r="N212" s="720">
        <v>191.92</v>
      </c>
    </row>
    <row r="213" spans="1:14" ht="15">
      <c r="A213" s="705"/>
      <c r="B213" s="705"/>
      <c r="C213" s="719">
        <v>40750</v>
      </c>
      <c r="D213" s="717">
        <v>8543</v>
      </c>
      <c r="E213" s="720">
        <v>9155.9599999999991</v>
      </c>
      <c r="F213" s="720">
        <v>13806.55</v>
      </c>
      <c r="G213" s="720">
        <v>12130.49</v>
      </c>
      <c r="H213" s="720">
        <v>8983.51</v>
      </c>
      <c r="I213" s="720">
        <v>7036.62</v>
      </c>
      <c r="J213" s="721">
        <v>108.32</v>
      </c>
      <c r="K213" s="720">
        <v>1096.1199999999999</v>
      </c>
      <c r="L213" s="720">
        <v>285.38</v>
      </c>
      <c r="M213" s="720">
        <v>2848.08</v>
      </c>
      <c r="N213" s="720">
        <v>191.92</v>
      </c>
    </row>
    <row r="214" spans="1:14" ht="15">
      <c r="A214" s="705"/>
      <c r="B214" s="705"/>
      <c r="C214" s="719">
        <v>40751</v>
      </c>
      <c r="D214" s="717">
        <v>8543</v>
      </c>
      <c r="E214" s="720">
        <v>9155.9599999999991</v>
      </c>
      <c r="F214" s="720">
        <v>13806.55</v>
      </c>
      <c r="G214" s="720">
        <v>12130.49</v>
      </c>
      <c r="H214" s="720">
        <v>8983.51</v>
      </c>
      <c r="I214" s="720">
        <v>7036.62</v>
      </c>
      <c r="J214" s="721">
        <v>108.32</v>
      </c>
      <c r="K214" s="720">
        <v>1096.1199999999999</v>
      </c>
      <c r="L214" s="720">
        <v>285.38</v>
      </c>
      <c r="M214" s="720">
        <v>2848.08</v>
      </c>
      <c r="N214" s="720">
        <v>191.92</v>
      </c>
    </row>
    <row r="215" spans="1:14" ht="15">
      <c r="A215" s="705"/>
      <c r="B215" s="705"/>
      <c r="C215" s="719">
        <v>40752</v>
      </c>
      <c r="D215" s="717">
        <v>8543</v>
      </c>
      <c r="E215" s="720">
        <v>9155.9599999999991</v>
      </c>
      <c r="F215" s="720">
        <v>13806.55</v>
      </c>
      <c r="G215" s="720">
        <v>12130.49</v>
      </c>
      <c r="H215" s="720">
        <v>8983.51</v>
      </c>
      <c r="I215" s="720">
        <v>7036.62</v>
      </c>
      <c r="J215" s="721">
        <v>108.32</v>
      </c>
      <c r="K215" s="720">
        <v>1096.1199999999999</v>
      </c>
      <c r="L215" s="720">
        <v>285.38</v>
      </c>
      <c r="M215" s="720">
        <v>2848.08</v>
      </c>
      <c r="N215" s="720">
        <v>191.92</v>
      </c>
    </row>
    <row r="216" spans="1:14" ht="15">
      <c r="A216" s="705"/>
      <c r="B216" s="705"/>
      <c r="C216" s="719">
        <v>40753</v>
      </c>
      <c r="D216" s="717">
        <v>8543</v>
      </c>
      <c r="E216" s="720">
        <v>9155.9599999999991</v>
      </c>
      <c r="F216" s="720">
        <v>13806.55</v>
      </c>
      <c r="G216" s="720">
        <v>12130.49</v>
      </c>
      <c r="H216" s="720">
        <v>8983.51</v>
      </c>
      <c r="I216" s="720">
        <v>7036.62</v>
      </c>
      <c r="J216" s="721">
        <v>108.32</v>
      </c>
      <c r="K216" s="720">
        <v>1096.1199999999999</v>
      </c>
      <c r="L216" s="720">
        <v>285.38</v>
      </c>
      <c r="M216" s="720">
        <v>2848.08</v>
      </c>
      <c r="N216" s="720">
        <v>191.92</v>
      </c>
    </row>
    <row r="217" spans="1:14" ht="15">
      <c r="A217" s="705"/>
      <c r="B217" s="705"/>
      <c r="C217" s="719">
        <v>40754</v>
      </c>
      <c r="D217" s="717">
        <v>8543</v>
      </c>
      <c r="E217" s="720">
        <v>9155.9599999999991</v>
      </c>
      <c r="F217" s="720">
        <v>13806.55</v>
      </c>
      <c r="G217" s="720">
        <v>12130.49</v>
      </c>
      <c r="H217" s="720">
        <v>8983.51</v>
      </c>
      <c r="I217" s="720">
        <v>7036.62</v>
      </c>
      <c r="J217" s="721">
        <v>108.32</v>
      </c>
      <c r="K217" s="720">
        <v>1096.1199999999999</v>
      </c>
      <c r="L217" s="720">
        <v>285.38</v>
      </c>
      <c r="M217" s="720">
        <v>2848.08</v>
      </c>
      <c r="N217" s="720">
        <v>191.92</v>
      </c>
    </row>
    <row r="218" spans="1:14" ht="15">
      <c r="A218" s="705"/>
      <c r="B218" s="705"/>
      <c r="C218" s="719">
        <v>40755</v>
      </c>
      <c r="D218" s="717">
        <v>8543</v>
      </c>
      <c r="E218" s="720">
        <v>9155.9599999999991</v>
      </c>
      <c r="F218" s="720">
        <v>13806.55</v>
      </c>
      <c r="G218" s="720">
        <v>12130.49</v>
      </c>
      <c r="H218" s="720">
        <v>8983.51</v>
      </c>
      <c r="I218" s="720">
        <v>7036.62</v>
      </c>
      <c r="J218" s="721">
        <v>108.32</v>
      </c>
      <c r="K218" s="720">
        <v>1096.1199999999999</v>
      </c>
      <c r="L218" s="720">
        <v>285.38</v>
      </c>
      <c r="M218" s="720">
        <v>2848.08</v>
      </c>
      <c r="N218" s="720">
        <v>191.92</v>
      </c>
    </row>
    <row r="219" spans="1:14" ht="15">
      <c r="A219" s="705"/>
      <c r="B219" s="705"/>
      <c r="C219" s="719">
        <v>40756</v>
      </c>
      <c r="D219" s="717">
        <v>8503</v>
      </c>
      <c r="E219" s="720">
        <v>9322.69</v>
      </c>
      <c r="F219" s="720">
        <v>13890.33</v>
      </c>
      <c r="G219" s="720">
        <v>12216.43</v>
      </c>
      <c r="H219" s="720">
        <v>8973.57</v>
      </c>
      <c r="I219" s="720">
        <v>7061.47</v>
      </c>
      <c r="J219" s="721">
        <v>108.96</v>
      </c>
      <c r="K219" s="720">
        <v>1091.28</v>
      </c>
      <c r="L219" s="720">
        <v>285.99</v>
      </c>
      <c r="M219" s="720">
        <v>2878</v>
      </c>
      <c r="N219" s="720">
        <v>192.43</v>
      </c>
    </row>
    <row r="220" spans="1:14" ht="15">
      <c r="A220" s="705"/>
      <c r="B220" s="705"/>
      <c r="C220" s="719">
        <v>40757</v>
      </c>
      <c r="D220" s="717">
        <v>8503</v>
      </c>
      <c r="E220" s="720">
        <v>9322.69</v>
      </c>
      <c r="F220" s="720">
        <v>13890.33</v>
      </c>
      <c r="G220" s="720">
        <v>12216.43</v>
      </c>
      <c r="H220" s="720">
        <v>8973.57</v>
      </c>
      <c r="I220" s="720">
        <v>7061.47</v>
      </c>
      <c r="J220" s="721">
        <v>108.96</v>
      </c>
      <c r="K220" s="720">
        <v>1091.28</v>
      </c>
      <c r="L220" s="720">
        <v>285.99</v>
      </c>
      <c r="M220" s="720">
        <v>2878</v>
      </c>
      <c r="N220" s="720">
        <v>192.43</v>
      </c>
    </row>
    <row r="221" spans="1:14" ht="15">
      <c r="A221" s="705"/>
      <c r="B221" s="705"/>
      <c r="C221" s="719">
        <v>40758</v>
      </c>
      <c r="D221" s="717">
        <v>8503</v>
      </c>
      <c r="E221" s="720">
        <v>9322.69</v>
      </c>
      <c r="F221" s="720">
        <v>13890.33</v>
      </c>
      <c r="G221" s="720">
        <v>12216.43</v>
      </c>
      <c r="H221" s="720">
        <v>8973.57</v>
      </c>
      <c r="I221" s="720">
        <v>7061.47</v>
      </c>
      <c r="J221" s="721">
        <v>108.96</v>
      </c>
      <c r="K221" s="720">
        <v>1091.28</v>
      </c>
      <c r="L221" s="720">
        <v>285.99</v>
      </c>
      <c r="M221" s="720">
        <v>2878</v>
      </c>
      <c r="N221" s="720">
        <v>192.43</v>
      </c>
    </row>
    <row r="222" spans="1:14" ht="15">
      <c r="A222" s="705"/>
      <c r="B222" s="705"/>
      <c r="C222" s="719">
        <v>40759</v>
      </c>
      <c r="D222" s="717">
        <v>8503</v>
      </c>
      <c r="E222" s="720">
        <v>9322.69</v>
      </c>
      <c r="F222" s="720">
        <v>13890.33</v>
      </c>
      <c r="G222" s="720">
        <v>12216.43</v>
      </c>
      <c r="H222" s="720">
        <v>8973.57</v>
      </c>
      <c r="I222" s="720">
        <v>7061.47</v>
      </c>
      <c r="J222" s="721">
        <v>108.96</v>
      </c>
      <c r="K222" s="720">
        <v>1091.28</v>
      </c>
      <c r="L222" s="720">
        <v>285.99</v>
      </c>
      <c r="M222" s="720">
        <v>2878</v>
      </c>
      <c r="N222" s="720">
        <v>192.43</v>
      </c>
    </row>
    <row r="223" spans="1:14" ht="15">
      <c r="A223" s="705"/>
      <c r="B223" s="705"/>
      <c r="C223" s="719">
        <v>40760</v>
      </c>
      <c r="D223" s="717">
        <v>8503</v>
      </c>
      <c r="E223" s="720">
        <v>9322.69</v>
      </c>
      <c r="F223" s="720">
        <v>13890.33</v>
      </c>
      <c r="G223" s="720">
        <v>12216.43</v>
      </c>
      <c r="H223" s="720">
        <v>8973.57</v>
      </c>
      <c r="I223" s="720">
        <v>7061.47</v>
      </c>
      <c r="J223" s="721">
        <v>108.96</v>
      </c>
      <c r="K223" s="720">
        <v>1091.28</v>
      </c>
      <c r="L223" s="720">
        <v>285.99</v>
      </c>
      <c r="M223" s="720">
        <v>2878</v>
      </c>
      <c r="N223" s="720">
        <v>192.43</v>
      </c>
    </row>
    <row r="224" spans="1:14" ht="15">
      <c r="A224" s="705"/>
      <c r="B224" s="705"/>
      <c r="C224" s="719">
        <v>40761</v>
      </c>
      <c r="D224" s="717">
        <v>8503</v>
      </c>
      <c r="E224" s="720">
        <v>9322.69</v>
      </c>
      <c r="F224" s="720">
        <v>13890.33</v>
      </c>
      <c r="G224" s="720">
        <v>12216.43</v>
      </c>
      <c r="H224" s="720">
        <v>8973.57</v>
      </c>
      <c r="I224" s="720">
        <v>7061.47</v>
      </c>
      <c r="J224" s="721">
        <v>108.96</v>
      </c>
      <c r="K224" s="720">
        <v>1091.28</v>
      </c>
      <c r="L224" s="720">
        <v>285.99</v>
      </c>
      <c r="M224" s="720">
        <v>2878</v>
      </c>
      <c r="N224" s="720">
        <v>192.43</v>
      </c>
    </row>
    <row r="225" spans="1:14" ht="15">
      <c r="A225" s="705"/>
      <c r="B225" s="705"/>
      <c r="C225" s="719">
        <v>40762</v>
      </c>
      <c r="D225" s="717">
        <v>8503</v>
      </c>
      <c r="E225" s="720">
        <v>9322.69</v>
      </c>
      <c r="F225" s="720">
        <v>13890.33</v>
      </c>
      <c r="G225" s="720">
        <v>12216.43</v>
      </c>
      <c r="H225" s="720">
        <v>8973.57</v>
      </c>
      <c r="I225" s="720">
        <v>7061.47</v>
      </c>
      <c r="J225" s="721">
        <v>108.96</v>
      </c>
      <c r="K225" s="720">
        <v>1091.28</v>
      </c>
      <c r="L225" s="720">
        <v>285.99</v>
      </c>
      <c r="M225" s="720">
        <v>2878</v>
      </c>
      <c r="N225" s="720">
        <v>192.43</v>
      </c>
    </row>
    <row r="226" spans="1:14" ht="15">
      <c r="A226" s="705"/>
      <c r="B226" s="705"/>
      <c r="C226" s="719">
        <v>40763</v>
      </c>
      <c r="D226" s="717">
        <v>8483</v>
      </c>
      <c r="E226" s="720">
        <v>9064.33</v>
      </c>
      <c r="F226" s="720">
        <v>13830.11</v>
      </c>
      <c r="G226" s="720">
        <v>12038.89</v>
      </c>
      <c r="H226" s="720">
        <v>8759.91</v>
      </c>
      <c r="I226" s="720">
        <v>6998.51</v>
      </c>
      <c r="J226" s="721">
        <v>108.98</v>
      </c>
      <c r="K226" s="720">
        <v>1087.8399999999999</v>
      </c>
      <c r="L226" s="720">
        <v>284.35000000000002</v>
      </c>
      <c r="M226" s="720">
        <v>2852.46</v>
      </c>
      <c r="N226" s="720">
        <v>191.46</v>
      </c>
    </row>
    <row r="227" spans="1:14" ht="15">
      <c r="A227" s="705"/>
      <c r="B227" s="705"/>
      <c r="C227" s="719">
        <v>40764</v>
      </c>
      <c r="D227" s="717">
        <v>8483</v>
      </c>
      <c r="E227" s="720">
        <v>9064.33</v>
      </c>
      <c r="F227" s="720">
        <v>13830.11</v>
      </c>
      <c r="G227" s="720">
        <v>12038.89</v>
      </c>
      <c r="H227" s="720">
        <v>8759.91</v>
      </c>
      <c r="I227" s="720">
        <v>6998.51</v>
      </c>
      <c r="J227" s="721">
        <v>108.98</v>
      </c>
      <c r="K227" s="720">
        <v>1087.8399999999999</v>
      </c>
      <c r="L227" s="720">
        <v>284.35000000000002</v>
      </c>
      <c r="M227" s="720">
        <v>2852.46</v>
      </c>
      <c r="N227" s="720">
        <v>191.46</v>
      </c>
    </row>
    <row r="228" spans="1:14" ht="15">
      <c r="A228" s="705"/>
      <c r="B228" s="705"/>
      <c r="C228" s="719">
        <v>40765</v>
      </c>
      <c r="D228" s="717">
        <v>8483</v>
      </c>
      <c r="E228" s="720">
        <v>9064.33</v>
      </c>
      <c r="F228" s="720">
        <v>13830.11</v>
      </c>
      <c r="G228" s="720">
        <v>12038.89</v>
      </c>
      <c r="H228" s="720">
        <v>8759.91</v>
      </c>
      <c r="I228" s="720">
        <v>6998.51</v>
      </c>
      <c r="J228" s="721">
        <v>108.98</v>
      </c>
      <c r="K228" s="720">
        <v>1087.8399999999999</v>
      </c>
      <c r="L228" s="720">
        <v>284.35000000000002</v>
      </c>
      <c r="M228" s="720">
        <v>2852.46</v>
      </c>
      <c r="N228" s="720">
        <v>191.46</v>
      </c>
    </row>
    <row r="229" spans="1:14" ht="15">
      <c r="A229" s="705"/>
      <c r="B229" s="705"/>
      <c r="C229" s="719">
        <v>40766</v>
      </c>
      <c r="D229" s="717">
        <v>8483</v>
      </c>
      <c r="E229" s="720">
        <v>9064.33</v>
      </c>
      <c r="F229" s="720">
        <v>13830.11</v>
      </c>
      <c r="G229" s="720">
        <v>12038.89</v>
      </c>
      <c r="H229" s="720">
        <v>8759.91</v>
      </c>
      <c r="I229" s="720">
        <v>6998.51</v>
      </c>
      <c r="J229" s="721">
        <v>108.98</v>
      </c>
      <c r="K229" s="720">
        <v>1087.8399999999999</v>
      </c>
      <c r="L229" s="720">
        <v>284.35000000000002</v>
      </c>
      <c r="M229" s="720">
        <v>2852.46</v>
      </c>
      <c r="N229" s="720">
        <v>191.46</v>
      </c>
    </row>
    <row r="230" spans="1:14" ht="15">
      <c r="A230" s="705"/>
      <c r="B230" s="705"/>
      <c r="C230" s="719">
        <v>40767</v>
      </c>
      <c r="D230" s="717">
        <v>8483</v>
      </c>
      <c r="E230" s="720">
        <v>9064.33</v>
      </c>
      <c r="F230" s="720">
        <v>13830.11</v>
      </c>
      <c r="G230" s="720">
        <v>12038.89</v>
      </c>
      <c r="H230" s="720">
        <v>8759.91</v>
      </c>
      <c r="I230" s="720">
        <v>6998.51</v>
      </c>
      <c r="J230" s="721">
        <v>108.98</v>
      </c>
      <c r="K230" s="720">
        <v>1087.8399999999999</v>
      </c>
      <c r="L230" s="720">
        <v>284.35000000000002</v>
      </c>
      <c r="M230" s="720">
        <v>2852.46</v>
      </c>
      <c r="N230" s="720">
        <v>191.46</v>
      </c>
    </row>
    <row r="231" spans="1:14" ht="15">
      <c r="A231" s="705"/>
      <c r="B231" s="705"/>
      <c r="C231" s="719">
        <v>40768</v>
      </c>
      <c r="D231" s="717">
        <v>8483</v>
      </c>
      <c r="E231" s="720">
        <v>9064.33</v>
      </c>
      <c r="F231" s="720">
        <v>13830.11</v>
      </c>
      <c r="G231" s="720">
        <v>12038.89</v>
      </c>
      <c r="H231" s="720">
        <v>8759.91</v>
      </c>
      <c r="I231" s="720">
        <v>6998.51</v>
      </c>
      <c r="J231" s="721">
        <v>108.98</v>
      </c>
      <c r="K231" s="720">
        <v>1087.8399999999999</v>
      </c>
      <c r="L231" s="720">
        <v>284.35000000000002</v>
      </c>
      <c r="M231" s="720">
        <v>2852.46</v>
      </c>
      <c r="N231" s="720">
        <v>191.46</v>
      </c>
    </row>
    <row r="232" spans="1:14" ht="15">
      <c r="A232" s="705"/>
      <c r="B232" s="705"/>
      <c r="C232" s="719">
        <v>40769</v>
      </c>
      <c r="D232" s="717">
        <v>8483</v>
      </c>
      <c r="E232" s="720">
        <v>9064.33</v>
      </c>
      <c r="F232" s="720">
        <v>13830.11</v>
      </c>
      <c r="G232" s="720">
        <v>12038.89</v>
      </c>
      <c r="H232" s="720">
        <v>8759.91</v>
      </c>
      <c r="I232" s="720">
        <v>6998.51</v>
      </c>
      <c r="J232" s="721">
        <v>108.98</v>
      </c>
      <c r="K232" s="720">
        <v>1087.8399999999999</v>
      </c>
      <c r="L232" s="720">
        <v>284.35000000000002</v>
      </c>
      <c r="M232" s="720">
        <v>2852.46</v>
      </c>
      <c r="N232" s="720">
        <v>191.46</v>
      </c>
    </row>
    <row r="233" spans="1:14" ht="15">
      <c r="A233" s="705"/>
      <c r="B233" s="705"/>
      <c r="C233" s="719">
        <v>40770</v>
      </c>
      <c r="D233" s="717">
        <v>8542</v>
      </c>
      <c r="E233" s="720">
        <v>8792.48</v>
      </c>
      <c r="F233" s="720">
        <v>13908.66</v>
      </c>
      <c r="G233" s="720">
        <v>12182.14</v>
      </c>
      <c r="H233" s="720">
        <v>8645.81</v>
      </c>
      <c r="I233" s="720">
        <v>7037.9</v>
      </c>
      <c r="J233" s="721">
        <v>110.99</v>
      </c>
      <c r="K233" s="720">
        <v>1094.69</v>
      </c>
      <c r="L233" s="720">
        <v>285.62</v>
      </c>
      <c r="M233" s="720">
        <v>2840.04</v>
      </c>
      <c r="N233" s="720">
        <v>188.92</v>
      </c>
    </row>
    <row r="234" spans="1:14" ht="15">
      <c r="A234" s="705"/>
      <c r="B234" s="705"/>
      <c r="C234" s="719">
        <v>40771</v>
      </c>
      <c r="D234" s="717">
        <v>8542</v>
      </c>
      <c r="E234" s="720">
        <v>8792.48</v>
      </c>
      <c r="F234" s="720">
        <v>13908.66</v>
      </c>
      <c r="G234" s="720">
        <v>12182.14</v>
      </c>
      <c r="H234" s="720">
        <v>8645.81</v>
      </c>
      <c r="I234" s="720">
        <v>7037.9</v>
      </c>
      <c r="J234" s="721">
        <v>110.99</v>
      </c>
      <c r="K234" s="720">
        <v>1094.69</v>
      </c>
      <c r="L234" s="720">
        <v>285.62</v>
      </c>
      <c r="M234" s="720">
        <v>2840.04</v>
      </c>
      <c r="N234" s="720">
        <v>188.92</v>
      </c>
    </row>
    <row r="235" spans="1:14" ht="15">
      <c r="A235" s="705"/>
      <c r="B235" s="705"/>
      <c r="C235" s="719">
        <v>40772</v>
      </c>
      <c r="D235" s="717">
        <v>8542</v>
      </c>
      <c r="E235" s="720">
        <v>8792.48</v>
      </c>
      <c r="F235" s="720">
        <v>13908.66</v>
      </c>
      <c r="G235" s="720">
        <v>12182.14</v>
      </c>
      <c r="H235" s="720">
        <v>8645.81</v>
      </c>
      <c r="I235" s="720">
        <v>7037.9</v>
      </c>
      <c r="J235" s="721">
        <v>110.99</v>
      </c>
      <c r="K235" s="720">
        <v>1094.69</v>
      </c>
      <c r="L235" s="720">
        <v>285.62</v>
      </c>
      <c r="M235" s="720">
        <v>2840.04</v>
      </c>
      <c r="N235" s="720">
        <v>188.92</v>
      </c>
    </row>
    <row r="236" spans="1:14" ht="15">
      <c r="A236" s="705"/>
      <c r="B236" s="705"/>
      <c r="C236" s="719">
        <v>40773</v>
      </c>
      <c r="D236" s="717">
        <v>8542</v>
      </c>
      <c r="E236" s="720">
        <v>8792.48</v>
      </c>
      <c r="F236" s="720">
        <v>13908.66</v>
      </c>
      <c r="G236" s="720">
        <v>12182.14</v>
      </c>
      <c r="H236" s="720">
        <v>8645.81</v>
      </c>
      <c r="I236" s="720">
        <v>7037.9</v>
      </c>
      <c r="J236" s="721">
        <v>110.99</v>
      </c>
      <c r="K236" s="720">
        <v>1094.69</v>
      </c>
      <c r="L236" s="720">
        <v>285.62</v>
      </c>
      <c r="M236" s="720">
        <v>2840.04</v>
      </c>
      <c r="N236" s="720">
        <v>188.92</v>
      </c>
    </row>
    <row r="237" spans="1:14" ht="15">
      <c r="A237" s="705"/>
      <c r="B237" s="705"/>
      <c r="C237" s="719">
        <v>40774</v>
      </c>
      <c r="D237" s="717">
        <v>8542</v>
      </c>
      <c r="E237" s="720">
        <v>8792.48</v>
      </c>
      <c r="F237" s="720">
        <v>13908.66</v>
      </c>
      <c r="G237" s="720">
        <v>12182.14</v>
      </c>
      <c r="H237" s="720">
        <v>8645.81</v>
      </c>
      <c r="I237" s="720">
        <v>7037.9</v>
      </c>
      <c r="J237" s="721">
        <v>110.99</v>
      </c>
      <c r="K237" s="720">
        <v>1094.69</v>
      </c>
      <c r="L237" s="720">
        <v>285.62</v>
      </c>
      <c r="M237" s="720">
        <v>2840.04</v>
      </c>
      <c r="N237" s="720">
        <v>188.92</v>
      </c>
    </row>
    <row r="238" spans="1:14" ht="15">
      <c r="A238" s="705"/>
      <c r="B238" s="705"/>
      <c r="C238" s="719">
        <v>40775</v>
      </c>
      <c r="D238" s="717">
        <v>8542</v>
      </c>
      <c r="E238" s="720">
        <v>8792.48</v>
      </c>
      <c r="F238" s="720">
        <v>13908.66</v>
      </c>
      <c r="G238" s="720">
        <v>12182.14</v>
      </c>
      <c r="H238" s="720">
        <v>8645.81</v>
      </c>
      <c r="I238" s="720">
        <v>7037.9</v>
      </c>
      <c r="J238" s="721">
        <v>110.99</v>
      </c>
      <c r="K238" s="720">
        <v>1094.69</v>
      </c>
      <c r="L238" s="720">
        <v>285.62</v>
      </c>
      <c r="M238" s="720">
        <v>2840.04</v>
      </c>
      <c r="N238" s="720">
        <v>188.92</v>
      </c>
    </row>
    <row r="239" spans="1:14" ht="15">
      <c r="A239" s="705"/>
      <c r="B239" s="705"/>
      <c r="C239" s="719">
        <v>40776</v>
      </c>
      <c r="D239" s="717">
        <v>8542</v>
      </c>
      <c r="E239" s="720">
        <v>8792.48</v>
      </c>
      <c r="F239" s="720">
        <v>13908.66</v>
      </c>
      <c r="G239" s="720">
        <v>12182.14</v>
      </c>
      <c r="H239" s="720">
        <v>8645.81</v>
      </c>
      <c r="I239" s="720">
        <v>7037.9</v>
      </c>
      <c r="J239" s="721">
        <v>110.99</v>
      </c>
      <c r="K239" s="720">
        <v>1094.69</v>
      </c>
      <c r="L239" s="720">
        <v>285.62</v>
      </c>
      <c r="M239" s="720">
        <v>2840.04</v>
      </c>
      <c r="N239" s="720">
        <v>188.92</v>
      </c>
    </row>
    <row r="240" spans="1:14" ht="15">
      <c r="A240" s="705"/>
      <c r="B240" s="705"/>
      <c r="C240" s="719">
        <v>40777</v>
      </c>
      <c r="D240" s="717">
        <v>8539</v>
      </c>
      <c r="E240" s="720">
        <v>8910.9500000000007</v>
      </c>
      <c r="F240" s="720">
        <v>14059.66</v>
      </c>
      <c r="G240" s="720">
        <v>12278.02</v>
      </c>
      <c r="H240" s="720">
        <v>8660.26</v>
      </c>
      <c r="I240" s="720">
        <v>7069.58</v>
      </c>
      <c r="J240" s="721">
        <v>111.34</v>
      </c>
      <c r="K240" s="720">
        <v>1095.6099999999999</v>
      </c>
      <c r="L240" s="720">
        <v>285.82</v>
      </c>
      <c r="M240" s="720">
        <v>2863.12</v>
      </c>
      <c r="N240" s="720">
        <v>187.6</v>
      </c>
    </row>
    <row r="241" spans="1:14" ht="15">
      <c r="A241" s="705"/>
      <c r="B241" s="705"/>
      <c r="C241" s="719">
        <v>40778</v>
      </c>
      <c r="D241" s="717">
        <v>8539</v>
      </c>
      <c r="E241" s="720">
        <v>8910.9500000000007</v>
      </c>
      <c r="F241" s="720">
        <v>14059.66</v>
      </c>
      <c r="G241" s="720">
        <v>12278.02</v>
      </c>
      <c r="H241" s="720">
        <v>8660.26</v>
      </c>
      <c r="I241" s="720">
        <v>7069.58</v>
      </c>
      <c r="J241" s="721">
        <v>111.34</v>
      </c>
      <c r="K241" s="720">
        <v>1095.6099999999999</v>
      </c>
      <c r="L241" s="720">
        <v>285.82</v>
      </c>
      <c r="M241" s="720">
        <v>2863.12</v>
      </c>
      <c r="N241" s="720">
        <v>187.6</v>
      </c>
    </row>
    <row r="242" spans="1:14" ht="15">
      <c r="A242" s="705"/>
      <c r="B242" s="705"/>
      <c r="C242" s="719">
        <v>40779</v>
      </c>
      <c r="D242" s="717">
        <v>8539</v>
      </c>
      <c r="E242" s="720">
        <v>8910.9500000000007</v>
      </c>
      <c r="F242" s="720">
        <v>14059.66</v>
      </c>
      <c r="G242" s="720">
        <v>12278.02</v>
      </c>
      <c r="H242" s="720">
        <v>8660.26</v>
      </c>
      <c r="I242" s="720">
        <v>7069.58</v>
      </c>
      <c r="J242" s="721">
        <v>111.34</v>
      </c>
      <c r="K242" s="720">
        <v>1095.6099999999999</v>
      </c>
      <c r="L242" s="720">
        <v>285.82</v>
      </c>
      <c r="M242" s="720">
        <v>2863.12</v>
      </c>
      <c r="N242" s="720">
        <v>187.6</v>
      </c>
    </row>
    <row r="243" spans="1:14" ht="15">
      <c r="A243" s="705"/>
      <c r="B243" s="705"/>
      <c r="C243" s="719">
        <v>40780</v>
      </c>
      <c r="D243" s="717">
        <v>8539</v>
      </c>
      <c r="E243" s="720">
        <v>8910.9500000000007</v>
      </c>
      <c r="F243" s="720">
        <v>14059.66</v>
      </c>
      <c r="G243" s="720">
        <v>12278.02</v>
      </c>
      <c r="H243" s="720">
        <v>8660.26</v>
      </c>
      <c r="I243" s="720">
        <v>7069.58</v>
      </c>
      <c r="J243" s="721">
        <v>111.34</v>
      </c>
      <c r="K243" s="720">
        <v>1095.6099999999999</v>
      </c>
      <c r="L243" s="720">
        <v>285.82</v>
      </c>
      <c r="M243" s="720">
        <v>2863.12</v>
      </c>
      <c r="N243" s="720">
        <v>187.6</v>
      </c>
    </row>
    <row r="244" spans="1:14" ht="15">
      <c r="A244" s="705"/>
      <c r="B244" s="705"/>
      <c r="C244" s="719">
        <v>40781</v>
      </c>
      <c r="D244" s="717">
        <v>8539</v>
      </c>
      <c r="E244" s="720">
        <v>8910.9500000000007</v>
      </c>
      <c r="F244" s="720">
        <v>14059.66</v>
      </c>
      <c r="G244" s="720">
        <v>12278.02</v>
      </c>
      <c r="H244" s="720">
        <v>8660.26</v>
      </c>
      <c r="I244" s="720">
        <v>7069.58</v>
      </c>
      <c r="J244" s="721">
        <v>111.34</v>
      </c>
      <c r="K244" s="720">
        <v>1095.6099999999999</v>
      </c>
      <c r="L244" s="720">
        <v>285.82</v>
      </c>
      <c r="M244" s="720">
        <v>2863.12</v>
      </c>
      <c r="N244" s="720">
        <v>187.6</v>
      </c>
    </row>
    <row r="245" spans="1:14" ht="15">
      <c r="A245" s="705"/>
      <c r="B245" s="705"/>
      <c r="C245" s="719">
        <v>40782</v>
      </c>
      <c r="D245" s="717">
        <v>8539</v>
      </c>
      <c r="E245" s="720">
        <v>8910.9500000000007</v>
      </c>
      <c r="F245" s="720">
        <v>14059.66</v>
      </c>
      <c r="G245" s="720">
        <v>12278.02</v>
      </c>
      <c r="H245" s="720">
        <v>8660.26</v>
      </c>
      <c r="I245" s="720">
        <v>7069.58</v>
      </c>
      <c r="J245" s="721">
        <v>111.34</v>
      </c>
      <c r="K245" s="720">
        <v>1095.6099999999999</v>
      </c>
      <c r="L245" s="720">
        <v>285.82</v>
      </c>
      <c r="M245" s="720">
        <v>2863.12</v>
      </c>
      <c r="N245" s="720">
        <v>187.6</v>
      </c>
    </row>
    <row r="246" spans="1:14" ht="15">
      <c r="A246" s="705"/>
      <c r="B246" s="705"/>
      <c r="C246" s="719">
        <v>40783</v>
      </c>
      <c r="D246" s="717">
        <v>8539</v>
      </c>
      <c r="E246" s="720">
        <v>8910.9500000000007</v>
      </c>
      <c r="F246" s="720">
        <v>14059.66</v>
      </c>
      <c r="G246" s="720">
        <v>12278.02</v>
      </c>
      <c r="H246" s="720">
        <v>8660.26</v>
      </c>
      <c r="I246" s="720">
        <v>7069.58</v>
      </c>
      <c r="J246" s="721">
        <v>111.34</v>
      </c>
      <c r="K246" s="720">
        <v>1095.6099999999999</v>
      </c>
      <c r="L246" s="720">
        <v>285.82</v>
      </c>
      <c r="M246" s="720">
        <v>2863.12</v>
      </c>
      <c r="N246" s="720">
        <v>187.6</v>
      </c>
    </row>
    <row r="247" spans="1:14" ht="15">
      <c r="A247" s="705"/>
      <c r="B247" s="705"/>
      <c r="C247" s="719">
        <v>40784</v>
      </c>
      <c r="D247" s="717">
        <v>8554</v>
      </c>
      <c r="E247" s="720">
        <v>8948.2000000000007</v>
      </c>
      <c r="F247" s="720">
        <v>14054.49</v>
      </c>
      <c r="G247" s="720">
        <v>12320.1</v>
      </c>
      <c r="H247" s="720">
        <v>8653.19</v>
      </c>
      <c r="I247" s="720">
        <v>7089.6</v>
      </c>
      <c r="J247" s="721">
        <v>111.41</v>
      </c>
      <c r="K247" s="720">
        <v>1097.02</v>
      </c>
      <c r="L247" s="720">
        <v>286.08999999999997</v>
      </c>
      <c r="M247" s="720">
        <v>2874.1</v>
      </c>
      <c r="N247" s="720">
        <v>186.89</v>
      </c>
    </row>
    <row r="248" spans="1:14" ht="15">
      <c r="A248" s="705"/>
      <c r="B248" s="705"/>
      <c r="C248" s="719">
        <v>40785</v>
      </c>
      <c r="D248" s="717">
        <v>8554</v>
      </c>
      <c r="E248" s="720">
        <v>8948.2000000000007</v>
      </c>
      <c r="F248" s="720">
        <v>14054.49</v>
      </c>
      <c r="G248" s="720">
        <v>12320.1</v>
      </c>
      <c r="H248" s="720">
        <v>8653.19</v>
      </c>
      <c r="I248" s="720">
        <v>7089.6</v>
      </c>
      <c r="J248" s="721">
        <v>111.41</v>
      </c>
      <c r="K248" s="720">
        <v>1097.02</v>
      </c>
      <c r="L248" s="720">
        <v>286.08999999999997</v>
      </c>
      <c r="M248" s="720">
        <v>2874.1</v>
      </c>
      <c r="N248" s="720">
        <v>186.89</v>
      </c>
    </row>
    <row r="249" spans="1:14" ht="15">
      <c r="A249" s="705"/>
      <c r="B249" s="705"/>
      <c r="C249" s="719">
        <v>40786</v>
      </c>
      <c r="D249" s="717">
        <v>8554</v>
      </c>
      <c r="E249" s="720">
        <v>8948.2000000000007</v>
      </c>
      <c r="F249" s="720">
        <v>14054.49</v>
      </c>
      <c r="G249" s="720">
        <v>12320.1</v>
      </c>
      <c r="H249" s="720">
        <v>8653.19</v>
      </c>
      <c r="I249" s="720">
        <v>7089.6</v>
      </c>
      <c r="J249" s="721">
        <v>111.41</v>
      </c>
      <c r="K249" s="720">
        <v>1097.02</v>
      </c>
      <c r="L249" s="720">
        <v>286.08999999999997</v>
      </c>
      <c r="M249" s="720">
        <v>2874.1</v>
      </c>
      <c r="N249" s="720">
        <v>186.89</v>
      </c>
    </row>
    <row r="250" spans="1:14" ht="15">
      <c r="A250" s="705"/>
      <c r="B250" s="705"/>
      <c r="C250" s="719">
        <v>40787</v>
      </c>
      <c r="D250" s="717">
        <v>8554</v>
      </c>
      <c r="E250" s="720">
        <v>8948.2000000000007</v>
      </c>
      <c r="F250" s="720">
        <v>14054.49</v>
      </c>
      <c r="G250" s="720">
        <v>12320.1</v>
      </c>
      <c r="H250" s="720">
        <v>8653.19</v>
      </c>
      <c r="I250" s="720">
        <v>7089.6</v>
      </c>
      <c r="J250" s="721">
        <v>111.41</v>
      </c>
      <c r="K250" s="720">
        <v>1097.02</v>
      </c>
      <c r="L250" s="720">
        <v>286.08999999999997</v>
      </c>
      <c r="M250" s="720">
        <v>2874.1</v>
      </c>
      <c r="N250" s="720">
        <v>186.89</v>
      </c>
    </row>
    <row r="251" spans="1:14" ht="15">
      <c r="A251" s="705"/>
      <c r="B251" s="705"/>
      <c r="C251" s="719">
        <v>40788</v>
      </c>
      <c r="D251" s="717">
        <v>8554</v>
      </c>
      <c r="E251" s="720">
        <v>8948.2000000000007</v>
      </c>
      <c r="F251" s="720">
        <v>14054.49</v>
      </c>
      <c r="G251" s="720">
        <v>12320.1</v>
      </c>
      <c r="H251" s="720">
        <v>8653.19</v>
      </c>
      <c r="I251" s="720">
        <v>7089.6</v>
      </c>
      <c r="J251" s="721">
        <v>111.41</v>
      </c>
      <c r="K251" s="720">
        <v>1097.02</v>
      </c>
      <c r="L251" s="720">
        <v>286.08999999999997</v>
      </c>
      <c r="M251" s="720">
        <v>2874.1</v>
      </c>
      <c r="N251" s="720">
        <v>186.89</v>
      </c>
    </row>
    <row r="252" spans="1:14" ht="15">
      <c r="A252" s="705"/>
      <c r="B252" s="705"/>
      <c r="C252" s="719">
        <v>40789</v>
      </c>
      <c r="D252" s="717">
        <v>8554</v>
      </c>
      <c r="E252" s="720">
        <v>8948.2000000000007</v>
      </c>
      <c r="F252" s="720">
        <v>14054.49</v>
      </c>
      <c r="G252" s="720">
        <v>12320.1</v>
      </c>
      <c r="H252" s="720">
        <v>8653.19</v>
      </c>
      <c r="I252" s="720">
        <v>7089.6</v>
      </c>
      <c r="J252" s="721">
        <v>111.41</v>
      </c>
      <c r="K252" s="720">
        <v>1097.02</v>
      </c>
      <c r="L252" s="720">
        <v>286.08999999999997</v>
      </c>
      <c r="M252" s="720">
        <v>2874.1</v>
      </c>
      <c r="N252" s="720">
        <v>186.89</v>
      </c>
    </row>
    <row r="253" spans="1:14" ht="15">
      <c r="A253" s="705"/>
      <c r="B253" s="705"/>
      <c r="C253" s="719">
        <v>40790</v>
      </c>
      <c r="D253" s="717">
        <v>8554</v>
      </c>
      <c r="E253" s="720">
        <v>8948.2000000000007</v>
      </c>
      <c r="F253" s="720">
        <v>14054.49</v>
      </c>
      <c r="G253" s="720">
        <v>12320.1</v>
      </c>
      <c r="H253" s="720">
        <v>8653.19</v>
      </c>
      <c r="I253" s="720">
        <v>7089.6</v>
      </c>
      <c r="J253" s="721">
        <v>111.41</v>
      </c>
      <c r="K253" s="720">
        <v>1097.02</v>
      </c>
      <c r="L253" s="720">
        <v>286.08999999999997</v>
      </c>
      <c r="M253" s="720">
        <v>2874.1</v>
      </c>
      <c r="N253" s="720">
        <v>186.89</v>
      </c>
    </row>
    <row r="254" spans="1:14" ht="15">
      <c r="A254" s="705"/>
      <c r="B254" s="705"/>
      <c r="C254" s="719">
        <v>40791</v>
      </c>
      <c r="D254" s="717">
        <v>8554</v>
      </c>
      <c r="E254" s="720">
        <v>8948.2000000000007</v>
      </c>
      <c r="F254" s="720">
        <v>14054.49</v>
      </c>
      <c r="G254" s="720">
        <v>12320.1</v>
      </c>
      <c r="H254" s="720">
        <v>8653.19</v>
      </c>
      <c r="I254" s="720">
        <v>7089.6</v>
      </c>
      <c r="J254" s="721">
        <v>111.41</v>
      </c>
      <c r="K254" s="720">
        <v>1097.02</v>
      </c>
      <c r="L254" s="720">
        <v>286.08999999999997</v>
      </c>
      <c r="M254" s="720">
        <v>2874.1</v>
      </c>
      <c r="N254" s="720">
        <v>186.89</v>
      </c>
    </row>
    <row r="255" spans="1:14" ht="15">
      <c r="A255" s="705"/>
      <c r="B255" s="705"/>
      <c r="C255" s="719">
        <v>40792</v>
      </c>
      <c r="D255" s="717">
        <v>8554</v>
      </c>
      <c r="E255" s="720">
        <v>8948.2000000000007</v>
      </c>
      <c r="F255" s="720">
        <v>14054.49</v>
      </c>
      <c r="G255" s="720">
        <v>12320.1</v>
      </c>
      <c r="H255" s="720">
        <v>8653.19</v>
      </c>
      <c r="I255" s="720">
        <v>7089.6</v>
      </c>
      <c r="J255" s="721">
        <v>111.41</v>
      </c>
      <c r="K255" s="720">
        <v>1097.02</v>
      </c>
      <c r="L255" s="720">
        <v>286.08999999999997</v>
      </c>
      <c r="M255" s="720">
        <v>2874.1</v>
      </c>
      <c r="N255" s="720">
        <v>186.89</v>
      </c>
    </row>
    <row r="256" spans="1:14" ht="15">
      <c r="A256" s="705"/>
      <c r="B256" s="705"/>
      <c r="C256" s="719">
        <v>40793</v>
      </c>
      <c r="D256" s="717">
        <v>8554</v>
      </c>
      <c r="E256" s="720">
        <v>8948.2000000000007</v>
      </c>
      <c r="F256" s="720">
        <v>14054.49</v>
      </c>
      <c r="G256" s="720">
        <v>12320.1</v>
      </c>
      <c r="H256" s="720">
        <v>8653.19</v>
      </c>
      <c r="I256" s="720">
        <v>7089.6</v>
      </c>
      <c r="J256" s="721">
        <v>111.41</v>
      </c>
      <c r="K256" s="720">
        <v>1097.02</v>
      </c>
      <c r="L256" s="720">
        <v>286.08999999999997</v>
      </c>
      <c r="M256" s="720">
        <v>2874.1</v>
      </c>
      <c r="N256" s="720">
        <v>186.89</v>
      </c>
    </row>
    <row r="257" spans="1:14" ht="15">
      <c r="A257" s="705"/>
      <c r="B257" s="705"/>
      <c r="C257" s="719">
        <v>40794</v>
      </c>
      <c r="D257" s="717">
        <v>8554</v>
      </c>
      <c r="E257" s="720">
        <v>8948.2000000000007</v>
      </c>
      <c r="F257" s="720">
        <v>14054.49</v>
      </c>
      <c r="G257" s="720">
        <v>12320.1</v>
      </c>
      <c r="H257" s="720">
        <v>8653.19</v>
      </c>
      <c r="I257" s="720">
        <v>7089.6</v>
      </c>
      <c r="J257" s="721">
        <v>111.41</v>
      </c>
      <c r="K257" s="720">
        <v>1097.02</v>
      </c>
      <c r="L257" s="720">
        <v>286.08999999999997</v>
      </c>
      <c r="M257" s="720">
        <v>2874.1</v>
      </c>
      <c r="N257" s="720">
        <v>186.89</v>
      </c>
    </row>
    <row r="258" spans="1:14" ht="15">
      <c r="A258" s="705"/>
      <c r="B258" s="705"/>
      <c r="C258" s="719">
        <v>40795</v>
      </c>
      <c r="D258" s="717">
        <v>8554</v>
      </c>
      <c r="E258" s="720">
        <v>8948.2000000000007</v>
      </c>
      <c r="F258" s="720">
        <v>14054.49</v>
      </c>
      <c r="G258" s="720">
        <v>12320.1</v>
      </c>
      <c r="H258" s="720">
        <v>8653.19</v>
      </c>
      <c r="I258" s="720">
        <v>7089.6</v>
      </c>
      <c r="J258" s="721">
        <v>111.41</v>
      </c>
      <c r="K258" s="720">
        <v>1097.02</v>
      </c>
      <c r="L258" s="720">
        <v>286.08999999999997</v>
      </c>
      <c r="M258" s="720">
        <v>2874.1</v>
      </c>
      <c r="N258" s="720">
        <v>186.89</v>
      </c>
    </row>
    <row r="259" spans="1:14" ht="15">
      <c r="A259" s="705"/>
      <c r="B259" s="705"/>
      <c r="C259" s="719">
        <v>40796</v>
      </c>
      <c r="D259" s="717">
        <v>8554</v>
      </c>
      <c r="E259" s="720">
        <v>8948.2000000000007</v>
      </c>
      <c r="F259" s="720">
        <v>14054.49</v>
      </c>
      <c r="G259" s="720">
        <v>12320.1</v>
      </c>
      <c r="H259" s="720">
        <v>8653.19</v>
      </c>
      <c r="I259" s="720">
        <v>7089.6</v>
      </c>
      <c r="J259" s="721">
        <v>111.41</v>
      </c>
      <c r="K259" s="720">
        <v>1097.02</v>
      </c>
      <c r="L259" s="720">
        <v>286.08999999999997</v>
      </c>
      <c r="M259" s="720">
        <v>2874.1</v>
      </c>
      <c r="N259" s="720">
        <v>186.89</v>
      </c>
    </row>
    <row r="260" spans="1:14" ht="15">
      <c r="A260" s="705"/>
      <c r="B260" s="705"/>
      <c r="C260" s="719">
        <v>40797</v>
      </c>
      <c r="D260" s="717">
        <v>8554</v>
      </c>
      <c r="E260" s="720">
        <v>8948.2000000000007</v>
      </c>
      <c r="F260" s="720">
        <v>14054.49</v>
      </c>
      <c r="G260" s="720">
        <v>12320.1</v>
      </c>
      <c r="H260" s="720">
        <v>8653.19</v>
      </c>
      <c r="I260" s="720">
        <v>7089.6</v>
      </c>
      <c r="J260" s="721">
        <v>111.41</v>
      </c>
      <c r="K260" s="720">
        <v>1097.02</v>
      </c>
      <c r="L260" s="720">
        <v>286.08999999999997</v>
      </c>
      <c r="M260" s="720">
        <v>2874.1</v>
      </c>
      <c r="N260" s="720">
        <v>186.89</v>
      </c>
    </row>
    <row r="261" spans="1:14" ht="15">
      <c r="A261" s="705"/>
      <c r="B261" s="705"/>
      <c r="C261" s="719">
        <v>40798</v>
      </c>
      <c r="D261" s="717">
        <v>8554</v>
      </c>
      <c r="E261" s="720">
        <v>8948.2000000000007</v>
      </c>
      <c r="F261" s="720">
        <v>14054.49</v>
      </c>
      <c r="G261" s="720">
        <v>12320.1</v>
      </c>
      <c r="H261" s="720">
        <v>8653.19</v>
      </c>
      <c r="I261" s="720">
        <v>7089.6</v>
      </c>
      <c r="J261" s="721">
        <v>111.41</v>
      </c>
      <c r="K261" s="720">
        <v>1097.02</v>
      </c>
      <c r="L261" s="720">
        <v>286.08999999999997</v>
      </c>
      <c r="M261" s="720">
        <v>2874.1</v>
      </c>
      <c r="N261" s="720">
        <v>186.89</v>
      </c>
    </row>
    <row r="262" spans="1:14" ht="15">
      <c r="A262" s="705"/>
      <c r="B262" s="705"/>
      <c r="C262" s="719">
        <v>40799</v>
      </c>
      <c r="D262" s="717">
        <v>8554</v>
      </c>
      <c r="E262" s="720">
        <v>8948.2000000000007</v>
      </c>
      <c r="F262" s="720">
        <v>14054.49</v>
      </c>
      <c r="G262" s="720">
        <v>12320.1</v>
      </c>
      <c r="H262" s="720">
        <v>8653.19</v>
      </c>
      <c r="I262" s="720">
        <v>7089.6</v>
      </c>
      <c r="J262" s="721">
        <v>111.41</v>
      </c>
      <c r="K262" s="720">
        <v>1097.02</v>
      </c>
      <c r="L262" s="720">
        <v>286.08999999999997</v>
      </c>
      <c r="M262" s="720">
        <v>2874.1</v>
      </c>
      <c r="N262" s="720">
        <v>186.89</v>
      </c>
    </row>
    <row r="263" spans="1:14" ht="15">
      <c r="A263" s="705"/>
      <c r="B263" s="705"/>
      <c r="C263" s="719">
        <v>40800</v>
      </c>
      <c r="D263" s="717">
        <v>8554</v>
      </c>
      <c r="E263" s="720">
        <v>8948.2000000000007</v>
      </c>
      <c r="F263" s="720">
        <v>14054.49</v>
      </c>
      <c r="G263" s="720">
        <v>12320.1</v>
      </c>
      <c r="H263" s="720">
        <v>8653.19</v>
      </c>
      <c r="I263" s="720">
        <v>7089.6</v>
      </c>
      <c r="J263" s="721">
        <v>111.41</v>
      </c>
      <c r="K263" s="720">
        <v>1097.02</v>
      </c>
      <c r="L263" s="720">
        <v>286.08999999999997</v>
      </c>
      <c r="M263" s="720">
        <v>2874.1</v>
      </c>
      <c r="N263" s="720">
        <v>186.89</v>
      </c>
    </row>
    <row r="264" spans="1:14" ht="15">
      <c r="A264" s="705"/>
      <c r="B264" s="705"/>
      <c r="C264" s="719">
        <v>40801</v>
      </c>
      <c r="D264" s="717">
        <v>8554</v>
      </c>
      <c r="E264" s="720">
        <v>8948.2000000000007</v>
      </c>
      <c r="F264" s="720">
        <v>14054.49</v>
      </c>
      <c r="G264" s="720">
        <v>12320.1</v>
      </c>
      <c r="H264" s="720">
        <v>8653.19</v>
      </c>
      <c r="I264" s="720">
        <v>7089.6</v>
      </c>
      <c r="J264" s="721">
        <v>111.41</v>
      </c>
      <c r="K264" s="720">
        <v>1097.02</v>
      </c>
      <c r="L264" s="720">
        <v>286.08999999999997</v>
      </c>
      <c r="M264" s="720">
        <v>2874.1</v>
      </c>
      <c r="N264" s="720">
        <v>186.89</v>
      </c>
    </row>
    <row r="265" spans="1:14" ht="15">
      <c r="A265" s="705"/>
      <c r="B265" s="705"/>
      <c r="C265" s="719">
        <v>40802</v>
      </c>
      <c r="D265" s="717">
        <v>8554</v>
      </c>
      <c r="E265" s="720">
        <v>8948.2000000000007</v>
      </c>
      <c r="F265" s="720">
        <v>14054.49</v>
      </c>
      <c r="G265" s="720">
        <v>12320.1</v>
      </c>
      <c r="H265" s="720">
        <v>8653.19</v>
      </c>
      <c r="I265" s="720">
        <v>7089.6</v>
      </c>
      <c r="J265" s="721">
        <v>111.41</v>
      </c>
      <c r="K265" s="720">
        <v>1097.02</v>
      </c>
      <c r="L265" s="720">
        <v>286.08999999999997</v>
      </c>
      <c r="M265" s="720">
        <v>2874.1</v>
      </c>
      <c r="N265" s="720">
        <v>186.89</v>
      </c>
    </row>
    <row r="266" spans="1:14" ht="15">
      <c r="A266" s="705"/>
      <c r="B266" s="705"/>
      <c r="C266" s="719">
        <v>40803</v>
      </c>
      <c r="D266" s="717">
        <v>8554</v>
      </c>
      <c r="E266" s="720">
        <v>8948.2000000000007</v>
      </c>
      <c r="F266" s="720">
        <v>14054.49</v>
      </c>
      <c r="G266" s="720">
        <v>12320.1</v>
      </c>
      <c r="H266" s="720">
        <v>8653.19</v>
      </c>
      <c r="I266" s="720">
        <v>7089.6</v>
      </c>
      <c r="J266" s="721">
        <v>111.41</v>
      </c>
      <c r="K266" s="720">
        <v>1097.02</v>
      </c>
      <c r="L266" s="720">
        <v>286.08999999999997</v>
      </c>
      <c r="M266" s="720">
        <v>2874.1</v>
      </c>
      <c r="N266" s="720">
        <v>186.89</v>
      </c>
    </row>
    <row r="267" spans="1:14" ht="15">
      <c r="A267" s="705"/>
      <c r="B267" s="705"/>
      <c r="C267" s="719">
        <v>40804</v>
      </c>
      <c r="D267" s="717">
        <v>8554</v>
      </c>
      <c r="E267" s="720">
        <v>8948.2000000000007</v>
      </c>
      <c r="F267" s="720">
        <v>14054.49</v>
      </c>
      <c r="G267" s="720">
        <v>12320.1</v>
      </c>
      <c r="H267" s="720">
        <v>8653.19</v>
      </c>
      <c r="I267" s="720">
        <v>7089.6</v>
      </c>
      <c r="J267" s="721">
        <v>111.41</v>
      </c>
      <c r="K267" s="720">
        <v>1097.02</v>
      </c>
      <c r="L267" s="720">
        <v>286.08999999999997</v>
      </c>
      <c r="M267" s="720">
        <v>2874.1</v>
      </c>
      <c r="N267" s="720">
        <v>186.89</v>
      </c>
    </row>
    <row r="268" spans="1:14" ht="15">
      <c r="A268" s="705"/>
      <c r="B268" s="705"/>
      <c r="C268" s="719">
        <v>40805</v>
      </c>
      <c r="D268" s="717">
        <v>8741</v>
      </c>
      <c r="E268" s="720">
        <v>9015.4699999999993</v>
      </c>
      <c r="F268" s="720">
        <v>13809.56</v>
      </c>
      <c r="G268" s="720">
        <v>12034.61</v>
      </c>
      <c r="H268" s="720">
        <v>8852.7199999999993</v>
      </c>
      <c r="I268" s="720">
        <v>7041.7</v>
      </c>
      <c r="J268" s="721">
        <v>113.73</v>
      </c>
      <c r="K268" s="720">
        <v>1121.02</v>
      </c>
      <c r="L268" s="720">
        <v>288.81</v>
      </c>
      <c r="M268" s="720">
        <v>2847.79</v>
      </c>
      <c r="N268" s="720">
        <v>183.99</v>
      </c>
    </row>
    <row r="269" spans="1:14" ht="15">
      <c r="A269" s="705"/>
      <c r="B269" s="705"/>
      <c r="C269" s="719">
        <v>40806</v>
      </c>
      <c r="D269" s="717">
        <v>8741</v>
      </c>
      <c r="E269" s="720">
        <v>9015.4699999999993</v>
      </c>
      <c r="F269" s="720">
        <v>13809.56</v>
      </c>
      <c r="G269" s="720">
        <v>12034.61</v>
      </c>
      <c r="H269" s="720">
        <v>8852.7199999999993</v>
      </c>
      <c r="I269" s="720">
        <v>7041.7</v>
      </c>
      <c r="J269" s="721">
        <v>113.73</v>
      </c>
      <c r="K269" s="720">
        <v>1121.02</v>
      </c>
      <c r="L269" s="720">
        <v>288.81</v>
      </c>
      <c r="M269" s="720">
        <v>2847.79</v>
      </c>
      <c r="N269" s="720">
        <v>183.99</v>
      </c>
    </row>
    <row r="270" spans="1:14" ht="15">
      <c r="A270" s="705"/>
      <c r="B270" s="705"/>
      <c r="C270" s="719">
        <v>40807</v>
      </c>
      <c r="D270" s="717">
        <v>8741</v>
      </c>
      <c r="E270" s="720">
        <v>9015.4699999999993</v>
      </c>
      <c r="F270" s="720">
        <v>13809.56</v>
      </c>
      <c r="G270" s="720">
        <v>12034.61</v>
      </c>
      <c r="H270" s="720">
        <v>8852.7199999999993</v>
      </c>
      <c r="I270" s="720">
        <v>7041.7</v>
      </c>
      <c r="J270" s="721">
        <v>113.73</v>
      </c>
      <c r="K270" s="720">
        <v>1121.02</v>
      </c>
      <c r="L270" s="720">
        <v>288.81</v>
      </c>
      <c r="M270" s="720">
        <v>2847.79</v>
      </c>
      <c r="N270" s="720">
        <v>183.99</v>
      </c>
    </row>
    <row r="271" spans="1:14" ht="15">
      <c r="A271" s="705"/>
      <c r="B271" s="705"/>
      <c r="C271" s="719">
        <v>40808</v>
      </c>
      <c r="D271" s="717">
        <v>8741</v>
      </c>
      <c r="E271" s="720">
        <v>9015.4699999999993</v>
      </c>
      <c r="F271" s="720">
        <v>13809.56</v>
      </c>
      <c r="G271" s="720">
        <v>12034.61</v>
      </c>
      <c r="H271" s="720">
        <v>8852.7199999999993</v>
      </c>
      <c r="I271" s="720">
        <v>7041.7</v>
      </c>
      <c r="J271" s="721">
        <v>113.73</v>
      </c>
      <c r="K271" s="720">
        <v>1121.02</v>
      </c>
      <c r="L271" s="720">
        <v>288.81</v>
      </c>
      <c r="M271" s="720">
        <v>2847.79</v>
      </c>
      <c r="N271" s="720">
        <v>183.99</v>
      </c>
    </row>
    <row r="272" spans="1:14" ht="15">
      <c r="A272" s="705"/>
      <c r="B272" s="705"/>
      <c r="C272" s="719">
        <v>40809</v>
      </c>
      <c r="D272" s="717">
        <v>8741</v>
      </c>
      <c r="E272" s="720">
        <v>9015.4699999999993</v>
      </c>
      <c r="F272" s="720">
        <v>13809.56</v>
      </c>
      <c r="G272" s="720">
        <v>12034.61</v>
      </c>
      <c r="H272" s="720">
        <v>8852.7199999999993</v>
      </c>
      <c r="I272" s="720">
        <v>7041.7</v>
      </c>
      <c r="J272" s="721">
        <v>113.73</v>
      </c>
      <c r="K272" s="720">
        <v>1121.02</v>
      </c>
      <c r="L272" s="720">
        <v>288.81</v>
      </c>
      <c r="M272" s="720">
        <v>2847.79</v>
      </c>
      <c r="N272" s="720">
        <v>183.99</v>
      </c>
    </row>
    <row r="273" spans="1:14" ht="15">
      <c r="A273" s="705"/>
      <c r="B273" s="705"/>
      <c r="C273" s="719">
        <v>40810</v>
      </c>
      <c r="D273" s="717">
        <v>8741</v>
      </c>
      <c r="E273" s="720">
        <v>9015.4699999999993</v>
      </c>
      <c r="F273" s="720">
        <v>13809.56</v>
      </c>
      <c r="G273" s="720">
        <v>12034.61</v>
      </c>
      <c r="H273" s="720">
        <v>8852.7199999999993</v>
      </c>
      <c r="I273" s="720">
        <v>7041.7</v>
      </c>
      <c r="J273" s="721">
        <v>113.73</v>
      </c>
      <c r="K273" s="720">
        <v>1121.02</v>
      </c>
      <c r="L273" s="720">
        <v>288.81</v>
      </c>
      <c r="M273" s="720">
        <v>2847.79</v>
      </c>
      <c r="N273" s="720">
        <v>183.99</v>
      </c>
    </row>
    <row r="274" spans="1:14" ht="15">
      <c r="A274" s="705"/>
      <c r="B274" s="705"/>
      <c r="C274" s="719">
        <v>40811</v>
      </c>
      <c r="D274" s="717">
        <v>8741</v>
      </c>
      <c r="E274" s="720">
        <v>9015.4699999999993</v>
      </c>
      <c r="F274" s="720">
        <v>13809.56</v>
      </c>
      <c r="G274" s="720">
        <v>12034.61</v>
      </c>
      <c r="H274" s="720">
        <v>8852.7199999999993</v>
      </c>
      <c r="I274" s="720">
        <v>7041.7</v>
      </c>
      <c r="J274" s="721">
        <v>113.73</v>
      </c>
      <c r="K274" s="720">
        <v>1121.02</v>
      </c>
      <c r="L274" s="720">
        <v>288.81</v>
      </c>
      <c r="M274" s="720">
        <v>2847.79</v>
      </c>
      <c r="N274" s="720">
        <v>183.99</v>
      </c>
    </row>
    <row r="275" spans="1:14" ht="15">
      <c r="A275" s="705"/>
      <c r="B275" s="705"/>
      <c r="C275" s="719">
        <v>40812</v>
      </c>
      <c r="D275" s="717">
        <v>8973</v>
      </c>
      <c r="E275" s="720">
        <v>9025.6200000000008</v>
      </c>
      <c r="F275" s="720">
        <v>13967.13</v>
      </c>
      <c r="G275" s="720">
        <v>12220.37</v>
      </c>
      <c r="H275" s="720">
        <v>8908.36</v>
      </c>
      <c r="I275" s="720">
        <v>7009.22</v>
      </c>
      <c r="J275" s="721">
        <v>117.42</v>
      </c>
      <c r="K275" s="720">
        <v>1151.04</v>
      </c>
      <c r="L275" s="720">
        <v>293.05</v>
      </c>
      <c r="M275" s="720">
        <v>2860.93</v>
      </c>
      <c r="N275" s="720">
        <v>185.2</v>
      </c>
    </row>
    <row r="276" spans="1:14" ht="15">
      <c r="A276" s="705"/>
      <c r="B276" s="705"/>
      <c r="C276" s="719">
        <v>40813</v>
      </c>
      <c r="D276" s="717">
        <v>8973</v>
      </c>
      <c r="E276" s="720">
        <v>9025.6200000000008</v>
      </c>
      <c r="F276" s="720">
        <v>13967.13</v>
      </c>
      <c r="G276" s="720">
        <v>12220.37</v>
      </c>
      <c r="H276" s="720">
        <v>8908.36</v>
      </c>
      <c r="I276" s="720">
        <v>7009.22</v>
      </c>
      <c r="J276" s="721">
        <v>117.42</v>
      </c>
      <c r="K276" s="720">
        <v>1151.04</v>
      </c>
      <c r="L276" s="720">
        <v>293.05</v>
      </c>
      <c r="M276" s="720">
        <v>2860.93</v>
      </c>
      <c r="N276" s="720">
        <v>185.2</v>
      </c>
    </row>
    <row r="277" spans="1:14" ht="15">
      <c r="A277" s="705"/>
      <c r="B277" s="705"/>
      <c r="C277" s="719">
        <v>40814</v>
      </c>
      <c r="D277" s="717">
        <v>8973</v>
      </c>
      <c r="E277" s="720">
        <v>9025.6200000000008</v>
      </c>
      <c r="F277" s="720">
        <v>13967.13</v>
      </c>
      <c r="G277" s="720">
        <v>12220.37</v>
      </c>
      <c r="H277" s="720">
        <v>8908.36</v>
      </c>
      <c r="I277" s="720">
        <v>7009.22</v>
      </c>
      <c r="J277" s="721">
        <v>117.42</v>
      </c>
      <c r="K277" s="720">
        <v>1151.04</v>
      </c>
      <c r="L277" s="720">
        <v>293.05</v>
      </c>
      <c r="M277" s="720">
        <v>2860.93</v>
      </c>
      <c r="N277" s="720">
        <v>185.2</v>
      </c>
    </row>
    <row r="278" spans="1:14" ht="15">
      <c r="A278" s="705"/>
      <c r="B278" s="705"/>
      <c r="C278" s="719">
        <v>40815</v>
      </c>
      <c r="D278" s="717">
        <v>8973</v>
      </c>
      <c r="E278" s="720">
        <v>9025.6200000000008</v>
      </c>
      <c r="F278" s="720">
        <v>13967.13</v>
      </c>
      <c r="G278" s="720">
        <v>12220.37</v>
      </c>
      <c r="H278" s="720">
        <v>8908.36</v>
      </c>
      <c r="I278" s="720">
        <v>7009.22</v>
      </c>
      <c r="J278" s="721">
        <v>117.42</v>
      </c>
      <c r="K278" s="720">
        <v>1151.04</v>
      </c>
      <c r="L278" s="720">
        <v>293.05</v>
      </c>
      <c r="M278" s="720">
        <v>2860.93</v>
      </c>
      <c r="N278" s="720">
        <v>185.2</v>
      </c>
    </row>
    <row r="279" spans="1:14" ht="15">
      <c r="A279" s="705"/>
      <c r="B279" s="705"/>
      <c r="C279" s="719">
        <v>40816</v>
      </c>
      <c r="D279" s="717">
        <v>8973</v>
      </c>
      <c r="E279" s="720">
        <v>9025.6200000000008</v>
      </c>
      <c r="F279" s="720">
        <v>13967.13</v>
      </c>
      <c r="G279" s="720">
        <v>12220.37</v>
      </c>
      <c r="H279" s="720">
        <v>8908.36</v>
      </c>
      <c r="I279" s="720">
        <v>7009.22</v>
      </c>
      <c r="J279" s="721">
        <v>117.42</v>
      </c>
      <c r="K279" s="720">
        <v>1151.04</v>
      </c>
      <c r="L279" s="720">
        <v>293.05</v>
      </c>
      <c r="M279" s="720">
        <v>2860.93</v>
      </c>
      <c r="N279" s="720">
        <v>185.2</v>
      </c>
    </row>
    <row r="280" spans="1:14" ht="15">
      <c r="A280" s="705"/>
      <c r="B280" s="705"/>
      <c r="C280" s="719">
        <v>40817</v>
      </c>
      <c r="D280" s="717">
        <v>8973</v>
      </c>
      <c r="E280" s="720">
        <v>9025.6200000000008</v>
      </c>
      <c r="F280" s="720">
        <v>13967.13</v>
      </c>
      <c r="G280" s="720">
        <v>12220.37</v>
      </c>
      <c r="H280" s="720">
        <v>8908.36</v>
      </c>
      <c r="I280" s="720">
        <v>7009.22</v>
      </c>
      <c r="J280" s="721">
        <v>117.42</v>
      </c>
      <c r="K280" s="720">
        <v>1151.04</v>
      </c>
      <c r="L280" s="720">
        <v>293.05</v>
      </c>
      <c r="M280" s="720">
        <v>2860.93</v>
      </c>
      <c r="N280" s="720">
        <v>185.2</v>
      </c>
    </row>
    <row r="281" spans="1:14" ht="15">
      <c r="A281" s="705"/>
      <c r="B281" s="705"/>
      <c r="C281" s="719">
        <v>40818</v>
      </c>
      <c r="D281" s="717">
        <v>8973</v>
      </c>
      <c r="E281" s="720">
        <v>9025.6200000000008</v>
      </c>
      <c r="F281" s="720">
        <v>13967.13</v>
      </c>
      <c r="G281" s="720">
        <v>12220.37</v>
      </c>
      <c r="H281" s="720">
        <v>8908.36</v>
      </c>
      <c r="I281" s="720">
        <v>7009.22</v>
      </c>
      <c r="J281" s="721">
        <v>117.42</v>
      </c>
      <c r="K281" s="720">
        <v>1151.04</v>
      </c>
      <c r="L281" s="720">
        <v>293.05</v>
      </c>
      <c r="M281" s="720">
        <v>2860.93</v>
      </c>
      <c r="N281" s="720">
        <v>185.2</v>
      </c>
    </row>
    <row r="282" spans="1:14" ht="15">
      <c r="A282" s="705"/>
      <c r="B282" s="705"/>
      <c r="C282" s="719">
        <v>40819</v>
      </c>
      <c r="D282" s="717">
        <v>8979</v>
      </c>
      <c r="E282" s="720">
        <v>8829.66</v>
      </c>
      <c r="F282" s="720">
        <v>14007.64</v>
      </c>
      <c r="G282" s="720">
        <v>12182.81</v>
      </c>
      <c r="H282" s="720">
        <v>8740.7199999999993</v>
      </c>
      <c r="I282" s="720">
        <v>6950.05</v>
      </c>
      <c r="J282" s="721">
        <v>117.24</v>
      </c>
      <c r="K282" s="720">
        <v>1151.69</v>
      </c>
      <c r="L282" s="720">
        <v>289.01</v>
      </c>
      <c r="M282" s="720">
        <v>2832.48</v>
      </c>
      <c r="N282" s="720">
        <v>183.04</v>
      </c>
    </row>
    <row r="283" spans="1:14" ht="15">
      <c r="A283" s="705"/>
      <c r="B283" s="705"/>
      <c r="C283" s="719">
        <v>40820</v>
      </c>
      <c r="D283" s="717">
        <v>8979</v>
      </c>
      <c r="E283" s="720">
        <v>8829.66</v>
      </c>
      <c r="F283" s="720">
        <v>14007.64</v>
      </c>
      <c r="G283" s="720">
        <v>12182.81</v>
      </c>
      <c r="H283" s="720">
        <v>8740.7199999999993</v>
      </c>
      <c r="I283" s="720">
        <v>6950.05</v>
      </c>
      <c r="J283" s="721">
        <v>117.24</v>
      </c>
      <c r="K283" s="720">
        <v>1151.69</v>
      </c>
      <c r="L283" s="720">
        <v>289.01</v>
      </c>
      <c r="M283" s="720">
        <v>2832.48</v>
      </c>
      <c r="N283" s="720">
        <v>183.04</v>
      </c>
    </row>
    <row r="284" spans="1:14" ht="15">
      <c r="A284" s="705"/>
      <c r="B284" s="705"/>
      <c r="C284" s="719">
        <v>40821</v>
      </c>
      <c r="D284" s="717">
        <v>8979</v>
      </c>
      <c r="E284" s="720">
        <v>8829.66</v>
      </c>
      <c r="F284" s="720">
        <v>14007.64</v>
      </c>
      <c r="G284" s="720">
        <v>12182.81</v>
      </c>
      <c r="H284" s="720">
        <v>8740.7199999999993</v>
      </c>
      <c r="I284" s="720">
        <v>6950.05</v>
      </c>
      <c r="J284" s="721">
        <v>117.24</v>
      </c>
      <c r="K284" s="720">
        <v>1151.69</v>
      </c>
      <c r="L284" s="720">
        <v>289.01</v>
      </c>
      <c r="M284" s="720">
        <v>2832.48</v>
      </c>
      <c r="N284" s="720">
        <v>183.04</v>
      </c>
    </row>
    <row r="285" spans="1:14" ht="15">
      <c r="A285" s="705"/>
      <c r="B285" s="705"/>
      <c r="C285" s="719">
        <v>40822</v>
      </c>
      <c r="D285" s="717">
        <v>8979</v>
      </c>
      <c r="E285" s="720">
        <v>8829.66</v>
      </c>
      <c r="F285" s="720">
        <v>14007.64</v>
      </c>
      <c r="G285" s="720">
        <v>12182.81</v>
      </c>
      <c r="H285" s="720">
        <v>8740.7199999999993</v>
      </c>
      <c r="I285" s="720">
        <v>6950.05</v>
      </c>
      <c r="J285" s="721">
        <v>117.24</v>
      </c>
      <c r="K285" s="720">
        <v>1151.69</v>
      </c>
      <c r="L285" s="720">
        <v>289.01</v>
      </c>
      <c r="M285" s="720">
        <v>2832.48</v>
      </c>
      <c r="N285" s="720">
        <v>183.04</v>
      </c>
    </row>
    <row r="286" spans="1:14" ht="15">
      <c r="A286" s="705"/>
      <c r="B286" s="705"/>
      <c r="C286" s="719">
        <v>40823</v>
      </c>
      <c r="D286" s="717">
        <v>8979</v>
      </c>
      <c r="E286" s="720">
        <v>8829.66</v>
      </c>
      <c r="F286" s="720">
        <v>14007.64</v>
      </c>
      <c r="G286" s="720">
        <v>12182.81</v>
      </c>
      <c r="H286" s="720">
        <v>8740.7199999999993</v>
      </c>
      <c r="I286" s="720">
        <v>6950.05</v>
      </c>
      <c r="J286" s="721">
        <v>117.24</v>
      </c>
      <c r="K286" s="720">
        <v>1151.69</v>
      </c>
      <c r="L286" s="720">
        <v>289.01</v>
      </c>
      <c r="M286" s="720">
        <v>2832.48</v>
      </c>
      <c r="N286" s="720">
        <v>183.04</v>
      </c>
    </row>
    <row r="287" spans="1:14" ht="15">
      <c r="A287" s="705"/>
      <c r="B287" s="705"/>
      <c r="C287" s="719">
        <v>40824</v>
      </c>
      <c r="D287" s="717">
        <v>8979</v>
      </c>
      <c r="E287" s="720">
        <v>8829.66</v>
      </c>
      <c r="F287" s="720">
        <v>14007.64</v>
      </c>
      <c r="G287" s="720">
        <v>12182.81</v>
      </c>
      <c r="H287" s="720">
        <v>8740.7199999999993</v>
      </c>
      <c r="I287" s="720">
        <v>6950.05</v>
      </c>
      <c r="J287" s="721">
        <v>117.24</v>
      </c>
      <c r="K287" s="720">
        <v>1151.69</v>
      </c>
      <c r="L287" s="720">
        <v>289.01</v>
      </c>
      <c r="M287" s="720">
        <v>2832.48</v>
      </c>
      <c r="N287" s="720">
        <v>183.04</v>
      </c>
    </row>
    <row r="288" spans="1:14" ht="15">
      <c r="A288" s="705"/>
      <c r="B288" s="705"/>
      <c r="C288" s="719">
        <v>40825</v>
      </c>
      <c r="D288" s="717">
        <v>8979</v>
      </c>
      <c r="E288" s="720">
        <v>8829.66</v>
      </c>
      <c r="F288" s="720">
        <v>14007.64</v>
      </c>
      <c r="G288" s="720">
        <v>12182.81</v>
      </c>
      <c r="H288" s="720">
        <v>8740.7199999999993</v>
      </c>
      <c r="I288" s="720">
        <v>6950.05</v>
      </c>
      <c r="J288" s="721">
        <v>117.24</v>
      </c>
      <c r="K288" s="720">
        <v>1151.69</v>
      </c>
      <c r="L288" s="720">
        <v>289.01</v>
      </c>
      <c r="M288" s="720">
        <v>2832.48</v>
      </c>
      <c r="N288" s="720">
        <v>183.04</v>
      </c>
    </row>
    <row r="289" spans="1:14" ht="15">
      <c r="A289" s="705"/>
      <c r="B289" s="705"/>
      <c r="C289" s="719">
        <v>40826</v>
      </c>
      <c r="D289" s="717">
        <v>8943</v>
      </c>
      <c r="E289" s="720">
        <v>8628.56</v>
      </c>
      <c r="F289" s="720">
        <v>13818.01</v>
      </c>
      <c r="G289" s="720">
        <v>11933.36</v>
      </c>
      <c r="H289" s="720">
        <v>8562.16</v>
      </c>
      <c r="I289" s="720">
        <v>6848.88</v>
      </c>
      <c r="J289" s="721">
        <v>116.55</v>
      </c>
      <c r="K289" s="720">
        <v>1148.8</v>
      </c>
      <c r="L289" s="720">
        <v>287.45</v>
      </c>
      <c r="M289" s="720">
        <v>2803.75</v>
      </c>
      <c r="N289" s="720">
        <v>181.39</v>
      </c>
    </row>
    <row r="290" spans="1:14" ht="15">
      <c r="A290" s="705"/>
      <c r="B290" s="705"/>
      <c r="C290" s="719">
        <v>40827</v>
      </c>
      <c r="D290" s="717">
        <v>8943</v>
      </c>
      <c r="E290" s="720">
        <v>8628.56</v>
      </c>
      <c r="F290" s="720">
        <v>13818.01</v>
      </c>
      <c r="G290" s="720">
        <v>11933.36</v>
      </c>
      <c r="H290" s="720">
        <v>8562.16</v>
      </c>
      <c r="I290" s="720">
        <v>6848.88</v>
      </c>
      <c r="J290" s="721">
        <v>116.55</v>
      </c>
      <c r="K290" s="720">
        <v>1148.8</v>
      </c>
      <c r="L290" s="720">
        <v>287.45</v>
      </c>
      <c r="M290" s="720">
        <v>2803.75</v>
      </c>
      <c r="N290" s="720">
        <v>181.39</v>
      </c>
    </row>
    <row r="291" spans="1:14" ht="15">
      <c r="A291" s="705"/>
      <c r="B291" s="705"/>
      <c r="C291" s="719">
        <v>40828</v>
      </c>
      <c r="D291" s="717">
        <v>8943</v>
      </c>
      <c r="E291" s="720">
        <v>8628.56</v>
      </c>
      <c r="F291" s="720">
        <v>13818.01</v>
      </c>
      <c r="G291" s="720">
        <v>11933.36</v>
      </c>
      <c r="H291" s="720">
        <v>8562.16</v>
      </c>
      <c r="I291" s="720">
        <v>6848.88</v>
      </c>
      <c r="J291" s="721">
        <v>116.55</v>
      </c>
      <c r="K291" s="720">
        <v>1148.8</v>
      </c>
      <c r="L291" s="720">
        <v>287.45</v>
      </c>
      <c r="M291" s="720">
        <v>2803.75</v>
      </c>
      <c r="N291" s="720">
        <v>181.39</v>
      </c>
    </row>
    <row r="292" spans="1:14" ht="15">
      <c r="A292" s="705"/>
      <c r="B292" s="705"/>
      <c r="C292" s="719">
        <v>40829</v>
      </c>
      <c r="D292" s="717">
        <v>8943</v>
      </c>
      <c r="E292" s="720">
        <v>8628.56</v>
      </c>
      <c r="F292" s="720">
        <v>13818.01</v>
      </c>
      <c r="G292" s="720">
        <v>11933.36</v>
      </c>
      <c r="H292" s="720">
        <v>8562.16</v>
      </c>
      <c r="I292" s="720">
        <v>6848.88</v>
      </c>
      <c r="J292" s="721">
        <v>116.55</v>
      </c>
      <c r="K292" s="720">
        <v>1148.8</v>
      </c>
      <c r="L292" s="720">
        <v>287.45</v>
      </c>
      <c r="M292" s="720">
        <v>2803.75</v>
      </c>
      <c r="N292" s="720">
        <v>181.39</v>
      </c>
    </row>
    <row r="293" spans="1:14" ht="15">
      <c r="A293" s="705"/>
      <c r="B293" s="705"/>
      <c r="C293" s="719">
        <v>40830</v>
      </c>
      <c r="D293" s="717">
        <v>8943</v>
      </c>
      <c r="E293" s="720">
        <v>8628.56</v>
      </c>
      <c r="F293" s="720">
        <v>13818.01</v>
      </c>
      <c r="G293" s="720">
        <v>11933.36</v>
      </c>
      <c r="H293" s="720">
        <v>8562.16</v>
      </c>
      <c r="I293" s="720">
        <v>6848.88</v>
      </c>
      <c r="J293" s="721">
        <v>116.55</v>
      </c>
      <c r="K293" s="720">
        <v>1148.8</v>
      </c>
      <c r="L293" s="720">
        <v>287.45</v>
      </c>
      <c r="M293" s="720">
        <v>2803.75</v>
      </c>
      <c r="N293" s="720">
        <v>181.39</v>
      </c>
    </row>
    <row r="294" spans="1:14" ht="15">
      <c r="A294" s="705"/>
      <c r="B294" s="705"/>
      <c r="C294" s="719">
        <v>40831</v>
      </c>
      <c r="D294" s="717">
        <v>8943</v>
      </c>
      <c r="E294" s="720">
        <v>8628.56</v>
      </c>
      <c r="F294" s="720">
        <v>13818.01</v>
      </c>
      <c r="G294" s="720">
        <v>11933.36</v>
      </c>
      <c r="H294" s="720">
        <v>8562.16</v>
      </c>
      <c r="I294" s="720">
        <v>6848.88</v>
      </c>
      <c r="J294" s="721">
        <v>116.55</v>
      </c>
      <c r="K294" s="720">
        <v>1148.8</v>
      </c>
      <c r="L294" s="720">
        <v>287.45</v>
      </c>
      <c r="M294" s="720">
        <v>2803.75</v>
      </c>
      <c r="N294" s="720">
        <v>181.39</v>
      </c>
    </row>
    <row r="295" spans="1:14" ht="15">
      <c r="A295" s="705"/>
      <c r="B295" s="705"/>
      <c r="C295" s="719">
        <v>40832</v>
      </c>
      <c r="D295" s="717">
        <v>8943</v>
      </c>
      <c r="E295" s="720">
        <v>8628.56</v>
      </c>
      <c r="F295" s="720">
        <v>13818.01</v>
      </c>
      <c r="G295" s="720">
        <v>11933.36</v>
      </c>
      <c r="H295" s="720">
        <v>8562.16</v>
      </c>
      <c r="I295" s="720">
        <v>6848.88</v>
      </c>
      <c r="J295" s="721">
        <v>116.55</v>
      </c>
      <c r="K295" s="720">
        <v>1148.8</v>
      </c>
      <c r="L295" s="720">
        <v>287.45</v>
      </c>
      <c r="M295" s="720">
        <v>2803.75</v>
      </c>
      <c r="N295" s="720">
        <v>181.39</v>
      </c>
    </row>
    <row r="296" spans="1:14" ht="15">
      <c r="A296" s="705"/>
      <c r="B296" s="705"/>
      <c r="C296" s="719">
        <v>40833</v>
      </c>
      <c r="D296" s="717">
        <v>8913</v>
      </c>
      <c r="E296" s="720">
        <v>8978.6</v>
      </c>
      <c r="F296" s="720">
        <v>14000.72</v>
      </c>
      <c r="G296" s="720">
        <v>12206.53</v>
      </c>
      <c r="H296" s="720">
        <v>8708.01</v>
      </c>
      <c r="I296" s="720">
        <v>6971.45</v>
      </c>
      <c r="J296" s="721">
        <v>116.08</v>
      </c>
      <c r="K296" s="720">
        <v>1145.55</v>
      </c>
      <c r="L296" s="720">
        <v>288.73</v>
      </c>
      <c r="M296" s="720">
        <v>2843.46</v>
      </c>
      <c r="N296" s="720">
        <v>181.55</v>
      </c>
    </row>
    <row r="297" spans="1:14" ht="15">
      <c r="A297" s="705"/>
      <c r="B297" s="705"/>
      <c r="C297" s="719">
        <v>40834</v>
      </c>
      <c r="D297" s="717">
        <v>8913</v>
      </c>
      <c r="E297" s="720">
        <v>8978.6</v>
      </c>
      <c r="F297" s="720">
        <v>14000.72</v>
      </c>
      <c r="G297" s="720">
        <v>12206.53</v>
      </c>
      <c r="H297" s="720">
        <v>8708.01</v>
      </c>
      <c r="I297" s="720">
        <v>6971.45</v>
      </c>
      <c r="J297" s="721">
        <v>116.08</v>
      </c>
      <c r="K297" s="720">
        <v>1145.55</v>
      </c>
      <c r="L297" s="720">
        <v>288.73</v>
      </c>
      <c r="M297" s="720">
        <v>2843.46</v>
      </c>
      <c r="N297" s="720">
        <v>181.55</v>
      </c>
    </row>
    <row r="298" spans="1:14" ht="15">
      <c r="A298" s="705"/>
      <c r="B298" s="705"/>
      <c r="C298" s="719">
        <v>40835</v>
      </c>
      <c r="D298" s="717">
        <v>8913</v>
      </c>
      <c r="E298" s="720">
        <v>8978.6</v>
      </c>
      <c r="F298" s="720">
        <v>14000.72</v>
      </c>
      <c r="G298" s="720">
        <v>12206.53</v>
      </c>
      <c r="H298" s="720">
        <v>8708.01</v>
      </c>
      <c r="I298" s="720">
        <v>6971.45</v>
      </c>
      <c r="J298" s="721">
        <v>116.08</v>
      </c>
      <c r="K298" s="720">
        <v>1145.55</v>
      </c>
      <c r="L298" s="720">
        <v>288.73</v>
      </c>
      <c r="M298" s="720">
        <v>2843.46</v>
      </c>
      <c r="N298" s="720">
        <v>181.55</v>
      </c>
    </row>
    <row r="299" spans="1:14" ht="15">
      <c r="A299" s="705"/>
      <c r="B299" s="705"/>
      <c r="C299" s="719">
        <v>40836</v>
      </c>
      <c r="D299" s="717">
        <v>8913</v>
      </c>
      <c r="E299" s="720">
        <v>8978.6</v>
      </c>
      <c r="F299" s="720">
        <v>14000.72</v>
      </c>
      <c r="G299" s="720">
        <v>12206.53</v>
      </c>
      <c r="H299" s="720">
        <v>8708.01</v>
      </c>
      <c r="I299" s="720">
        <v>6971.45</v>
      </c>
      <c r="J299" s="721">
        <v>116.08</v>
      </c>
      <c r="K299" s="720">
        <v>1145.55</v>
      </c>
      <c r="L299" s="720">
        <v>288.73</v>
      </c>
      <c r="M299" s="720">
        <v>2843.46</v>
      </c>
      <c r="N299" s="720">
        <v>181.55</v>
      </c>
    </row>
    <row r="300" spans="1:14" ht="15">
      <c r="A300" s="705"/>
      <c r="B300" s="705"/>
      <c r="C300" s="719">
        <v>40837</v>
      </c>
      <c r="D300" s="717">
        <v>8913</v>
      </c>
      <c r="E300" s="720">
        <v>8978.6</v>
      </c>
      <c r="F300" s="720">
        <v>14000.72</v>
      </c>
      <c r="G300" s="720">
        <v>12206.53</v>
      </c>
      <c r="H300" s="720">
        <v>8708.01</v>
      </c>
      <c r="I300" s="720">
        <v>6971.45</v>
      </c>
      <c r="J300" s="721">
        <v>116.08</v>
      </c>
      <c r="K300" s="720">
        <v>1145.55</v>
      </c>
      <c r="L300" s="720">
        <v>288.73</v>
      </c>
      <c r="M300" s="720">
        <v>2843.46</v>
      </c>
      <c r="N300" s="720">
        <v>181.55</v>
      </c>
    </row>
    <row r="301" spans="1:14" ht="15">
      <c r="A301" s="705"/>
      <c r="B301" s="705"/>
      <c r="C301" s="719">
        <v>40838</v>
      </c>
      <c r="D301" s="717">
        <v>8913</v>
      </c>
      <c r="E301" s="720">
        <v>8978.6</v>
      </c>
      <c r="F301" s="720">
        <v>14000.72</v>
      </c>
      <c r="G301" s="720">
        <v>12206.53</v>
      </c>
      <c r="H301" s="720">
        <v>8708.01</v>
      </c>
      <c r="I301" s="720">
        <v>6971.45</v>
      </c>
      <c r="J301" s="721">
        <v>116.08</v>
      </c>
      <c r="K301" s="720">
        <v>1145.55</v>
      </c>
      <c r="L301" s="720">
        <v>288.73</v>
      </c>
      <c r="M301" s="720">
        <v>2843.46</v>
      </c>
      <c r="N301" s="720">
        <v>181.55</v>
      </c>
    </row>
    <row r="302" spans="1:14" ht="15">
      <c r="A302" s="705"/>
      <c r="B302" s="705"/>
      <c r="C302" s="719">
        <v>40839</v>
      </c>
      <c r="D302" s="717">
        <v>8913</v>
      </c>
      <c r="E302" s="720">
        <v>8978.6</v>
      </c>
      <c r="F302" s="720">
        <v>14000.72</v>
      </c>
      <c r="G302" s="720">
        <v>12206.53</v>
      </c>
      <c r="H302" s="720">
        <v>8708.01</v>
      </c>
      <c r="I302" s="720">
        <v>6971.45</v>
      </c>
      <c r="J302" s="721">
        <v>116.08</v>
      </c>
      <c r="K302" s="720">
        <v>1145.55</v>
      </c>
      <c r="L302" s="720">
        <v>288.73</v>
      </c>
      <c r="M302" s="720">
        <v>2843.46</v>
      </c>
      <c r="N302" s="720">
        <v>181.55</v>
      </c>
    </row>
    <row r="303" spans="1:14" ht="15">
      <c r="A303" s="705"/>
      <c r="B303" s="705"/>
      <c r="C303" s="719">
        <v>40840</v>
      </c>
      <c r="D303" s="717">
        <v>8851</v>
      </c>
      <c r="E303" s="720">
        <v>9049.7099999999991</v>
      </c>
      <c r="F303" s="720">
        <v>13952.85</v>
      </c>
      <c r="G303" s="720">
        <v>12180.93</v>
      </c>
      <c r="H303" s="720">
        <v>8696.65</v>
      </c>
      <c r="I303" s="720">
        <v>6962.08</v>
      </c>
      <c r="J303" s="721">
        <v>115.23</v>
      </c>
      <c r="K303" s="720">
        <v>1137.94</v>
      </c>
      <c r="L303" s="720">
        <v>286.91000000000003</v>
      </c>
      <c r="M303" s="720">
        <v>2833.45</v>
      </c>
      <c r="N303" s="720">
        <v>179.53</v>
      </c>
    </row>
    <row r="304" spans="1:14" ht="15">
      <c r="A304" s="705"/>
      <c r="B304" s="705"/>
      <c r="C304" s="719">
        <v>40841</v>
      </c>
      <c r="D304" s="717">
        <v>8851</v>
      </c>
      <c r="E304" s="720">
        <v>9049.7099999999991</v>
      </c>
      <c r="F304" s="720">
        <v>13952.85</v>
      </c>
      <c r="G304" s="720">
        <v>12180.93</v>
      </c>
      <c r="H304" s="720">
        <v>8696.65</v>
      </c>
      <c r="I304" s="720">
        <v>6962.08</v>
      </c>
      <c r="J304" s="721">
        <v>115.23</v>
      </c>
      <c r="K304" s="720">
        <v>1137.94</v>
      </c>
      <c r="L304" s="720">
        <v>286.91000000000003</v>
      </c>
      <c r="M304" s="720">
        <v>2833.45</v>
      </c>
      <c r="N304" s="720">
        <v>179.53</v>
      </c>
    </row>
    <row r="305" spans="1:14" ht="15">
      <c r="A305" s="705"/>
      <c r="B305" s="705"/>
      <c r="C305" s="719">
        <v>40842</v>
      </c>
      <c r="D305" s="717">
        <v>8851</v>
      </c>
      <c r="E305" s="720">
        <v>9049.7099999999991</v>
      </c>
      <c r="F305" s="720">
        <v>13952.85</v>
      </c>
      <c r="G305" s="720">
        <v>12180.93</v>
      </c>
      <c r="H305" s="720">
        <v>8696.65</v>
      </c>
      <c r="I305" s="720">
        <v>6962.08</v>
      </c>
      <c r="J305" s="721">
        <v>115.23</v>
      </c>
      <c r="K305" s="720">
        <v>1137.94</v>
      </c>
      <c r="L305" s="720">
        <v>286.91000000000003</v>
      </c>
      <c r="M305" s="720">
        <v>2833.45</v>
      </c>
      <c r="N305" s="720">
        <v>179.53</v>
      </c>
    </row>
    <row r="306" spans="1:14" ht="15">
      <c r="A306" s="705"/>
      <c r="B306" s="705"/>
      <c r="C306" s="719">
        <v>40843</v>
      </c>
      <c r="D306" s="717">
        <v>8851</v>
      </c>
      <c r="E306" s="720">
        <v>9049.7099999999991</v>
      </c>
      <c r="F306" s="720">
        <v>13952.85</v>
      </c>
      <c r="G306" s="720">
        <v>12180.93</v>
      </c>
      <c r="H306" s="720">
        <v>8696.65</v>
      </c>
      <c r="I306" s="720">
        <v>6962.08</v>
      </c>
      <c r="J306" s="721">
        <v>115.23</v>
      </c>
      <c r="K306" s="720">
        <v>1137.94</v>
      </c>
      <c r="L306" s="720">
        <v>286.91000000000003</v>
      </c>
      <c r="M306" s="720">
        <v>2833.45</v>
      </c>
      <c r="N306" s="720">
        <v>179.53</v>
      </c>
    </row>
    <row r="307" spans="1:14" ht="15">
      <c r="A307" s="705"/>
      <c r="B307" s="705"/>
      <c r="C307" s="719">
        <v>40844</v>
      </c>
      <c r="D307" s="717">
        <v>8851</v>
      </c>
      <c r="E307" s="720">
        <v>9049.7099999999991</v>
      </c>
      <c r="F307" s="720">
        <v>13952.85</v>
      </c>
      <c r="G307" s="720">
        <v>12180.93</v>
      </c>
      <c r="H307" s="720">
        <v>8696.65</v>
      </c>
      <c r="I307" s="720">
        <v>6962.08</v>
      </c>
      <c r="J307" s="721">
        <v>115.23</v>
      </c>
      <c r="K307" s="720">
        <v>1137.94</v>
      </c>
      <c r="L307" s="720">
        <v>286.91000000000003</v>
      </c>
      <c r="M307" s="720">
        <v>2833.45</v>
      </c>
      <c r="N307" s="720">
        <v>179.53</v>
      </c>
    </row>
    <row r="308" spans="1:14" ht="15">
      <c r="A308" s="705"/>
      <c r="B308" s="705"/>
      <c r="C308" s="719">
        <v>40845</v>
      </c>
      <c r="D308" s="717">
        <v>8851</v>
      </c>
      <c r="E308" s="720">
        <v>9049.7099999999991</v>
      </c>
      <c r="F308" s="720">
        <v>13952.85</v>
      </c>
      <c r="G308" s="720">
        <v>12180.93</v>
      </c>
      <c r="H308" s="720">
        <v>8696.65</v>
      </c>
      <c r="I308" s="720">
        <v>6962.08</v>
      </c>
      <c r="J308" s="721">
        <v>115.23</v>
      </c>
      <c r="K308" s="720">
        <v>1137.94</v>
      </c>
      <c r="L308" s="720">
        <v>286.91000000000003</v>
      </c>
      <c r="M308" s="720">
        <v>2833.45</v>
      </c>
      <c r="N308" s="720">
        <v>179.53</v>
      </c>
    </row>
    <row r="309" spans="1:14" ht="15">
      <c r="A309" s="705"/>
      <c r="B309" s="705"/>
      <c r="C309" s="719">
        <v>40846</v>
      </c>
      <c r="D309" s="717">
        <v>8851</v>
      </c>
      <c r="E309" s="720">
        <v>9049.7099999999991</v>
      </c>
      <c r="F309" s="720">
        <v>13952.85</v>
      </c>
      <c r="G309" s="720">
        <v>12180.93</v>
      </c>
      <c r="H309" s="720">
        <v>8696.65</v>
      </c>
      <c r="I309" s="720">
        <v>6962.08</v>
      </c>
      <c r="J309" s="721">
        <v>115.23</v>
      </c>
      <c r="K309" s="720">
        <v>1137.94</v>
      </c>
      <c r="L309" s="720">
        <v>286.91000000000003</v>
      </c>
      <c r="M309" s="720">
        <v>2833.45</v>
      </c>
      <c r="N309" s="720">
        <v>179.53</v>
      </c>
    </row>
    <row r="310" spans="1:14" ht="15">
      <c r="A310" s="705"/>
      <c r="B310" s="705"/>
      <c r="C310" s="719">
        <v>40847</v>
      </c>
      <c r="D310" s="717">
        <v>8848</v>
      </c>
      <c r="E310" s="720">
        <v>9331</v>
      </c>
      <c r="F310" s="720">
        <v>14185.21</v>
      </c>
      <c r="G310" s="720">
        <v>12406.36</v>
      </c>
      <c r="H310" s="720">
        <v>8833.44</v>
      </c>
      <c r="I310" s="720">
        <v>7043.21</v>
      </c>
      <c r="J310" s="721">
        <v>116.35</v>
      </c>
      <c r="K310" s="720">
        <v>1138.3399999999999</v>
      </c>
      <c r="L310" s="720">
        <v>288.43</v>
      </c>
      <c r="M310" s="720">
        <v>2837.54</v>
      </c>
      <c r="N310" s="720">
        <v>178.13</v>
      </c>
    </row>
    <row r="311" spans="1:14" ht="15">
      <c r="A311" s="705"/>
      <c r="B311" s="705"/>
      <c r="C311" s="719">
        <v>40848</v>
      </c>
      <c r="D311" s="717">
        <v>8848</v>
      </c>
      <c r="E311" s="720">
        <v>9331</v>
      </c>
      <c r="F311" s="720">
        <v>14185.21</v>
      </c>
      <c r="G311" s="720">
        <v>12406.36</v>
      </c>
      <c r="H311" s="720">
        <v>8833.44</v>
      </c>
      <c r="I311" s="720">
        <v>7043.21</v>
      </c>
      <c r="J311" s="721">
        <v>116.35</v>
      </c>
      <c r="K311" s="720">
        <v>1138.3399999999999</v>
      </c>
      <c r="L311" s="720">
        <v>288.43</v>
      </c>
      <c r="M311" s="720">
        <v>2837.54</v>
      </c>
      <c r="N311" s="720">
        <v>178.13</v>
      </c>
    </row>
    <row r="312" spans="1:14" ht="15">
      <c r="A312" s="705"/>
      <c r="B312" s="705"/>
      <c r="C312" s="719">
        <v>40849</v>
      </c>
      <c r="D312" s="717">
        <v>8848</v>
      </c>
      <c r="E312" s="720">
        <v>9331</v>
      </c>
      <c r="F312" s="720">
        <v>14185.21</v>
      </c>
      <c r="G312" s="720">
        <v>12406.36</v>
      </c>
      <c r="H312" s="720">
        <v>8833.44</v>
      </c>
      <c r="I312" s="720">
        <v>7043.21</v>
      </c>
      <c r="J312" s="721">
        <v>116.35</v>
      </c>
      <c r="K312" s="720">
        <v>1138.3399999999999</v>
      </c>
      <c r="L312" s="720">
        <v>288.43</v>
      </c>
      <c r="M312" s="720">
        <v>2837.54</v>
      </c>
      <c r="N312" s="720">
        <v>178.13</v>
      </c>
    </row>
    <row r="313" spans="1:14" ht="15">
      <c r="A313" s="705"/>
      <c r="B313" s="705"/>
      <c r="C313" s="719">
        <v>40850</v>
      </c>
      <c r="D313" s="717">
        <v>8848</v>
      </c>
      <c r="E313" s="720">
        <v>9331</v>
      </c>
      <c r="F313" s="720">
        <v>14185.21</v>
      </c>
      <c r="G313" s="720">
        <v>12406.36</v>
      </c>
      <c r="H313" s="720">
        <v>8833.44</v>
      </c>
      <c r="I313" s="720">
        <v>7043.21</v>
      </c>
      <c r="J313" s="721">
        <v>116.35</v>
      </c>
      <c r="K313" s="720">
        <v>1138.3399999999999</v>
      </c>
      <c r="L313" s="720">
        <v>288.43</v>
      </c>
      <c r="M313" s="720">
        <v>2837.54</v>
      </c>
      <c r="N313" s="720">
        <v>178.13</v>
      </c>
    </row>
    <row r="314" spans="1:14" ht="15">
      <c r="A314" s="705"/>
      <c r="B314" s="705"/>
      <c r="C314" s="719">
        <v>40851</v>
      </c>
      <c r="D314" s="717">
        <v>8848</v>
      </c>
      <c r="E314" s="720">
        <v>9331</v>
      </c>
      <c r="F314" s="720">
        <v>14185.21</v>
      </c>
      <c r="G314" s="720">
        <v>12406.36</v>
      </c>
      <c r="H314" s="720">
        <v>8833.44</v>
      </c>
      <c r="I314" s="720">
        <v>7043.21</v>
      </c>
      <c r="J314" s="721">
        <v>116.35</v>
      </c>
      <c r="K314" s="720">
        <v>1138.3399999999999</v>
      </c>
      <c r="L314" s="720">
        <v>288.43</v>
      </c>
      <c r="M314" s="720">
        <v>2837.54</v>
      </c>
      <c r="N314" s="720">
        <v>178.13</v>
      </c>
    </row>
    <row r="315" spans="1:14" ht="15">
      <c r="A315" s="705"/>
      <c r="B315" s="705"/>
      <c r="C315" s="719">
        <v>40852</v>
      </c>
      <c r="D315" s="717">
        <v>8848</v>
      </c>
      <c r="E315" s="720">
        <v>9331</v>
      </c>
      <c r="F315" s="720">
        <v>14185.21</v>
      </c>
      <c r="G315" s="720">
        <v>12406.36</v>
      </c>
      <c r="H315" s="720">
        <v>8833.44</v>
      </c>
      <c r="I315" s="720">
        <v>7043.21</v>
      </c>
      <c r="J315" s="721">
        <v>116.35</v>
      </c>
      <c r="K315" s="720">
        <v>1138.3399999999999</v>
      </c>
      <c r="L315" s="720">
        <v>288.43</v>
      </c>
      <c r="M315" s="720">
        <v>2837.54</v>
      </c>
      <c r="N315" s="720">
        <v>178.13</v>
      </c>
    </row>
    <row r="316" spans="1:14" ht="15">
      <c r="A316" s="705"/>
      <c r="B316" s="705"/>
      <c r="C316" s="719">
        <v>40853</v>
      </c>
      <c r="D316" s="717">
        <v>8848</v>
      </c>
      <c r="E316" s="720">
        <v>9331</v>
      </c>
      <c r="F316" s="720">
        <v>14185.21</v>
      </c>
      <c r="G316" s="720">
        <v>12406.36</v>
      </c>
      <c r="H316" s="720">
        <v>8833.44</v>
      </c>
      <c r="I316" s="720">
        <v>7043.21</v>
      </c>
      <c r="J316" s="721">
        <v>116.35</v>
      </c>
      <c r="K316" s="720">
        <v>1138.3399999999999</v>
      </c>
      <c r="L316" s="720">
        <v>288.43</v>
      </c>
      <c r="M316" s="720">
        <v>2837.54</v>
      </c>
      <c r="N316" s="720">
        <v>178.13</v>
      </c>
    </row>
    <row r="317" spans="1:14" ht="15">
      <c r="A317" s="705"/>
      <c r="B317" s="705"/>
      <c r="C317" s="719">
        <v>40854</v>
      </c>
      <c r="D317" s="717">
        <v>8940</v>
      </c>
      <c r="E317" s="720">
        <v>9301.5300000000007</v>
      </c>
      <c r="F317" s="720">
        <v>14311.33</v>
      </c>
      <c r="G317" s="720">
        <v>12326.83</v>
      </c>
      <c r="H317" s="720">
        <v>8847.81</v>
      </c>
      <c r="I317" s="720">
        <v>7057.93</v>
      </c>
      <c r="J317" s="721">
        <v>114.42</v>
      </c>
      <c r="K317" s="720">
        <v>1150.78</v>
      </c>
      <c r="L317" s="720">
        <v>290.81</v>
      </c>
      <c r="M317" s="720">
        <v>2867.83</v>
      </c>
      <c r="N317" s="720">
        <v>182.18</v>
      </c>
    </row>
    <row r="318" spans="1:14" ht="15">
      <c r="A318" s="705"/>
      <c r="B318" s="705"/>
      <c r="C318" s="719">
        <v>40855</v>
      </c>
      <c r="D318" s="717">
        <v>8940</v>
      </c>
      <c r="E318" s="720">
        <v>9301.5300000000007</v>
      </c>
      <c r="F318" s="720">
        <v>14311.33</v>
      </c>
      <c r="G318" s="720">
        <v>12326.83</v>
      </c>
      <c r="H318" s="720">
        <v>8847.81</v>
      </c>
      <c r="I318" s="720">
        <v>7057.93</v>
      </c>
      <c r="J318" s="721">
        <v>114.42</v>
      </c>
      <c r="K318" s="720">
        <v>1150.78</v>
      </c>
      <c r="L318" s="720">
        <v>290.81</v>
      </c>
      <c r="M318" s="720">
        <v>2867.83</v>
      </c>
      <c r="N318" s="720">
        <v>182.18</v>
      </c>
    </row>
    <row r="319" spans="1:14" ht="15">
      <c r="A319" s="705"/>
      <c r="B319" s="705"/>
      <c r="C319" s="719">
        <v>40856</v>
      </c>
      <c r="D319" s="717">
        <v>8940</v>
      </c>
      <c r="E319" s="720">
        <v>9301.5300000000007</v>
      </c>
      <c r="F319" s="720">
        <v>14311.33</v>
      </c>
      <c r="G319" s="720">
        <v>12326.83</v>
      </c>
      <c r="H319" s="720">
        <v>8847.81</v>
      </c>
      <c r="I319" s="720">
        <v>7057.93</v>
      </c>
      <c r="J319" s="721">
        <v>114.42</v>
      </c>
      <c r="K319" s="720">
        <v>1150.78</v>
      </c>
      <c r="L319" s="720">
        <v>290.81</v>
      </c>
      <c r="M319" s="720">
        <v>2867.83</v>
      </c>
      <c r="N319" s="720">
        <v>182.18</v>
      </c>
    </row>
    <row r="320" spans="1:14" ht="15">
      <c r="A320" s="705"/>
      <c r="B320" s="705"/>
      <c r="C320" s="719">
        <v>40857</v>
      </c>
      <c r="D320" s="717">
        <v>8940</v>
      </c>
      <c r="E320" s="720">
        <v>9301.5300000000007</v>
      </c>
      <c r="F320" s="720">
        <v>14311.33</v>
      </c>
      <c r="G320" s="720">
        <v>12326.83</v>
      </c>
      <c r="H320" s="720">
        <v>8847.81</v>
      </c>
      <c r="I320" s="720">
        <v>7057.93</v>
      </c>
      <c r="J320" s="721">
        <v>114.42</v>
      </c>
      <c r="K320" s="720">
        <v>1150.78</v>
      </c>
      <c r="L320" s="720">
        <v>290.81</v>
      </c>
      <c r="M320" s="720">
        <v>2867.83</v>
      </c>
      <c r="N320" s="720">
        <v>182.18</v>
      </c>
    </row>
    <row r="321" spans="1:14" ht="15">
      <c r="A321" s="705"/>
      <c r="B321" s="705"/>
      <c r="C321" s="719">
        <v>40858</v>
      </c>
      <c r="D321" s="717">
        <v>8940</v>
      </c>
      <c r="E321" s="720">
        <v>9301.5300000000007</v>
      </c>
      <c r="F321" s="720">
        <v>14311.33</v>
      </c>
      <c r="G321" s="720">
        <v>12326.83</v>
      </c>
      <c r="H321" s="720">
        <v>8847.81</v>
      </c>
      <c r="I321" s="720">
        <v>7057.93</v>
      </c>
      <c r="J321" s="721">
        <v>114.42</v>
      </c>
      <c r="K321" s="720">
        <v>1150.78</v>
      </c>
      <c r="L321" s="720">
        <v>290.81</v>
      </c>
      <c r="M321" s="720">
        <v>2867.83</v>
      </c>
      <c r="N321" s="720">
        <v>182.18</v>
      </c>
    </row>
    <row r="322" spans="1:14" ht="15">
      <c r="A322" s="705"/>
      <c r="B322" s="705"/>
      <c r="C322" s="719">
        <v>40859</v>
      </c>
      <c r="D322" s="717">
        <v>8940</v>
      </c>
      <c r="E322" s="720">
        <v>9301.5300000000007</v>
      </c>
      <c r="F322" s="720">
        <v>14311.33</v>
      </c>
      <c r="G322" s="720">
        <v>12326.83</v>
      </c>
      <c r="H322" s="720">
        <v>8847.81</v>
      </c>
      <c r="I322" s="720">
        <v>7057.93</v>
      </c>
      <c r="J322" s="721">
        <v>114.42</v>
      </c>
      <c r="K322" s="720">
        <v>1150.78</v>
      </c>
      <c r="L322" s="720">
        <v>290.81</v>
      </c>
      <c r="M322" s="720">
        <v>2867.83</v>
      </c>
      <c r="N322" s="720">
        <v>182.18</v>
      </c>
    </row>
    <row r="323" spans="1:14" ht="15">
      <c r="A323" s="705"/>
      <c r="B323" s="705"/>
      <c r="C323" s="719">
        <v>40860</v>
      </c>
      <c r="D323" s="717">
        <v>8940</v>
      </c>
      <c r="E323" s="720">
        <v>9301.5300000000007</v>
      </c>
      <c r="F323" s="720">
        <v>14311.33</v>
      </c>
      <c r="G323" s="720">
        <v>12326.83</v>
      </c>
      <c r="H323" s="720">
        <v>8847.81</v>
      </c>
      <c r="I323" s="720">
        <v>7057.93</v>
      </c>
      <c r="J323" s="721">
        <v>114.42</v>
      </c>
      <c r="K323" s="720">
        <v>1150.78</v>
      </c>
      <c r="L323" s="720">
        <v>290.81</v>
      </c>
      <c r="M323" s="720">
        <v>2867.83</v>
      </c>
      <c r="N323" s="720">
        <v>182.18</v>
      </c>
    </row>
    <row r="324" spans="1:14" ht="15">
      <c r="A324" s="705"/>
      <c r="B324" s="705"/>
      <c r="C324" s="719">
        <v>40861</v>
      </c>
      <c r="D324" s="717">
        <v>8954</v>
      </c>
      <c r="E324" s="720">
        <v>9171.2199999999993</v>
      </c>
      <c r="F324" s="720">
        <v>14313.33</v>
      </c>
      <c r="G324" s="720">
        <v>12243.52</v>
      </c>
      <c r="H324" s="720">
        <v>8809.18</v>
      </c>
      <c r="I324" s="720">
        <v>6992.36</v>
      </c>
      <c r="J324" s="721">
        <v>115.15</v>
      </c>
      <c r="K324" s="720">
        <v>1151.79</v>
      </c>
      <c r="L324" s="720">
        <v>291.32</v>
      </c>
      <c r="M324" s="720">
        <v>2858.49</v>
      </c>
      <c r="N324" s="720">
        <v>179.7</v>
      </c>
    </row>
    <row r="325" spans="1:14" ht="15">
      <c r="A325" s="705"/>
      <c r="B325" s="705"/>
      <c r="C325" s="719">
        <v>40862</v>
      </c>
      <c r="D325" s="717">
        <v>8954</v>
      </c>
      <c r="E325" s="720">
        <v>9171.2199999999993</v>
      </c>
      <c r="F325" s="720">
        <v>14313.33</v>
      </c>
      <c r="G325" s="720">
        <v>12243.52</v>
      </c>
      <c r="H325" s="720">
        <v>8809.18</v>
      </c>
      <c r="I325" s="720">
        <v>6992.36</v>
      </c>
      <c r="J325" s="721">
        <v>115.15</v>
      </c>
      <c r="K325" s="720">
        <v>1151.79</v>
      </c>
      <c r="L325" s="720">
        <v>291.32</v>
      </c>
      <c r="M325" s="720">
        <v>2858.49</v>
      </c>
      <c r="N325" s="720">
        <v>179.7</v>
      </c>
    </row>
    <row r="326" spans="1:14" ht="15">
      <c r="A326" s="705"/>
      <c r="B326" s="705"/>
      <c r="C326" s="719">
        <v>40863</v>
      </c>
      <c r="D326" s="717">
        <v>8954</v>
      </c>
      <c r="E326" s="720">
        <v>9171.2199999999993</v>
      </c>
      <c r="F326" s="720">
        <v>14313.33</v>
      </c>
      <c r="G326" s="720">
        <v>12243.52</v>
      </c>
      <c r="H326" s="720">
        <v>8809.18</v>
      </c>
      <c r="I326" s="720">
        <v>6992.36</v>
      </c>
      <c r="J326" s="721">
        <v>115.15</v>
      </c>
      <c r="K326" s="720">
        <v>1151.79</v>
      </c>
      <c r="L326" s="720">
        <v>291.32</v>
      </c>
      <c r="M326" s="720">
        <v>2858.49</v>
      </c>
      <c r="N326" s="720">
        <v>179.7</v>
      </c>
    </row>
    <row r="327" spans="1:14" ht="15">
      <c r="A327" s="705"/>
      <c r="B327" s="705"/>
      <c r="C327" s="719">
        <v>40864</v>
      </c>
      <c r="D327" s="717">
        <v>8954</v>
      </c>
      <c r="E327" s="720">
        <v>9171.2199999999993</v>
      </c>
      <c r="F327" s="720">
        <v>14313.33</v>
      </c>
      <c r="G327" s="720">
        <v>12243.52</v>
      </c>
      <c r="H327" s="720">
        <v>8809.18</v>
      </c>
      <c r="I327" s="720">
        <v>6992.36</v>
      </c>
      <c r="J327" s="721">
        <v>115.15</v>
      </c>
      <c r="K327" s="720">
        <v>1151.79</v>
      </c>
      <c r="L327" s="720">
        <v>291.32</v>
      </c>
      <c r="M327" s="720">
        <v>2858.49</v>
      </c>
      <c r="N327" s="720">
        <v>179.7</v>
      </c>
    </row>
    <row r="328" spans="1:14" ht="15">
      <c r="A328" s="705"/>
      <c r="B328" s="705"/>
      <c r="C328" s="719">
        <v>40865</v>
      </c>
      <c r="D328" s="717">
        <v>8954</v>
      </c>
      <c r="E328" s="720">
        <v>9171.2199999999993</v>
      </c>
      <c r="F328" s="720">
        <v>14313.33</v>
      </c>
      <c r="G328" s="720">
        <v>12243.52</v>
      </c>
      <c r="H328" s="720">
        <v>8809.18</v>
      </c>
      <c r="I328" s="720">
        <v>6992.36</v>
      </c>
      <c r="J328" s="721">
        <v>115.15</v>
      </c>
      <c r="K328" s="720">
        <v>1151.79</v>
      </c>
      <c r="L328" s="720">
        <v>291.32</v>
      </c>
      <c r="M328" s="720">
        <v>2858.49</v>
      </c>
      <c r="N328" s="720">
        <v>179.7</v>
      </c>
    </row>
    <row r="329" spans="1:14" ht="15">
      <c r="A329" s="705"/>
      <c r="B329" s="705"/>
      <c r="C329" s="719">
        <v>40866</v>
      </c>
      <c r="D329" s="717">
        <v>8954</v>
      </c>
      <c r="E329" s="720">
        <v>9171.2199999999993</v>
      </c>
      <c r="F329" s="720">
        <v>14313.33</v>
      </c>
      <c r="G329" s="720">
        <v>12243.52</v>
      </c>
      <c r="H329" s="720">
        <v>8809.18</v>
      </c>
      <c r="I329" s="720">
        <v>6992.36</v>
      </c>
      <c r="J329" s="721">
        <v>115.15</v>
      </c>
      <c r="K329" s="720">
        <v>1151.79</v>
      </c>
      <c r="L329" s="720">
        <v>291.32</v>
      </c>
      <c r="M329" s="720">
        <v>2858.49</v>
      </c>
      <c r="N329" s="720">
        <v>179.7</v>
      </c>
    </row>
    <row r="330" spans="1:14" ht="15">
      <c r="A330" s="705"/>
      <c r="B330" s="705"/>
      <c r="C330" s="719">
        <v>40867</v>
      </c>
      <c r="D330" s="717">
        <v>8954</v>
      </c>
      <c r="E330" s="720">
        <v>9171.2199999999993</v>
      </c>
      <c r="F330" s="720">
        <v>14313.33</v>
      </c>
      <c r="G330" s="720">
        <v>12243.52</v>
      </c>
      <c r="H330" s="720">
        <v>8809.18</v>
      </c>
      <c r="I330" s="720">
        <v>6992.36</v>
      </c>
      <c r="J330" s="721">
        <v>115.15</v>
      </c>
      <c r="K330" s="720">
        <v>1151.79</v>
      </c>
      <c r="L330" s="720">
        <v>291.32</v>
      </c>
      <c r="M330" s="720">
        <v>2858.49</v>
      </c>
      <c r="N330" s="720">
        <v>179.7</v>
      </c>
    </row>
    <row r="331" spans="1:14" ht="15">
      <c r="A331" s="705"/>
      <c r="B331" s="705"/>
      <c r="C331" s="719">
        <v>40868</v>
      </c>
      <c r="D331" s="717">
        <v>8990</v>
      </c>
      <c r="E331" s="720">
        <v>9070.77</v>
      </c>
      <c r="F331" s="720">
        <v>14196.76</v>
      </c>
      <c r="G331" s="720">
        <v>12144.28</v>
      </c>
      <c r="H331" s="720">
        <v>8777.61</v>
      </c>
      <c r="I331" s="720">
        <v>6946.2</v>
      </c>
      <c r="J331" s="721">
        <v>116.71</v>
      </c>
      <c r="K331" s="720">
        <v>1154.73</v>
      </c>
      <c r="L331" s="720">
        <v>291.45</v>
      </c>
      <c r="M331" s="720">
        <v>2852.81</v>
      </c>
      <c r="N331" s="720">
        <v>177.48</v>
      </c>
    </row>
    <row r="332" spans="1:14" ht="15">
      <c r="A332" s="705"/>
      <c r="B332" s="705"/>
      <c r="C332" s="719">
        <v>40869</v>
      </c>
      <c r="D332" s="717">
        <v>8990</v>
      </c>
      <c r="E332" s="720">
        <v>9070.77</v>
      </c>
      <c r="F332" s="720">
        <v>14196.76</v>
      </c>
      <c r="G332" s="720">
        <v>12144.28</v>
      </c>
      <c r="H332" s="720">
        <v>8777.61</v>
      </c>
      <c r="I332" s="720">
        <v>6946.2</v>
      </c>
      <c r="J332" s="721">
        <v>116.71</v>
      </c>
      <c r="K332" s="720">
        <v>1154.73</v>
      </c>
      <c r="L332" s="720">
        <v>291.45</v>
      </c>
      <c r="M332" s="720">
        <v>2852.81</v>
      </c>
      <c r="N332" s="720">
        <v>177.48</v>
      </c>
    </row>
    <row r="333" spans="1:14" ht="15">
      <c r="A333" s="705"/>
      <c r="B333" s="705"/>
      <c r="C333" s="719">
        <v>40870</v>
      </c>
      <c r="D333" s="717">
        <v>8990</v>
      </c>
      <c r="E333" s="720">
        <v>9070.77</v>
      </c>
      <c r="F333" s="720">
        <v>14196.76</v>
      </c>
      <c r="G333" s="720">
        <v>12144.28</v>
      </c>
      <c r="H333" s="720">
        <v>8777.61</v>
      </c>
      <c r="I333" s="720">
        <v>6946.2</v>
      </c>
      <c r="J333" s="721">
        <v>116.71</v>
      </c>
      <c r="K333" s="720">
        <v>1154.73</v>
      </c>
      <c r="L333" s="720">
        <v>291.45</v>
      </c>
      <c r="M333" s="720">
        <v>2852.81</v>
      </c>
      <c r="N333" s="720">
        <v>177.48</v>
      </c>
    </row>
    <row r="334" spans="1:14" ht="15">
      <c r="A334" s="705"/>
      <c r="B334" s="705"/>
      <c r="C334" s="719">
        <v>40871</v>
      </c>
      <c r="D334" s="717">
        <v>8990</v>
      </c>
      <c r="E334" s="720">
        <v>9070.77</v>
      </c>
      <c r="F334" s="720">
        <v>14196.76</v>
      </c>
      <c r="G334" s="720">
        <v>12144.28</v>
      </c>
      <c r="H334" s="720">
        <v>8777.61</v>
      </c>
      <c r="I334" s="720">
        <v>6946.2</v>
      </c>
      <c r="J334" s="721">
        <v>116.71</v>
      </c>
      <c r="K334" s="720">
        <v>1154.73</v>
      </c>
      <c r="L334" s="720">
        <v>291.45</v>
      </c>
      <c r="M334" s="720">
        <v>2852.81</v>
      </c>
      <c r="N334" s="720">
        <v>177.48</v>
      </c>
    </row>
    <row r="335" spans="1:14" ht="15">
      <c r="A335" s="705"/>
      <c r="B335" s="705"/>
      <c r="C335" s="719">
        <v>40872</v>
      </c>
      <c r="D335" s="717">
        <v>8990</v>
      </c>
      <c r="E335" s="720">
        <v>9070.77</v>
      </c>
      <c r="F335" s="720">
        <v>14196.76</v>
      </c>
      <c r="G335" s="720">
        <v>12144.28</v>
      </c>
      <c r="H335" s="720">
        <v>8777.61</v>
      </c>
      <c r="I335" s="720">
        <v>6946.2</v>
      </c>
      <c r="J335" s="721">
        <v>116.71</v>
      </c>
      <c r="K335" s="720">
        <v>1154.73</v>
      </c>
      <c r="L335" s="720">
        <v>291.45</v>
      </c>
      <c r="M335" s="720">
        <v>2852.81</v>
      </c>
      <c r="N335" s="720">
        <v>177.48</v>
      </c>
    </row>
    <row r="336" spans="1:14" ht="15">
      <c r="A336" s="705"/>
      <c r="B336" s="705"/>
      <c r="C336" s="719">
        <v>40873</v>
      </c>
      <c r="D336" s="717">
        <v>8990</v>
      </c>
      <c r="E336" s="720">
        <v>9070.77</v>
      </c>
      <c r="F336" s="720">
        <v>14196.76</v>
      </c>
      <c r="G336" s="720">
        <v>12144.28</v>
      </c>
      <c r="H336" s="720">
        <v>8777.61</v>
      </c>
      <c r="I336" s="720">
        <v>6946.2</v>
      </c>
      <c r="J336" s="721">
        <v>116.71</v>
      </c>
      <c r="K336" s="720">
        <v>1154.73</v>
      </c>
      <c r="L336" s="720">
        <v>291.45</v>
      </c>
      <c r="M336" s="720">
        <v>2852.81</v>
      </c>
      <c r="N336" s="720">
        <v>177.48</v>
      </c>
    </row>
    <row r="337" spans="1:14" ht="15">
      <c r="A337" s="705"/>
      <c r="B337" s="705"/>
      <c r="C337" s="719">
        <v>40874</v>
      </c>
      <c r="D337" s="717">
        <v>8990</v>
      </c>
      <c r="E337" s="720">
        <v>9070.77</v>
      </c>
      <c r="F337" s="720">
        <v>14196.76</v>
      </c>
      <c r="G337" s="720">
        <v>12144.28</v>
      </c>
      <c r="H337" s="720">
        <v>8777.61</v>
      </c>
      <c r="I337" s="720">
        <v>6946.2</v>
      </c>
      <c r="J337" s="721">
        <v>116.71</v>
      </c>
      <c r="K337" s="720">
        <v>1154.73</v>
      </c>
      <c r="L337" s="720">
        <v>291.45</v>
      </c>
      <c r="M337" s="720">
        <v>2852.81</v>
      </c>
      <c r="N337" s="720">
        <v>177.48</v>
      </c>
    </row>
    <row r="338" spans="1:14" ht="15">
      <c r="A338" s="705"/>
      <c r="B338" s="705"/>
      <c r="C338" s="719">
        <v>40875</v>
      </c>
      <c r="D338" s="717">
        <v>9043</v>
      </c>
      <c r="E338" s="720">
        <v>8829.7099999999991</v>
      </c>
      <c r="F338" s="720">
        <v>14068.22</v>
      </c>
      <c r="G338" s="720">
        <v>12127.4</v>
      </c>
      <c r="H338" s="720">
        <v>8665.93</v>
      </c>
      <c r="I338" s="720">
        <v>6918.18</v>
      </c>
      <c r="J338" s="721">
        <v>117.22</v>
      </c>
      <c r="K338" s="720">
        <v>1160.27</v>
      </c>
      <c r="L338" s="720">
        <v>289.17</v>
      </c>
      <c r="M338" s="720">
        <v>2844.19</v>
      </c>
      <c r="N338" s="720">
        <v>173.13</v>
      </c>
    </row>
    <row r="339" spans="1:14" ht="15">
      <c r="A339" s="705"/>
      <c r="B339" s="705"/>
      <c r="C339" s="719">
        <v>40876</v>
      </c>
      <c r="D339" s="717">
        <v>9043</v>
      </c>
      <c r="E339" s="720">
        <v>8829.7099999999991</v>
      </c>
      <c r="F339" s="720">
        <v>14068.22</v>
      </c>
      <c r="G339" s="720">
        <v>12127.4</v>
      </c>
      <c r="H339" s="720">
        <v>8665.93</v>
      </c>
      <c r="I339" s="720">
        <v>6918.18</v>
      </c>
      <c r="J339" s="721">
        <v>117.22</v>
      </c>
      <c r="K339" s="720">
        <v>1160.27</v>
      </c>
      <c r="L339" s="720">
        <v>289.17</v>
      </c>
      <c r="M339" s="720">
        <v>2844.19</v>
      </c>
      <c r="N339" s="720">
        <v>173.13</v>
      </c>
    </row>
    <row r="340" spans="1:14" ht="15">
      <c r="A340" s="705"/>
      <c r="B340" s="705"/>
      <c r="C340" s="719">
        <v>40877</v>
      </c>
      <c r="D340" s="717">
        <v>9043</v>
      </c>
      <c r="E340" s="720">
        <v>8829.7099999999991</v>
      </c>
      <c r="F340" s="720">
        <v>14068.22</v>
      </c>
      <c r="G340" s="720">
        <v>12127.4</v>
      </c>
      <c r="H340" s="720">
        <v>8665.93</v>
      </c>
      <c r="I340" s="720">
        <v>6918.18</v>
      </c>
      <c r="J340" s="721">
        <v>117.22</v>
      </c>
      <c r="K340" s="720">
        <v>1160.27</v>
      </c>
      <c r="L340" s="720">
        <v>289.17</v>
      </c>
      <c r="M340" s="720">
        <v>2844.19</v>
      </c>
      <c r="N340" s="720">
        <v>173.13</v>
      </c>
    </row>
    <row r="341" spans="1:14" ht="15">
      <c r="A341" s="705"/>
      <c r="B341" s="705"/>
      <c r="C341" s="719">
        <v>40878</v>
      </c>
      <c r="D341" s="717">
        <v>9043</v>
      </c>
      <c r="E341" s="720">
        <v>8829.7099999999991</v>
      </c>
      <c r="F341" s="720">
        <v>14068.22</v>
      </c>
      <c r="G341" s="720">
        <v>12127.4</v>
      </c>
      <c r="H341" s="720">
        <v>8665.93</v>
      </c>
      <c r="I341" s="720">
        <v>6918.18</v>
      </c>
      <c r="J341" s="721">
        <v>117.22</v>
      </c>
      <c r="K341" s="720">
        <v>1160.27</v>
      </c>
      <c r="L341" s="720">
        <v>289.17</v>
      </c>
      <c r="M341" s="720">
        <v>2844.19</v>
      </c>
      <c r="N341" s="720">
        <v>173.13</v>
      </c>
    </row>
    <row r="342" spans="1:14" ht="15">
      <c r="A342" s="705"/>
      <c r="B342" s="705"/>
      <c r="C342" s="719">
        <v>40879</v>
      </c>
      <c r="D342" s="717">
        <v>9043</v>
      </c>
      <c r="E342" s="720">
        <v>8829.7099999999991</v>
      </c>
      <c r="F342" s="720">
        <v>14068.22</v>
      </c>
      <c r="G342" s="720">
        <v>12127.4</v>
      </c>
      <c r="H342" s="720">
        <v>8665.93</v>
      </c>
      <c r="I342" s="720">
        <v>6918.18</v>
      </c>
      <c r="J342" s="721">
        <v>117.22</v>
      </c>
      <c r="K342" s="720">
        <v>1160.27</v>
      </c>
      <c r="L342" s="720">
        <v>289.17</v>
      </c>
      <c r="M342" s="720">
        <v>2844.19</v>
      </c>
      <c r="N342" s="720">
        <v>173.13</v>
      </c>
    </row>
    <row r="343" spans="1:14" ht="15">
      <c r="A343" s="705"/>
      <c r="B343" s="705"/>
      <c r="C343" s="719">
        <v>40880</v>
      </c>
      <c r="D343" s="717">
        <v>9043</v>
      </c>
      <c r="E343" s="720">
        <v>8829.7099999999991</v>
      </c>
      <c r="F343" s="720">
        <v>14068.22</v>
      </c>
      <c r="G343" s="720">
        <v>12127.4</v>
      </c>
      <c r="H343" s="720">
        <v>8665.93</v>
      </c>
      <c r="I343" s="720">
        <v>6918.18</v>
      </c>
      <c r="J343" s="721">
        <v>117.22</v>
      </c>
      <c r="K343" s="720">
        <v>1160.27</v>
      </c>
      <c r="L343" s="720">
        <v>289.17</v>
      </c>
      <c r="M343" s="720">
        <v>2844.19</v>
      </c>
      <c r="N343" s="720">
        <v>173.13</v>
      </c>
    </row>
    <row r="344" spans="1:14" ht="15">
      <c r="A344" s="705"/>
      <c r="B344" s="705"/>
      <c r="C344" s="719">
        <v>40881</v>
      </c>
      <c r="D344" s="717">
        <v>9043</v>
      </c>
      <c r="E344" s="720">
        <v>8829.7099999999991</v>
      </c>
      <c r="F344" s="720">
        <v>14068.22</v>
      </c>
      <c r="G344" s="720">
        <v>12127.4</v>
      </c>
      <c r="H344" s="720">
        <v>8665.93</v>
      </c>
      <c r="I344" s="720">
        <v>6918.18</v>
      </c>
      <c r="J344" s="721">
        <v>117.22</v>
      </c>
      <c r="K344" s="720">
        <v>1160.27</v>
      </c>
      <c r="L344" s="720">
        <v>289.17</v>
      </c>
      <c r="M344" s="720">
        <v>2844.19</v>
      </c>
      <c r="N344" s="720">
        <v>173.13</v>
      </c>
    </row>
    <row r="345" spans="1:14" ht="15">
      <c r="A345" s="705"/>
      <c r="B345" s="705"/>
      <c r="C345" s="719">
        <v>40882</v>
      </c>
      <c r="D345" s="717">
        <v>9096</v>
      </c>
      <c r="E345" s="720">
        <v>9216.5499999999993</v>
      </c>
      <c r="F345" s="720">
        <v>14223.39</v>
      </c>
      <c r="G345" s="720">
        <v>12191.84</v>
      </c>
      <c r="H345" s="720">
        <v>8896.82</v>
      </c>
      <c r="I345" s="720">
        <v>7055.62</v>
      </c>
      <c r="J345" s="721">
        <v>116.9</v>
      </c>
      <c r="K345" s="720">
        <v>1169.31</v>
      </c>
      <c r="L345" s="720">
        <v>293.29000000000002</v>
      </c>
      <c r="M345" s="720">
        <v>2876.38</v>
      </c>
      <c r="N345" s="720">
        <v>175.2</v>
      </c>
    </row>
    <row r="346" spans="1:14" ht="15">
      <c r="A346" s="705"/>
      <c r="B346" s="705"/>
      <c r="C346" s="719">
        <v>40883</v>
      </c>
      <c r="D346" s="717">
        <v>9096</v>
      </c>
      <c r="E346" s="720">
        <v>9216.5499999999993</v>
      </c>
      <c r="F346" s="720">
        <v>14223.39</v>
      </c>
      <c r="G346" s="720">
        <v>12191.84</v>
      </c>
      <c r="H346" s="720">
        <v>8896.82</v>
      </c>
      <c r="I346" s="720">
        <v>7055.62</v>
      </c>
      <c r="J346" s="721">
        <v>116.9</v>
      </c>
      <c r="K346" s="720">
        <v>1169.31</v>
      </c>
      <c r="L346" s="720">
        <v>293.29000000000002</v>
      </c>
      <c r="M346" s="720">
        <v>2876.38</v>
      </c>
      <c r="N346" s="720">
        <v>175.2</v>
      </c>
    </row>
    <row r="347" spans="1:14" ht="15">
      <c r="A347" s="705"/>
      <c r="B347" s="705"/>
      <c r="C347" s="719">
        <v>40884</v>
      </c>
      <c r="D347" s="717">
        <v>9096</v>
      </c>
      <c r="E347" s="720">
        <v>9216.5499999999993</v>
      </c>
      <c r="F347" s="720">
        <v>14223.39</v>
      </c>
      <c r="G347" s="720">
        <v>12191.84</v>
      </c>
      <c r="H347" s="720">
        <v>8896.82</v>
      </c>
      <c r="I347" s="720">
        <v>7055.62</v>
      </c>
      <c r="J347" s="721">
        <v>116.9</v>
      </c>
      <c r="K347" s="720">
        <v>1169.31</v>
      </c>
      <c r="L347" s="720">
        <v>293.29000000000002</v>
      </c>
      <c r="M347" s="720">
        <v>2876.38</v>
      </c>
      <c r="N347" s="720">
        <v>175.2</v>
      </c>
    </row>
    <row r="348" spans="1:14" ht="15">
      <c r="A348" s="705"/>
      <c r="B348" s="705"/>
      <c r="C348" s="719">
        <v>40885</v>
      </c>
      <c r="D348" s="717">
        <v>9096</v>
      </c>
      <c r="E348" s="720">
        <v>9216.5499999999993</v>
      </c>
      <c r="F348" s="720">
        <v>14223.39</v>
      </c>
      <c r="G348" s="720">
        <v>12191.84</v>
      </c>
      <c r="H348" s="720">
        <v>8896.82</v>
      </c>
      <c r="I348" s="720">
        <v>7055.62</v>
      </c>
      <c r="J348" s="721">
        <v>116.9</v>
      </c>
      <c r="K348" s="720">
        <v>1169.31</v>
      </c>
      <c r="L348" s="720">
        <v>293.29000000000002</v>
      </c>
      <c r="M348" s="720">
        <v>2876.38</v>
      </c>
      <c r="N348" s="720">
        <v>175.2</v>
      </c>
    </row>
    <row r="349" spans="1:14" ht="15">
      <c r="A349" s="705"/>
      <c r="B349" s="705"/>
      <c r="C349" s="719">
        <v>40886</v>
      </c>
      <c r="D349" s="717">
        <v>9096</v>
      </c>
      <c r="E349" s="720">
        <v>9216.5499999999993</v>
      </c>
      <c r="F349" s="720">
        <v>14223.39</v>
      </c>
      <c r="G349" s="720">
        <v>12191.84</v>
      </c>
      <c r="H349" s="720">
        <v>8896.82</v>
      </c>
      <c r="I349" s="720">
        <v>7055.62</v>
      </c>
      <c r="J349" s="721">
        <v>116.9</v>
      </c>
      <c r="K349" s="720">
        <v>1169.31</v>
      </c>
      <c r="L349" s="720">
        <v>293.29000000000002</v>
      </c>
      <c r="M349" s="720">
        <v>2876.38</v>
      </c>
      <c r="N349" s="720">
        <v>175.2</v>
      </c>
    </row>
    <row r="350" spans="1:14" ht="15">
      <c r="A350" s="705"/>
      <c r="B350" s="705"/>
      <c r="C350" s="719">
        <v>40887</v>
      </c>
      <c r="D350" s="717">
        <v>9096</v>
      </c>
      <c r="E350" s="720">
        <v>9216.5499999999993</v>
      </c>
      <c r="F350" s="720">
        <v>14223.39</v>
      </c>
      <c r="G350" s="720">
        <v>12191.84</v>
      </c>
      <c r="H350" s="720">
        <v>8896.82</v>
      </c>
      <c r="I350" s="720">
        <v>7055.62</v>
      </c>
      <c r="J350" s="721">
        <v>116.9</v>
      </c>
      <c r="K350" s="720">
        <v>1169.31</v>
      </c>
      <c r="L350" s="720">
        <v>293.29000000000002</v>
      </c>
      <c r="M350" s="720">
        <v>2876.38</v>
      </c>
      <c r="N350" s="720">
        <v>175.2</v>
      </c>
    </row>
    <row r="351" spans="1:14" ht="15">
      <c r="A351" s="705"/>
      <c r="B351" s="705"/>
      <c r="C351" s="719">
        <v>40888</v>
      </c>
      <c r="D351" s="717">
        <v>9096</v>
      </c>
      <c r="E351" s="720">
        <v>9216.5499999999993</v>
      </c>
      <c r="F351" s="720">
        <v>14223.39</v>
      </c>
      <c r="G351" s="720">
        <v>12191.84</v>
      </c>
      <c r="H351" s="720">
        <v>8896.82</v>
      </c>
      <c r="I351" s="720">
        <v>7055.62</v>
      </c>
      <c r="J351" s="721">
        <v>116.9</v>
      </c>
      <c r="K351" s="720">
        <v>1169.31</v>
      </c>
      <c r="L351" s="720">
        <v>293.29000000000002</v>
      </c>
      <c r="M351" s="720">
        <v>2876.38</v>
      </c>
      <c r="N351" s="720">
        <v>175.2</v>
      </c>
    </row>
    <row r="352" spans="1:14" ht="15">
      <c r="A352" s="705"/>
      <c r="B352" s="705"/>
      <c r="C352" s="719">
        <v>40889</v>
      </c>
      <c r="D352" s="717">
        <v>9039</v>
      </c>
      <c r="E352" s="720">
        <v>9248.6299999999992</v>
      </c>
      <c r="F352" s="720">
        <v>14141.84</v>
      </c>
      <c r="G352" s="720">
        <v>12094.83</v>
      </c>
      <c r="H352" s="720">
        <v>8893.7900000000009</v>
      </c>
      <c r="I352" s="720">
        <v>7018.81</v>
      </c>
      <c r="J352" s="721">
        <v>116.3</v>
      </c>
      <c r="K352" s="720">
        <v>1162.6500000000001</v>
      </c>
      <c r="L352" s="720">
        <v>293.42</v>
      </c>
      <c r="M352" s="720">
        <v>2883.47</v>
      </c>
      <c r="N352" s="720">
        <v>175.06</v>
      </c>
    </row>
    <row r="353" spans="1:14" ht="15">
      <c r="A353" s="705"/>
      <c r="B353" s="705"/>
      <c r="C353" s="719">
        <v>40890</v>
      </c>
      <c r="D353" s="717">
        <v>9039</v>
      </c>
      <c r="E353" s="720">
        <v>9248.6299999999992</v>
      </c>
      <c r="F353" s="720">
        <v>14141.84</v>
      </c>
      <c r="G353" s="720">
        <v>12094.83</v>
      </c>
      <c r="H353" s="720">
        <v>8893.7900000000009</v>
      </c>
      <c r="I353" s="720">
        <v>7018.81</v>
      </c>
      <c r="J353" s="721">
        <v>116.3</v>
      </c>
      <c r="K353" s="720">
        <v>1162.6500000000001</v>
      </c>
      <c r="L353" s="720">
        <v>293.42</v>
      </c>
      <c r="M353" s="720">
        <v>2883.47</v>
      </c>
      <c r="N353" s="720">
        <v>175.06</v>
      </c>
    </row>
    <row r="354" spans="1:14" ht="15">
      <c r="A354" s="705"/>
      <c r="B354" s="705"/>
      <c r="C354" s="719">
        <v>40891</v>
      </c>
      <c r="D354" s="717">
        <v>9039</v>
      </c>
      <c r="E354" s="720">
        <v>9248.6299999999992</v>
      </c>
      <c r="F354" s="720">
        <v>14141.84</v>
      </c>
      <c r="G354" s="720">
        <v>12094.83</v>
      </c>
      <c r="H354" s="720">
        <v>8893.7900000000009</v>
      </c>
      <c r="I354" s="720">
        <v>7018.81</v>
      </c>
      <c r="J354" s="721">
        <v>116.3</v>
      </c>
      <c r="K354" s="720">
        <v>1162.6500000000001</v>
      </c>
      <c r="L354" s="720">
        <v>293.42</v>
      </c>
      <c r="M354" s="720">
        <v>2883.47</v>
      </c>
      <c r="N354" s="720">
        <v>175.06</v>
      </c>
    </row>
    <row r="355" spans="1:14" ht="15">
      <c r="A355" s="705"/>
      <c r="B355" s="705"/>
      <c r="C355" s="719">
        <v>40892</v>
      </c>
      <c r="D355" s="717">
        <v>9039</v>
      </c>
      <c r="E355" s="720">
        <v>9248.6299999999992</v>
      </c>
      <c r="F355" s="720">
        <v>14141.84</v>
      </c>
      <c r="G355" s="720">
        <v>12094.83</v>
      </c>
      <c r="H355" s="720">
        <v>8893.7900000000009</v>
      </c>
      <c r="I355" s="720">
        <v>7018.81</v>
      </c>
      <c r="J355" s="721">
        <v>116.3</v>
      </c>
      <c r="K355" s="720">
        <v>1162.6500000000001</v>
      </c>
      <c r="L355" s="720">
        <v>293.42</v>
      </c>
      <c r="M355" s="720">
        <v>2883.47</v>
      </c>
      <c r="N355" s="720">
        <v>175.06</v>
      </c>
    </row>
    <row r="356" spans="1:14" ht="15">
      <c r="A356" s="705"/>
      <c r="B356" s="705"/>
      <c r="C356" s="719">
        <v>40893</v>
      </c>
      <c r="D356" s="717">
        <v>9039</v>
      </c>
      <c r="E356" s="720">
        <v>9248.6299999999992</v>
      </c>
      <c r="F356" s="720">
        <v>14141.84</v>
      </c>
      <c r="G356" s="720">
        <v>12094.83</v>
      </c>
      <c r="H356" s="720">
        <v>8893.7900000000009</v>
      </c>
      <c r="I356" s="720">
        <v>7018.81</v>
      </c>
      <c r="J356" s="721">
        <v>116.3</v>
      </c>
      <c r="K356" s="720">
        <v>1162.6500000000001</v>
      </c>
      <c r="L356" s="720">
        <v>293.42</v>
      </c>
      <c r="M356" s="720">
        <v>2883.47</v>
      </c>
      <c r="N356" s="720">
        <v>175.06</v>
      </c>
    </row>
    <row r="357" spans="1:14" ht="15">
      <c r="A357" s="705"/>
      <c r="B357" s="705"/>
      <c r="C357" s="719">
        <v>40894</v>
      </c>
      <c r="D357" s="717">
        <v>9039</v>
      </c>
      <c r="E357" s="720">
        <v>9248.6299999999992</v>
      </c>
      <c r="F357" s="720">
        <v>14141.84</v>
      </c>
      <c r="G357" s="720">
        <v>12094.83</v>
      </c>
      <c r="H357" s="720">
        <v>8893.7900000000009</v>
      </c>
      <c r="I357" s="720">
        <v>7018.81</v>
      </c>
      <c r="J357" s="721">
        <v>116.3</v>
      </c>
      <c r="K357" s="720">
        <v>1162.6500000000001</v>
      </c>
      <c r="L357" s="720">
        <v>293.42</v>
      </c>
      <c r="M357" s="720">
        <v>2883.47</v>
      </c>
      <c r="N357" s="720">
        <v>175.06</v>
      </c>
    </row>
    <row r="358" spans="1:14" ht="15">
      <c r="A358" s="705"/>
      <c r="B358" s="705"/>
      <c r="C358" s="719">
        <v>40895</v>
      </c>
      <c r="D358" s="717">
        <v>9039</v>
      </c>
      <c r="E358" s="720">
        <v>9248.6299999999992</v>
      </c>
      <c r="F358" s="720">
        <v>14141.84</v>
      </c>
      <c r="G358" s="720">
        <v>12094.83</v>
      </c>
      <c r="H358" s="720">
        <v>8893.7900000000009</v>
      </c>
      <c r="I358" s="720">
        <v>7018.81</v>
      </c>
      <c r="J358" s="721">
        <v>116.3</v>
      </c>
      <c r="K358" s="720">
        <v>1162.6500000000001</v>
      </c>
      <c r="L358" s="720">
        <v>293.42</v>
      </c>
      <c r="M358" s="720">
        <v>2883.47</v>
      </c>
      <c r="N358" s="720">
        <v>175.06</v>
      </c>
    </row>
    <row r="359" spans="1:14" ht="15">
      <c r="A359" s="705"/>
      <c r="B359" s="705"/>
      <c r="C359" s="719">
        <v>40896</v>
      </c>
      <c r="D359" s="717">
        <v>9095</v>
      </c>
      <c r="E359" s="720">
        <v>9071.58</v>
      </c>
      <c r="F359" s="720">
        <v>14096.34</v>
      </c>
      <c r="G359" s="720">
        <v>11867.61</v>
      </c>
      <c r="H359" s="720">
        <v>8787.02</v>
      </c>
      <c r="I359" s="720">
        <v>6961.61</v>
      </c>
      <c r="J359" s="721">
        <v>116.57</v>
      </c>
      <c r="K359" s="720">
        <v>1168.67</v>
      </c>
      <c r="L359" s="720">
        <v>290.88</v>
      </c>
      <c r="M359" s="720">
        <v>2859.39</v>
      </c>
      <c r="N359" s="720">
        <v>170.77</v>
      </c>
    </row>
    <row r="360" spans="1:14" ht="15">
      <c r="A360" s="705"/>
      <c r="B360" s="705"/>
      <c r="C360" s="719">
        <v>40897</v>
      </c>
      <c r="D360" s="717">
        <v>9095</v>
      </c>
      <c r="E360" s="720">
        <v>9071.58</v>
      </c>
      <c r="F360" s="720">
        <v>14096.34</v>
      </c>
      <c r="G360" s="720">
        <v>11867.61</v>
      </c>
      <c r="H360" s="720">
        <v>8787.02</v>
      </c>
      <c r="I360" s="720">
        <v>6961.61</v>
      </c>
      <c r="J360" s="721">
        <v>116.57</v>
      </c>
      <c r="K360" s="720">
        <v>1168.67</v>
      </c>
      <c r="L360" s="720">
        <v>290.88</v>
      </c>
      <c r="M360" s="720">
        <v>2859.39</v>
      </c>
      <c r="N360" s="720">
        <v>170.77</v>
      </c>
    </row>
    <row r="361" spans="1:14" ht="15">
      <c r="A361" s="705"/>
      <c r="B361" s="705"/>
      <c r="C361" s="719">
        <v>40898</v>
      </c>
      <c r="D361" s="717">
        <v>9095</v>
      </c>
      <c r="E361" s="720">
        <v>9071.58</v>
      </c>
      <c r="F361" s="720">
        <v>14096.34</v>
      </c>
      <c r="G361" s="720">
        <v>11867.61</v>
      </c>
      <c r="H361" s="720">
        <v>8787.02</v>
      </c>
      <c r="I361" s="720">
        <v>6961.61</v>
      </c>
      <c r="J361" s="721">
        <v>116.57</v>
      </c>
      <c r="K361" s="720">
        <v>1168.67</v>
      </c>
      <c r="L361" s="720">
        <v>290.88</v>
      </c>
      <c r="M361" s="720">
        <v>2859.39</v>
      </c>
      <c r="N361" s="720">
        <v>170.77</v>
      </c>
    </row>
    <row r="362" spans="1:14" ht="15">
      <c r="A362" s="705"/>
      <c r="B362" s="705"/>
      <c r="C362" s="719">
        <v>40899</v>
      </c>
      <c r="D362" s="717">
        <v>9095</v>
      </c>
      <c r="E362" s="720">
        <v>9071.58</v>
      </c>
      <c r="F362" s="720">
        <v>14096.34</v>
      </c>
      <c r="G362" s="720">
        <v>11867.61</v>
      </c>
      <c r="H362" s="720">
        <v>8787.02</v>
      </c>
      <c r="I362" s="720">
        <v>6961.61</v>
      </c>
      <c r="J362" s="721">
        <v>116.57</v>
      </c>
      <c r="K362" s="720">
        <v>1168.67</v>
      </c>
      <c r="L362" s="720">
        <v>290.88</v>
      </c>
      <c r="M362" s="720">
        <v>2859.39</v>
      </c>
      <c r="N362" s="720">
        <v>170.77</v>
      </c>
    </row>
    <row r="363" spans="1:14" ht="15">
      <c r="A363" s="705"/>
      <c r="B363" s="705"/>
      <c r="C363" s="719">
        <v>40900</v>
      </c>
      <c r="D363" s="717">
        <v>9095</v>
      </c>
      <c r="E363" s="720">
        <v>9071.58</v>
      </c>
      <c r="F363" s="720">
        <v>14096.34</v>
      </c>
      <c r="G363" s="720">
        <v>11867.61</v>
      </c>
      <c r="H363" s="720">
        <v>8787.02</v>
      </c>
      <c r="I363" s="720">
        <v>6961.61</v>
      </c>
      <c r="J363" s="721">
        <v>116.57</v>
      </c>
      <c r="K363" s="720">
        <v>1168.67</v>
      </c>
      <c r="L363" s="720">
        <v>290.88</v>
      </c>
      <c r="M363" s="720">
        <v>2859.39</v>
      </c>
      <c r="N363" s="720">
        <v>170.77</v>
      </c>
    </row>
    <row r="364" spans="1:14" ht="15">
      <c r="A364" s="705"/>
      <c r="B364" s="705"/>
      <c r="C364" s="719">
        <v>40901</v>
      </c>
      <c r="D364" s="717">
        <v>9095</v>
      </c>
      <c r="E364" s="720">
        <v>9071.58</v>
      </c>
      <c r="F364" s="720">
        <v>14096.34</v>
      </c>
      <c r="G364" s="720">
        <v>11867.61</v>
      </c>
      <c r="H364" s="720">
        <v>8787.02</v>
      </c>
      <c r="I364" s="720">
        <v>6961.61</v>
      </c>
      <c r="J364" s="721">
        <v>116.57</v>
      </c>
      <c r="K364" s="720">
        <v>1168.67</v>
      </c>
      <c r="L364" s="720">
        <v>290.88</v>
      </c>
      <c r="M364" s="720">
        <v>2859.39</v>
      </c>
      <c r="N364" s="720">
        <v>170.77</v>
      </c>
    </row>
    <row r="365" spans="1:14" ht="15">
      <c r="A365" s="705"/>
      <c r="B365" s="705"/>
      <c r="C365" s="719">
        <v>40902</v>
      </c>
      <c r="D365" s="717">
        <v>9095</v>
      </c>
      <c r="E365" s="720">
        <v>9071.58</v>
      </c>
      <c r="F365" s="720">
        <v>14096.34</v>
      </c>
      <c r="G365" s="720">
        <v>11867.61</v>
      </c>
      <c r="H365" s="720">
        <v>8787.02</v>
      </c>
      <c r="I365" s="720">
        <v>6961.61</v>
      </c>
      <c r="J365" s="721">
        <v>116.57</v>
      </c>
      <c r="K365" s="720">
        <v>1168.67</v>
      </c>
      <c r="L365" s="720">
        <v>290.88</v>
      </c>
      <c r="M365" s="720">
        <v>2859.39</v>
      </c>
      <c r="N365" s="720">
        <v>170.77</v>
      </c>
    </row>
    <row r="366" spans="1:14" ht="15">
      <c r="A366" s="705"/>
      <c r="B366" s="705"/>
      <c r="C366" s="719">
        <v>40903</v>
      </c>
      <c r="D366" s="717">
        <v>9069</v>
      </c>
      <c r="E366" s="720">
        <v>9134.48</v>
      </c>
      <c r="F366" s="720">
        <v>14187.54</v>
      </c>
      <c r="G366" s="720">
        <v>11840.49</v>
      </c>
      <c r="H366" s="720">
        <v>8831.61</v>
      </c>
      <c r="I366" s="720">
        <v>6991.32</v>
      </c>
      <c r="J366" s="721">
        <v>116.25</v>
      </c>
      <c r="K366" s="720">
        <v>1165.32</v>
      </c>
      <c r="L366" s="720">
        <v>290</v>
      </c>
      <c r="M366" s="720">
        <v>2860.74</v>
      </c>
      <c r="N366" s="720">
        <v>171.93</v>
      </c>
    </row>
    <row r="367" spans="1:14" ht="15">
      <c r="A367" s="705"/>
      <c r="B367" s="705"/>
      <c r="C367" s="719">
        <v>40904</v>
      </c>
      <c r="D367" s="717">
        <v>9069</v>
      </c>
      <c r="E367" s="720">
        <v>9134.48</v>
      </c>
      <c r="F367" s="720">
        <v>14187.54</v>
      </c>
      <c r="G367" s="720">
        <v>11840.49</v>
      </c>
      <c r="H367" s="720">
        <v>8831.61</v>
      </c>
      <c r="I367" s="720">
        <v>6991.32</v>
      </c>
      <c r="J367" s="721">
        <v>116.25</v>
      </c>
      <c r="K367" s="720">
        <v>1165.32</v>
      </c>
      <c r="L367" s="720">
        <v>290</v>
      </c>
      <c r="M367" s="720">
        <v>2860.74</v>
      </c>
      <c r="N367" s="720">
        <v>171.93</v>
      </c>
    </row>
    <row r="368" spans="1:14" ht="15">
      <c r="A368" s="705"/>
      <c r="B368" s="705"/>
      <c r="C368" s="719">
        <v>40905</v>
      </c>
      <c r="D368" s="717">
        <v>9069</v>
      </c>
      <c r="E368" s="720">
        <v>9134.48</v>
      </c>
      <c r="F368" s="720">
        <v>14187.54</v>
      </c>
      <c r="G368" s="720">
        <v>11840.49</v>
      </c>
      <c r="H368" s="720">
        <v>8831.61</v>
      </c>
      <c r="I368" s="720">
        <v>6991.32</v>
      </c>
      <c r="J368" s="721">
        <v>116.25</v>
      </c>
      <c r="K368" s="720">
        <v>1165.32</v>
      </c>
      <c r="L368" s="720">
        <v>290</v>
      </c>
      <c r="M368" s="720">
        <v>2860.74</v>
      </c>
      <c r="N368" s="720">
        <v>171.93</v>
      </c>
    </row>
    <row r="369" spans="1:14" ht="15">
      <c r="A369" s="705"/>
      <c r="B369" s="705"/>
      <c r="C369" s="719">
        <v>40906</v>
      </c>
      <c r="D369" s="717">
        <v>9069</v>
      </c>
      <c r="E369" s="720">
        <v>9134.48</v>
      </c>
      <c r="F369" s="720">
        <v>14187.54</v>
      </c>
      <c r="G369" s="720">
        <v>11840.49</v>
      </c>
      <c r="H369" s="720">
        <v>8831.61</v>
      </c>
      <c r="I369" s="720">
        <v>6991.32</v>
      </c>
      <c r="J369" s="721">
        <v>116.25</v>
      </c>
      <c r="K369" s="720">
        <v>1165.32</v>
      </c>
      <c r="L369" s="720">
        <v>290</v>
      </c>
      <c r="M369" s="720">
        <v>2860.74</v>
      </c>
      <c r="N369" s="720">
        <v>171.93</v>
      </c>
    </row>
    <row r="370" spans="1:14" ht="15">
      <c r="A370" s="705"/>
      <c r="B370" s="705"/>
      <c r="C370" s="719">
        <v>40907</v>
      </c>
      <c r="D370" s="717">
        <v>9069</v>
      </c>
      <c r="E370" s="720">
        <v>9134.48</v>
      </c>
      <c r="F370" s="720">
        <v>14187.54</v>
      </c>
      <c r="G370" s="720">
        <v>11840.49</v>
      </c>
      <c r="H370" s="720">
        <v>8831.61</v>
      </c>
      <c r="I370" s="720">
        <v>6991.32</v>
      </c>
      <c r="J370" s="721">
        <v>116.25</v>
      </c>
      <c r="K370" s="720">
        <v>1165.32</v>
      </c>
      <c r="L370" s="720">
        <v>290</v>
      </c>
      <c r="M370" s="720">
        <v>2860.74</v>
      </c>
      <c r="N370" s="720">
        <v>171.93</v>
      </c>
    </row>
    <row r="371" spans="1:14" ht="15">
      <c r="A371" s="705"/>
      <c r="B371" s="705"/>
      <c r="C371" s="719">
        <v>40908</v>
      </c>
      <c r="D371" s="717">
        <v>9069</v>
      </c>
      <c r="E371" s="720">
        <v>9134.48</v>
      </c>
      <c r="F371" s="720">
        <v>14187.54</v>
      </c>
      <c r="G371" s="720">
        <v>11840.49</v>
      </c>
      <c r="H371" s="720">
        <v>8831.61</v>
      </c>
      <c r="I371" s="720">
        <v>6991.32</v>
      </c>
      <c r="J371" s="721">
        <v>116.25</v>
      </c>
      <c r="K371" s="720">
        <v>1165.32</v>
      </c>
      <c r="L371" s="720">
        <v>290</v>
      </c>
      <c r="M371" s="720">
        <v>2860.74</v>
      </c>
      <c r="N371" s="720">
        <v>171.93</v>
      </c>
    </row>
    <row r="372" spans="1:14" ht="15">
      <c r="A372" s="705"/>
      <c r="B372" s="715" t="s">
        <v>609</v>
      </c>
      <c r="C372" s="719"/>
      <c r="D372" s="717"/>
      <c r="E372" s="710"/>
      <c r="F372" s="705"/>
      <c r="G372" s="706"/>
      <c r="H372" s="705"/>
      <c r="I372" s="705"/>
      <c r="J372" s="718"/>
      <c r="K372" s="706"/>
      <c r="L372" s="705"/>
      <c r="M372" s="705"/>
      <c r="N372" s="705"/>
    </row>
    <row r="373" spans="1:14" ht="15">
      <c r="A373" s="705"/>
      <c r="B373" s="705"/>
      <c r="C373" s="722" t="s">
        <v>610</v>
      </c>
      <c r="D373" s="717">
        <v>8989.07</v>
      </c>
      <c r="E373" s="723">
        <v>9019.7800000000007</v>
      </c>
      <c r="F373" s="724">
        <v>14282.21</v>
      </c>
      <c r="G373" s="725">
        <v>12112.85</v>
      </c>
      <c r="H373" s="724">
        <v>9056.2099999999991</v>
      </c>
      <c r="I373" s="724">
        <v>7007.4</v>
      </c>
      <c r="J373" s="726">
        <v>108.93</v>
      </c>
      <c r="K373" s="725">
        <v>1154.8</v>
      </c>
      <c r="L373" s="724">
        <v>294.08</v>
      </c>
      <c r="M373" s="724">
        <v>2940.54</v>
      </c>
      <c r="N373" s="724">
        <v>198.1</v>
      </c>
    </row>
    <row r="374" spans="1:14" ht="15">
      <c r="A374" s="705"/>
      <c r="B374" s="705"/>
      <c r="C374" s="722" t="s">
        <v>611</v>
      </c>
      <c r="D374" s="717">
        <v>8922.57</v>
      </c>
      <c r="E374" s="723">
        <v>8963.43</v>
      </c>
      <c r="F374" s="724">
        <v>14256.37</v>
      </c>
      <c r="G374" s="725">
        <v>12157.63</v>
      </c>
      <c r="H374" s="724">
        <v>9033.1</v>
      </c>
      <c r="I374" s="724">
        <v>6977.22</v>
      </c>
      <c r="J374" s="726">
        <v>108.48</v>
      </c>
      <c r="K374" s="725">
        <v>1145.8800000000001</v>
      </c>
      <c r="L374" s="724">
        <v>292.45</v>
      </c>
      <c r="M374" s="724">
        <v>2924.34</v>
      </c>
      <c r="N374" s="724">
        <v>197.06</v>
      </c>
    </row>
    <row r="375" spans="1:14" ht="15">
      <c r="A375" s="705"/>
      <c r="B375" s="705"/>
      <c r="C375" s="722" t="s">
        <v>612</v>
      </c>
      <c r="D375" s="717">
        <v>8864.42</v>
      </c>
      <c r="E375" s="723">
        <v>8986.74</v>
      </c>
      <c r="F375" s="724">
        <v>14215.43</v>
      </c>
      <c r="G375" s="725">
        <v>12218.14</v>
      </c>
      <c r="H375" s="724">
        <v>9026.1200000000008</v>
      </c>
      <c r="I375" s="724">
        <v>6961.49</v>
      </c>
      <c r="J375" s="726">
        <v>107.41</v>
      </c>
      <c r="K375" s="725">
        <v>1138.67</v>
      </c>
      <c r="L375" s="724">
        <v>291.35000000000002</v>
      </c>
      <c r="M375" s="724">
        <v>2911.27</v>
      </c>
      <c r="N375" s="724">
        <v>196.64</v>
      </c>
    </row>
    <row r="376" spans="1:14" ht="15">
      <c r="A376" s="705"/>
      <c r="B376" s="705"/>
      <c r="C376" s="722" t="s">
        <v>613</v>
      </c>
      <c r="D376" s="717">
        <v>8798.7800000000007</v>
      </c>
      <c r="E376" s="723">
        <v>9032.26</v>
      </c>
      <c r="F376" s="724">
        <v>14176.93</v>
      </c>
      <c r="G376" s="725">
        <v>12253.2</v>
      </c>
      <c r="H376" s="724">
        <v>8997.4500000000007</v>
      </c>
      <c r="I376" s="724">
        <v>6955.1</v>
      </c>
      <c r="J376" s="726">
        <v>106.95</v>
      </c>
      <c r="K376" s="725">
        <v>1130.5899999999999</v>
      </c>
      <c r="L376" s="724">
        <v>289.74</v>
      </c>
      <c r="M376" s="724">
        <v>2897.83</v>
      </c>
      <c r="N376" s="724">
        <v>195.44</v>
      </c>
    </row>
    <row r="377" spans="1:14" ht="15">
      <c r="A377" s="705"/>
      <c r="B377" s="705"/>
      <c r="C377" s="722" t="s">
        <v>614</v>
      </c>
      <c r="D377" s="717">
        <v>8761.7000000000007</v>
      </c>
      <c r="E377" s="723">
        <v>9041.83</v>
      </c>
      <c r="F377" s="724">
        <v>14142.81</v>
      </c>
      <c r="G377" s="725">
        <v>12262.5</v>
      </c>
      <c r="H377" s="724">
        <v>8961.9699999999993</v>
      </c>
      <c r="I377" s="724">
        <v>6952.05</v>
      </c>
      <c r="J377" s="726">
        <v>106.85</v>
      </c>
      <c r="K377" s="725">
        <v>1125.76</v>
      </c>
      <c r="L377" s="724">
        <v>288.42</v>
      </c>
      <c r="M377" s="724">
        <v>2887.2</v>
      </c>
      <c r="N377" s="724">
        <v>194.7</v>
      </c>
    </row>
    <row r="378" spans="1:14" ht="15">
      <c r="A378" s="705"/>
      <c r="B378" s="705"/>
      <c r="C378" s="722" t="s">
        <v>615</v>
      </c>
      <c r="D378" s="717">
        <v>8734.17</v>
      </c>
      <c r="E378" s="723">
        <v>9055.6200000000008</v>
      </c>
      <c r="F378" s="724">
        <v>14089.33</v>
      </c>
      <c r="G378" s="725">
        <v>12256.27</v>
      </c>
      <c r="H378" s="724">
        <v>8952.8700000000008</v>
      </c>
      <c r="I378" s="724">
        <v>6957.36</v>
      </c>
      <c r="J378" s="726">
        <v>106.86</v>
      </c>
      <c r="K378" s="725">
        <v>1122.1199999999999</v>
      </c>
      <c r="L378" s="724">
        <v>287.57</v>
      </c>
      <c r="M378" s="724">
        <v>2880.73</v>
      </c>
      <c r="N378" s="724">
        <v>194.32</v>
      </c>
    </row>
    <row r="379" spans="1:14" ht="15">
      <c r="A379" s="705"/>
      <c r="B379" s="705"/>
      <c r="C379" s="722" t="s">
        <v>616</v>
      </c>
      <c r="D379" s="717">
        <v>8704.18</v>
      </c>
      <c r="E379" s="723">
        <v>9048.7800000000007</v>
      </c>
      <c r="F379" s="724">
        <v>14069.24</v>
      </c>
      <c r="G379" s="725">
        <v>12249.25</v>
      </c>
      <c r="H379" s="724">
        <v>8922.25</v>
      </c>
      <c r="I379" s="724">
        <v>6970.79</v>
      </c>
      <c r="J379" s="726">
        <v>107.35</v>
      </c>
      <c r="K379" s="725">
        <v>1118</v>
      </c>
      <c r="L379" s="724">
        <v>287.29000000000002</v>
      </c>
      <c r="M379" s="724">
        <v>2877.99</v>
      </c>
      <c r="N379" s="724">
        <v>193.62</v>
      </c>
    </row>
    <row r="380" spans="1:14" ht="15">
      <c r="A380" s="705"/>
      <c r="B380" s="705"/>
      <c r="C380" s="722" t="s">
        <v>617</v>
      </c>
      <c r="D380" s="717">
        <v>8712.44</v>
      </c>
      <c r="E380" s="723">
        <v>9047.25</v>
      </c>
      <c r="F380" s="724">
        <v>14059.46</v>
      </c>
      <c r="G380" s="725">
        <v>12242.67</v>
      </c>
      <c r="H380" s="724">
        <v>8920</v>
      </c>
      <c r="I380" s="724">
        <v>6973.75</v>
      </c>
      <c r="J380" s="726">
        <v>107.8</v>
      </c>
      <c r="K380" s="725">
        <v>1118.98</v>
      </c>
      <c r="L380" s="724">
        <v>287.48</v>
      </c>
      <c r="M380" s="724">
        <v>2876.71</v>
      </c>
      <c r="N380" s="724">
        <v>193.13</v>
      </c>
    </row>
    <row r="381" spans="1:14" ht="15">
      <c r="A381" s="705"/>
      <c r="B381" s="705"/>
      <c r="C381" s="722" t="s">
        <v>618</v>
      </c>
      <c r="D381" s="717">
        <v>8735.58</v>
      </c>
      <c r="E381" s="723">
        <v>9037.2800000000007</v>
      </c>
      <c r="F381" s="724">
        <v>14051.53</v>
      </c>
      <c r="G381" s="725">
        <v>12235.44</v>
      </c>
      <c r="H381" s="724">
        <v>8894.7800000000007</v>
      </c>
      <c r="I381" s="724">
        <v>6971.53</v>
      </c>
      <c r="J381" s="726">
        <v>108.81</v>
      </c>
      <c r="K381" s="725">
        <v>1122.01</v>
      </c>
      <c r="L381" s="724">
        <v>287.56</v>
      </c>
      <c r="M381" s="724">
        <v>2871.17</v>
      </c>
      <c r="N381" s="724">
        <v>191.66</v>
      </c>
    </row>
    <row r="382" spans="1:14" ht="15">
      <c r="A382" s="705"/>
      <c r="B382" s="705"/>
      <c r="C382" s="722" t="s">
        <v>619</v>
      </c>
      <c r="D382" s="717">
        <v>8756.98</v>
      </c>
      <c r="E382" s="723">
        <v>9042.15</v>
      </c>
      <c r="F382" s="724">
        <v>14066.39</v>
      </c>
      <c r="G382" s="725">
        <v>12233.28</v>
      </c>
      <c r="H382" s="724">
        <v>8884.3799999999992</v>
      </c>
      <c r="I382" s="724">
        <v>6972.15</v>
      </c>
      <c r="J382" s="726">
        <v>109.42</v>
      </c>
      <c r="K382" s="725">
        <v>1124.83</v>
      </c>
      <c r="L382" s="724">
        <v>287.83</v>
      </c>
      <c r="M382" s="724">
        <v>2869.83</v>
      </c>
      <c r="N382" s="724">
        <v>190.48</v>
      </c>
    </row>
    <row r="383" spans="1:14" ht="15">
      <c r="A383" s="705"/>
      <c r="B383" s="705"/>
      <c r="C383" s="722" t="s">
        <v>620</v>
      </c>
      <c r="D383" s="717">
        <v>8782.4</v>
      </c>
      <c r="E383" s="723">
        <v>9052.2099999999991</v>
      </c>
      <c r="F383" s="724">
        <v>14074.06</v>
      </c>
      <c r="G383" s="725">
        <v>12214.51</v>
      </c>
      <c r="H383" s="724">
        <v>8881.81</v>
      </c>
      <c r="I383" s="724">
        <v>6974.93</v>
      </c>
      <c r="J383" s="726">
        <v>109.99</v>
      </c>
      <c r="K383" s="725">
        <v>1128.1600000000001</v>
      </c>
      <c r="L383" s="724">
        <v>288.14999999999998</v>
      </c>
      <c r="M383" s="724">
        <v>2869.84</v>
      </c>
      <c r="N383" s="724">
        <v>189.1</v>
      </c>
    </row>
    <row r="384" spans="1:14" ht="15">
      <c r="A384" s="705"/>
      <c r="B384" s="705"/>
      <c r="C384" s="722" t="s">
        <v>621</v>
      </c>
      <c r="D384" s="717">
        <v>8754.4</v>
      </c>
      <c r="E384" s="723">
        <v>9054.9500000000007</v>
      </c>
      <c r="F384" s="724">
        <v>14062.01</v>
      </c>
      <c r="G384" s="725">
        <v>12234.23</v>
      </c>
      <c r="H384" s="724">
        <v>8860.0300000000007</v>
      </c>
      <c r="I384" s="724">
        <v>6970.71</v>
      </c>
      <c r="J384" s="726">
        <v>110.05</v>
      </c>
      <c r="K384" s="725">
        <v>1124.48</v>
      </c>
      <c r="L384" s="724">
        <v>287.20999999999998</v>
      </c>
      <c r="M384" s="724">
        <v>2861.38</v>
      </c>
      <c r="N384" s="724">
        <v>187.96</v>
      </c>
    </row>
    <row r="385" spans="1:14" ht="15">
      <c r="A385" s="705"/>
      <c r="B385" s="705"/>
      <c r="C385" s="722" t="s">
        <v>622</v>
      </c>
      <c r="D385" s="717">
        <v>8737.0400000000009</v>
      </c>
      <c r="E385" s="723">
        <v>9059.33</v>
      </c>
      <c r="F385" s="724">
        <v>14028.37</v>
      </c>
      <c r="G385" s="725">
        <v>12236.83</v>
      </c>
      <c r="H385" s="724">
        <v>8843.5300000000007</v>
      </c>
      <c r="I385" s="724">
        <v>6967.8</v>
      </c>
      <c r="J385" s="726">
        <v>110.22</v>
      </c>
      <c r="K385" s="725">
        <v>1122.31</v>
      </c>
      <c r="L385" s="724">
        <v>286.85000000000002</v>
      </c>
      <c r="M385" s="724">
        <v>2854.33</v>
      </c>
      <c r="N385" s="724">
        <v>187.13</v>
      </c>
    </row>
    <row r="386" spans="1:14" ht="15">
      <c r="A386" s="705"/>
      <c r="B386" s="705"/>
      <c r="C386" s="722" t="s">
        <v>623</v>
      </c>
      <c r="D386" s="717">
        <v>8733.16</v>
      </c>
      <c r="E386" s="723">
        <v>9083.4</v>
      </c>
      <c r="F386" s="724">
        <v>14010.01</v>
      </c>
      <c r="G386" s="725">
        <v>12234.49</v>
      </c>
      <c r="H386" s="724">
        <v>8828.66</v>
      </c>
      <c r="I386" s="724">
        <v>6974.12</v>
      </c>
      <c r="J386" s="726">
        <v>110.52</v>
      </c>
      <c r="K386" s="725">
        <v>1121.94</v>
      </c>
      <c r="L386" s="724">
        <v>286.64999999999998</v>
      </c>
      <c r="M386" s="724">
        <v>2850.7</v>
      </c>
      <c r="N386" s="724">
        <v>186.31</v>
      </c>
    </row>
    <row r="387" spans="1:14" ht="15">
      <c r="A387" s="705"/>
      <c r="B387" s="705"/>
      <c r="C387" s="722" t="s">
        <v>624</v>
      </c>
      <c r="D387" s="717">
        <v>8740.15</v>
      </c>
      <c r="E387" s="723">
        <v>9085.93</v>
      </c>
      <c r="F387" s="724">
        <v>14001.24</v>
      </c>
      <c r="G387" s="725">
        <v>12212.64</v>
      </c>
      <c r="H387" s="724">
        <v>8807.4699999999993</v>
      </c>
      <c r="I387" s="724">
        <v>6981.85</v>
      </c>
      <c r="J387" s="726">
        <v>111.32</v>
      </c>
      <c r="K387" s="725">
        <v>1122.75</v>
      </c>
      <c r="L387" s="724">
        <v>286.51</v>
      </c>
      <c r="M387" s="724">
        <v>2848.51</v>
      </c>
      <c r="N387" s="724">
        <v>185.22</v>
      </c>
    </row>
    <row r="388" spans="1:14" ht="15">
      <c r="A388" s="705"/>
      <c r="B388" s="705"/>
      <c r="C388" s="722" t="s">
        <v>625</v>
      </c>
      <c r="D388" s="717">
        <v>8769.5400000000009</v>
      </c>
      <c r="E388" s="723">
        <v>9067.8799999999992</v>
      </c>
      <c r="F388" s="724">
        <v>13993.24</v>
      </c>
      <c r="G388" s="725">
        <v>12184.11</v>
      </c>
      <c r="H388" s="724">
        <v>8790.9599999999991</v>
      </c>
      <c r="I388" s="724">
        <v>6990.5</v>
      </c>
      <c r="J388" s="726">
        <v>112.38</v>
      </c>
      <c r="K388" s="725">
        <v>1126.25</v>
      </c>
      <c r="L388" s="724">
        <v>286.91000000000003</v>
      </c>
      <c r="M388" s="724">
        <v>2847.86</v>
      </c>
      <c r="N388" s="724">
        <v>184.12</v>
      </c>
    </row>
    <row r="389" spans="1:14" ht="15">
      <c r="A389" s="705"/>
      <c r="B389" s="705"/>
      <c r="C389" s="722" t="s">
        <v>626</v>
      </c>
      <c r="D389" s="717">
        <v>8804.83</v>
      </c>
      <c r="E389" s="723">
        <v>9063.44</v>
      </c>
      <c r="F389" s="724">
        <v>13999.58</v>
      </c>
      <c r="G389" s="725">
        <v>12162.52</v>
      </c>
      <c r="H389" s="724">
        <v>8794.9699999999993</v>
      </c>
      <c r="I389" s="724">
        <v>6999.72</v>
      </c>
      <c r="J389" s="726">
        <v>113.4</v>
      </c>
      <c r="K389" s="725">
        <v>1130.76</v>
      </c>
      <c r="L389" s="724">
        <v>287.86</v>
      </c>
      <c r="M389" s="724">
        <v>2851.05</v>
      </c>
      <c r="N389" s="724">
        <v>183.03</v>
      </c>
    </row>
    <row r="390" spans="1:14" ht="15">
      <c r="A390" s="705"/>
      <c r="B390" s="705"/>
      <c r="C390" s="722" t="s">
        <v>627</v>
      </c>
      <c r="D390" s="717">
        <v>8854.75</v>
      </c>
      <c r="E390" s="723">
        <v>9047.09</v>
      </c>
      <c r="F390" s="724">
        <v>14051.16</v>
      </c>
      <c r="G390" s="725">
        <v>12151.87</v>
      </c>
      <c r="H390" s="724">
        <v>8775.23</v>
      </c>
      <c r="I390" s="724">
        <v>7001.28</v>
      </c>
      <c r="J390" s="726">
        <v>114.69</v>
      </c>
      <c r="K390" s="725">
        <v>1137.22</v>
      </c>
      <c r="L390" s="724">
        <v>289.02999999999997</v>
      </c>
      <c r="M390" s="724">
        <v>2853.52</v>
      </c>
      <c r="N390" s="724">
        <v>181.28</v>
      </c>
    </row>
    <row r="391" spans="1:14" ht="15">
      <c r="A391" s="705"/>
      <c r="B391" s="705"/>
      <c r="C391" s="722" t="s">
        <v>628</v>
      </c>
      <c r="D391" s="717">
        <v>8964.93</v>
      </c>
      <c r="E391" s="723">
        <v>9060.2099999999991</v>
      </c>
      <c r="F391" s="724">
        <v>14085.32</v>
      </c>
      <c r="G391" s="725">
        <v>12133.45</v>
      </c>
      <c r="H391" s="724">
        <v>8787.4599999999991</v>
      </c>
      <c r="I391" s="724">
        <v>6984.57</v>
      </c>
      <c r="J391" s="726">
        <v>116.14</v>
      </c>
      <c r="K391" s="725">
        <v>1151.8599999999999</v>
      </c>
      <c r="L391" s="724">
        <v>290.18</v>
      </c>
      <c r="M391" s="724">
        <v>2850.85</v>
      </c>
      <c r="N391" s="724">
        <v>178.55</v>
      </c>
    </row>
    <row r="392" spans="1:14" ht="15">
      <c r="A392" s="705"/>
      <c r="B392" s="705"/>
      <c r="C392" s="722" t="s">
        <v>629</v>
      </c>
      <c r="D392" s="717">
        <v>8981.5400000000009</v>
      </c>
      <c r="E392" s="723">
        <v>9066.31</v>
      </c>
      <c r="F392" s="724">
        <v>14115.63</v>
      </c>
      <c r="G392" s="725">
        <v>12134.37</v>
      </c>
      <c r="H392" s="724">
        <v>8773.1299999999992</v>
      </c>
      <c r="I392" s="724">
        <v>6978.28</v>
      </c>
      <c r="J392" s="726">
        <v>116.23</v>
      </c>
      <c r="K392" s="725">
        <v>1154.3</v>
      </c>
      <c r="L392" s="724">
        <v>290.07</v>
      </c>
      <c r="M392" s="724">
        <v>2850.31</v>
      </c>
      <c r="N392" s="724">
        <v>177.62</v>
      </c>
    </row>
    <row r="393" spans="1:14" ht="15">
      <c r="A393" s="705"/>
      <c r="B393" s="705"/>
      <c r="C393" s="722" t="s">
        <v>630</v>
      </c>
      <c r="D393" s="717">
        <v>9028.25</v>
      </c>
      <c r="E393" s="723">
        <v>9130.56</v>
      </c>
      <c r="F393" s="724">
        <v>14192.34</v>
      </c>
      <c r="G393" s="725">
        <v>12104.6</v>
      </c>
      <c r="H393" s="724">
        <v>8813.7199999999993</v>
      </c>
      <c r="I393" s="724">
        <v>6992.75</v>
      </c>
      <c r="J393" s="726">
        <v>116.19</v>
      </c>
      <c r="K393" s="725">
        <v>1160.44</v>
      </c>
      <c r="L393" s="724">
        <v>291.29000000000002</v>
      </c>
      <c r="M393" s="724">
        <v>2862.91</v>
      </c>
      <c r="N393" s="724">
        <v>175.68</v>
      </c>
    </row>
    <row r="394" spans="1:14" ht="15">
      <c r="A394" s="705"/>
      <c r="B394" s="715" t="s">
        <v>631</v>
      </c>
      <c r="C394" s="722"/>
      <c r="D394" s="717"/>
      <c r="E394" s="710"/>
      <c r="F394" s="705"/>
      <c r="G394" s="706"/>
      <c r="H394" s="705"/>
      <c r="I394" s="705"/>
      <c r="J394" s="718"/>
      <c r="K394" s="706"/>
      <c r="L394" s="705"/>
      <c r="M394" s="705"/>
      <c r="N394" s="705"/>
    </row>
    <row r="395" spans="1:14" ht="15">
      <c r="A395" s="705"/>
      <c r="B395" s="705"/>
      <c r="C395" s="727" t="s">
        <v>632</v>
      </c>
      <c r="D395" s="728">
        <v>9034.48</v>
      </c>
      <c r="E395" s="729">
        <v>9027.5300000000007</v>
      </c>
      <c r="F395" s="730">
        <v>14182.53</v>
      </c>
      <c r="G395" s="730">
        <v>12037</v>
      </c>
      <c r="H395" s="730">
        <v>9077.89</v>
      </c>
      <c r="I395" s="730">
        <v>7012.86</v>
      </c>
      <c r="J395" s="729">
        <v>109.4</v>
      </c>
      <c r="K395" s="730">
        <v>1161.26</v>
      </c>
      <c r="L395" s="730">
        <v>296.69</v>
      </c>
      <c r="M395" s="730">
        <v>2946.03</v>
      </c>
      <c r="N395" s="730">
        <v>199.4</v>
      </c>
    </row>
    <row r="396" spans="1:14" ht="15">
      <c r="A396" s="705"/>
      <c r="B396" s="705"/>
      <c r="C396" s="727" t="s">
        <v>633</v>
      </c>
      <c r="D396" s="717">
        <v>8932.31</v>
      </c>
      <c r="E396" s="731">
        <v>9010.1</v>
      </c>
      <c r="F396" s="732">
        <v>14406.82</v>
      </c>
      <c r="G396" s="733">
        <v>12207.66</v>
      </c>
      <c r="H396" s="732">
        <v>9029.1200000000008</v>
      </c>
      <c r="I396" s="732">
        <v>7000.58</v>
      </c>
      <c r="J396" s="717">
        <v>108.33</v>
      </c>
      <c r="K396" s="733">
        <v>1146.73</v>
      </c>
      <c r="L396" s="732">
        <v>290.82</v>
      </c>
      <c r="M396" s="732">
        <v>2933.69</v>
      </c>
      <c r="N396" s="732">
        <v>196.47</v>
      </c>
    </row>
    <row r="397" spans="1:14" ht="15">
      <c r="A397" s="705"/>
      <c r="B397" s="705"/>
      <c r="C397" s="727" t="s">
        <v>634</v>
      </c>
      <c r="D397" s="717">
        <v>8772.9500000000007</v>
      </c>
      <c r="E397" s="731">
        <v>8836.66</v>
      </c>
      <c r="F397" s="732">
        <v>14198.24</v>
      </c>
      <c r="G397" s="733">
        <v>12258.41</v>
      </c>
      <c r="H397" s="732">
        <v>8981.08</v>
      </c>
      <c r="I397" s="732">
        <v>6909.3</v>
      </c>
      <c r="J397" s="717">
        <v>107.47</v>
      </c>
      <c r="K397" s="733">
        <v>1125.79</v>
      </c>
      <c r="L397" s="732">
        <v>288.77999999999997</v>
      </c>
      <c r="M397" s="732">
        <v>2887.89</v>
      </c>
      <c r="N397" s="732">
        <v>194.71</v>
      </c>
    </row>
    <row r="398" spans="1:14" ht="15">
      <c r="A398" s="705"/>
      <c r="B398" s="705"/>
      <c r="C398" s="727" t="s">
        <v>635</v>
      </c>
      <c r="D398" s="717">
        <v>8675.44</v>
      </c>
      <c r="E398" s="731">
        <v>9062.48</v>
      </c>
      <c r="F398" s="732">
        <v>14082.36</v>
      </c>
      <c r="G398" s="733">
        <v>12414.8</v>
      </c>
      <c r="H398" s="732">
        <v>9003.4699999999993</v>
      </c>
      <c r="I398" s="732">
        <v>6910.39</v>
      </c>
      <c r="J398" s="717">
        <v>103.94</v>
      </c>
      <c r="K398" s="733">
        <v>1115.25</v>
      </c>
      <c r="L398" s="732">
        <v>287.79000000000002</v>
      </c>
      <c r="M398" s="732">
        <v>2868.77</v>
      </c>
      <c r="N398" s="732">
        <v>195.3</v>
      </c>
    </row>
    <row r="399" spans="1:14" ht="15">
      <c r="A399" s="705"/>
      <c r="B399" s="705"/>
      <c r="C399" s="727" t="s">
        <v>636</v>
      </c>
      <c r="D399" s="717">
        <v>8575.6</v>
      </c>
      <c r="E399" s="731">
        <v>9187.0400000000009</v>
      </c>
      <c r="F399" s="732">
        <v>14046.04</v>
      </c>
      <c r="G399" s="733">
        <v>12372.37</v>
      </c>
      <c r="H399" s="732">
        <v>8899.94</v>
      </c>
      <c r="I399" s="732">
        <v>6933.39</v>
      </c>
      <c r="J399" s="717">
        <v>105.39</v>
      </c>
      <c r="K399" s="733">
        <v>1103.1099999999999</v>
      </c>
      <c r="L399" s="732">
        <v>284.27</v>
      </c>
      <c r="M399" s="732">
        <v>2852.12</v>
      </c>
      <c r="N399" s="732">
        <v>191.38</v>
      </c>
    </row>
    <row r="400" spans="1:14" ht="15">
      <c r="A400" s="705"/>
      <c r="B400" s="705"/>
      <c r="C400" s="727" t="s">
        <v>637</v>
      </c>
      <c r="D400" s="717">
        <v>8557.75</v>
      </c>
      <c r="E400" s="731">
        <v>9094.48</v>
      </c>
      <c r="F400" s="732">
        <v>13955.15</v>
      </c>
      <c r="G400" s="733">
        <v>12313.7</v>
      </c>
      <c r="H400" s="732">
        <v>8766.8799999999992</v>
      </c>
      <c r="I400" s="732">
        <v>6953.23</v>
      </c>
      <c r="J400" s="717">
        <v>106.27</v>
      </c>
      <c r="K400" s="733">
        <v>1099.19</v>
      </c>
      <c r="L400" s="732">
        <v>281.16000000000003</v>
      </c>
      <c r="M400" s="732">
        <v>2828.75</v>
      </c>
      <c r="N400" s="732">
        <v>190.63</v>
      </c>
    </row>
    <row r="401" spans="1:14" ht="15">
      <c r="A401" s="705"/>
      <c r="B401" s="705"/>
      <c r="C401" s="727" t="s">
        <v>638</v>
      </c>
      <c r="D401" s="717">
        <v>8555.25</v>
      </c>
      <c r="E401" s="731">
        <v>9145.23</v>
      </c>
      <c r="F401" s="732">
        <v>13741.72</v>
      </c>
      <c r="G401" s="733">
        <v>12215.77</v>
      </c>
      <c r="H401" s="732">
        <v>8893.67</v>
      </c>
      <c r="I401" s="732">
        <v>6991.87</v>
      </c>
      <c r="J401" s="717">
        <v>106.92</v>
      </c>
      <c r="K401" s="733">
        <v>1098.49</v>
      </c>
      <c r="L401" s="732">
        <v>282.02999999999997</v>
      </c>
      <c r="M401" s="732">
        <v>2838.67</v>
      </c>
      <c r="N401" s="732">
        <v>191.79</v>
      </c>
    </row>
    <row r="402" spans="1:14" ht="15">
      <c r="A402" s="705"/>
      <c r="B402" s="705"/>
      <c r="C402" s="727" t="s">
        <v>639</v>
      </c>
      <c r="D402" s="717">
        <v>8524.2000000000007</v>
      </c>
      <c r="E402" s="731">
        <v>9007.73</v>
      </c>
      <c r="F402" s="732">
        <v>13948.65</v>
      </c>
      <c r="G402" s="733">
        <v>12207.12</v>
      </c>
      <c r="H402" s="732">
        <v>8738.5499999999993</v>
      </c>
      <c r="I402" s="732">
        <v>7051.41</v>
      </c>
      <c r="J402" s="717">
        <v>110.34</v>
      </c>
      <c r="K402" s="733">
        <v>1093.29</v>
      </c>
      <c r="L402" s="732">
        <v>285.57</v>
      </c>
      <c r="M402" s="732">
        <v>2861.54</v>
      </c>
      <c r="N402" s="732">
        <v>189.46</v>
      </c>
    </row>
    <row r="403" spans="1:14" ht="15">
      <c r="A403" s="705"/>
      <c r="B403" s="705"/>
      <c r="C403" s="727" t="s">
        <v>640</v>
      </c>
      <c r="D403" s="717">
        <v>8857</v>
      </c>
      <c r="E403" s="731">
        <v>9020.5499999999993</v>
      </c>
      <c r="F403" s="732">
        <v>13888.35</v>
      </c>
      <c r="G403" s="733">
        <v>12127.49</v>
      </c>
      <c r="H403" s="732">
        <v>8880.5400000000009</v>
      </c>
      <c r="I403" s="732">
        <v>7025.46</v>
      </c>
      <c r="J403" s="717">
        <v>115.58</v>
      </c>
      <c r="K403" s="733">
        <v>1136.03</v>
      </c>
      <c r="L403" s="732">
        <v>290.93</v>
      </c>
      <c r="M403" s="732">
        <v>2854.36</v>
      </c>
      <c r="N403" s="732">
        <v>184.6</v>
      </c>
    </row>
    <row r="404" spans="1:14" ht="15">
      <c r="A404" s="705"/>
      <c r="B404" s="705"/>
      <c r="C404" s="727" t="s">
        <v>641</v>
      </c>
      <c r="D404" s="717">
        <v>8906.7999999999993</v>
      </c>
      <c r="E404" s="731">
        <v>8963.51</v>
      </c>
      <c r="F404" s="732">
        <v>13992.89</v>
      </c>
      <c r="G404" s="733">
        <v>12182</v>
      </c>
      <c r="H404" s="732">
        <v>8708.2000000000007</v>
      </c>
      <c r="I404" s="732">
        <v>6955.13</v>
      </c>
      <c r="J404" s="717">
        <v>116.29</v>
      </c>
      <c r="K404" s="733">
        <v>1144.46</v>
      </c>
      <c r="L404" s="732">
        <v>288.11</v>
      </c>
      <c r="M404" s="732">
        <v>2830.14</v>
      </c>
      <c r="N404" s="732">
        <v>180.73</v>
      </c>
    </row>
    <row r="405" spans="1:14" ht="15">
      <c r="A405" s="705"/>
      <c r="B405" s="705"/>
      <c r="C405" s="727" t="s">
        <v>642</v>
      </c>
      <c r="D405" s="717">
        <v>8981.75</v>
      </c>
      <c r="E405" s="731">
        <v>9093.31</v>
      </c>
      <c r="F405" s="732">
        <v>14222.41</v>
      </c>
      <c r="G405" s="733">
        <v>12210.51</v>
      </c>
      <c r="H405" s="732">
        <v>8775.1299999999992</v>
      </c>
      <c r="I405" s="732">
        <v>6978.67</v>
      </c>
      <c r="J405" s="717">
        <v>115.88</v>
      </c>
      <c r="K405" s="733">
        <v>1154.3900000000001</v>
      </c>
      <c r="L405" s="732">
        <v>290.69</v>
      </c>
      <c r="M405" s="732">
        <v>2855.83</v>
      </c>
      <c r="N405" s="732">
        <v>178.12</v>
      </c>
    </row>
    <row r="406" spans="1:14" ht="15">
      <c r="A406" s="705"/>
      <c r="B406" s="705"/>
      <c r="C406" s="727" t="s">
        <v>643</v>
      </c>
      <c r="D406" s="717">
        <v>9074.75</v>
      </c>
      <c r="E406" s="731">
        <v>9167.81</v>
      </c>
      <c r="F406" s="732">
        <v>14162.28</v>
      </c>
      <c r="G406" s="733">
        <v>11998.69</v>
      </c>
      <c r="H406" s="732">
        <v>8852.31</v>
      </c>
      <c r="I406" s="732">
        <v>7006.84</v>
      </c>
      <c r="J406" s="717">
        <v>116.51</v>
      </c>
      <c r="K406" s="733">
        <v>1166.49</v>
      </c>
      <c r="L406" s="732">
        <v>291.89999999999998</v>
      </c>
      <c r="M406" s="732">
        <v>2870</v>
      </c>
      <c r="N406" s="732">
        <v>173.24</v>
      </c>
    </row>
    <row r="407" spans="1:14" ht="15">
      <c r="A407" s="705"/>
      <c r="B407" s="705"/>
      <c r="C407" s="727"/>
      <c r="D407" s="717"/>
      <c r="E407" s="710"/>
      <c r="F407" s="705"/>
      <c r="G407" s="706"/>
      <c r="H407" s="705"/>
      <c r="I407" s="705"/>
      <c r="J407" s="726"/>
      <c r="K407" s="706"/>
      <c r="L407" s="705"/>
      <c r="M407" s="705"/>
      <c r="N407" s="705"/>
    </row>
    <row r="408" spans="1:14" ht="15">
      <c r="A408" s="715" t="s">
        <v>644</v>
      </c>
      <c r="B408" s="705"/>
      <c r="C408" s="722"/>
      <c r="D408" s="717"/>
      <c r="E408" s="710"/>
      <c r="F408" s="705"/>
      <c r="G408" s="706"/>
      <c r="H408" s="705"/>
      <c r="I408" s="705"/>
      <c r="J408" s="718"/>
      <c r="K408" s="706"/>
      <c r="L408" s="705"/>
      <c r="M408" s="705"/>
      <c r="N408" s="705"/>
    </row>
    <row r="409" spans="1:14" ht="15">
      <c r="A409" s="715"/>
      <c r="B409" s="715" t="s">
        <v>645</v>
      </c>
      <c r="C409" s="722"/>
      <c r="D409" s="717"/>
      <c r="E409" s="710"/>
      <c r="F409" s="705"/>
      <c r="G409" s="706"/>
      <c r="H409" s="705"/>
      <c r="I409" s="705"/>
      <c r="J409" s="718"/>
      <c r="K409" s="706"/>
      <c r="L409" s="705"/>
      <c r="M409" s="705"/>
      <c r="N409" s="705"/>
    </row>
    <row r="410" spans="1:14" ht="15">
      <c r="A410" s="705"/>
      <c r="B410" s="705"/>
      <c r="C410" s="719">
        <v>40909</v>
      </c>
      <c r="D410" s="717">
        <v>9069</v>
      </c>
      <c r="E410" s="720">
        <v>9134.48</v>
      </c>
      <c r="F410" s="720">
        <v>14187.54</v>
      </c>
      <c r="G410" s="720">
        <v>11840.49</v>
      </c>
      <c r="H410" s="720">
        <v>8831.61</v>
      </c>
      <c r="I410" s="720">
        <v>6991.32</v>
      </c>
      <c r="J410" s="718">
        <v>116.25</v>
      </c>
      <c r="K410" s="720">
        <v>1165.32</v>
      </c>
      <c r="L410" s="720">
        <v>290</v>
      </c>
      <c r="M410" s="720">
        <v>2860.74</v>
      </c>
      <c r="N410" s="720">
        <v>171.93</v>
      </c>
    </row>
    <row r="411" spans="1:14" ht="15">
      <c r="A411" s="705"/>
      <c r="B411" s="705"/>
      <c r="C411" s="719">
        <v>40910</v>
      </c>
      <c r="D411" s="734">
        <v>9076</v>
      </c>
      <c r="E411" s="720">
        <v>9208.83</v>
      </c>
      <c r="F411" s="720">
        <v>14113.47</v>
      </c>
      <c r="G411" s="720">
        <v>11811.89</v>
      </c>
      <c r="H411" s="720">
        <v>8896.6</v>
      </c>
      <c r="I411" s="720">
        <v>6994.9</v>
      </c>
      <c r="J411" s="718">
        <v>116.63</v>
      </c>
      <c r="K411" s="720">
        <v>1167.21</v>
      </c>
      <c r="L411" s="720">
        <v>287.60000000000002</v>
      </c>
      <c r="M411" s="720">
        <v>2866.53</v>
      </c>
      <c r="N411" s="720">
        <v>171.36</v>
      </c>
    </row>
    <row r="412" spans="1:14" ht="15">
      <c r="A412" s="705"/>
      <c r="B412" s="705"/>
      <c r="C412" s="719">
        <v>40911</v>
      </c>
      <c r="D412" s="734">
        <v>9076</v>
      </c>
      <c r="E412" s="720">
        <v>9208.83</v>
      </c>
      <c r="F412" s="720">
        <v>14113.47</v>
      </c>
      <c r="G412" s="720">
        <v>11811.89</v>
      </c>
      <c r="H412" s="720">
        <v>8896.6</v>
      </c>
      <c r="I412" s="720">
        <v>6994.9</v>
      </c>
      <c r="J412" s="718">
        <v>116.63</v>
      </c>
      <c r="K412" s="720">
        <v>1167.21</v>
      </c>
      <c r="L412" s="720">
        <v>287.60000000000002</v>
      </c>
      <c r="M412" s="720">
        <v>2866.53</v>
      </c>
      <c r="N412" s="720">
        <v>171.36</v>
      </c>
    </row>
    <row r="413" spans="1:14" ht="15">
      <c r="A413" s="705"/>
      <c r="B413" s="705"/>
      <c r="C413" s="719">
        <v>40912</v>
      </c>
      <c r="D413" s="734">
        <v>9076</v>
      </c>
      <c r="E413" s="720">
        <v>9208.83</v>
      </c>
      <c r="F413" s="720">
        <v>14113.47</v>
      </c>
      <c r="G413" s="720">
        <v>11811.89</v>
      </c>
      <c r="H413" s="720">
        <v>8896.6</v>
      </c>
      <c r="I413" s="720">
        <v>6994.9</v>
      </c>
      <c r="J413" s="718">
        <v>116.63</v>
      </c>
      <c r="K413" s="720">
        <v>1167.21</v>
      </c>
      <c r="L413" s="720">
        <v>287.60000000000002</v>
      </c>
      <c r="M413" s="720">
        <v>2866.53</v>
      </c>
      <c r="N413" s="720">
        <v>171.36</v>
      </c>
    </row>
    <row r="414" spans="1:14" ht="15">
      <c r="A414" s="705"/>
      <c r="B414" s="705"/>
      <c r="C414" s="719">
        <v>40913</v>
      </c>
      <c r="D414" s="734">
        <v>9076</v>
      </c>
      <c r="E414" s="720">
        <v>9208.83</v>
      </c>
      <c r="F414" s="720">
        <v>14113.47</v>
      </c>
      <c r="G414" s="720">
        <v>11811.89</v>
      </c>
      <c r="H414" s="720">
        <v>8896.6</v>
      </c>
      <c r="I414" s="720">
        <v>6994.9</v>
      </c>
      <c r="J414" s="718">
        <v>116.63</v>
      </c>
      <c r="K414" s="720">
        <v>1167.21</v>
      </c>
      <c r="L414" s="720">
        <v>287.60000000000002</v>
      </c>
      <c r="M414" s="720">
        <v>2866.53</v>
      </c>
      <c r="N414" s="720">
        <v>171.36</v>
      </c>
    </row>
    <row r="415" spans="1:14" ht="15">
      <c r="A415" s="705"/>
      <c r="B415" s="705"/>
      <c r="C415" s="719">
        <v>40914</v>
      </c>
      <c r="D415" s="734">
        <v>9076</v>
      </c>
      <c r="E415" s="720">
        <v>9208.83</v>
      </c>
      <c r="F415" s="720">
        <v>14113.47</v>
      </c>
      <c r="G415" s="720">
        <v>11811.89</v>
      </c>
      <c r="H415" s="720">
        <v>8896.6</v>
      </c>
      <c r="I415" s="720">
        <v>6994.9</v>
      </c>
      <c r="J415" s="718">
        <v>116.63</v>
      </c>
      <c r="K415" s="720">
        <v>1167.21</v>
      </c>
      <c r="L415" s="720">
        <v>287.60000000000002</v>
      </c>
      <c r="M415" s="720">
        <v>2866.53</v>
      </c>
      <c r="N415" s="720">
        <v>171.36</v>
      </c>
    </row>
    <row r="416" spans="1:14" ht="15">
      <c r="A416" s="705"/>
      <c r="B416" s="705"/>
      <c r="C416" s="719">
        <v>40915</v>
      </c>
      <c r="D416" s="734">
        <v>9076</v>
      </c>
      <c r="E416" s="720">
        <v>9208.83</v>
      </c>
      <c r="F416" s="720">
        <v>14113.47</v>
      </c>
      <c r="G416" s="720">
        <v>11811.89</v>
      </c>
      <c r="H416" s="720">
        <v>8896.6</v>
      </c>
      <c r="I416" s="720">
        <v>6994.9</v>
      </c>
      <c r="J416" s="718">
        <v>116.63</v>
      </c>
      <c r="K416" s="720">
        <v>1167.21</v>
      </c>
      <c r="L416" s="720">
        <v>287.60000000000002</v>
      </c>
      <c r="M416" s="720">
        <v>2866.53</v>
      </c>
      <c r="N416" s="720">
        <v>171.36</v>
      </c>
    </row>
    <row r="417" spans="1:14" ht="15">
      <c r="A417" s="705"/>
      <c r="B417" s="705"/>
      <c r="C417" s="719">
        <v>40916</v>
      </c>
      <c r="D417" s="734">
        <v>9076</v>
      </c>
      <c r="E417" s="720">
        <v>9208.83</v>
      </c>
      <c r="F417" s="720">
        <v>14113.47</v>
      </c>
      <c r="G417" s="720">
        <v>11811.89</v>
      </c>
      <c r="H417" s="720">
        <v>8896.6</v>
      </c>
      <c r="I417" s="720">
        <v>6994.9</v>
      </c>
      <c r="J417" s="718">
        <v>116.63</v>
      </c>
      <c r="K417" s="720">
        <v>1167.21</v>
      </c>
      <c r="L417" s="720">
        <v>287.60000000000002</v>
      </c>
      <c r="M417" s="720">
        <v>2866.53</v>
      </c>
      <c r="N417" s="720">
        <v>171.36</v>
      </c>
    </row>
    <row r="418" spans="1:14" ht="15">
      <c r="A418" s="705"/>
      <c r="B418" s="705"/>
      <c r="C418" s="719">
        <v>40917</v>
      </c>
      <c r="D418" s="734">
        <v>9136</v>
      </c>
      <c r="E418" s="720">
        <v>9389.73</v>
      </c>
      <c r="F418" s="720">
        <v>14207.74</v>
      </c>
      <c r="G418" s="720">
        <v>11806.04</v>
      </c>
      <c r="H418" s="720">
        <v>8985.8799999999992</v>
      </c>
      <c r="I418" s="720">
        <v>7074.8</v>
      </c>
      <c r="J418" s="718">
        <v>118.85</v>
      </c>
      <c r="K418" s="720">
        <v>1176.1600000000001</v>
      </c>
      <c r="L418" s="720">
        <v>289.55</v>
      </c>
      <c r="M418" s="720">
        <v>2899.32</v>
      </c>
      <c r="N418" s="720">
        <v>171.96</v>
      </c>
    </row>
    <row r="419" spans="1:14" ht="15">
      <c r="A419" s="705"/>
      <c r="B419" s="705"/>
      <c r="C419" s="719">
        <v>40918</v>
      </c>
      <c r="D419" s="734">
        <v>9136</v>
      </c>
      <c r="E419" s="720">
        <v>9389.73</v>
      </c>
      <c r="F419" s="720">
        <v>14207.74</v>
      </c>
      <c r="G419" s="720">
        <v>11806.04</v>
      </c>
      <c r="H419" s="720">
        <v>8985.8799999999992</v>
      </c>
      <c r="I419" s="720">
        <v>7074.8</v>
      </c>
      <c r="J419" s="718">
        <v>118.85</v>
      </c>
      <c r="K419" s="720">
        <v>1176.1600000000001</v>
      </c>
      <c r="L419" s="720">
        <v>289.55</v>
      </c>
      <c r="M419" s="720">
        <v>2899.32</v>
      </c>
      <c r="N419" s="720">
        <v>171.96</v>
      </c>
    </row>
    <row r="420" spans="1:14" ht="15">
      <c r="A420" s="705"/>
      <c r="B420" s="705"/>
      <c r="C420" s="719">
        <v>40919</v>
      </c>
      <c r="D420" s="734">
        <v>9136</v>
      </c>
      <c r="E420" s="720">
        <v>9389.73</v>
      </c>
      <c r="F420" s="720">
        <v>14207.74</v>
      </c>
      <c r="G420" s="720">
        <v>11806.04</v>
      </c>
      <c r="H420" s="720">
        <v>8985.8799999999992</v>
      </c>
      <c r="I420" s="720">
        <v>7074.8</v>
      </c>
      <c r="J420" s="718">
        <v>118.85</v>
      </c>
      <c r="K420" s="720">
        <v>1176.1600000000001</v>
      </c>
      <c r="L420" s="720">
        <v>289.55</v>
      </c>
      <c r="M420" s="720">
        <v>2899.32</v>
      </c>
      <c r="N420" s="720">
        <v>171.96</v>
      </c>
    </row>
    <row r="421" spans="1:14" ht="15">
      <c r="A421" s="705"/>
      <c r="B421" s="705"/>
      <c r="C421" s="719">
        <v>40920</v>
      </c>
      <c r="D421" s="734">
        <v>9136</v>
      </c>
      <c r="E421" s="720">
        <v>9389.73</v>
      </c>
      <c r="F421" s="720">
        <v>14207.74</v>
      </c>
      <c r="G421" s="720">
        <v>11806.04</v>
      </c>
      <c r="H421" s="720">
        <v>8985.8799999999992</v>
      </c>
      <c r="I421" s="720">
        <v>7074.8</v>
      </c>
      <c r="J421" s="718">
        <v>118.85</v>
      </c>
      <c r="K421" s="720">
        <v>1176.1600000000001</v>
      </c>
      <c r="L421" s="720">
        <v>289.55</v>
      </c>
      <c r="M421" s="720">
        <v>2899.32</v>
      </c>
      <c r="N421" s="720">
        <v>171.96</v>
      </c>
    </row>
    <row r="422" spans="1:14" ht="15">
      <c r="A422" s="705"/>
      <c r="B422" s="705"/>
      <c r="C422" s="719">
        <v>40921</v>
      </c>
      <c r="D422" s="734">
        <v>9136</v>
      </c>
      <c r="E422" s="720">
        <v>9389.73</v>
      </c>
      <c r="F422" s="720">
        <v>14207.74</v>
      </c>
      <c r="G422" s="720">
        <v>11806.04</v>
      </c>
      <c r="H422" s="720">
        <v>8985.8799999999992</v>
      </c>
      <c r="I422" s="720">
        <v>7074.8</v>
      </c>
      <c r="J422" s="718">
        <v>118.85</v>
      </c>
      <c r="K422" s="720">
        <v>1176.1600000000001</v>
      </c>
      <c r="L422" s="720">
        <v>289.55</v>
      </c>
      <c r="M422" s="720">
        <v>2899.32</v>
      </c>
      <c r="N422" s="720">
        <v>171.96</v>
      </c>
    </row>
    <row r="423" spans="1:14" ht="15">
      <c r="A423" s="705"/>
      <c r="B423" s="705"/>
      <c r="C423" s="719">
        <v>40922</v>
      </c>
      <c r="D423" s="734">
        <v>9136</v>
      </c>
      <c r="E423" s="720">
        <v>9389.73</v>
      </c>
      <c r="F423" s="720">
        <v>14207.74</v>
      </c>
      <c r="G423" s="720">
        <v>11806.04</v>
      </c>
      <c r="H423" s="720">
        <v>8985.8799999999992</v>
      </c>
      <c r="I423" s="720">
        <v>7074.8</v>
      </c>
      <c r="J423" s="718">
        <v>118.85</v>
      </c>
      <c r="K423" s="720">
        <v>1176.1600000000001</v>
      </c>
      <c r="L423" s="720">
        <v>289.55</v>
      </c>
      <c r="M423" s="720">
        <v>2899.32</v>
      </c>
      <c r="N423" s="720">
        <v>171.96</v>
      </c>
    </row>
    <row r="424" spans="1:14" ht="15">
      <c r="A424" s="705"/>
      <c r="B424" s="705"/>
      <c r="C424" s="719">
        <v>40923</v>
      </c>
      <c r="D424" s="734">
        <v>9136</v>
      </c>
      <c r="E424" s="720">
        <v>9389.73</v>
      </c>
      <c r="F424" s="720">
        <v>14207.74</v>
      </c>
      <c r="G424" s="720">
        <v>11806.04</v>
      </c>
      <c r="H424" s="720">
        <v>8985.8799999999992</v>
      </c>
      <c r="I424" s="720">
        <v>7074.8</v>
      </c>
      <c r="J424" s="718">
        <v>118.85</v>
      </c>
      <c r="K424" s="720">
        <v>1176.1600000000001</v>
      </c>
      <c r="L424" s="720">
        <v>289.55</v>
      </c>
      <c r="M424" s="720">
        <v>2899.32</v>
      </c>
      <c r="N424" s="720">
        <v>171.96</v>
      </c>
    </row>
    <row r="425" spans="1:14" ht="15">
      <c r="A425" s="705"/>
      <c r="B425" s="705"/>
      <c r="C425" s="719">
        <v>40924</v>
      </c>
      <c r="D425" s="734">
        <v>9177</v>
      </c>
      <c r="E425" s="720">
        <v>9447.26</v>
      </c>
      <c r="F425" s="720">
        <v>14115.38</v>
      </c>
      <c r="G425" s="720">
        <v>11719.84</v>
      </c>
      <c r="H425" s="720">
        <v>8994.33</v>
      </c>
      <c r="I425" s="720">
        <v>7106.28</v>
      </c>
      <c r="J425" s="718">
        <v>119.45</v>
      </c>
      <c r="K425" s="720">
        <v>1181.48</v>
      </c>
      <c r="L425" s="720">
        <v>289.42</v>
      </c>
      <c r="M425" s="720">
        <v>2921.07</v>
      </c>
      <c r="N425" s="720">
        <v>176.72</v>
      </c>
    </row>
    <row r="426" spans="1:14" ht="15">
      <c r="A426" s="705"/>
      <c r="B426" s="705"/>
      <c r="C426" s="719">
        <v>40925</v>
      </c>
      <c r="D426" s="734">
        <v>9177</v>
      </c>
      <c r="E426" s="720">
        <v>9447.26</v>
      </c>
      <c r="F426" s="720">
        <v>14115.38</v>
      </c>
      <c r="G426" s="720">
        <v>11719.84</v>
      </c>
      <c r="H426" s="720">
        <v>8994.33</v>
      </c>
      <c r="I426" s="720">
        <v>7106.28</v>
      </c>
      <c r="J426" s="718">
        <v>119.45</v>
      </c>
      <c r="K426" s="720">
        <v>1181.48</v>
      </c>
      <c r="L426" s="720">
        <v>289.42</v>
      </c>
      <c r="M426" s="720">
        <v>2921.07</v>
      </c>
      <c r="N426" s="720">
        <v>176.72</v>
      </c>
    </row>
    <row r="427" spans="1:14" ht="15">
      <c r="A427" s="705"/>
      <c r="B427" s="705"/>
      <c r="C427" s="719">
        <v>40926</v>
      </c>
      <c r="D427" s="734">
        <v>9177</v>
      </c>
      <c r="E427" s="720">
        <v>9447.26</v>
      </c>
      <c r="F427" s="720">
        <v>14115.38</v>
      </c>
      <c r="G427" s="720">
        <v>11719.84</v>
      </c>
      <c r="H427" s="720">
        <v>8994.33</v>
      </c>
      <c r="I427" s="720">
        <v>7106.28</v>
      </c>
      <c r="J427" s="718">
        <v>119.45</v>
      </c>
      <c r="K427" s="720">
        <v>1181.48</v>
      </c>
      <c r="L427" s="720">
        <v>289.42</v>
      </c>
      <c r="M427" s="720">
        <v>2921.07</v>
      </c>
      <c r="N427" s="720">
        <v>176.72</v>
      </c>
    </row>
    <row r="428" spans="1:14" ht="15">
      <c r="A428" s="705"/>
      <c r="B428" s="705"/>
      <c r="C428" s="719">
        <v>40927</v>
      </c>
      <c r="D428" s="734">
        <v>9177</v>
      </c>
      <c r="E428" s="720">
        <v>9447.26</v>
      </c>
      <c r="F428" s="720">
        <v>14115.38</v>
      </c>
      <c r="G428" s="720">
        <v>11719.84</v>
      </c>
      <c r="H428" s="720">
        <v>8994.33</v>
      </c>
      <c r="I428" s="720">
        <v>7106.28</v>
      </c>
      <c r="J428" s="718">
        <v>119.45</v>
      </c>
      <c r="K428" s="720">
        <v>1181.48</v>
      </c>
      <c r="L428" s="720">
        <v>289.42</v>
      </c>
      <c r="M428" s="720">
        <v>2921.07</v>
      </c>
      <c r="N428" s="720">
        <v>176.72</v>
      </c>
    </row>
    <row r="429" spans="1:14" ht="15">
      <c r="A429" s="705"/>
      <c r="B429" s="705"/>
      <c r="C429" s="719">
        <v>40928</v>
      </c>
      <c r="D429" s="734">
        <v>9177</v>
      </c>
      <c r="E429" s="720">
        <v>9447.26</v>
      </c>
      <c r="F429" s="720">
        <v>14115.38</v>
      </c>
      <c r="G429" s="720">
        <v>11719.84</v>
      </c>
      <c r="H429" s="720">
        <v>8994.33</v>
      </c>
      <c r="I429" s="720">
        <v>7106.28</v>
      </c>
      <c r="J429" s="718">
        <v>119.45</v>
      </c>
      <c r="K429" s="720">
        <v>1181.48</v>
      </c>
      <c r="L429" s="720">
        <v>289.42</v>
      </c>
      <c r="M429" s="720">
        <v>2921.07</v>
      </c>
      <c r="N429" s="720">
        <v>176.72</v>
      </c>
    </row>
    <row r="430" spans="1:14" ht="15">
      <c r="A430" s="705"/>
      <c r="B430" s="705"/>
      <c r="C430" s="719">
        <v>40929</v>
      </c>
      <c r="D430" s="734">
        <v>9177</v>
      </c>
      <c r="E430" s="720">
        <v>9447.26</v>
      </c>
      <c r="F430" s="720">
        <v>14115.38</v>
      </c>
      <c r="G430" s="720">
        <v>11719.84</v>
      </c>
      <c r="H430" s="720">
        <v>8994.33</v>
      </c>
      <c r="I430" s="720">
        <v>7106.28</v>
      </c>
      <c r="J430" s="718">
        <v>119.45</v>
      </c>
      <c r="K430" s="720">
        <v>1181.48</v>
      </c>
      <c r="L430" s="720">
        <v>289.42</v>
      </c>
      <c r="M430" s="720">
        <v>2921.07</v>
      </c>
      <c r="N430" s="720">
        <v>176.72</v>
      </c>
    </row>
    <row r="431" spans="1:14" ht="15">
      <c r="A431" s="705"/>
      <c r="B431" s="705"/>
      <c r="C431" s="719">
        <v>40930</v>
      </c>
      <c r="D431" s="734">
        <v>9177</v>
      </c>
      <c r="E431" s="720">
        <v>9447.26</v>
      </c>
      <c r="F431" s="720">
        <v>14115.38</v>
      </c>
      <c r="G431" s="720">
        <v>11719.84</v>
      </c>
      <c r="H431" s="720">
        <v>8994.33</v>
      </c>
      <c r="I431" s="720">
        <v>7106.28</v>
      </c>
      <c r="J431" s="718">
        <v>119.45</v>
      </c>
      <c r="K431" s="720">
        <v>1181.48</v>
      </c>
      <c r="L431" s="720">
        <v>289.42</v>
      </c>
      <c r="M431" s="720">
        <v>2921.07</v>
      </c>
      <c r="N431" s="720">
        <v>176.72</v>
      </c>
    </row>
    <row r="432" spans="1:14" ht="15">
      <c r="A432" s="705"/>
      <c r="B432" s="705"/>
      <c r="C432" s="719">
        <v>40931</v>
      </c>
      <c r="D432" s="734">
        <v>9060</v>
      </c>
      <c r="E432" s="720">
        <v>9413.7800000000007</v>
      </c>
      <c r="F432" s="720">
        <v>13963.85</v>
      </c>
      <c r="G432" s="720">
        <v>11630.2</v>
      </c>
      <c r="H432" s="720">
        <v>8939.06</v>
      </c>
      <c r="I432" s="720">
        <v>7079.38</v>
      </c>
      <c r="J432" s="718">
        <v>117.74</v>
      </c>
      <c r="K432" s="720">
        <v>1167.01</v>
      </c>
      <c r="L432" s="720">
        <v>285.76</v>
      </c>
      <c r="M432" s="720">
        <v>2906.38</v>
      </c>
      <c r="N432" s="720">
        <v>178.72</v>
      </c>
    </row>
    <row r="433" spans="1:14" ht="15">
      <c r="A433" s="705"/>
      <c r="B433" s="705"/>
      <c r="C433" s="719">
        <v>40932</v>
      </c>
      <c r="D433" s="734">
        <v>9060</v>
      </c>
      <c r="E433" s="720">
        <v>9413.7800000000007</v>
      </c>
      <c r="F433" s="720">
        <v>13963.85</v>
      </c>
      <c r="G433" s="720">
        <v>11630.2</v>
      </c>
      <c r="H433" s="720">
        <v>8939.06</v>
      </c>
      <c r="I433" s="720">
        <v>7079.38</v>
      </c>
      <c r="J433" s="718">
        <v>117.74</v>
      </c>
      <c r="K433" s="720">
        <v>1167.01</v>
      </c>
      <c r="L433" s="720">
        <v>285.76</v>
      </c>
      <c r="M433" s="720">
        <v>2906.38</v>
      </c>
      <c r="N433" s="720">
        <v>178.72</v>
      </c>
    </row>
    <row r="434" spans="1:14" ht="15">
      <c r="A434" s="705"/>
      <c r="B434" s="705"/>
      <c r="C434" s="719">
        <v>40933</v>
      </c>
      <c r="D434" s="734">
        <v>9060</v>
      </c>
      <c r="E434" s="720">
        <v>9413.7800000000007</v>
      </c>
      <c r="F434" s="720">
        <v>13963.85</v>
      </c>
      <c r="G434" s="720">
        <v>11630.2</v>
      </c>
      <c r="H434" s="720">
        <v>8939.06</v>
      </c>
      <c r="I434" s="720">
        <v>7079.38</v>
      </c>
      <c r="J434" s="718">
        <v>117.74</v>
      </c>
      <c r="K434" s="720">
        <v>1167.01</v>
      </c>
      <c r="L434" s="720">
        <v>285.76</v>
      </c>
      <c r="M434" s="720">
        <v>2906.38</v>
      </c>
      <c r="N434" s="720">
        <v>178.72</v>
      </c>
    </row>
    <row r="435" spans="1:14" ht="15">
      <c r="A435" s="705"/>
      <c r="B435" s="705"/>
      <c r="C435" s="719">
        <v>40934</v>
      </c>
      <c r="D435" s="734">
        <v>9060</v>
      </c>
      <c r="E435" s="720">
        <v>9413.7800000000007</v>
      </c>
      <c r="F435" s="720">
        <v>13963.85</v>
      </c>
      <c r="G435" s="720">
        <v>11630.2</v>
      </c>
      <c r="H435" s="720">
        <v>8939.06</v>
      </c>
      <c r="I435" s="720">
        <v>7079.38</v>
      </c>
      <c r="J435" s="718">
        <v>117.74</v>
      </c>
      <c r="K435" s="720">
        <v>1167.01</v>
      </c>
      <c r="L435" s="720">
        <v>285.76</v>
      </c>
      <c r="M435" s="720">
        <v>2906.38</v>
      </c>
      <c r="N435" s="720">
        <v>178.72</v>
      </c>
    </row>
    <row r="436" spans="1:14" ht="15">
      <c r="A436" s="705"/>
      <c r="B436" s="705"/>
      <c r="C436" s="719">
        <v>40935</v>
      </c>
      <c r="D436" s="734">
        <v>9060</v>
      </c>
      <c r="E436" s="720">
        <v>9413.7800000000007</v>
      </c>
      <c r="F436" s="720">
        <v>13963.85</v>
      </c>
      <c r="G436" s="720">
        <v>11630.2</v>
      </c>
      <c r="H436" s="720">
        <v>8939.06</v>
      </c>
      <c r="I436" s="720">
        <v>7079.38</v>
      </c>
      <c r="J436" s="718">
        <v>117.74</v>
      </c>
      <c r="K436" s="720">
        <v>1167.01</v>
      </c>
      <c r="L436" s="720">
        <v>285.76</v>
      </c>
      <c r="M436" s="720">
        <v>2906.38</v>
      </c>
      <c r="N436" s="720">
        <v>178.72</v>
      </c>
    </row>
    <row r="437" spans="1:14" ht="15">
      <c r="A437" s="705"/>
      <c r="B437" s="705"/>
      <c r="C437" s="719">
        <v>40936</v>
      </c>
      <c r="D437" s="734">
        <v>9060</v>
      </c>
      <c r="E437" s="720">
        <v>9413.7800000000007</v>
      </c>
      <c r="F437" s="720">
        <v>13963.85</v>
      </c>
      <c r="G437" s="720">
        <v>11630.2</v>
      </c>
      <c r="H437" s="720">
        <v>8939.06</v>
      </c>
      <c r="I437" s="720">
        <v>7079.38</v>
      </c>
      <c r="J437" s="718">
        <v>117.74</v>
      </c>
      <c r="K437" s="720">
        <v>1167.01</v>
      </c>
      <c r="L437" s="720">
        <v>285.76</v>
      </c>
      <c r="M437" s="720">
        <v>2906.38</v>
      </c>
      <c r="N437" s="720">
        <v>178.72</v>
      </c>
    </row>
    <row r="438" spans="1:14" ht="15">
      <c r="A438" s="705"/>
      <c r="B438" s="705"/>
      <c r="C438" s="719">
        <v>40937</v>
      </c>
      <c r="D438" s="734">
        <v>9060</v>
      </c>
      <c r="E438" s="720">
        <v>9413.7800000000007</v>
      </c>
      <c r="F438" s="720">
        <v>13963.85</v>
      </c>
      <c r="G438" s="720">
        <v>11630.2</v>
      </c>
      <c r="H438" s="720">
        <v>8939.06</v>
      </c>
      <c r="I438" s="720">
        <v>7079.38</v>
      </c>
      <c r="J438" s="718">
        <v>117.74</v>
      </c>
      <c r="K438" s="720">
        <v>1167.01</v>
      </c>
      <c r="L438" s="720">
        <v>285.76</v>
      </c>
      <c r="M438" s="720">
        <v>2906.38</v>
      </c>
      <c r="N438" s="720">
        <v>178.72</v>
      </c>
    </row>
    <row r="439" spans="1:14" ht="15">
      <c r="A439" s="705"/>
      <c r="B439" s="705"/>
      <c r="C439" s="719">
        <v>40938</v>
      </c>
      <c r="D439" s="734">
        <v>8952</v>
      </c>
      <c r="E439" s="720">
        <v>9463.4500000000007</v>
      </c>
      <c r="F439" s="720">
        <v>14003.52</v>
      </c>
      <c r="G439" s="720">
        <v>11702.25</v>
      </c>
      <c r="H439" s="720">
        <v>8904.41</v>
      </c>
      <c r="I439" s="720">
        <v>7088.47</v>
      </c>
      <c r="J439" s="718">
        <v>115.56</v>
      </c>
      <c r="K439" s="720">
        <v>1153.69</v>
      </c>
      <c r="L439" s="720">
        <v>285.56</v>
      </c>
      <c r="M439" s="720">
        <v>2917.79</v>
      </c>
      <c r="N439" s="720">
        <v>178.72</v>
      </c>
    </row>
    <row r="440" spans="1:14" ht="15">
      <c r="A440" s="705"/>
      <c r="B440" s="705"/>
      <c r="C440" s="719">
        <v>40939</v>
      </c>
      <c r="D440" s="734">
        <v>8952</v>
      </c>
      <c r="E440" s="720">
        <v>9463.4500000000007</v>
      </c>
      <c r="F440" s="720">
        <v>14003.52</v>
      </c>
      <c r="G440" s="720">
        <v>11702.25</v>
      </c>
      <c r="H440" s="720">
        <v>8904.41</v>
      </c>
      <c r="I440" s="720">
        <v>7088.47</v>
      </c>
      <c r="J440" s="718">
        <v>115.56</v>
      </c>
      <c r="K440" s="720">
        <v>1153.69</v>
      </c>
      <c r="L440" s="720">
        <v>285.56</v>
      </c>
      <c r="M440" s="720">
        <v>2917.79</v>
      </c>
      <c r="N440" s="720">
        <v>178.72</v>
      </c>
    </row>
    <row r="441" spans="1:14" ht="15">
      <c r="A441" s="705"/>
      <c r="B441" s="705"/>
      <c r="C441" s="719">
        <v>40940</v>
      </c>
      <c r="D441" s="734">
        <v>8952</v>
      </c>
      <c r="E441" s="720">
        <v>9463.4500000000007</v>
      </c>
      <c r="F441" s="720">
        <v>14003.52</v>
      </c>
      <c r="G441" s="720">
        <v>11702.25</v>
      </c>
      <c r="H441" s="720">
        <v>8904.41</v>
      </c>
      <c r="I441" s="720">
        <v>7088.47</v>
      </c>
      <c r="J441" s="718">
        <v>115.56</v>
      </c>
      <c r="K441" s="720">
        <v>1153.69</v>
      </c>
      <c r="L441" s="720">
        <v>285.56</v>
      </c>
      <c r="M441" s="720">
        <v>2917.79</v>
      </c>
      <c r="N441" s="720">
        <v>178.72</v>
      </c>
    </row>
    <row r="442" spans="1:14" ht="15">
      <c r="A442" s="705"/>
      <c r="B442" s="705"/>
      <c r="C442" s="719">
        <v>40941</v>
      </c>
      <c r="D442" s="734">
        <v>8952</v>
      </c>
      <c r="E442" s="720">
        <v>9463.4500000000007</v>
      </c>
      <c r="F442" s="720">
        <v>14003.52</v>
      </c>
      <c r="G442" s="720">
        <v>11702.25</v>
      </c>
      <c r="H442" s="720">
        <v>8904.41</v>
      </c>
      <c r="I442" s="720">
        <v>7088.47</v>
      </c>
      <c r="J442" s="718">
        <v>115.56</v>
      </c>
      <c r="K442" s="720">
        <v>1153.69</v>
      </c>
      <c r="L442" s="720">
        <v>285.56</v>
      </c>
      <c r="M442" s="720">
        <v>2917.79</v>
      </c>
      <c r="N442" s="720">
        <v>178.72</v>
      </c>
    </row>
    <row r="443" spans="1:14" ht="15">
      <c r="A443" s="705"/>
      <c r="B443" s="705"/>
      <c r="C443" s="719">
        <v>40942</v>
      </c>
      <c r="D443" s="734">
        <v>8952</v>
      </c>
      <c r="E443" s="720">
        <v>9463.4500000000007</v>
      </c>
      <c r="F443" s="720">
        <v>14003.52</v>
      </c>
      <c r="G443" s="720">
        <v>11702.25</v>
      </c>
      <c r="H443" s="720">
        <v>8904.41</v>
      </c>
      <c r="I443" s="720">
        <v>7088.47</v>
      </c>
      <c r="J443" s="718">
        <v>115.56</v>
      </c>
      <c r="K443" s="720">
        <v>1153.69</v>
      </c>
      <c r="L443" s="720">
        <v>285.56</v>
      </c>
      <c r="M443" s="720">
        <v>2917.79</v>
      </c>
      <c r="N443" s="720">
        <v>178.72</v>
      </c>
    </row>
    <row r="444" spans="1:14" ht="15">
      <c r="A444" s="705"/>
      <c r="B444" s="705"/>
      <c r="C444" s="719">
        <v>40943</v>
      </c>
      <c r="D444" s="734">
        <v>8952</v>
      </c>
      <c r="E444" s="720">
        <v>9463.4500000000007</v>
      </c>
      <c r="F444" s="720">
        <v>14003.52</v>
      </c>
      <c r="G444" s="720">
        <v>11702.25</v>
      </c>
      <c r="H444" s="720">
        <v>8904.41</v>
      </c>
      <c r="I444" s="720">
        <v>7088.47</v>
      </c>
      <c r="J444" s="718">
        <v>115.56</v>
      </c>
      <c r="K444" s="720">
        <v>1153.69</v>
      </c>
      <c r="L444" s="720">
        <v>285.56</v>
      </c>
      <c r="M444" s="720">
        <v>2917.79</v>
      </c>
      <c r="N444" s="720">
        <v>178.72</v>
      </c>
    </row>
    <row r="445" spans="1:14" ht="15">
      <c r="A445" s="705"/>
      <c r="B445" s="705"/>
      <c r="C445" s="719">
        <v>40944</v>
      </c>
      <c r="D445" s="734">
        <v>8952</v>
      </c>
      <c r="E445" s="720">
        <v>9463.4500000000007</v>
      </c>
      <c r="F445" s="720">
        <v>14003.52</v>
      </c>
      <c r="G445" s="720">
        <v>11702.25</v>
      </c>
      <c r="H445" s="720">
        <v>8904.41</v>
      </c>
      <c r="I445" s="720">
        <v>7088.47</v>
      </c>
      <c r="J445" s="718">
        <v>115.56</v>
      </c>
      <c r="K445" s="720">
        <v>1153.69</v>
      </c>
      <c r="L445" s="720">
        <v>285.56</v>
      </c>
      <c r="M445" s="720">
        <v>2917.79</v>
      </c>
      <c r="N445" s="720">
        <v>178.72</v>
      </c>
    </row>
    <row r="446" spans="1:14" ht="15">
      <c r="A446" s="705"/>
      <c r="B446" s="705"/>
      <c r="C446" s="719">
        <v>40945</v>
      </c>
      <c r="D446" s="734">
        <v>8977</v>
      </c>
      <c r="E446" s="720">
        <v>9576.06</v>
      </c>
      <c r="F446" s="720">
        <v>14167.23</v>
      </c>
      <c r="G446" s="720">
        <v>11789.87</v>
      </c>
      <c r="H446" s="720">
        <v>8973.5499999999993</v>
      </c>
      <c r="I446" s="720">
        <v>7167.63</v>
      </c>
      <c r="J446" s="718">
        <v>117.73</v>
      </c>
      <c r="K446" s="720">
        <v>1157.47</v>
      </c>
      <c r="L446" s="720">
        <v>289.74</v>
      </c>
      <c r="M446" s="720">
        <v>2955.34</v>
      </c>
      <c r="N446" s="720">
        <v>181.63</v>
      </c>
    </row>
    <row r="447" spans="1:14" ht="15">
      <c r="A447" s="705"/>
      <c r="B447" s="705"/>
      <c r="C447" s="719">
        <v>40946</v>
      </c>
      <c r="D447" s="734">
        <v>8977</v>
      </c>
      <c r="E447" s="720">
        <v>9576.06</v>
      </c>
      <c r="F447" s="720">
        <v>14167.23</v>
      </c>
      <c r="G447" s="720">
        <v>11789.87</v>
      </c>
      <c r="H447" s="720">
        <v>8973.5499999999993</v>
      </c>
      <c r="I447" s="720">
        <v>7167.63</v>
      </c>
      <c r="J447" s="718">
        <v>117.73</v>
      </c>
      <c r="K447" s="720">
        <v>1157.47</v>
      </c>
      <c r="L447" s="720">
        <v>289.74</v>
      </c>
      <c r="M447" s="720">
        <v>2955.34</v>
      </c>
      <c r="N447" s="720">
        <v>181.63</v>
      </c>
    </row>
    <row r="448" spans="1:14" ht="15">
      <c r="A448" s="705"/>
      <c r="B448" s="705"/>
      <c r="C448" s="719">
        <v>40947</v>
      </c>
      <c r="D448" s="734">
        <v>8977</v>
      </c>
      <c r="E448" s="720">
        <v>9576.06</v>
      </c>
      <c r="F448" s="720">
        <v>14167.23</v>
      </c>
      <c r="G448" s="720">
        <v>11789.87</v>
      </c>
      <c r="H448" s="720">
        <v>8973.5499999999993</v>
      </c>
      <c r="I448" s="720">
        <v>7167.63</v>
      </c>
      <c r="J448" s="718">
        <v>117.73</v>
      </c>
      <c r="K448" s="720">
        <v>1157.47</v>
      </c>
      <c r="L448" s="720">
        <v>289.74</v>
      </c>
      <c r="M448" s="720">
        <v>2955.34</v>
      </c>
      <c r="N448" s="720">
        <v>181.63</v>
      </c>
    </row>
    <row r="449" spans="1:14" ht="15">
      <c r="A449" s="705"/>
      <c r="B449" s="705"/>
      <c r="C449" s="719">
        <v>40948</v>
      </c>
      <c r="D449" s="734">
        <v>8977</v>
      </c>
      <c r="E449" s="720">
        <v>9576.06</v>
      </c>
      <c r="F449" s="720">
        <v>14167.23</v>
      </c>
      <c r="G449" s="720">
        <v>11789.87</v>
      </c>
      <c r="H449" s="720">
        <v>8973.5499999999993</v>
      </c>
      <c r="I449" s="720">
        <v>7167.63</v>
      </c>
      <c r="J449" s="718">
        <v>117.73</v>
      </c>
      <c r="K449" s="720">
        <v>1157.47</v>
      </c>
      <c r="L449" s="720">
        <v>289.74</v>
      </c>
      <c r="M449" s="720">
        <v>2955.34</v>
      </c>
      <c r="N449" s="720">
        <v>181.63</v>
      </c>
    </row>
    <row r="450" spans="1:14" ht="15">
      <c r="A450" s="705"/>
      <c r="B450" s="705"/>
      <c r="C450" s="719">
        <v>40949</v>
      </c>
      <c r="D450" s="734">
        <v>8977</v>
      </c>
      <c r="E450" s="720">
        <v>9576.06</v>
      </c>
      <c r="F450" s="720">
        <v>14167.23</v>
      </c>
      <c r="G450" s="720">
        <v>11789.87</v>
      </c>
      <c r="H450" s="720">
        <v>8973.5499999999993</v>
      </c>
      <c r="I450" s="720">
        <v>7167.63</v>
      </c>
      <c r="J450" s="718">
        <v>117.73</v>
      </c>
      <c r="K450" s="720">
        <v>1157.47</v>
      </c>
      <c r="L450" s="720">
        <v>289.74</v>
      </c>
      <c r="M450" s="720">
        <v>2955.34</v>
      </c>
      <c r="N450" s="720">
        <v>181.63</v>
      </c>
    </row>
    <row r="451" spans="1:14" ht="15">
      <c r="A451" s="705"/>
      <c r="B451" s="705"/>
      <c r="C451" s="719">
        <v>40950</v>
      </c>
      <c r="D451" s="734">
        <v>8977</v>
      </c>
      <c r="E451" s="720">
        <v>9576.06</v>
      </c>
      <c r="F451" s="720">
        <v>14167.23</v>
      </c>
      <c r="G451" s="720">
        <v>11789.87</v>
      </c>
      <c r="H451" s="720">
        <v>8973.5499999999993</v>
      </c>
      <c r="I451" s="720">
        <v>7167.63</v>
      </c>
      <c r="J451" s="718">
        <v>117.73</v>
      </c>
      <c r="K451" s="720">
        <v>1157.47</v>
      </c>
      <c r="L451" s="720">
        <v>289.74</v>
      </c>
      <c r="M451" s="720">
        <v>2955.34</v>
      </c>
      <c r="N451" s="720">
        <v>181.63</v>
      </c>
    </row>
    <row r="452" spans="1:14" ht="15">
      <c r="A452" s="705"/>
      <c r="B452" s="705"/>
      <c r="C452" s="719">
        <v>40951</v>
      </c>
      <c r="D452" s="734">
        <v>8977</v>
      </c>
      <c r="E452" s="720">
        <v>9576.06</v>
      </c>
      <c r="F452" s="720">
        <v>14167.23</v>
      </c>
      <c r="G452" s="720">
        <v>11789.87</v>
      </c>
      <c r="H452" s="720">
        <v>8973.5499999999993</v>
      </c>
      <c r="I452" s="720">
        <v>7167.63</v>
      </c>
      <c r="J452" s="718">
        <v>117.73</v>
      </c>
      <c r="K452" s="720">
        <v>1157.47</v>
      </c>
      <c r="L452" s="720">
        <v>289.74</v>
      </c>
      <c r="M452" s="720">
        <v>2955.34</v>
      </c>
      <c r="N452" s="720">
        <v>181.63</v>
      </c>
    </row>
    <row r="453" spans="1:14" ht="15">
      <c r="A453" s="705"/>
      <c r="B453" s="705"/>
      <c r="C453" s="719">
        <v>40952</v>
      </c>
      <c r="D453" s="734">
        <v>8966</v>
      </c>
      <c r="E453" s="720">
        <v>9664.81</v>
      </c>
      <c r="F453" s="720">
        <v>14200.71</v>
      </c>
      <c r="G453" s="720">
        <v>11878.87</v>
      </c>
      <c r="H453" s="720">
        <v>9008.7000000000007</v>
      </c>
      <c r="I453" s="720">
        <v>7188.56</v>
      </c>
      <c r="J453" s="718">
        <v>116.28</v>
      </c>
      <c r="K453" s="720">
        <v>1156.24</v>
      </c>
      <c r="L453" s="720">
        <v>290.93</v>
      </c>
      <c r="M453" s="720">
        <v>2976.19</v>
      </c>
      <c r="N453" s="720">
        <v>182.12</v>
      </c>
    </row>
    <row r="454" spans="1:14" ht="15">
      <c r="A454" s="705"/>
      <c r="B454" s="705"/>
      <c r="C454" s="719">
        <v>40953</v>
      </c>
      <c r="D454" s="734">
        <v>8966</v>
      </c>
      <c r="E454" s="720">
        <v>9664.81</v>
      </c>
      <c r="F454" s="720">
        <v>14200.71</v>
      </c>
      <c r="G454" s="720">
        <v>11878.87</v>
      </c>
      <c r="H454" s="720">
        <v>9008.7000000000007</v>
      </c>
      <c r="I454" s="720">
        <v>7188.56</v>
      </c>
      <c r="J454" s="718">
        <v>116.28</v>
      </c>
      <c r="K454" s="720">
        <v>1156.24</v>
      </c>
      <c r="L454" s="720">
        <v>290.93</v>
      </c>
      <c r="M454" s="720">
        <v>2976.19</v>
      </c>
      <c r="N454" s="720">
        <v>182.12</v>
      </c>
    </row>
    <row r="455" spans="1:14" ht="15">
      <c r="A455" s="705"/>
      <c r="B455" s="705"/>
      <c r="C455" s="719">
        <v>40954</v>
      </c>
      <c r="D455" s="734">
        <v>8966</v>
      </c>
      <c r="E455" s="720">
        <v>9664.81</v>
      </c>
      <c r="F455" s="720">
        <v>14200.71</v>
      </c>
      <c r="G455" s="720">
        <v>11878.87</v>
      </c>
      <c r="H455" s="720">
        <v>9008.7000000000007</v>
      </c>
      <c r="I455" s="720">
        <v>7188.56</v>
      </c>
      <c r="J455" s="718">
        <v>116.28</v>
      </c>
      <c r="K455" s="720">
        <v>1156.24</v>
      </c>
      <c r="L455" s="720">
        <v>290.93</v>
      </c>
      <c r="M455" s="720">
        <v>2976.19</v>
      </c>
      <c r="N455" s="720">
        <v>182.12</v>
      </c>
    </row>
    <row r="456" spans="1:14" ht="15">
      <c r="A456" s="705"/>
      <c r="B456" s="705"/>
      <c r="C456" s="719">
        <v>40955</v>
      </c>
      <c r="D456" s="734">
        <v>8966</v>
      </c>
      <c r="E456" s="720">
        <v>9664.81</v>
      </c>
      <c r="F456" s="720">
        <v>14200.71</v>
      </c>
      <c r="G456" s="720">
        <v>11878.87</v>
      </c>
      <c r="H456" s="720">
        <v>9008.7000000000007</v>
      </c>
      <c r="I456" s="720">
        <v>7188.56</v>
      </c>
      <c r="J456" s="718">
        <v>116.28</v>
      </c>
      <c r="K456" s="720">
        <v>1156.24</v>
      </c>
      <c r="L456" s="720">
        <v>290.93</v>
      </c>
      <c r="M456" s="720">
        <v>2976.19</v>
      </c>
      <c r="N456" s="720">
        <v>182.12</v>
      </c>
    </row>
    <row r="457" spans="1:14" ht="15">
      <c r="A457" s="705"/>
      <c r="B457" s="705"/>
      <c r="C457" s="719">
        <v>40956</v>
      </c>
      <c r="D457" s="734">
        <v>8966</v>
      </c>
      <c r="E457" s="720">
        <v>9664.81</v>
      </c>
      <c r="F457" s="720">
        <v>14200.71</v>
      </c>
      <c r="G457" s="720">
        <v>11878.87</v>
      </c>
      <c r="H457" s="720">
        <v>9008.7000000000007</v>
      </c>
      <c r="I457" s="720">
        <v>7188.56</v>
      </c>
      <c r="J457" s="718">
        <v>116.28</v>
      </c>
      <c r="K457" s="720">
        <v>1156.24</v>
      </c>
      <c r="L457" s="720">
        <v>290.93</v>
      </c>
      <c r="M457" s="720">
        <v>2976.19</v>
      </c>
      <c r="N457" s="720">
        <v>182.12</v>
      </c>
    </row>
    <row r="458" spans="1:14" ht="15">
      <c r="A458" s="705"/>
      <c r="B458" s="705"/>
      <c r="C458" s="719">
        <v>40957</v>
      </c>
      <c r="D458" s="734">
        <v>8966</v>
      </c>
      <c r="E458" s="720">
        <v>9664.81</v>
      </c>
      <c r="F458" s="720">
        <v>14200.71</v>
      </c>
      <c r="G458" s="720">
        <v>11878.87</v>
      </c>
      <c r="H458" s="720">
        <v>9008.7000000000007</v>
      </c>
      <c r="I458" s="720">
        <v>7188.56</v>
      </c>
      <c r="J458" s="718">
        <v>116.28</v>
      </c>
      <c r="K458" s="720">
        <v>1156.24</v>
      </c>
      <c r="L458" s="720">
        <v>290.93</v>
      </c>
      <c r="M458" s="720">
        <v>2976.19</v>
      </c>
      <c r="N458" s="720">
        <v>182.12</v>
      </c>
    </row>
    <row r="459" spans="1:14" ht="15">
      <c r="A459" s="705"/>
      <c r="B459" s="705"/>
      <c r="C459" s="719">
        <v>40958</v>
      </c>
      <c r="D459" s="734">
        <v>8966</v>
      </c>
      <c r="E459" s="720">
        <v>9664.81</v>
      </c>
      <c r="F459" s="720">
        <v>14200.71</v>
      </c>
      <c r="G459" s="720">
        <v>11878.87</v>
      </c>
      <c r="H459" s="720">
        <v>9008.7000000000007</v>
      </c>
      <c r="I459" s="720">
        <v>7188.56</v>
      </c>
      <c r="J459" s="718">
        <v>116.28</v>
      </c>
      <c r="K459" s="720">
        <v>1156.24</v>
      </c>
      <c r="L459" s="720">
        <v>290.93</v>
      </c>
      <c r="M459" s="720">
        <v>2976.19</v>
      </c>
      <c r="N459" s="720">
        <v>182.12</v>
      </c>
    </row>
    <row r="460" spans="1:14" ht="15">
      <c r="A460" s="705"/>
      <c r="B460" s="705"/>
      <c r="C460" s="719">
        <v>40959</v>
      </c>
      <c r="D460" s="734">
        <v>9029</v>
      </c>
      <c r="E460" s="720">
        <v>9654.18</v>
      </c>
      <c r="F460" s="720">
        <v>14179.26</v>
      </c>
      <c r="G460" s="720">
        <v>11822.37</v>
      </c>
      <c r="H460" s="720">
        <v>9021.9599999999991</v>
      </c>
      <c r="I460" s="720">
        <v>7147.32</v>
      </c>
      <c r="J460" s="718">
        <v>115.31</v>
      </c>
      <c r="K460" s="720">
        <v>1164.33</v>
      </c>
      <c r="L460" s="720">
        <v>292.94</v>
      </c>
      <c r="M460" s="720">
        <v>2968.29</v>
      </c>
      <c r="N460" s="720">
        <v>183.19</v>
      </c>
    </row>
    <row r="461" spans="1:14" ht="15">
      <c r="A461" s="705"/>
      <c r="B461" s="705"/>
      <c r="C461" s="719">
        <v>40960</v>
      </c>
      <c r="D461" s="734">
        <v>9029</v>
      </c>
      <c r="E461" s="720">
        <v>9654.18</v>
      </c>
      <c r="F461" s="720">
        <v>14179.26</v>
      </c>
      <c r="G461" s="720">
        <v>11822.37</v>
      </c>
      <c r="H461" s="720">
        <v>9021.9599999999991</v>
      </c>
      <c r="I461" s="720">
        <v>7147.32</v>
      </c>
      <c r="J461" s="718">
        <v>115.31</v>
      </c>
      <c r="K461" s="720">
        <v>1164.33</v>
      </c>
      <c r="L461" s="720">
        <v>292.94</v>
      </c>
      <c r="M461" s="720">
        <v>2968.29</v>
      </c>
      <c r="N461" s="720">
        <v>183.19</v>
      </c>
    </row>
    <row r="462" spans="1:14" ht="15">
      <c r="A462" s="705"/>
      <c r="B462" s="705"/>
      <c r="C462" s="719">
        <v>40961</v>
      </c>
      <c r="D462" s="734">
        <v>9029</v>
      </c>
      <c r="E462" s="720">
        <v>9654.18</v>
      </c>
      <c r="F462" s="720">
        <v>14179.26</v>
      </c>
      <c r="G462" s="720">
        <v>11822.37</v>
      </c>
      <c r="H462" s="720">
        <v>9021.9599999999991</v>
      </c>
      <c r="I462" s="720">
        <v>7147.32</v>
      </c>
      <c r="J462" s="718">
        <v>115.31</v>
      </c>
      <c r="K462" s="720">
        <v>1164.33</v>
      </c>
      <c r="L462" s="720">
        <v>292.94</v>
      </c>
      <c r="M462" s="720">
        <v>2968.29</v>
      </c>
      <c r="N462" s="720">
        <v>183.19</v>
      </c>
    </row>
    <row r="463" spans="1:14" ht="15">
      <c r="A463" s="705"/>
      <c r="B463" s="705"/>
      <c r="C463" s="719">
        <v>40962</v>
      </c>
      <c r="D463" s="734">
        <v>9029</v>
      </c>
      <c r="E463" s="720">
        <v>9654.18</v>
      </c>
      <c r="F463" s="720">
        <v>14179.26</v>
      </c>
      <c r="G463" s="720">
        <v>11822.37</v>
      </c>
      <c r="H463" s="720">
        <v>9021.9599999999991</v>
      </c>
      <c r="I463" s="720">
        <v>7147.32</v>
      </c>
      <c r="J463" s="718">
        <v>115.31</v>
      </c>
      <c r="K463" s="720">
        <v>1164.33</v>
      </c>
      <c r="L463" s="720">
        <v>292.94</v>
      </c>
      <c r="M463" s="720">
        <v>2968.29</v>
      </c>
      <c r="N463" s="720">
        <v>183.19</v>
      </c>
    </row>
    <row r="464" spans="1:14" ht="15">
      <c r="A464" s="705"/>
      <c r="B464" s="705"/>
      <c r="C464" s="719">
        <v>40963</v>
      </c>
      <c r="D464" s="734">
        <v>9029</v>
      </c>
      <c r="E464" s="720">
        <v>9654.18</v>
      </c>
      <c r="F464" s="720">
        <v>14179.26</v>
      </c>
      <c r="G464" s="720">
        <v>11822.37</v>
      </c>
      <c r="H464" s="720">
        <v>9021.9599999999991</v>
      </c>
      <c r="I464" s="720">
        <v>7147.32</v>
      </c>
      <c r="J464" s="718">
        <v>115.31</v>
      </c>
      <c r="K464" s="720">
        <v>1164.33</v>
      </c>
      <c r="L464" s="720">
        <v>292.94</v>
      </c>
      <c r="M464" s="720">
        <v>2968.29</v>
      </c>
      <c r="N464" s="720">
        <v>183.19</v>
      </c>
    </row>
    <row r="465" spans="1:14" ht="15">
      <c r="A465" s="705"/>
      <c r="B465" s="705"/>
      <c r="C465" s="719">
        <v>40964</v>
      </c>
      <c r="D465" s="734">
        <v>9029</v>
      </c>
      <c r="E465" s="720">
        <v>9654.18</v>
      </c>
      <c r="F465" s="720">
        <v>14179.26</v>
      </c>
      <c r="G465" s="720">
        <v>11822.37</v>
      </c>
      <c r="H465" s="720">
        <v>9021.9599999999991</v>
      </c>
      <c r="I465" s="720">
        <v>7147.32</v>
      </c>
      <c r="J465" s="718">
        <v>115.31</v>
      </c>
      <c r="K465" s="720">
        <v>1164.33</v>
      </c>
      <c r="L465" s="720">
        <v>292.94</v>
      </c>
      <c r="M465" s="720">
        <v>2968.29</v>
      </c>
      <c r="N465" s="720">
        <v>183.19</v>
      </c>
    </row>
    <row r="466" spans="1:14" ht="15">
      <c r="A466" s="705"/>
      <c r="B466" s="705"/>
      <c r="C466" s="719">
        <v>40965</v>
      </c>
      <c r="D466" s="734">
        <v>9029</v>
      </c>
      <c r="E466" s="720">
        <v>9654.18</v>
      </c>
      <c r="F466" s="720">
        <v>14179.26</v>
      </c>
      <c r="G466" s="720">
        <v>11822.37</v>
      </c>
      <c r="H466" s="720">
        <v>9021.9599999999991</v>
      </c>
      <c r="I466" s="720">
        <v>7147.32</v>
      </c>
      <c r="J466" s="718">
        <v>115.31</v>
      </c>
      <c r="K466" s="720">
        <v>1164.33</v>
      </c>
      <c r="L466" s="720">
        <v>292.94</v>
      </c>
      <c r="M466" s="720">
        <v>2968.29</v>
      </c>
      <c r="N466" s="720">
        <v>183.19</v>
      </c>
    </row>
    <row r="467" spans="1:14" ht="15">
      <c r="A467" s="705"/>
      <c r="B467" s="705"/>
      <c r="C467" s="719">
        <v>40966</v>
      </c>
      <c r="D467" s="734">
        <v>9054</v>
      </c>
      <c r="E467" s="720">
        <v>9666.61</v>
      </c>
      <c r="F467" s="720">
        <v>14255.93</v>
      </c>
      <c r="G467" s="720">
        <v>11993.52</v>
      </c>
      <c r="H467" s="720">
        <v>9080.26</v>
      </c>
      <c r="I467" s="720">
        <v>7205.42</v>
      </c>
      <c r="J467" s="718">
        <v>113.2</v>
      </c>
      <c r="K467" s="720">
        <v>1167.45</v>
      </c>
      <c r="L467" s="720">
        <v>295.76</v>
      </c>
      <c r="M467" s="720">
        <v>2995.26</v>
      </c>
      <c r="N467" s="720">
        <v>183.78</v>
      </c>
    </row>
    <row r="468" spans="1:14" ht="15">
      <c r="A468" s="705"/>
      <c r="B468" s="705"/>
      <c r="C468" s="719">
        <v>40967</v>
      </c>
      <c r="D468" s="734">
        <v>9054</v>
      </c>
      <c r="E468" s="720">
        <v>9666.61</v>
      </c>
      <c r="F468" s="720">
        <v>14255.93</v>
      </c>
      <c r="G468" s="720">
        <v>11993.52</v>
      </c>
      <c r="H468" s="720">
        <v>9080.26</v>
      </c>
      <c r="I468" s="720">
        <v>7205.42</v>
      </c>
      <c r="J468" s="718">
        <v>113.2</v>
      </c>
      <c r="K468" s="720">
        <v>1167.45</v>
      </c>
      <c r="L468" s="720">
        <v>295.76</v>
      </c>
      <c r="M468" s="720">
        <v>2995.26</v>
      </c>
      <c r="N468" s="720">
        <v>183.78</v>
      </c>
    </row>
    <row r="469" spans="1:14" ht="15">
      <c r="A469" s="705"/>
      <c r="B469" s="705"/>
      <c r="C469" s="719">
        <v>40968</v>
      </c>
      <c r="D469" s="734">
        <v>9054</v>
      </c>
      <c r="E469" s="720">
        <v>9666.61</v>
      </c>
      <c r="F469" s="720">
        <v>14255.93</v>
      </c>
      <c r="G469" s="720">
        <v>11993.52</v>
      </c>
      <c r="H469" s="720">
        <v>9080.26</v>
      </c>
      <c r="I469" s="720">
        <v>7205.42</v>
      </c>
      <c r="J469" s="718">
        <v>113.2</v>
      </c>
      <c r="K469" s="720">
        <v>1167.45</v>
      </c>
      <c r="L469" s="720">
        <v>295.76</v>
      </c>
      <c r="M469" s="720">
        <v>2995.26</v>
      </c>
      <c r="N469" s="720">
        <v>183.78</v>
      </c>
    </row>
    <row r="470" spans="1:14" ht="15">
      <c r="A470" s="705"/>
      <c r="B470" s="705"/>
      <c r="C470" s="719">
        <v>40969</v>
      </c>
      <c r="D470" s="734">
        <v>9054</v>
      </c>
      <c r="E470" s="720">
        <v>9666.61</v>
      </c>
      <c r="F470" s="720">
        <v>14255.93</v>
      </c>
      <c r="G470" s="720">
        <v>11993.52</v>
      </c>
      <c r="H470" s="720">
        <v>9080.26</v>
      </c>
      <c r="I470" s="720">
        <v>7205.42</v>
      </c>
      <c r="J470" s="718">
        <v>113.2</v>
      </c>
      <c r="K470" s="720">
        <v>1167.45</v>
      </c>
      <c r="L470" s="720">
        <v>295.76</v>
      </c>
      <c r="M470" s="720">
        <v>2995.26</v>
      </c>
      <c r="N470" s="720">
        <v>183.78</v>
      </c>
    </row>
    <row r="471" spans="1:14" ht="15">
      <c r="A471" s="705"/>
      <c r="B471" s="705"/>
      <c r="C471" s="719">
        <v>40970</v>
      </c>
      <c r="D471" s="734">
        <v>9054</v>
      </c>
      <c r="E471" s="720">
        <v>9666.61</v>
      </c>
      <c r="F471" s="720">
        <v>14255.93</v>
      </c>
      <c r="G471" s="720">
        <v>11993.52</v>
      </c>
      <c r="H471" s="720">
        <v>9080.26</v>
      </c>
      <c r="I471" s="720">
        <v>7205.42</v>
      </c>
      <c r="J471" s="718">
        <v>113.2</v>
      </c>
      <c r="K471" s="720">
        <v>1167.45</v>
      </c>
      <c r="L471" s="720">
        <v>295.76</v>
      </c>
      <c r="M471" s="720">
        <v>2995.26</v>
      </c>
      <c r="N471" s="720">
        <v>183.78</v>
      </c>
    </row>
    <row r="472" spans="1:14" ht="15">
      <c r="A472" s="705"/>
      <c r="B472" s="705"/>
      <c r="C472" s="719">
        <v>40971</v>
      </c>
      <c r="D472" s="734">
        <v>9054</v>
      </c>
      <c r="E472" s="720">
        <v>9666.61</v>
      </c>
      <c r="F472" s="720">
        <v>14255.93</v>
      </c>
      <c r="G472" s="720">
        <v>11993.52</v>
      </c>
      <c r="H472" s="720">
        <v>9080.26</v>
      </c>
      <c r="I472" s="720">
        <v>7205.42</v>
      </c>
      <c r="J472" s="718">
        <v>113.2</v>
      </c>
      <c r="K472" s="720">
        <v>1167.45</v>
      </c>
      <c r="L472" s="720">
        <v>295.76</v>
      </c>
      <c r="M472" s="720">
        <v>2995.26</v>
      </c>
      <c r="N472" s="720">
        <v>183.78</v>
      </c>
    </row>
    <row r="473" spans="1:14" ht="15">
      <c r="A473" s="705"/>
      <c r="B473" s="705"/>
      <c r="C473" s="719">
        <v>40972</v>
      </c>
      <c r="D473" s="734">
        <v>9054</v>
      </c>
      <c r="E473" s="720">
        <v>9666.61</v>
      </c>
      <c r="F473" s="720">
        <v>14255.93</v>
      </c>
      <c r="G473" s="720">
        <v>11993.52</v>
      </c>
      <c r="H473" s="720">
        <v>9080.26</v>
      </c>
      <c r="I473" s="720">
        <v>7205.42</v>
      </c>
      <c r="J473" s="718">
        <v>113.2</v>
      </c>
      <c r="K473" s="720">
        <v>1167.45</v>
      </c>
      <c r="L473" s="720">
        <v>295.76</v>
      </c>
      <c r="M473" s="720">
        <v>2995.26</v>
      </c>
      <c r="N473" s="720">
        <v>183.78</v>
      </c>
    </row>
    <row r="474" spans="1:14" ht="15">
      <c r="A474" s="705"/>
      <c r="B474" s="705"/>
      <c r="C474" s="719">
        <v>40973</v>
      </c>
      <c r="D474" s="734">
        <v>9106</v>
      </c>
      <c r="E474" s="720">
        <v>9796.7900000000009</v>
      </c>
      <c r="F474" s="720">
        <v>14472.34</v>
      </c>
      <c r="G474" s="720">
        <v>12176</v>
      </c>
      <c r="H474" s="720">
        <v>9175.67</v>
      </c>
      <c r="I474" s="720">
        <v>7273.29</v>
      </c>
      <c r="J474" s="718">
        <v>112.58</v>
      </c>
      <c r="K474" s="720">
        <v>1174.01</v>
      </c>
      <c r="L474" s="720">
        <v>298.95</v>
      </c>
      <c r="M474" s="720">
        <v>3027.14</v>
      </c>
      <c r="N474" s="720">
        <v>185.29</v>
      </c>
    </row>
    <row r="475" spans="1:14" ht="15">
      <c r="A475" s="705"/>
      <c r="B475" s="705"/>
      <c r="C475" s="719">
        <v>40974</v>
      </c>
      <c r="D475" s="734">
        <v>9106</v>
      </c>
      <c r="E475" s="720">
        <v>9796.7900000000009</v>
      </c>
      <c r="F475" s="720">
        <v>14472.34</v>
      </c>
      <c r="G475" s="720">
        <v>12176</v>
      </c>
      <c r="H475" s="720">
        <v>9175.67</v>
      </c>
      <c r="I475" s="720">
        <v>7273.29</v>
      </c>
      <c r="J475" s="718">
        <v>112.58</v>
      </c>
      <c r="K475" s="720">
        <v>1174.01</v>
      </c>
      <c r="L475" s="720">
        <v>298.95</v>
      </c>
      <c r="M475" s="720">
        <v>3027.14</v>
      </c>
      <c r="N475" s="720">
        <v>185.29</v>
      </c>
    </row>
    <row r="476" spans="1:14" ht="15">
      <c r="A476" s="705"/>
      <c r="B476" s="705"/>
      <c r="C476" s="719">
        <v>40975</v>
      </c>
      <c r="D476" s="734">
        <v>9106</v>
      </c>
      <c r="E476" s="720">
        <v>9796.7900000000009</v>
      </c>
      <c r="F476" s="720">
        <v>14472.34</v>
      </c>
      <c r="G476" s="720">
        <v>12176</v>
      </c>
      <c r="H476" s="720">
        <v>9175.67</v>
      </c>
      <c r="I476" s="720">
        <v>7273.29</v>
      </c>
      <c r="J476" s="718">
        <v>112.58</v>
      </c>
      <c r="K476" s="720">
        <v>1174.01</v>
      </c>
      <c r="L476" s="720">
        <v>298.95</v>
      </c>
      <c r="M476" s="720">
        <v>3027.14</v>
      </c>
      <c r="N476" s="720">
        <v>185.29</v>
      </c>
    </row>
    <row r="477" spans="1:14" ht="15">
      <c r="A477" s="705"/>
      <c r="B477" s="705"/>
      <c r="C477" s="719">
        <v>40976</v>
      </c>
      <c r="D477" s="734">
        <v>9106</v>
      </c>
      <c r="E477" s="720">
        <v>9796.7900000000009</v>
      </c>
      <c r="F477" s="720">
        <v>14472.34</v>
      </c>
      <c r="G477" s="720">
        <v>12176</v>
      </c>
      <c r="H477" s="720">
        <v>9175.67</v>
      </c>
      <c r="I477" s="720">
        <v>7273.29</v>
      </c>
      <c r="J477" s="718">
        <v>112.58</v>
      </c>
      <c r="K477" s="720">
        <v>1174.01</v>
      </c>
      <c r="L477" s="720">
        <v>298.95</v>
      </c>
      <c r="M477" s="720">
        <v>3027.14</v>
      </c>
      <c r="N477" s="720">
        <v>185.29</v>
      </c>
    </row>
    <row r="478" spans="1:14" ht="15">
      <c r="A478" s="705"/>
      <c r="B478" s="705"/>
      <c r="C478" s="719">
        <v>40977</v>
      </c>
      <c r="D478" s="734">
        <v>9106</v>
      </c>
      <c r="E478" s="720">
        <v>9796.7900000000009</v>
      </c>
      <c r="F478" s="720">
        <v>14472.34</v>
      </c>
      <c r="G478" s="720">
        <v>12176</v>
      </c>
      <c r="H478" s="720">
        <v>9175.67</v>
      </c>
      <c r="I478" s="720">
        <v>7273.29</v>
      </c>
      <c r="J478" s="718">
        <v>112.58</v>
      </c>
      <c r="K478" s="720">
        <v>1174.01</v>
      </c>
      <c r="L478" s="720">
        <v>298.95</v>
      </c>
      <c r="M478" s="720">
        <v>3027.14</v>
      </c>
      <c r="N478" s="720">
        <v>185.29</v>
      </c>
    </row>
    <row r="479" spans="1:14" ht="15">
      <c r="A479" s="705"/>
      <c r="B479" s="705"/>
      <c r="C479" s="719">
        <v>40978</v>
      </c>
      <c r="D479" s="734">
        <v>9106</v>
      </c>
      <c r="E479" s="720">
        <v>9796.7900000000009</v>
      </c>
      <c r="F479" s="720">
        <v>14472.34</v>
      </c>
      <c r="G479" s="720">
        <v>12176</v>
      </c>
      <c r="H479" s="720">
        <v>9175.67</v>
      </c>
      <c r="I479" s="720">
        <v>7273.29</v>
      </c>
      <c r="J479" s="718">
        <v>112.58</v>
      </c>
      <c r="K479" s="720">
        <v>1174.01</v>
      </c>
      <c r="L479" s="720">
        <v>298.95</v>
      </c>
      <c r="M479" s="720">
        <v>3027.14</v>
      </c>
      <c r="N479" s="720">
        <v>185.29</v>
      </c>
    </row>
    <row r="480" spans="1:14" ht="15">
      <c r="A480" s="705"/>
      <c r="B480" s="705"/>
      <c r="C480" s="719">
        <v>40979</v>
      </c>
      <c r="D480" s="734">
        <v>9106</v>
      </c>
      <c r="E480" s="720">
        <v>9796.7900000000009</v>
      </c>
      <c r="F480" s="720">
        <v>14472.34</v>
      </c>
      <c r="G480" s="720">
        <v>12176</v>
      </c>
      <c r="H480" s="720">
        <v>9175.67</v>
      </c>
      <c r="I480" s="720">
        <v>7273.29</v>
      </c>
      <c r="J480" s="718">
        <v>112.58</v>
      </c>
      <c r="K480" s="720">
        <v>1174.01</v>
      </c>
      <c r="L480" s="720">
        <v>298.95</v>
      </c>
      <c r="M480" s="720">
        <v>3027.14</v>
      </c>
      <c r="N480" s="720">
        <v>185.29</v>
      </c>
    </row>
    <row r="481" spans="1:14" ht="15">
      <c r="A481" s="705"/>
      <c r="B481" s="705"/>
      <c r="C481" s="719">
        <v>40980</v>
      </c>
      <c r="D481" s="734">
        <v>9142</v>
      </c>
      <c r="E481" s="720">
        <v>9699.1299999999992</v>
      </c>
      <c r="F481" s="720">
        <v>14435.89</v>
      </c>
      <c r="G481" s="720">
        <v>12069.34</v>
      </c>
      <c r="H481" s="720">
        <v>9182.27</v>
      </c>
      <c r="I481" s="720">
        <v>7270.74</v>
      </c>
      <c r="J481" s="718">
        <v>112.52</v>
      </c>
      <c r="K481" s="720">
        <v>1177.9100000000001</v>
      </c>
      <c r="L481" s="720">
        <v>298.08</v>
      </c>
      <c r="M481" s="720">
        <v>3029.33</v>
      </c>
      <c r="N481" s="720">
        <v>182.2</v>
      </c>
    </row>
    <row r="482" spans="1:14" ht="15">
      <c r="A482" s="705"/>
      <c r="B482" s="705"/>
      <c r="C482" s="719">
        <v>40981</v>
      </c>
      <c r="D482" s="734">
        <v>9142</v>
      </c>
      <c r="E482" s="720">
        <v>9699.1299999999992</v>
      </c>
      <c r="F482" s="720">
        <v>14435.89</v>
      </c>
      <c r="G482" s="720">
        <v>12069.34</v>
      </c>
      <c r="H482" s="720">
        <v>9182.27</v>
      </c>
      <c r="I482" s="720">
        <v>7270.74</v>
      </c>
      <c r="J482" s="718">
        <v>112.52</v>
      </c>
      <c r="K482" s="720">
        <v>1177.9100000000001</v>
      </c>
      <c r="L482" s="720">
        <v>298.08</v>
      </c>
      <c r="M482" s="720">
        <v>3029.33</v>
      </c>
      <c r="N482" s="720">
        <v>182.2</v>
      </c>
    </row>
    <row r="483" spans="1:14" ht="15">
      <c r="A483" s="705"/>
      <c r="B483" s="705"/>
      <c r="C483" s="719">
        <v>40982</v>
      </c>
      <c r="D483" s="734">
        <v>9142</v>
      </c>
      <c r="E483" s="720">
        <v>9699.1299999999992</v>
      </c>
      <c r="F483" s="720">
        <v>14435.89</v>
      </c>
      <c r="G483" s="720">
        <v>12069.34</v>
      </c>
      <c r="H483" s="720">
        <v>9182.27</v>
      </c>
      <c r="I483" s="720">
        <v>7270.74</v>
      </c>
      <c r="J483" s="718">
        <v>112.52</v>
      </c>
      <c r="K483" s="720">
        <v>1177.9100000000001</v>
      </c>
      <c r="L483" s="720">
        <v>298.08</v>
      </c>
      <c r="M483" s="720">
        <v>3029.33</v>
      </c>
      <c r="N483" s="720">
        <v>182.2</v>
      </c>
    </row>
    <row r="484" spans="1:14" ht="15">
      <c r="A484" s="705"/>
      <c r="B484" s="705"/>
      <c r="C484" s="719">
        <v>40983</v>
      </c>
      <c r="D484" s="734">
        <v>9142</v>
      </c>
      <c r="E484" s="720">
        <v>9699.1299999999992</v>
      </c>
      <c r="F484" s="720">
        <v>14435.89</v>
      </c>
      <c r="G484" s="720">
        <v>12069.34</v>
      </c>
      <c r="H484" s="720">
        <v>9182.27</v>
      </c>
      <c r="I484" s="720">
        <v>7270.74</v>
      </c>
      <c r="J484" s="718">
        <v>112.52</v>
      </c>
      <c r="K484" s="720">
        <v>1177.9100000000001</v>
      </c>
      <c r="L484" s="720">
        <v>298.08</v>
      </c>
      <c r="M484" s="720">
        <v>3029.33</v>
      </c>
      <c r="N484" s="720">
        <v>182.2</v>
      </c>
    </row>
    <row r="485" spans="1:14" ht="15">
      <c r="A485" s="705"/>
      <c r="B485" s="705"/>
      <c r="C485" s="719">
        <v>40984</v>
      </c>
      <c r="D485" s="734">
        <v>9142</v>
      </c>
      <c r="E485" s="720">
        <v>9699.1299999999992</v>
      </c>
      <c r="F485" s="720">
        <v>14435.89</v>
      </c>
      <c r="G485" s="720">
        <v>12069.34</v>
      </c>
      <c r="H485" s="720">
        <v>9182.27</v>
      </c>
      <c r="I485" s="720">
        <v>7270.74</v>
      </c>
      <c r="J485" s="718">
        <v>112.52</v>
      </c>
      <c r="K485" s="720">
        <v>1177.9100000000001</v>
      </c>
      <c r="L485" s="720">
        <v>298.08</v>
      </c>
      <c r="M485" s="720">
        <v>3029.33</v>
      </c>
      <c r="N485" s="720">
        <v>182.2</v>
      </c>
    </row>
    <row r="486" spans="1:14" ht="15">
      <c r="A486" s="705"/>
      <c r="B486" s="705"/>
      <c r="C486" s="719">
        <v>40985</v>
      </c>
      <c r="D486" s="734">
        <v>9142</v>
      </c>
      <c r="E486" s="720">
        <v>9699.1299999999992</v>
      </c>
      <c r="F486" s="720">
        <v>14435.89</v>
      </c>
      <c r="G486" s="720">
        <v>12069.34</v>
      </c>
      <c r="H486" s="720">
        <v>9182.27</v>
      </c>
      <c r="I486" s="720">
        <v>7270.74</v>
      </c>
      <c r="J486" s="718">
        <v>112.52</v>
      </c>
      <c r="K486" s="720">
        <v>1177.9100000000001</v>
      </c>
      <c r="L486" s="720">
        <v>298.08</v>
      </c>
      <c r="M486" s="720">
        <v>3029.33</v>
      </c>
      <c r="N486" s="720">
        <v>182.2</v>
      </c>
    </row>
    <row r="487" spans="1:14" ht="15">
      <c r="A487" s="705"/>
      <c r="B487" s="705"/>
      <c r="C487" s="719">
        <v>40986</v>
      </c>
      <c r="D487" s="734">
        <v>9142</v>
      </c>
      <c r="E487" s="720">
        <v>9699.1299999999992</v>
      </c>
      <c r="F487" s="720">
        <v>14435.89</v>
      </c>
      <c r="G487" s="720">
        <v>12069.34</v>
      </c>
      <c r="H487" s="720">
        <v>9182.27</v>
      </c>
      <c r="I487" s="720">
        <v>7270.74</v>
      </c>
      <c r="J487" s="718">
        <v>112.52</v>
      </c>
      <c r="K487" s="720">
        <v>1177.9100000000001</v>
      </c>
      <c r="L487" s="720">
        <v>298.08</v>
      </c>
      <c r="M487" s="720">
        <v>3029.33</v>
      </c>
      <c r="N487" s="720">
        <v>182.2</v>
      </c>
    </row>
    <row r="488" spans="1:14" ht="15">
      <c r="A488" s="705"/>
      <c r="B488" s="705"/>
      <c r="C488" s="719">
        <v>40987</v>
      </c>
      <c r="D488" s="734">
        <v>9177</v>
      </c>
      <c r="E488" s="720">
        <v>9646.86</v>
      </c>
      <c r="F488" s="720">
        <v>14382.38</v>
      </c>
      <c r="G488" s="720">
        <v>12008.29</v>
      </c>
      <c r="H488" s="720">
        <v>9256.23</v>
      </c>
      <c r="I488" s="720">
        <v>7270.06</v>
      </c>
      <c r="J488" s="718">
        <v>110.47</v>
      </c>
      <c r="K488" s="720">
        <v>1182.4000000000001</v>
      </c>
      <c r="L488" s="720">
        <v>298.83</v>
      </c>
      <c r="M488" s="720">
        <v>3013.77</v>
      </c>
      <c r="N488" s="720">
        <v>183.35</v>
      </c>
    </row>
    <row r="489" spans="1:14" ht="15">
      <c r="A489" s="705"/>
      <c r="B489" s="705"/>
      <c r="C489" s="719">
        <v>40988</v>
      </c>
      <c r="D489" s="734">
        <v>9177</v>
      </c>
      <c r="E489" s="720">
        <v>9646.86</v>
      </c>
      <c r="F489" s="720">
        <v>14382.38</v>
      </c>
      <c r="G489" s="720">
        <v>12008.29</v>
      </c>
      <c r="H489" s="720">
        <v>9256.23</v>
      </c>
      <c r="I489" s="720">
        <v>7270.06</v>
      </c>
      <c r="J489" s="718">
        <v>110.47</v>
      </c>
      <c r="K489" s="720">
        <v>1182.4000000000001</v>
      </c>
      <c r="L489" s="720">
        <v>298.83</v>
      </c>
      <c r="M489" s="720">
        <v>3013.77</v>
      </c>
      <c r="N489" s="720">
        <v>183.35</v>
      </c>
    </row>
    <row r="490" spans="1:14" ht="15">
      <c r="A490" s="705"/>
      <c r="B490" s="705"/>
      <c r="C490" s="719">
        <v>40989</v>
      </c>
      <c r="D490" s="734">
        <v>9177</v>
      </c>
      <c r="E490" s="720">
        <v>9646.86</v>
      </c>
      <c r="F490" s="720">
        <v>14382.38</v>
      </c>
      <c r="G490" s="720">
        <v>12008.29</v>
      </c>
      <c r="H490" s="720">
        <v>9256.23</v>
      </c>
      <c r="I490" s="720">
        <v>7270.06</v>
      </c>
      <c r="J490" s="718">
        <v>110.47</v>
      </c>
      <c r="K490" s="720">
        <v>1182.4000000000001</v>
      </c>
      <c r="L490" s="720">
        <v>298.83</v>
      </c>
      <c r="M490" s="720">
        <v>3013.77</v>
      </c>
      <c r="N490" s="720">
        <v>183.35</v>
      </c>
    </row>
    <row r="491" spans="1:14" ht="15">
      <c r="A491" s="705"/>
      <c r="B491" s="705"/>
      <c r="C491" s="719">
        <v>40990</v>
      </c>
      <c r="D491" s="734">
        <v>9177</v>
      </c>
      <c r="E491" s="720">
        <v>9646.86</v>
      </c>
      <c r="F491" s="720">
        <v>14382.38</v>
      </c>
      <c r="G491" s="720">
        <v>12008.29</v>
      </c>
      <c r="H491" s="720">
        <v>9256.23</v>
      </c>
      <c r="I491" s="720">
        <v>7270.06</v>
      </c>
      <c r="J491" s="718">
        <v>110.47</v>
      </c>
      <c r="K491" s="720">
        <v>1182.4000000000001</v>
      </c>
      <c r="L491" s="720">
        <v>298.83</v>
      </c>
      <c r="M491" s="720">
        <v>3013.77</v>
      </c>
      <c r="N491" s="720">
        <v>183.35</v>
      </c>
    </row>
    <row r="492" spans="1:14" ht="15">
      <c r="A492" s="705"/>
      <c r="B492" s="705"/>
      <c r="C492" s="719">
        <v>40991</v>
      </c>
      <c r="D492" s="734">
        <v>9177</v>
      </c>
      <c r="E492" s="720">
        <v>9646.86</v>
      </c>
      <c r="F492" s="720">
        <v>14382.38</v>
      </c>
      <c r="G492" s="720">
        <v>12008.29</v>
      </c>
      <c r="H492" s="720">
        <v>9256.23</v>
      </c>
      <c r="I492" s="720">
        <v>7270.06</v>
      </c>
      <c r="J492" s="718">
        <v>110.47</v>
      </c>
      <c r="K492" s="720">
        <v>1182.4000000000001</v>
      </c>
      <c r="L492" s="720">
        <v>298.83</v>
      </c>
      <c r="M492" s="720">
        <v>3013.77</v>
      </c>
      <c r="N492" s="720">
        <v>183.35</v>
      </c>
    </row>
    <row r="493" spans="1:14" ht="15">
      <c r="A493" s="705"/>
      <c r="B493" s="705"/>
      <c r="C493" s="719">
        <v>40992</v>
      </c>
      <c r="D493" s="734">
        <v>9177</v>
      </c>
      <c r="E493" s="720">
        <v>9646.86</v>
      </c>
      <c r="F493" s="720">
        <v>14382.38</v>
      </c>
      <c r="G493" s="720">
        <v>12008.29</v>
      </c>
      <c r="H493" s="720">
        <v>9256.23</v>
      </c>
      <c r="I493" s="720">
        <v>7270.06</v>
      </c>
      <c r="J493" s="718">
        <v>110.47</v>
      </c>
      <c r="K493" s="720">
        <v>1182.4000000000001</v>
      </c>
      <c r="L493" s="720">
        <v>298.83</v>
      </c>
      <c r="M493" s="720">
        <v>3013.77</v>
      </c>
      <c r="N493" s="720">
        <v>183.35</v>
      </c>
    </row>
    <row r="494" spans="1:14" ht="15">
      <c r="A494" s="705"/>
      <c r="B494" s="705"/>
      <c r="C494" s="719">
        <v>40993</v>
      </c>
      <c r="D494" s="734">
        <v>9177</v>
      </c>
      <c r="E494" s="720">
        <v>9646.86</v>
      </c>
      <c r="F494" s="720">
        <v>14382.38</v>
      </c>
      <c r="G494" s="720">
        <v>12008.29</v>
      </c>
      <c r="H494" s="720">
        <v>9256.23</v>
      </c>
      <c r="I494" s="720">
        <v>7270.06</v>
      </c>
      <c r="J494" s="718">
        <v>110.47</v>
      </c>
      <c r="K494" s="720">
        <v>1182.4000000000001</v>
      </c>
      <c r="L494" s="720">
        <v>298.83</v>
      </c>
      <c r="M494" s="720">
        <v>3013.77</v>
      </c>
      <c r="N494" s="720">
        <v>183.35</v>
      </c>
    </row>
    <row r="495" spans="1:14" ht="15">
      <c r="A495" s="705"/>
      <c r="B495" s="705"/>
      <c r="C495" s="719">
        <v>40994</v>
      </c>
      <c r="D495" s="734">
        <v>9164</v>
      </c>
      <c r="E495" s="720">
        <v>9626.0300000000007</v>
      </c>
      <c r="F495" s="720">
        <v>14544.99</v>
      </c>
      <c r="G495" s="720">
        <v>12119.65</v>
      </c>
      <c r="H495" s="720">
        <v>9249.75</v>
      </c>
      <c r="I495" s="720">
        <v>7262.39</v>
      </c>
      <c r="J495" s="718">
        <v>109.8</v>
      </c>
      <c r="K495" s="720">
        <v>1180.3499999999999</v>
      </c>
      <c r="L495" s="720">
        <v>298</v>
      </c>
      <c r="M495" s="720">
        <v>2984.66</v>
      </c>
      <c r="N495" s="720">
        <v>181.71</v>
      </c>
    </row>
    <row r="496" spans="1:14" ht="15">
      <c r="A496" s="705"/>
      <c r="B496" s="705"/>
      <c r="C496" s="719">
        <v>40995</v>
      </c>
      <c r="D496" s="734">
        <v>9164</v>
      </c>
      <c r="E496" s="720">
        <v>9626.0300000000007</v>
      </c>
      <c r="F496" s="720">
        <v>14544.99</v>
      </c>
      <c r="G496" s="720">
        <v>12119.65</v>
      </c>
      <c r="H496" s="720">
        <v>9249.75</v>
      </c>
      <c r="I496" s="720">
        <v>7262.39</v>
      </c>
      <c r="J496" s="718">
        <v>109.8</v>
      </c>
      <c r="K496" s="720">
        <v>1180.3499999999999</v>
      </c>
      <c r="L496" s="720">
        <v>298</v>
      </c>
      <c r="M496" s="720">
        <v>2984.66</v>
      </c>
      <c r="N496" s="720">
        <v>181.71</v>
      </c>
    </row>
    <row r="497" spans="1:14" ht="15">
      <c r="A497" s="705"/>
      <c r="B497" s="705"/>
      <c r="C497" s="719">
        <v>40996</v>
      </c>
      <c r="D497" s="734">
        <v>9164</v>
      </c>
      <c r="E497" s="720">
        <v>9626.0300000000007</v>
      </c>
      <c r="F497" s="720">
        <v>14544.99</v>
      </c>
      <c r="G497" s="720">
        <v>12119.65</v>
      </c>
      <c r="H497" s="720">
        <v>9249.75</v>
      </c>
      <c r="I497" s="720">
        <v>7262.39</v>
      </c>
      <c r="J497" s="718">
        <v>109.8</v>
      </c>
      <c r="K497" s="720">
        <v>1180.3499999999999</v>
      </c>
      <c r="L497" s="720">
        <v>298</v>
      </c>
      <c r="M497" s="720">
        <v>2984.66</v>
      </c>
      <c r="N497" s="720">
        <v>181.71</v>
      </c>
    </row>
    <row r="498" spans="1:14" ht="15">
      <c r="A498" s="705"/>
      <c r="B498" s="705"/>
      <c r="C498" s="719">
        <v>40997</v>
      </c>
      <c r="D498" s="734">
        <v>9164</v>
      </c>
      <c r="E498" s="720">
        <v>9626.0300000000007</v>
      </c>
      <c r="F498" s="720">
        <v>14544.99</v>
      </c>
      <c r="G498" s="720">
        <v>12119.65</v>
      </c>
      <c r="H498" s="720">
        <v>9249.75</v>
      </c>
      <c r="I498" s="720">
        <v>7262.39</v>
      </c>
      <c r="J498" s="718">
        <v>109.8</v>
      </c>
      <c r="K498" s="720">
        <v>1180.3499999999999</v>
      </c>
      <c r="L498" s="720">
        <v>298</v>
      </c>
      <c r="M498" s="720">
        <v>2984.66</v>
      </c>
      <c r="N498" s="720">
        <v>181.71</v>
      </c>
    </row>
    <row r="499" spans="1:14" ht="15">
      <c r="A499" s="705"/>
      <c r="B499" s="705"/>
      <c r="C499" s="719">
        <v>40998</v>
      </c>
      <c r="D499" s="734">
        <v>9164</v>
      </c>
      <c r="E499" s="720">
        <v>9626.0300000000007</v>
      </c>
      <c r="F499" s="720">
        <v>14544.99</v>
      </c>
      <c r="G499" s="720">
        <v>12119.65</v>
      </c>
      <c r="H499" s="720">
        <v>9249.75</v>
      </c>
      <c r="I499" s="720">
        <v>7262.39</v>
      </c>
      <c r="J499" s="718">
        <v>109.8</v>
      </c>
      <c r="K499" s="720">
        <v>1180.3499999999999</v>
      </c>
      <c r="L499" s="720">
        <v>298</v>
      </c>
      <c r="M499" s="720">
        <v>2984.66</v>
      </c>
      <c r="N499" s="720">
        <v>181.71</v>
      </c>
    </row>
    <row r="500" spans="1:14" ht="15">
      <c r="A500" s="705"/>
      <c r="B500" s="705"/>
      <c r="C500" s="719">
        <v>40999</v>
      </c>
      <c r="D500" s="734">
        <v>9164</v>
      </c>
      <c r="E500" s="720">
        <v>9626.0300000000007</v>
      </c>
      <c r="F500" s="720">
        <v>14544.99</v>
      </c>
      <c r="G500" s="720">
        <v>12119.65</v>
      </c>
      <c r="H500" s="720">
        <v>9249.75</v>
      </c>
      <c r="I500" s="720">
        <v>7262.39</v>
      </c>
      <c r="J500" s="718">
        <v>109.8</v>
      </c>
      <c r="K500" s="720">
        <v>1180.3499999999999</v>
      </c>
      <c r="L500" s="720">
        <v>298</v>
      </c>
      <c r="M500" s="720">
        <v>2984.66</v>
      </c>
      <c r="N500" s="720">
        <v>181.71</v>
      </c>
    </row>
    <row r="501" spans="1:14" ht="15">
      <c r="A501" s="705"/>
      <c r="B501" s="705"/>
      <c r="C501" s="719">
        <v>41000</v>
      </c>
      <c r="D501" s="734">
        <v>9164</v>
      </c>
      <c r="E501" s="720">
        <v>9626.0300000000007</v>
      </c>
      <c r="F501" s="720">
        <v>14544.99</v>
      </c>
      <c r="G501" s="720">
        <v>12119.65</v>
      </c>
      <c r="H501" s="720">
        <v>9249.75</v>
      </c>
      <c r="I501" s="720">
        <v>7262.39</v>
      </c>
      <c r="J501" s="718">
        <v>109.8</v>
      </c>
      <c r="K501" s="720">
        <v>1180.3499999999999</v>
      </c>
      <c r="L501" s="720">
        <v>298</v>
      </c>
      <c r="M501" s="720">
        <v>2984.66</v>
      </c>
      <c r="N501" s="720">
        <v>181.71</v>
      </c>
    </row>
    <row r="502" spans="1:14" ht="15">
      <c r="A502" s="705"/>
      <c r="B502" s="705"/>
      <c r="C502" s="719">
        <v>41001</v>
      </c>
      <c r="D502" s="734">
        <v>9180</v>
      </c>
      <c r="E502" s="720">
        <v>9564.27</v>
      </c>
      <c r="F502" s="720">
        <v>14625.58</v>
      </c>
      <c r="G502" s="720">
        <v>12222.25</v>
      </c>
      <c r="H502" s="720">
        <v>9216.8700000000008</v>
      </c>
      <c r="I502" s="720">
        <v>7296.14</v>
      </c>
      <c r="J502" s="718">
        <v>111.09</v>
      </c>
      <c r="K502" s="720">
        <v>1182.19</v>
      </c>
      <c r="L502" s="720">
        <v>298.05</v>
      </c>
      <c r="M502" s="720">
        <v>2992.37</v>
      </c>
      <c r="N502" s="720">
        <v>179.85</v>
      </c>
    </row>
    <row r="503" spans="1:14" ht="15">
      <c r="A503" s="705"/>
      <c r="B503" s="705"/>
      <c r="C503" s="719">
        <v>41002</v>
      </c>
      <c r="D503" s="734">
        <v>9180</v>
      </c>
      <c r="E503" s="720">
        <v>9564.27</v>
      </c>
      <c r="F503" s="720">
        <v>14625.58</v>
      </c>
      <c r="G503" s="720">
        <v>12222.25</v>
      </c>
      <c r="H503" s="720">
        <v>9216.8700000000008</v>
      </c>
      <c r="I503" s="720">
        <v>7296.14</v>
      </c>
      <c r="J503" s="718">
        <v>111.09</v>
      </c>
      <c r="K503" s="720">
        <v>1182.19</v>
      </c>
      <c r="L503" s="720">
        <v>298.05</v>
      </c>
      <c r="M503" s="720">
        <v>2992.37</v>
      </c>
      <c r="N503" s="720">
        <v>179.85</v>
      </c>
    </row>
    <row r="504" spans="1:14" ht="15">
      <c r="A504" s="705"/>
      <c r="B504" s="705"/>
      <c r="C504" s="719">
        <v>41003</v>
      </c>
      <c r="D504" s="734">
        <v>9180</v>
      </c>
      <c r="E504" s="720">
        <v>9564.27</v>
      </c>
      <c r="F504" s="720">
        <v>14625.58</v>
      </c>
      <c r="G504" s="720">
        <v>12222.25</v>
      </c>
      <c r="H504" s="720">
        <v>9216.8700000000008</v>
      </c>
      <c r="I504" s="720">
        <v>7296.14</v>
      </c>
      <c r="J504" s="718">
        <v>111.09</v>
      </c>
      <c r="K504" s="720">
        <v>1182.19</v>
      </c>
      <c r="L504" s="720">
        <v>298.05</v>
      </c>
      <c r="M504" s="720">
        <v>2992.37</v>
      </c>
      <c r="N504" s="720">
        <v>179.85</v>
      </c>
    </row>
    <row r="505" spans="1:14" ht="15">
      <c r="A505" s="705"/>
      <c r="B505" s="705"/>
      <c r="C505" s="719">
        <v>41004</v>
      </c>
      <c r="D505" s="734">
        <v>9180</v>
      </c>
      <c r="E505" s="720">
        <v>9564.27</v>
      </c>
      <c r="F505" s="720">
        <v>14625.58</v>
      </c>
      <c r="G505" s="720">
        <v>12222.25</v>
      </c>
      <c r="H505" s="720">
        <v>9216.8700000000008</v>
      </c>
      <c r="I505" s="720">
        <v>7296.14</v>
      </c>
      <c r="J505" s="718">
        <v>111.09</v>
      </c>
      <c r="K505" s="720">
        <v>1182.19</v>
      </c>
      <c r="L505" s="720">
        <v>298.05</v>
      </c>
      <c r="M505" s="720">
        <v>2992.37</v>
      </c>
      <c r="N505" s="720">
        <v>179.85</v>
      </c>
    </row>
    <row r="506" spans="1:14" ht="15">
      <c r="A506" s="705"/>
      <c r="B506" s="705"/>
      <c r="C506" s="719">
        <v>41005</v>
      </c>
      <c r="D506" s="734">
        <v>9180</v>
      </c>
      <c r="E506" s="720">
        <v>9564.27</v>
      </c>
      <c r="F506" s="720">
        <v>14625.58</v>
      </c>
      <c r="G506" s="720">
        <v>12222.25</v>
      </c>
      <c r="H506" s="720">
        <v>9216.8700000000008</v>
      </c>
      <c r="I506" s="720">
        <v>7296.14</v>
      </c>
      <c r="J506" s="718">
        <v>111.09</v>
      </c>
      <c r="K506" s="720">
        <v>1182.19</v>
      </c>
      <c r="L506" s="720">
        <v>298.05</v>
      </c>
      <c r="M506" s="720">
        <v>2992.37</v>
      </c>
      <c r="N506" s="720">
        <v>179.85</v>
      </c>
    </row>
    <row r="507" spans="1:14" ht="15">
      <c r="A507" s="705"/>
      <c r="B507" s="705"/>
      <c r="C507" s="719">
        <v>41006</v>
      </c>
      <c r="D507" s="734">
        <v>9180</v>
      </c>
      <c r="E507" s="720">
        <v>9564.27</v>
      </c>
      <c r="F507" s="720">
        <v>14625.58</v>
      </c>
      <c r="G507" s="720">
        <v>12222.25</v>
      </c>
      <c r="H507" s="720">
        <v>9216.8700000000008</v>
      </c>
      <c r="I507" s="720">
        <v>7296.14</v>
      </c>
      <c r="J507" s="718">
        <v>111.09</v>
      </c>
      <c r="K507" s="720">
        <v>1182.19</v>
      </c>
      <c r="L507" s="720">
        <v>298.05</v>
      </c>
      <c r="M507" s="720">
        <v>2992.37</v>
      </c>
      <c r="N507" s="720">
        <v>179.85</v>
      </c>
    </row>
    <row r="508" spans="1:14" ht="15">
      <c r="A508" s="705"/>
      <c r="B508" s="705"/>
      <c r="C508" s="719">
        <v>41007</v>
      </c>
      <c r="D508" s="734">
        <v>9180</v>
      </c>
      <c r="E508" s="720">
        <v>9564.27</v>
      </c>
      <c r="F508" s="720">
        <v>14625.58</v>
      </c>
      <c r="G508" s="720">
        <v>12222.25</v>
      </c>
      <c r="H508" s="720">
        <v>9216.8700000000008</v>
      </c>
      <c r="I508" s="720">
        <v>7296.14</v>
      </c>
      <c r="J508" s="718">
        <v>111.09</v>
      </c>
      <c r="K508" s="720">
        <v>1182.19</v>
      </c>
      <c r="L508" s="720">
        <v>298.05</v>
      </c>
      <c r="M508" s="720">
        <v>2992.37</v>
      </c>
      <c r="N508" s="720">
        <v>179.85</v>
      </c>
    </row>
    <row r="509" spans="1:14" ht="15">
      <c r="A509" s="705"/>
      <c r="B509" s="705"/>
      <c r="C509" s="719">
        <v>41008</v>
      </c>
      <c r="D509" s="734">
        <v>9152</v>
      </c>
      <c r="E509" s="720">
        <v>9447.61</v>
      </c>
      <c r="F509" s="720">
        <v>14581.2</v>
      </c>
      <c r="G509" s="720">
        <v>12090.48</v>
      </c>
      <c r="H509" s="720">
        <v>9210.02</v>
      </c>
      <c r="I509" s="720">
        <v>7282.28</v>
      </c>
      <c r="J509" s="718">
        <v>111.05</v>
      </c>
      <c r="K509" s="720">
        <v>1178.58</v>
      </c>
      <c r="L509" s="720">
        <v>295.97000000000003</v>
      </c>
      <c r="M509" s="720">
        <v>2993.17</v>
      </c>
      <c r="N509" s="720">
        <v>179.8</v>
      </c>
    </row>
    <row r="510" spans="1:14" ht="15">
      <c r="A510" s="705"/>
      <c r="B510" s="705"/>
      <c r="C510" s="719">
        <v>41009</v>
      </c>
      <c r="D510" s="734">
        <v>9152</v>
      </c>
      <c r="E510" s="720">
        <v>9447.61</v>
      </c>
      <c r="F510" s="720">
        <v>14581.2</v>
      </c>
      <c r="G510" s="720">
        <v>12090.48</v>
      </c>
      <c r="H510" s="720">
        <v>9210.02</v>
      </c>
      <c r="I510" s="720">
        <v>7282.28</v>
      </c>
      <c r="J510" s="718">
        <v>111.05</v>
      </c>
      <c r="K510" s="720">
        <v>1178.58</v>
      </c>
      <c r="L510" s="720">
        <v>295.97000000000003</v>
      </c>
      <c r="M510" s="720">
        <v>2993.17</v>
      </c>
      <c r="N510" s="720">
        <v>179.8</v>
      </c>
    </row>
    <row r="511" spans="1:14" ht="15">
      <c r="A511" s="705"/>
      <c r="B511" s="705"/>
      <c r="C511" s="719">
        <v>41010</v>
      </c>
      <c r="D511" s="734">
        <v>9152</v>
      </c>
      <c r="E511" s="720">
        <v>9447.61</v>
      </c>
      <c r="F511" s="720">
        <v>14581.2</v>
      </c>
      <c r="G511" s="720">
        <v>12090.48</v>
      </c>
      <c r="H511" s="720">
        <v>9210.02</v>
      </c>
      <c r="I511" s="720">
        <v>7282.28</v>
      </c>
      <c r="J511" s="718">
        <v>111.05</v>
      </c>
      <c r="K511" s="720">
        <v>1178.58</v>
      </c>
      <c r="L511" s="720">
        <v>295.97000000000003</v>
      </c>
      <c r="M511" s="720">
        <v>2993.17</v>
      </c>
      <c r="N511" s="720">
        <v>179.8</v>
      </c>
    </row>
    <row r="512" spans="1:14" ht="15">
      <c r="A512" s="705"/>
      <c r="B512" s="705"/>
      <c r="C512" s="719">
        <v>41011</v>
      </c>
      <c r="D512" s="734">
        <v>9152</v>
      </c>
      <c r="E512" s="720">
        <v>9447.61</v>
      </c>
      <c r="F512" s="720">
        <v>14581.2</v>
      </c>
      <c r="G512" s="720">
        <v>12090.48</v>
      </c>
      <c r="H512" s="720">
        <v>9210.02</v>
      </c>
      <c r="I512" s="720">
        <v>7282.28</v>
      </c>
      <c r="J512" s="718">
        <v>111.05</v>
      </c>
      <c r="K512" s="720">
        <v>1178.58</v>
      </c>
      <c r="L512" s="720">
        <v>295.97000000000003</v>
      </c>
      <c r="M512" s="720">
        <v>2993.17</v>
      </c>
      <c r="N512" s="720">
        <v>179.8</v>
      </c>
    </row>
    <row r="513" spans="1:14" ht="15">
      <c r="A513" s="705"/>
      <c r="B513" s="705"/>
      <c r="C513" s="719">
        <v>41012</v>
      </c>
      <c r="D513" s="734">
        <v>9152</v>
      </c>
      <c r="E513" s="720">
        <v>9447.61</v>
      </c>
      <c r="F513" s="720">
        <v>14581.2</v>
      </c>
      <c r="G513" s="720">
        <v>12090.48</v>
      </c>
      <c r="H513" s="720">
        <v>9210.02</v>
      </c>
      <c r="I513" s="720">
        <v>7282.28</v>
      </c>
      <c r="J513" s="718">
        <v>111.05</v>
      </c>
      <c r="K513" s="720">
        <v>1178.58</v>
      </c>
      <c r="L513" s="720">
        <v>295.97000000000003</v>
      </c>
      <c r="M513" s="720">
        <v>2993.17</v>
      </c>
      <c r="N513" s="720">
        <v>179.8</v>
      </c>
    </row>
    <row r="514" spans="1:14" ht="15">
      <c r="A514" s="705"/>
      <c r="B514" s="705"/>
      <c r="C514" s="719">
        <v>41013</v>
      </c>
      <c r="D514" s="734">
        <v>9152</v>
      </c>
      <c r="E514" s="720">
        <v>9447.61</v>
      </c>
      <c r="F514" s="720">
        <v>14581.2</v>
      </c>
      <c r="G514" s="720">
        <v>12090.48</v>
      </c>
      <c r="H514" s="720">
        <v>9210.02</v>
      </c>
      <c r="I514" s="720">
        <v>7282.28</v>
      </c>
      <c r="J514" s="718">
        <v>111.05</v>
      </c>
      <c r="K514" s="720">
        <v>1178.58</v>
      </c>
      <c r="L514" s="720">
        <v>295.97000000000003</v>
      </c>
      <c r="M514" s="720">
        <v>2993.17</v>
      </c>
      <c r="N514" s="720">
        <v>179.8</v>
      </c>
    </row>
    <row r="515" spans="1:14" ht="15">
      <c r="A515" s="705"/>
      <c r="B515" s="705"/>
      <c r="C515" s="719">
        <v>41014</v>
      </c>
      <c r="D515" s="734">
        <v>9152</v>
      </c>
      <c r="E515" s="720">
        <v>9447.61</v>
      </c>
      <c r="F515" s="720">
        <v>14581.2</v>
      </c>
      <c r="G515" s="720">
        <v>12090.48</v>
      </c>
      <c r="H515" s="720">
        <v>9210.02</v>
      </c>
      <c r="I515" s="720">
        <v>7282.28</v>
      </c>
      <c r="J515" s="718">
        <v>111.05</v>
      </c>
      <c r="K515" s="720">
        <v>1178.58</v>
      </c>
      <c r="L515" s="720">
        <v>295.97000000000003</v>
      </c>
      <c r="M515" s="720">
        <v>2993.17</v>
      </c>
      <c r="N515" s="720">
        <v>179.8</v>
      </c>
    </row>
    <row r="516" spans="1:14" ht="15">
      <c r="A516" s="705"/>
      <c r="B516" s="705"/>
      <c r="C516" s="719">
        <v>41015</v>
      </c>
      <c r="D516" s="734">
        <v>9169</v>
      </c>
      <c r="E516" s="720">
        <v>9495.3700000000008</v>
      </c>
      <c r="F516" s="720">
        <v>14595.3</v>
      </c>
      <c r="G516" s="720">
        <v>12048</v>
      </c>
      <c r="H516" s="720">
        <v>9184.7800000000007</v>
      </c>
      <c r="I516" s="720">
        <v>7298.05</v>
      </c>
      <c r="J516" s="718">
        <v>113.2</v>
      </c>
      <c r="K516" s="720">
        <v>1180.77</v>
      </c>
      <c r="L516" s="720">
        <v>297.11</v>
      </c>
      <c r="M516" s="720">
        <v>2986.07</v>
      </c>
      <c r="N516" s="720">
        <v>178.34</v>
      </c>
    </row>
    <row r="517" spans="1:14" ht="15">
      <c r="A517" s="705"/>
      <c r="B517" s="705"/>
      <c r="C517" s="719">
        <v>41016</v>
      </c>
      <c r="D517" s="734">
        <v>9169</v>
      </c>
      <c r="E517" s="720">
        <v>9495.3700000000008</v>
      </c>
      <c r="F517" s="720">
        <v>14595.3</v>
      </c>
      <c r="G517" s="720">
        <v>12048</v>
      </c>
      <c r="H517" s="720">
        <v>9184.7800000000007</v>
      </c>
      <c r="I517" s="720">
        <v>7298.05</v>
      </c>
      <c r="J517" s="718">
        <v>113.2</v>
      </c>
      <c r="K517" s="720">
        <v>1180.77</v>
      </c>
      <c r="L517" s="720">
        <v>297.11</v>
      </c>
      <c r="M517" s="720">
        <v>2986.07</v>
      </c>
      <c r="N517" s="720">
        <v>178.34</v>
      </c>
    </row>
    <row r="518" spans="1:14" ht="15">
      <c r="A518" s="705"/>
      <c r="B518" s="705"/>
      <c r="C518" s="719">
        <v>41017</v>
      </c>
      <c r="D518" s="734">
        <v>9169</v>
      </c>
      <c r="E518" s="720">
        <v>9495.3700000000008</v>
      </c>
      <c r="F518" s="720">
        <v>14595.3</v>
      </c>
      <c r="G518" s="720">
        <v>12048</v>
      </c>
      <c r="H518" s="720">
        <v>9184.7800000000007</v>
      </c>
      <c r="I518" s="720">
        <v>7298.05</v>
      </c>
      <c r="J518" s="718">
        <v>113.2</v>
      </c>
      <c r="K518" s="720">
        <v>1180.77</v>
      </c>
      <c r="L518" s="720">
        <v>297.11</v>
      </c>
      <c r="M518" s="720">
        <v>2986.07</v>
      </c>
      <c r="N518" s="720">
        <v>178.34</v>
      </c>
    </row>
    <row r="519" spans="1:14" ht="15">
      <c r="A519" s="705"/>
      <c r="B519" s="705"/>
      <c r="C519" s="719">
        <v>41018</v>
      </c>
      <c r="D519" s="734">
        <v>9169</v>
      </c>
      <c r="E519" s="720">
        <v>9495.3700000000008</v>
      </c>
      <c r="F519" s="720">
        <v>14595.3</v>
      </c>
      <c r="G519" s="720">
        <v>12048</v>
      </c>
      <c r="H519" s="720">
        <v>9184.7800000000007</v>
      </c>
      <c r="I519" s="720">
        <v>7298.05</v>
      </c>
      <c r="J519" s="718">
        <v>113.2</v>
      </c>
      <c r="K519" s="720">
        <v>1180.77</v>
      </c>
      <c r="L519" s="720">
        <v>297.11</v>
      </c>
      <c r="M519" s="720">
        <v>2986.07</v>
      </c>
      <c r="N519" s="720">
        <v>178.34</v>
      </c>
    </row>
    <row r="520" spans="1:14" ht="15">
      <c r="A520" s="705"/>
      <c r="B520" s="705"/>
      <c r="C520" s="719">
        <v>41019</v>
      </c>
      <c r="D520" s="734">
        <v>9169</v>
      </c>
      <c r="E520" s="720">
        <v>9495.3700000000008</v>
      </c>
      <c r="F520" s="720">
        <v>14595.3</v>
      </c>
      <c r="G520" s="720">
        <v>12048</v>
      </c>
      <c r="H520" s="720">
        <v>9184.7800000000007</v>
      </c>
      <c r="I520" s="720">
        <v>7298.05</v>
      </c>
      <c r="J520" s="718">
        <v>113.2</v>
      </c>
      <c r="K520" s="720">
        <v>1180.77</v>
      </c>
      <c r="L520" s="720">
        <v>297.11</v>
      </c>
      <c r="M520" s="720">
        <v>2986.07</v>
      </c>
      <c r="N520" s="720">
        <v>178.34</v>
      </c>
    </row>
    <row r="521" spans="1:14" ht="15">
      <c r="A521" s="705"/>
      <c r="B521" s="705"/>
      <c r="C521" s="719">
        <v>41020</v>
      </c>
      <c r="D521" s="734">
        <v>9169</v>
      </c>
      <c r="E521" s="720">
        <v>9495.3700000000008</v>
      </c>
      <c r="F521" s="720">
        <v>14595.3</v>
      </c>
      <c r="G521" s="720">
        <v>12048</v>
      </c>
      <c r="H521" s="720">
        <v>9184.7800000000007</v>
      </c>
      <c r="I521" s="720">
        <v>7298.05</v>
      </c>
      <c r="J521" s="718">
        <v>113.2</v>
      </c>
      <c r="K521" s="720">
        <v>1180.77</v>
      </c>
      <c r="L521" s="720">
        <v>297.11</v>
      </c>
      <c r="M521" s="720">
        <v>2986.07</v>
      </c>
      <c r="N521" s="720">
        <v>178.34</v>
      </c>
    </row>
    <row r="522" spans="1:14" ht="15">
      <c r="A522" s="705"/>
      <c r="B522" s="705"/>
      <c r="C522" s="719">
        <v>41021</v>
      </c>
      <c r="D522" s="734">
        <v>9169</v>
      </c>
      <c r="E522" s="720">
        <v>9495.3700000000008</v>
      </c>
      <c r="F522" s="720">
        <v>14595.3</v>
      </c>
      <c r="G522" s="720">
        <v>12048</v>
      </c>
      <c r="H522" s="720">
        <v>9184.7800000000007</v>
      </c>
      <c r="I522" s="720">
        <v>7298.05</v>
      </c>
      <c r="J522" s="718">
        <v>113.2</v>
      </c>
      <c r="K522" s="720">
        <v>1180.77</v>
      </c>
      <c r="L522" s="720">
        <v>297.11</v>
      </c>
      <c r="M522" s="720">
        <v>2986.07</v>
      </c>
      <c r="N522" s="720">
        <v>178.34</v>
      </c>
    </row>
    <row r="523" spans="1:14" ht="15">
      <c r="A523" s="705"/>
      <c r="B523" s="705"/>
      <c r="C523" s="719">
        <v>41022</v>
      </c>
      <c r="D523" s="734">
        <v>9182</v>
      </c>
      <c r="E523" s="720">
        <v>9502.36</v>
      </c>
      <c r="F523" s="720">
        <v>14679.64</v>
      </c>
      <c r="G523" s="720">
        <v>12057.49</v>
      </c>
      <c r="H523" s="720">
        <v>9233.2800000000007</v>
      </c>
      <c r="I523" s="720">
        <v>7343.2</v>
      </c>
      <c r="J523" s="718">
        <v>113.13</v>
      </c>
      <c r="K523" s="720">
        <v>1183.06</v>
      </c>
      <c r="L523" s="720">
        <v>297.63</v>
      </c>
      <c r="M523" s="720">
        <v>2993.86</v>
      </c>
      <c r="N523" s="720">
        <v>177.34</v>
      </c>
    </row>
    <row r="524" spans="1:14" ht="15">
      <c r="A524" s="705"/>
      <c r="B524" s="705"/>
      <c r="C524" s="719">
        <v>41023</v>
      </c>
      <c r="D524" s="734">
        <v>9182</v>
      </c>
      <c r="E524" s="720">
        <v>9502.36</v>
      </c>
      <c r="F524" s="720">
        <v>14679.64</v>
      </c>
      <c r="G524" s="720">
        <v>12057.49</v>
      </c>
      <c r="H524" s="720">
        <v>9233.2800000000007</v>
      </c>
      <c r="I524" s="720">
        <v>7343.2</v>
      </c>
      <c r="J524" s="718">
        <v>113.13</v>
      </c>
      <c r="K524" s="720">
        <v>1183.06</v>
      </c>
      <c r="L524" s="720">
        <v>297.63</v>
      </c>
      <c r="M524" s="720">
        <v>2993.86</v>
      </c>
      <c r="N524" s="720">
        <v>177.34</v>
      </c>
    </row>
    <row r="525" spans="1:14" ht="15">
      <c r="A525" s="705"/>
      <c r="B525" s="705"/>
      <c r="C525" s="719">
        <v>41024</v>
      </c>
      <c r="D525" s="734">
        <v>9182</v>
      </c>
      <c r="E525" s="720">
        <v>9502.36</v>
      </c>
      <c r="F525" s="720">
        <v>14679.64</v>
      </c>
      <c r="G525" s="720">
        <v>12057.49</v>
      </c>
      <c r="H525" s="720">
        <v>9233.2800000000007</v>
      </c>
      <c r="I525" s="720">
        <v>7343.2</v>
      </c>
      <c r="J525" s="718">
        <v>113.13</v>
      </c>
      <c r="K525" s="720">
        <v>1183.06</v>
      </c>
      <c r="L525" s="720">
        <v>297.63</v>
      </c>
      <c r="M525" s="720">
        <v>2993.86</v>
      </c>
      <c r="N525" s="720">
        <v>177.34</v>
      </c>
    </row>
    <row r="526" spans="1:14" ht="15">
      <c r="A526" s="705"/>
      <c r="B526" s="705"/>
      <c r="C526" s="719">
        <v>41025</v>
      </c>
      <c r="D526" s="734">
        <v>9182</v>
      </c>
      <c r="E526" s="720">
        <v>9502.36</v>
      </c>
      <c r="F526" s="720">
        <v>14679.64</v>
      </c>
      <c r="G526" s="720">
        <v>12057.49</v>
      </c>
      <c r="H526" s="720">
        <v>9233.2800000000007</v>
      </c>
      <c r="I526" s="720">
        <v>7343.2</v>
      </c>
      <c r="J526" s="718">
        <v>113.13</v>
      </c>
      <c r="K526" s="720">
        <v>1183.06</v>
      </c>
      <c r="L526" s="720">
        <v>297.63</v>
      </c>
      <c r="M526" s="720">
        <v>2993.86</v>
      </c>
      <c r="N526" s="720">
        <v>177.34</v>
      </c>
    </row>
    <row r="527" spans="1:14" ht="15">
      <c r="A527" s="705"/>
      <c r="B527" s="705"/>
      <c r="C527" s="719">
        <v>41026</v>
      </c>
      <c r="D527" s="734">
        <v>9182</v>
      </c>
      <c r="E527" s="720">
        <v>9502.36</v>
      </c>
      <c r="F527" s="720">
        <v>14679.64</v>
      </c>
      <c r="G527" s="720">
        <v>12057.49</v>
      </c>
      <c r="H527" s="720">
        <v>9233.2800000000007</v>
      </c>
      <c r="I527" s="720">
        <v>7343.2</v>
      </c>
      <c r="J527" s="718">
        <v>113.13</v>
      </c>
      <c r="K527" s="720">
        <v>1183.06</v>
      </c>
      <c r="L527" s="720">
        <v>297.63</v>
      </c>
      <c r="M527" s="720">
        <v>2993.86</v>
      </c>
      <c r="N527" s="720">
        <v>177.34</v>
      </c>
    </row>
    <row r="528" spans="1:14" ht="15">
      <c r="A528" s="705"/>
      <c r="B528" s="705"/>
      <c r="C528" s="719">
        <v>41027</v>
      </c>
      <c r="D528" s="734">
        <v>9182</v>
      </c>
      <c r="E528" s="720">
        <v>9502.36</v>
      </c>
      <c r="F528" s="720">
        <v>14679.64</v>
      </c>
      <c r="G528" s="720">
        <v>12057.49</v>
      </c>
      <c r="H528" s="720">
        <v>9233.2800000000007</v>
      </c>
      <c r="I528" s="720">
        <v>7343.2</v>
      </c>
      <c r="J528" s="718">
        <v>113.13</v>
      </c>
      <c r="K528" s="720">
        <v>1183.06</v>
      </c>
      <c r="L528" s="720">
        <v>297.63</v>
      </c>
      <c r="M528" s="720">
        <v>2993.86</v>
      </c>
      <c r="N528" s="720">
        <v>177.34</v>
      </c>
    </row>
    <row r="529" spans="1:14" ht="15">
      <c r="A529" s="705"/>
      <c r="B529" s="705"/>
      <c r="C529" s="719">
        <v>41028</v>
      </c>
      <c r="D529" s="734">
        <v>9182</v>
      </c>
      <c r="E529" s="720">
        <v>9502.36</v>
      </c>
      <c r="F529" s="720">
        <v>14679.64</v>
      </c>
      <c r="G529" s="720">
        <v>12057.49</v>
      </c>
      <c r="H529" s="720">
        <v>9233.2800000000007</v>
      </c>
      <c r="I529" s="720">
        <v>7343.2</v>
      </c>
      <c r="J529" s="718">
        <v>113.13</v>
      </c>
      <c r="K529" s="720">
        <v>1183.06</v>
      </c>
      <c r="L529" s="720">
        <v>297.63</v>
      </c>
      <c r="M529" s="720">
        <v>2993.86</v>
      </c>
      <c r="N529" s="720">
        <v>177.34</v>
      </c>
    </row>
    <row r="530" spans="1:14" ht="15">
      <c r="A530" s="705"/>
      <c r="B530" s="705"/>
      <c r="C530" s="719">
        <v>41029</v>
      </c>
      <c r="D530" s="734">
        <v>9194</v>
      </c>
      <c r="E530" s="720">
        <v>9515.7000000000007</v>
      </c>
      <c r="F530" s="720">
        <v>14857.5</v>
      </c>
      <c r="G530" s="720">
        <v>12133.74</v>
      </c>
      <c r="H530" s="720">
        <v>9321.09</v>
      </c>
      <c r="I530" s="720">
        <v>7389.91</v>
      </c>
      <c r="J530" s="718">
        <v>113.23</v>
      </c>
      <c r="K530" s="720">
        <v>1184.68</v>
      </c>
      <c r="L530" s="720">
        <v>297.39999999999998</v>
      </c>
      <c r="M530" s="720">
        <v>3005.83</v>
      </c>
      <c r="N530" s="720">
        <v>174.84</v>
      </c>
    </row>
    <row r="531" spans="1:14" ht="15">
      <c r="A531" s="705"/>
      <c r="B531" s="705"/>
      <c r="C531" s="719">
        <v>41030</v>
      </c>
      <c r="D531" s="734">
        <v>9194</v>
      </c>
      <c r="E531" s="720">
        <v>9515.7000000000007</v>
      </c>
      <c r="F531" s="720">
        <v>14857.5</v>
      </c>
      <c r="G531" s="720">
        <v>12133.74</v>
      </c>
      <c r="H531" s="720">
        <v>9321.09</v>
      </c>
      <c r="I531" s="720">
        <v>7389.91</v>
      </c>
      <c r="J531" s="718">
        <v>113.23</v>
      </c>
      <c r="K531" s="720">
        <v>1184.68</v>
      </c>
      <c r="L531" s="720">
        <v>297.39999999999998</v>
      </c>
      <c r="M531" s="720">
        <v>3005.83</v>
      </c>
      <c r="N531" s="720">
        <v>174.84</v>
      </c>
    </row>
    <row r="532" spans="1:14" ht="15">
      <c r="A532" s="705"/>
      <c r="B532" s="705"/>
      <c r="C532" s="719">
        <v>41031</v>
      </c>
      <c r="D532" s="734">
        <v>9194</v>
      </c>
      <c r="E532" s="720">
        <v>9515.7000000000007</v>
      </c>
      <c r="F532" s="720">
        <v>14857.5</v>
      </c>
      <c r="G532" s="720">
        <v>12133.74</v>
      </c>
      <c r="H532" s="720">
        <v>9321.09</v>
      </c>
      <c r="I532" s="720">
        <v>7389.91</v>
      </c>
      <c r="J532" s="718">
        <v>113.23</v>
      </c>
      <c r="K532" s="720">
        <v>1184.68</v>
      </c>
      <c r="L532" s="720">
        <v>297.39999999999998</v>
      </c>
      <c r="M532" s="720">
        <v>3005.83</v>
      </c>
      <c r="N532" s="720">
        <v>174.84</v>
      </c>
    </row>
    <row r="533" spans="1:14" ht="15">
      <c r="A533" s="705"/>
      <c r="B533" s="705"/>
      <c r="C533" s="719">
        <v>41032</v>
      </c>
      <c r="D533" s="734">
        <v>9194</v>
      </c>
      <c r="E533" s="720">
        <v>9515.7000000000007</v>
      </c>
      <c r="F533" s="720">
        <v>14857.5</v>
      </c>
      <c r="G533" s="720">
        <v>12133.74</v>
      </c>
      <c r="H533" s="720">
        <v>9321.09</v>
      </c>
      <c r="I533" s="720">
        <v>7389.91</v>
      </c>
      <c r="J533" s="718">
        <v>113.23</v>
      </c>
      <c r="K533" s="720">
        <v>1184.68</v>
      </c>
      <c r="L533" s="720">
        <v>297.39999999999998</v>
      </c>
      <c r="M533" s="720">
        <v>3005.83</v>
      </c>
      <c r="N533" s="720">
        <v>174.84</v>
      </c>
    </row>
    <row r="534" spans="1:14" ht="15">
      <c r="A534" s="705"/>
      <c r="B534" s="705"/>
      <c r="C534" s="719">
        <v>41033</v>
      </c>
      <c r="D534" s="734">
        <v>9194</v>
      </c>
      <c r="E534" s="720">
        <v>9515.7000000000007</v>
      </c>
      <c r="F534" s="720">
        <v>14857.5</v>
      </c>
      <c r="G534" s="720">
        <v>12133.74</v>
      </c>
      <c r="H534" s="720">
        <v>9321.09</v>
      </c>
      <c r="I534" s="720">
        <v>7389.91</v>
      </c>
      <c r="J534" s="718">
        <v>113.23</v>
      </c>
      <c r="K534" s="720">
        <v>1184.68</v>
      </c>
      <c r="L534" s="720">
        <v>297.39999999999998</v>
      </c>
      <c r="M534" s="720">
        <v>3005.83</v>
      </c>
      <c r="N534" s="720">
        <v>174.84</v>
      </c>
    </row>
    <row r="535" spans="1:14" ht="15">
      <c r="A535" s="705"/>
      <c r="B535" s="705"/>
      <c r="C535" s="719">
        <v>41034</v>
      </c>
      <c r="D535" s="734">
        <v>9194</v>
      </c>
      <c r="E535" s="720">
        <v>9515.7000000000007</v>
      </c>
      <c r="F535" s="720">
        <v>14857.5</v>
      </c>
      <c r="G535" s="720">
        <v>12133.74</v>
      </c>
      <c r="H535" s="720">
        <v>9321.09</v>
      </c>
      <c r="I535" s="720">
        <v>7389.91</v>
      </c>
      <c r="J535" s="718">
        <v>113.23</v>
      </c>
      <c r="K535" s="720">
        <v>1184.68</v>
      </c>
      <c r="L535" s="720">
        <v>297.39999999999998</v>
      </c>
      <c r="M535" s="720">
        <v>3005.83</v>
      </c>
      <c r="N535" s="720">
        <v>174.84</v>
      </c>
    </row>
    <row r="536" spans="1:14" ht="15">
      <c r="A536" s="705"/>
      <c r="B536" s="705"/>
      <c r="C536" s="719">
        <v>41035</v>
      </c>
      <c r="D536" s="734">
        <v>9194</v>
      </c>
      <c r="E536" s="720">
        <v>9515.7000000000007</v>
      </c>
      <c r="F536" s="720">
        <v>14857.5</v>
      </c>
      <c r="G536" s="720">
        <v>12133.74</v>
      </c>
      <c r="H536" s="720">
        <v>9321.09</v>
      </c>
      <c r="I536" s="720">
        <v>7389.91</v>
      </c>
      <c r="J536" s="718">
        <v>113.23</v>
      </c>
      <c r="K536" s="720">
        <v>1184.68</v>
      </c>
      <c r="L536" s="720">
        <v>297.39999999999998</v>
      </c>
      <c r="M536" s="720">
        <v>3005.83</v>
      </c>
      <c r="N536" s="720">
        <v>174.84</v>
      </c>
    </row>
    <row r="537" spans="1:14" ht="15">
      <c r="A537" s="705"/>
      <c r="B537" s="705"/>
      <c r="C537" s="719">
        <v>41036</v>
      </c>
      <c r="D537" s="734">
        <v>9203</v>
      </c>
      <c r="E537" s="720">
        <v>9504.2800000000007</v>
      </c>
      <c r="F537" s="720">
        <v>14912.95</v>
      </c>
      <c r="G537" s="720">
        <v>12138.13</v>
      </c>
      <c r="H537" s="720">
        <v>9323.07</v>
      </c>
      <c r="I537" s="720">
        <v>7423.65</v>
      </c>
      <c r="J537" s="718">
        <v>114.92</v>
      </c>
      <c r="K537" s="720">
        <v>1186.1099999999999</v>
      </c>
      <c r="L537" s="720">
        <v>298.42</v>
      </c>
      <c r="M537" s="720">
        <v>3036.63</v>
      </c>
      <c r="N537" s="720">
        <v>173.52</v>
      </c>
    </row>
    <row r="538" spans="1:14" ht="15">
      <c r="A538" s="705"/>
      <c r="B538" s="705"/>
      <c r="C538" s="719">
        <v>41037</v>
      </c>
      <c r="D538" s="734">
        <v>9203</v>
      </c>
      <c r="E538" s="720">
        <v>9504.2800000000007</v>
      </c>
      <c r="F538" s="720">
        <v>14912.95</v>
      </c>
      <c r="G538" s="720">
        <v>12138.13</v>
      </c>
      <c r="H538" s="720">
        <v>9323.07</v>
      </c>
      <c r="I538" s="720">
        <v>7423.65</v>
      </c>
      <c r="J538" s="718">
        <v>114.92</v>
      </c>
      <c r="K538" s="720">
        <v>1186.1099999999999</v>
      </c>
      <c r="L538" s="720">
        <v>298.42</v>
      </c>
      <c r="M538" s="720">
        <v>3036.63</v>
      </c>
      <c r="N538" s="720">
        <v>173.52</v>
      </c>
    </row>
    <row r="539" spans="1:14" ht="15">
      <c r="A539" s="705"/>
      <c r="B539" s="705"/>
      <c r="C539" s="719">
        <v>41038</v>
      </c>
      <c r="D539" s="734">
        <v>9203</v>
      </c>
      <c r="E539" s="720">
        <v>9504.2800000000007</v>
      </c>
      <c r="F539" s="720">
        <v>14912.95</v>
      </c>
      <c r="G539" s="720">
        <v>12138.13</v>
      </c>
      <c r="H539" s="720">
        <v>9323.07</v>
      </c>
      <c r="I539" s="720">
        <v>7423.65</v>
      </c>
      <c r="J539" s="718">
        <v>114.92</v>
      </c>
      <c r="K539" s="720">
        <v>1186.1099999999999</v>
      </c>
      <c r="L539" s="720">
        <v>298.42</v>
      </c>
      <c r="M539" s="720">
        <v>3036.63</v>
      </c>
      <c r="N539" s="720">
        <v>173.52</v>
      </c>
    </row>
    <row r="540" spans="1:14" ht="15">
      <c r="A540" s="705"/>
      <c r="B540" s="705"/>
      <c r="C540" s="719">
        <v>41039</v>
      </c>
      <c r="D540" s="734">
        <v>9203</v>
      </c>
      <c r="E540" s="720">
        <v>9504.2800000000007</v>
      </c>
      <c r="F540" s="720">
        <v>14912.95</v>
      </c>
      <c r="G540" s="720">
        <v>12138.13</v>
      </c>
      <c r="H540" s="720">
        <v>9323.07</v>
      </c>
      <c r="I540" s="720">
        <v>7423.65</v>
      </c>
      <c r="J540" s="718">
        <v>114.92</v>
      </c>
      <c r="K540" s="720">
        <v>1186.1099999999999</v>
      </c>
      <c r="L540" s="720">
        <v>298.42</v>
      </c>
      <c r="M540" s="720">
        <v>3036.63</v>
      </c>
      <c r="N540" s="720">
        <v>173.52</v>
      </c>
    </row>
    <row r="541" spans="1:14" ht="15">
      <c r="A541" s="705"/>
      <c r="B541" s="705"/>
      <c r="C541" s="719">
        <v>41040</v>
      </c>
      <c r="D541" s="734">
        <v>9203</v>
      </c>
      <c r="E541" s="720">
        <v>9504.2800000000007</v>
      </c>
      <c r="F541" s="720">
        <v>14912.95</v>
      </c>
      <c r="G541" s="720">
        <v>12138.13</v>
      </c>
      <c r="H541" s="720">
        <v>9323.07</v>
      </c>
      <c r="I541" s="720">
        <v>7423.65</v>
      </c>
      <c r="J541" s="718">
        <v>114.92</v>
      </c>
      <c r="K541" s="720">
        <v>1186.1099999999999</v>
      </c>
      <c r="L541" s="720">
        <v>298.42</v>
      </c>
      <c r="M541" s="720">
        <v>3036.63</v>
      </c>
      <c r="N541" s="720">
        <v>173.52</v>
      </c>
    </row>
    <row r="542" spans="1:14" ht="15">
      <c r="A542" s="705"/>
      <c r="B542" s="705"/>
      <c r="C542" s="719">
        <v>41041</v>
      </c>
      <c r="D542" s="734">
        <v>9203</v>
      </c>
      <c r="E542" s="720">
        <v>9504.2800000000007</v>
      </c>
      <c r="F542" s="720">
        <v>14912.95</v>
      </c>
      <c r="G542" s="720">
        <v>12138.13</v>
      </c>
      <c r="H542" s="720">
        <v>9323.07</v>
      </c>
      <c r="I542" s="720">
        <v>7423.65</v>
      </c>
      <c r="J542" s="718">
        <v>114.92</v>
      </c>
      <c r="K542" s="720">
        <v>1186.1099999999999</v>
      </c>
      <c r="L542" s="720">
        <v>298.42</v>
      </c>
      <c r="M542" s="720">
        <v>3036.63</v>
      </c>
      <c r="N542" s="720">
        <v>173.52</v>
      </c>
    </row>
    <row r="543" spans="1:14" ht="15">
      <c r="A543" s="705"/>
      <c r="B543" s="705"/>
      <c r="C543" s="719">
        <v>41042</v>
      </c>
      <c r="D543" s="734">
        <v>9203</v>
      </c>
      <c r="E543" s="720">
        <v>9504.2800000000007</v>
      </c>
      <c r="F543" s="720">
        <v>14912.95</v>
      </c>
      <c r="G543" s="720">
        <v>12138.13</v>
      </c>
      <c r="H543" s="720">
        <v>9323.07</v>
      </c>
      <c r="I543" s="720">
        <v>7423.65</v>
      </c>
      <c r="J543" s="718">
        <v>114.92</v>
      </c>
      <c r="K543" s="720">
        <v>1186.1099999999999</v>
      </c>
      <c r="L543" s="720">
        <v>298.42</v>
      </c>
      <c r="M543" s="720">
        <v>3036.63</v>
      </c>
      <c r="N543" s="720">
        <v>173.52</v>
      </c>
    </row>
    <row r="544" spans="1:14" ht="15">
      <c r="A544" s="705"/>
      <c r="B544" s="705"/>
      <c r="C544" s="719">
        <v>41043</v>
      </c>
      <c r="D544" s="734">
        <v>9238</v>
      </c>
      <c r="E544" s="720">
        <v>9331.23</v>
      </c>
      <c r="F544" s="720">
        <v>14918.26</v>
      </c>
      <c r="G544" s="720">
        <v>11978.06</v>
      </c>
      <c r="H544" s="720">
        <v>9236.65</v>
      </c>
      <c r="I544" s="720">
        <v>7390.11</v>
      </c>
      <c r="J544" s="718">
        <v>115.66</v>
      </c>
      <c r="K544" s="720">
        <v>1189.8699999999999</v>
      </c>
      <c r="L544" s="720">
        <v>297.25</v>
      </c>
      <c r="M544" s="720">
        <v>3014.16</v>
      </c>
      <c r="N544" s="720">
        <v>173.21</v>
      </c>
    </row>
    <row r="545" spans="1:14" ht="15">
      <c r="A545" s="705"/>
      <c r="B545" s="705"/>
      <c r="C545" s="719">
        <v>41044</v>
      </c>
      <c r="D545" s="734">
        <v>9238</v>
      </c>
      <c r="E545" s="720">
        <v>9331.23</v>
      </c>
      <c r="F545" s="720">
        <v>14918.26</v>
      </c>
      <c r="G545" s="720">
        <v>11978.06</v>
      </c>
      <c r="H545" s="720">
        <v>9236.65</v>
      </c>
      <c r="I545" s="720">
        <v>7390.11</v>
      </c>
      <c r="J545" s="718">
        <v>115.66</v>
      </c>
      <c r="K545" s="720">
        <v>1189.8699999999999</v>
      </c>
      <c r="L545" s="720">
        <v>297.25</v>
      </c>
      <c r="M545" s="720">
        <v>3014.16</v>
      </c>
      <c r="N545" s="720">
        <v>173.21</v>
      </c>
    </row>
    <row r="546" spans="1:14" ht="15">
      <c r="A546" s="705"/>
      <c r="B546" s="705"/>
      <c r="C546" s="719">
        <v>41045</v>
      </c>
      <c r="D546" s="734">
        <v>9238</v>
      </c>
      <c r="E546" s="720">
        <v>9331.23</v>
      </c>
      <c r="F546" s="720">
        <v>14918.26</v>
      </c>
      <c r="G546" s="720">
        <v>11978.06</v>
      </c>
      <c r="H546" s="720">
        <v>9236.65</v>
      </c>
      <c r="I546" s="720">
        <v>7390.11</v>
      </c>
      <c r="J546" s="718">
        <v>115.66</v>
      </c>
      <c r="K546" s="720">
        <v>1189.8699999999999</v>
      </c>
      <c r="L546" s="720">
        <v>297.25</v>
      </c>
      <c r="M546" s="720">
        <v>3014.16</v>
      </c>
      <c r="N546" s="720">
        <v>173.21</v>
      </c>
    </row>
    <row r="547" spans="1:14" ht="15">
      <c r="A547" s="705"/>
      <c r="B547" s="705"/>
      <c r="C547" s="719">
        <v>41046</v>
      </c>
      <c r="D547" s="734">
        <v>9238</v>
      </c>
      <c r="E547" s="720">
        <v>9331.23</v>
      </c>
      <c r="F547" s="720">
        <v>14918.26</v>
      </c>
      <c r="G547" s="720">
        <v>11978.06</v>
      </c>
      <c r="H547" s="720">
        <v>9236.65</v>
      </c>
      <c r="I547" s="720">
        <v>7390.11</v>
      </c>
      <c r="J547" s="718">
        <v>115.66</v>
      </c>
      <c r="K547" s="720">
        <v>1189.8699999999999</v>
      </c>
      <c r="L547" s="720">
        <v>297.25</v>
      </c>
      <c r="M547" s="720">
        <v>3014.16</v>
      </c>
      <c r="N547" s="720">
        <v>173.21</v>
      </c>
    </row>
    <row r="548" spans="1:14" ht="15">
      <c r="A548" s="705"/>
      <c r="B548" s="705"/>
      <c r="C548" s="719">
        <v>41047</v>
      </c>
      <c r="D548" s="734">
        <v>9238</v>
      </c>
      <c r="E548" s="720">
        <v>9331.23</v>
      </c>
      <c r="F548" s="720">
        <v>14918.26</v>
      </c>
      <c r="G548" s="720">
        <v>11978.06</v>
      </c>
      <c r="H548" s="720">
        <v>9236.65</v>
      </c>
      <c r="I548" s="720">
        <v>7390.11</v>
      </c>
      <c r="J548" s="718">
        <v>115.66</v>
      </c>
      <c r="K548" s="720">
        <v>1189.8699999999999</v>
      </c>
      <c r="L548" s="720">
        <v>297.25</v>
      </c>
      <c r="M548" s="720">
        <v>3014.16</v>
      </c>
      <c r="N548" s="720">
        <v>173.21</v>
      </c>
    </row>
    <row r="549" spans="1:14" ht="15">
      <c r="A549" s="705"/>
      <c r="B549" s="705"/>
      <c r="C549" s="719">
        <v>41048</v>
      </c>
      <c r="D549" s="734">
        <v>9238</v>
      </c>
      <c r="E549" s="720">
        <v>9331.23</v>
      </c>
      <c r="F549" s="720">
        <v>14918.26</v>
      </c>
      <c r="G549" s="720">
        <v>11978.06</v>
      </c>
      <c r="H549" s="720">
        <v>9236.65</v>
      </c>
      <c r="I549" s="720">
        <v>7390.11</v>
      </c>
      <c r="J549" s="718">
        <v>115.66</v>
      </c>
      <c r="K549" s="720">
        <v>1189.8699999999999</v>
      </c>
      <c r="L549" s="720">
        <v>297.25</v>
      </c>
      <c r="M549" s="720">
        <v>3014.16</v>
      </c>
      <c r="N549" s="720">
        <v>173.21</v>
      </c>
    </row>
    <row r="550" spans="1:14" ht="15">
      <c r="A550" s="705"/>
      <c r="B550" s="705"/>
      <c r="C550" s="719">
        <v>41049</v>
      </c>
      <c r="D550" s="734">
        <v>9238</v>
      </c>
      <c r="E550" s="720">
        <v>9331.23</v>
      </c>
      <c r="F550" s="720">
        <v>14918.26</v>
      </c>
      <c r="G550" s="720">
        <v>11978.06</v>
      </c>
      <c r="H550" s="720">
        <v>9236.65</v>
      </c>
      <c r="I550" s="720">
        <v>7390.11</v>
      </c>
      <c r="J550" s="718">
        <v>115.66</v>
      </c>
      <c r="K550" s="720">
        <v>1189.8699999999999</v>
      </c>
      <c r="L550" s="720">
        <v>297.25</v>
      </c>
      <c r="M550" s="720">
        <v>3014.16</v>
      </c>
      <c r="N550" s="720">
        <v>173.21</v>
      </c>
    </row>
    <row r="551" spans="1:14" ht="15">
      <c r="A551" s="705"/>
      <c r="B551" s="705"/>
      <c r="C551" s="719">
        <v>41050</v>
      </c>
      <c r="D551" s="734">
        <v>9230</v>
      </c>
      <c r="E551" s="720">
        <v>9225.64</v>
      </c>
      <c r="F551" s="720">
        <v>14828.77</v>
      </c>
      <c r="G551" s="720">
        <v>11884.3</v>
      </c>
      <c r="H551" s="720">
        <v>9206.6200000000008</v>
      </c>
      <c r="I551" s="720">
        <v>7351.51</v>
      </c>
      <c r="J551" s="718">
        <v>115.51</v>
      </c>
      <c r="K551" s="720">
        <v>1188.49</v>
      </c>
      <c r="L551" s="720">
        <v>294.87</v>
      </c>
      <c r="M551" s="720">
        <v>2998.32</v>
      </c>
      <c r="N551" s="720">
        <v>171.58</v>
      </c>
    </row>
    <row r="552" spans="1:14" ht="15">
      <c r="A552" s="705"/>
      <c r="B552" s="705"/>
      <c r="C552" s="719">
        <v>41051</v>
      </c>
      <c r="D552" s="734">
        <v>9230</v>
      </c>
      <c r="E552" s="720">
        <v>9225.64</v>
      </c>
      <c r="F552" s="720">
        <v>14828.77</v>
      </c>
      <c r="G552" s="720">
        <v>11884.3</v>
      </c>
      <c r="H552" s="720">
        <v>9206.6200000000008</v>
      </c>
      <c r="I552" s="720">
        <v>7351.51</v>
      </c>
      <c r="J552" s="718">
        <v>115.51</v>
      </c>
      <c r="K552" s="720">
        <v>1188.49</v>
      </c>
      <c r="L552" s="720">
        <v>294.87</v>
      </c>
      <c r="M552" s="720">
        <v>2998.32</v>
      </c>
      <c r="N552" s="720">
        <v>171.58</v>
      </c>
    </row>
    <row r="553" spans="1:14" ht="15">
      <c r="A553" s="705"/>
      <c r="B553" s="705"/>
      <c r="C553" s="719">
        <v>41052</v>
      </c>
      <c r="D553" s="734">
        <v>9230</v>
      </c>
      <c r="E553" s="720">
        <v>9225.64</v>
      </c>
      <c r="F553" s="720">
        <v>14828.77</v>
      </c>
      <c r="G553" s="720">
        <v>11884.3</v>
      </c>
      <c r="H553" s="720">
        <v>9206.6200000000008</v>
      </c>
      <c r="I553" s="720">
        <v>7351.51</v>
      </c>
      <c r="J553" s="718">
        <v>115.51</v>
      </c>
      <c r="K553" s="720">
        <v>1188.49</v>
      </c>
      <c r="L553" s="720">
        <v>294.87</v>
      </c>
      <c r="M553" s="720">
        <v>2998.32</v>
      </c>
      <c r="N553" s="720">
        <v>171.58</v>
      </c>
    </row>
    <row r="554" spans="1:14" ht="15">
      <c r="A554" s="705"/>
      <c r="B554" s="705"/>
      <c r="C554" s="719">
        <v>41053</v>
      </c>
      <c r="D554" s="734">
        <v>9230</v>
      </c>
      <c r="E554" s="720">
        <v>9225.64</v>
      </c>
      <c r="F554" s="720">
        <v>14828.77</v>
      </c>
      <c r="G554" s="720">
        <v>11884.3</v>
      </c>
      <c r="H554" s="720">
        <v>9206.6200000000008</v>
      </c>
      <c r="I554" s="720">
        <v>7351.51</v>
      </c>
      <c r="J554" s="718">
        <v>115.51</v>
      </c>
      <c r="K554" s="720">
        <v>1188.49</v>
      </c>
      <c r="L554" s="720">
        <v>294.87</v>
      </c>
      <c r="M554" s="720">
        <v>2998.32</v>
      </c>
      <c r="N554" s="720">
        <v>171.58</v>
      </c>
    </row>
    <row r="555" spans="1:14" ht="15">
      <c r="A555" s="705"/>
      <c r="B555" s="705"/>
      <c r="C555" s="719">
        <v>41054</v>
      </c>
      <c r="D555" s="734">
        <v>9230</v>
      </c>
      <c r="E555" s="720">
        <v>9225.64</v>
      </c>
      <c r="F555" s="720">
        <v>14828.77</v>
      </c>
      <c r="G555" s="720">
        <v>11884.3</v>
      </c>
      <c r="H555" s="720">
        <v>9206.6200000000008</v>
      </c>
      <c r="I555" s="720">
        <v>7351.51</v>
      </c>
      <c r="J555" s="718">
        <v>115.51</v>
      </c>
      <c r="K555" s="720">
        <v>1188.49</v>
      </c>
      <c r="L555" s="720">
        <v>294.87</v>
      </c>
      <c r="M555" s="720">
        <v>2998.32</v>
      </c>
      <c r="N555" s="720">
        <v>171.58</v>
      </c>
    </row>
    <row r="556" spans="1:14" ht="15">
      <c r="A556" s="705"/>
      <c r="B556" s="705"/>
      <c r="C556" s="719">
        <v>41055</v>
      </c>
      <c r="D556" s="734">
        <v>9230</v>
      </c>
      <c r="E556" s="720">
        <v>9225.64</v>
      </c>
      <c r="F556" s="720">
        <v>14828.77</v>
      </c>
      <c r="G556" s="720">
        <v>11884.3</v>
      </c>
      <c r="H556" s="720">
        <v>9206.6200000000008</v>
      </c>
      <c r="I556" s="720">
        <v>7351.51</v>
      </c>
      <c r="J556" s="718">
        <v>115.51</v>
      </c>
      <c r="K556" s="720">
        <v>1188.49</v>
      </c>
      <c r="L556" s="720">
        <v>294.87</v>
      </c>
      <c r="M556" s="720">
        <v>2998.32</v>
      </c>
      <c r="N556" s="720">
        <v>171.58</v>
      </c>
    </row>
    <row r="557" spans="1:14" ht="15">
      <c r="A557" s="705"/>
      <c r="B557" s="705"/>
      <c r="C557" s="719">
        <v>41056</v>
      </c>
      <c r="D557" s="734">
        <v>9230</v>
      </c>
      <c r="E557" s="720">
        <v>9225.64</v>
      </c>
      <c r="F557" s="720">
        <v>14828.77</v>
      </c>
      <c r="G557" s="720">
        <v>11884.3</v>
      </c>
      <c r="H557" s="720">
        <v>9206.6200000000008</v>
      </c>
      <c r="I557" s="720">
        <v>7351.51</v>
      </c>
      <c r="J557" s="718">
        <v>115.51</v>
      </c>
      <c r="K557" s="720">
        <v>1188.49</v>
      </c>
      <c r="L557" s="720">
        <v>294.87</v>
      </c>
      <c r="M557" s="720">
        <v>2998.32</v>
      </c>
      <c r="N557" s="720">
        <v>171.58</v>
      </c>
    </row>
    <row r="558" spans="1:14" ht="15">
      <c r="A558" s="705"/>
      <c r="B558" s="705"/>
      <c r="C558" s="719">
        <v>41057</v>
      </c>
      <c r="D558" s="734">
        <v>9299</v>
      </c>
      <c r="E558" s="720">
        <v>9114.8799999999992</v>
      </c>
      <c r="F558" s="720">
        <v>14622.68</v>
      </c>
      <c r="G558" s="720">
        <v>11746.31</v>
      </c>
      <c r="H558" s="720">
        <v>9087.44</v>
      </c>
      <c r="I558" s="720">
        <v>7294.59</v>
      </c>
      <c r="J558" s="718">
        <v>116.82</v>
      </c>
      <c r="K558" s="720">
        <v>1197.69</v>
      </c>
      <c r="L558" s="720">
        <v>295.24</v>
      </c>
      <c r="M558" s="720">
        <v>2961.39</v>
      </c>
      <c r="N558" s="720">
        <v>167.48</v>
      </c>
    </row>
    <row r="559" spans="1:14" ht="15">
      <c r="A559" s="705"/>
      <c r="B559" s="705"/>
      <c r="C559" s="719">
        <v>41058</v>
      </c>
      <c r="D559" s="734">
        <v>9299</v>
      </c>
      <c r="E559" s="720">
        <v>9114.8799999999992</v>
      </c>
      <c r="F559" s="720">
        <v>14622.68</v>
      </c>
      <c r="G559" s="720">
        <v>11746.31</v>
      </c>
      <c r="H559" s="720">
        <v>9087.44</v>
      </c>
      <c r="I559" s="720">
        <v>7294.59</v>
      </c>
      <c r="J559" s="718">
        <v>116.82</v>
      </c>
      <c r="K559" s="720">
        <v>1197.69</v>
      </c>
      <c r="L559" s="720">
        <v>295.24</v>
      </c>
      <c r="M559" s="720">
        <v>2961.39</v>
      </c>
      <c r="N559" s="720">
        <v>167.48</v>
      </c>
    </row>
    <row r="560" spans="1:14" ht="15">
      <c r="A560" s="705"/>
      <c r="B560" s="705"/>
      <c r="C560" s="719">
        <v>41059</v>
      </c>
      <c r="D560" s="734">
        <v>9299</v>
      </c>
      <c r="E560" s="720">
        <v>9114.8799999999992</v>
      </c>
      <c r="F560" s="720">
        <v>14622.68</v>
      </c>
      <c r="G560" s="720">
        <v>11746.31</v>
      </c>
      <c r="H560" s="720">
        <v>9087.44</v>
      </c>
      <c r="I560" s="720">
        <v>7294.59</v>
      </c>
      <c r="J560" s="718">
        <v>116.82</v>
      </c>
      <c r="K560" s="720">
        <v>1197.69</v>
      </c>
      <c r="L560" s="720">
        <v>295.24</v>
      </c>
      <c r="M560" s="720">
        <v>2961.39</v>
      </c>
      <c r="N560" s="720">
        <v>167.48</v>
      </c>
    </row>
    <row r="561" spans="1:14" ht="15">
      <c r="A561" s="705"/>
      <c r="B561" s="705"/>
      <c r="C561" s="719">
        <v>41060</v>
      </c>
      <c r="D561" s="734">
        <v>9299</v>
      </c>
      <c r="E561" s="720">
        <v>9114.8799999999992</v>
      </c>
      <c r="F561" s="720">
        <v>14622.68</v>
      </c>
      <c r="G561" s="720">
        <v>11746.31</v>
      </c>
      <c r="H561" s="720">
        <v>9087.44</v>
      </c>
      <c r="I561" s="720">
        <v>7294.59</v>
      </c>
      <c r="J561" s="718">
        <v>116.82</v>
      </c>
      <c r="K561" s="720">
        <v>1197.69</v>
      </c>
      <c r="L561" s="720">
        <v>295.24</v>
      </c>
      <c r="M561" s="720">
        <v>2961.39</v>
      </c>
      <c r="N561" s="720">
        <v>167.48</v>
      </c>
    </row>
    <row r="562" spans="1:14" ht="15">
      <c r="A562" s="705"/>
      <c r="B562" s="705"/>
      <c r="C562" s="719">
        <v>41061</v>
      </c>
      <c r="D562" s="734">
        <v>9299</v>
      </c>
      <c r="E562" s="720">
        <v>9114.8799999999992</v>
      </c>
      <c r="F562" s="720">
        <v>14622.68</v>
      </c>
      <c r="G562" s="720">
        <v>11746.31</v>
      </c>
      <c r="H562" s="720">
        <v>9087.44</v>
      </c>
      <c r="I562" s="720">
        <v>7294.59</v>
      </c>
      <c r="J562" s="718">
        <v>116.82</v>
      </c>
      <c r="K562" s="720">
        <v>1197.69</v>
      </c>
      <c r="L562" s="720">
        <v>295.24</v>
      </c>
      <c r="M562" s="720">
        <v>2961.39</v>
      </c>
      <c r="N562" s="720">
        <v>167.48</v>
      </c>
    </row>
    <row r="563" spans="1:14" ht="15">
      <c r="A563" s="705"/>
      <c r="B563" s="705"/>
      <c r="C563" s="719">
        <v>41062</v>
      </c>
      <c r="D563" s="734">
        <v>9299</v>
      </c>
      <c r="E563" s="720">
        <v>9114.8799999999992</v>
      </c>
      <c r="F563" s="720">
        <v>14622.68</v>
      </c>
      <c r="G563" s="720">
        <v>11746.31</v>
      </c>
      <c r="H563" s="720">
        <v>9087.44</v>
      </c>
      <c r="I563" s="720">
        <v>7294.59</v>
      </c>
      <c r="J563" s="718">
        <v>116.82</v>
      </c>
      <c r="K563" s="720">
        <v>1197.69</v>
      </c>
      <c r="L563" s="720">
        <v>295.24</v>
      </c>
      <c r="M563" s="720">
        <v>2961.39</v>
      </c>
      <c r="N563" s="720">
        <v>167.48</v>
      </c>
    </row>
    <row r="564" spans="1:14" ht="15">
      <c r="A564" s="705"/>
      <c r="B564" s="705"/>
      <c r="C564" s="719">
        <v>41063</v>
      </c>
      <c r="D564" s="734">
        <v>9299</v>
      </c>
      <c r="E564" s="720">
        <v>9114.8799999999992</v>
      </c>
      <c r="F564" s="720">
        <v>14622.68</v>
      </c>
      <c r="G564" s="720">
        <v>11746.31</v>
      </c>
      <c r="H564" s="720">
        <v>9087.44</v>
      </c>
      <c r="I564" s="720">
        <v>7294.59</v>
      </c>
      <c r="J564" s="718">
        <v>116.82</v>
      </c>
      <c r="K564" s="720">
        <v>1197.69</v>
      </c>
      <c r="L564" s="720">
        <v>295.24</v>
      </c>
      <c r="M564" s="720">
        <v>2961.39</v>
      </c>
      <c r="N564" s="720">
        <v>167.48</v>
      </c>
    </row>
    <row r="565" spans="1:14" ht="15">
      <c r="A565" s="705"/>
      <c r="B565" s="705"/>
      <c r="C565" s="719">
        <v>41064</v>
      </c>
      <c r="D565" s="734">
        <v>9409</v>
      </c>
      <c r="E565" s="720">
        <v>9189.7900000000009</v>
      </c>
      <c r="F565" s="720">
        <v>14600.85</v>
      </c>
      <c r="G565" s="720">
        <v>11689</v>
      </c>
      <c r="H565" s="720">
        <v>9145.77</v>
      </c>
      <c r="I565" s="720">
        <v>7326.38</v>
      </c>
      <c r="J565" s="718">
        <v>119.1</v>
      </c>
      <c r="K565" s="720">
        <v>1211.79</v>
      </c>
      <c r="L565" s="720">
        <v>296.02</v>
      </c>
      <c r="M565" s="720">
        <v>2973.55</v>
      </c>
      <c r="N565" s="720">
        <v>168.6</v>
      </c>
    </row>
    <row r="566" spans="1:14" ht="15">
      <c r="A566" s="705"/>
      <c r="B566" s="705"/>
      <c r="C566" s="719">
        <v>41065</v>
      </c>
      <c r="D566" s="734">
        <v>9409</v>
      </c>
      <c r="E566" s="720">
        <v>9189.7900000000009</v>
      </c>
      <c r="F566" s="720">
        <v>14600.85</v>
      </c>
      <c r="G566" s="720">
        <v>11689</v>
      </c>
      <c r="H566" s="720">
        <v>9145.77</v>
      </c>
      <c r="I566" s="720">
        <v>7326.38</v>
      </c>
      <c r="J566" s="718">
        <v>119.1</v>
      </c>
      <c r="K566" s="720">
        <v>1211.79</v>
      </c>
      <c r="L566" s="720">
        <v>296.02</v>
      </c>
      <c r="M566" s="720">
        <v>2973.55</v>
      </c>
      <c r="N566" s="720">
        <v>168.6</v>
      </c>
    </row>
    <row r="567" spans="1:14" ht="15">
      <c r="A567" s="705"/>
      <c r="B567" s="705"/>
      <c r="C567" s="719">
        <v>41066</v>
      </c>
      <c r="D567" s="734">
        <v>9409</v>
      </c>
      <c r="E567" s="720">
        <v>9189.7900000000009</v>
      </c>
      <c r="F567" s="720">
        <v>14600.85</v>
      </c>
      <c r="G567" s="720">
        <v>11689</v>
      </c>
      <c r="H567" s="720">
        <v>9145.77</v>
      </c>
      <c r="I567" s="720">
        <v>7326.38</v>
      </c>
      <c r="J567" s="718">
        <v>119.1</v>
      </c>
      <c r="K567" s="720">
        <v>1211.79</v>
      </c>
      <c r="L567" s="720">
        <v>296.02</v>
      </c>
      <c r="M567" s="720">
        <v>2973.55</v>
      </c>
      <c r="N567" s="720">
        <v>168.6</v>
      </c>
    </row>
    <row r="568" spans="1:14" ht="15">
      <c r="A568" s="705"/>
      <c r="B568" s="705"/>
      <c r="C568" s="719">
        <v>41067</v>
      </c>
      <c r="D568" s="734">
        <v>9409</v>
      </c>
      <c r="E568" s="720">
        <v>9189.7900000000009</v>
      </c>
      <c r="F568" s="720">
        <v>14600.85</v>
      </c>
      <c r="G568" s="720">
        <v>11689</v>
      </c>
      <c r="H568" s="720">
        <v>9145.77</v>
      </c>
      <c r="I568" s="720">
        <v>7326.38</v>
      </c>
      <c r="J568" s="718">
        <v>119.1</v>
      </c>
      <c r="K568" s="720">
        <v>1211.79</v>
      </c>
      <c r="L568" s="720">
        <v>296.02</v>
      </c>
      <c r="M568" s="720">
        <v>2973.55</v>
      </c>
      <c r="N568" s="720">
        <v>168.6</v>
      </c>
    </row>
    <row r="569" spans="1:14" ht="15">
      <c r="A569" s="705"/>
      <c r="B569" s="705"/>
      <c r="C569" s="719">
        <v>41068</v>
      </c>
      <c r="D569" s="734">
        <v>9409</v>
      </c>
      <c r="E569" s="720">
        <v>9189.7900000000009</v>
      </c>
      <c r="F569" s="720">
        <v>14600.85</v>
      </c>
      <c r="G569" s="720">
        <v>11689</v>
      </c>
      <c r="H569" s="720">
        <v>9145.77</v>
      </c>
      <c r="I569" s="720">
        <v>7326.38</v>
      </c>
      <c r="J569" s="718">
        <v>119.1</v>
      </c>
      <c r="K569" s="720">
        <v>1211.79</v>
      </c>
      <c r="L569" s="720">
        <v>296.02</v>
      </c>
      <c r="M569" s="720">
        <v>2973.55</v>
      </c>
      <c r="N569" s="720">
        <v>168.6</v>
      </c>
    </row>
    <row r="570" spans="1:14" ht="15">
      <c r="A570" s="705"/>
      <c r="B570" s="705"/>
      <c r="C570" s="719">
        <v>41069</v>
      </c>
      <c r="D570" s="734">
        <v>9409</v>
      </c>
      <c r="E570" s="720">
        <v>9189.7900000000009</v>
      </c>
      <c r="F570" s="720">
        <v>14600.85</v>
      </c>
      <c r="G570" s="720">
        <v>11689</v>
      </c>
      <c r="H570" s="720">
        <v>9145.77</v>
      </c>
      <c r="I570" s="720">
        <v>7326.38</v>
      </c>
      <c r="J570" s="718">
        <v>119.1</v>
      </c>
      <c r="K570" s="720">
        <v>1211.79</v>
      </c>
      <c r="L570" s="720">
        <v>296.02</v>
      </c>
      <c r="M570" s="720">
        <v>2973.55</v>
      </c>
      <c r="N570" s="720">
        <v>168.6</v>
      </c>
    </row>
    <row r="571" spans="1:14" ht="15">
      <c r="A571" s="705"/>
      <c r="B571" s="705"/>
      <c r="C571" s="719">
        <v>41070</v>
      </c>
      <c r="D571" s="734">
        <v>9409</v>
      </c>
      <c r="E571" s="720">
        <v>9189.7900000000009</v>
      </c>
      <c r="F571" s="720">
        <v>14600.85</v>
      </c>
      <c r="G571" s="720">
        <v>11689</v>
      </c>
      <c r="H571" s="720">
        <v>9145.77</v>
      </c>
      <c r="I571" s="720">
        <v>7326.38</v>
      </c>
      <c r="J571" s="718">
        <v>119.1</v>
      </c>
      <c r="K571" s="720">
        <v>1211.79</v>
      </c>
      <c r="L571" s="720">
        <v>296.02</v>
      </c>
      <c r="M571" s="720">
        <v>2973.55</v>
      </c>
      <c r="N571" s="720">
        <v>168.6</v>
      </c>
    </row>
    <row r="572" spans="1:14" ht="15">
      <c r="A572" s="705"/>
      <c r="B572" s="705"/>
      <c r="C572" s="719">
        <v>41071</v>
      </c>
      <c r="D572" s="734">
        <v>9425</v>
      </c>
      <c r="E572" s="720">
        <v>9266.83</v>
      </c>
      <c r="F572" s="720">
        <v>14571.19</v>
      </c>
      <c r="G572" s="720">
        <v>11807.52</v>
      </c>
      <c r="H572" s="720">
        <v>9128.2999999999993</v>
      </c>
      <c r="I572" s="720">
        <v>7356.99</v>
      </c>
      <c r="J572" s="718">
        <v>119.13</v>
      </c>
      <c r="K572" s="720">
        <v>1214.78</v>
      </c>
      <c r="L572" s="720">
        <v>298.42</v>
      </c>
      <c r="M572" s="720">
        <v>2961.7</v>
      </c>
      <c r="N572" s="720">
        <v>170.1</v>
      </c>
    </row>
    <row r="573" spans="1:14" ht="15">
      <c r="A573" s="705"/>
      <c r="B573" s="705"/>
      <c r="C573" s="719">
        <v>41072</v>
      </c>
      <c r="D573" s="734">
        <v>9425</v>
      </c>
      <c r="E573" s="720">
        <v>9266.83</v>
      </c>
      <c r="F573" s="720">
        <v>14571.19</v>
      </c>
      <c r="G573" s="720">
        <v>11807.52</v>
      </c>
      <c r="H573" s="720">
        <v>9128.2999999999993</v>
      </c>
      <c r="I573" s="720">
        <v>7356.99</v>
      </c>
      <c r="J573" s="718">
        <v>119.13</v>
      </c>
      <c r="K573" s="720">
        <v>1214.78</v>
      </c>
      <c r="L573" s="720">
        <v>298.42</v>
      </c>
      <c r="M573" s="720">
        <v>2961.7</v>
      </c>
      <c r="N573" s="720">
        <v>170.1</v>
      </c>
    </row>
    <row r="574" spans="1:14" ht="15">
      <c r="A574" s="705"/>
      <c r="B574" s="705"/>
      <c r="C574" s="719">
        <v>41073</v>
      </c>
      <c r="D574" s="734">
        <v>9425</v>
      </c>
      <c r="E574" s="720">
        <v>9266.83</v>
      </c>
      <c r="F574" s="720">
        <v>14571.19</v>
      </c>
      <c r="G574" s="720">
        <v>11807.52</v>
      </c>
      <c r="H574" s="720">
        <v>9128.2999999999993</v>
      </c>
      <c r="I574" s="720">
        <v>7356.99</v>
      </c>
      <c r="J574" s="718">
        <v>119.13</v>
      </c>
      <c r="K574" s="720">
        <v>1214.78</v>
      </c>
      <c r="L574" s="720">
        <v>298.42</v>
      </c>
      <c r="M574" s="720">
        <v>2961.7</v>
      </c>
      <c r="N574" s="720">
        <v>170.1</v>
      </c>
    </row>
    <row r="575" spans="1:14" ht="15">
      <c r="A575" s="705"/>
      <c r="B575" s="705"/>
      <c r="C575" s="719">
        <v>41074</v>
      </c>
      <c r="D575" s="734">
        <v>9425</v>
      </c>
      <c r="E575" s="720">
        <v>9266.83</v>
      </c>
      <c r="F575" s="720">
        <v>14571.19</v>
      </c>
      <c r="G575" s="720">
        <v>11807.52</v>
      </c>
      <c r="H575" s="720">
        <v>9128.2999999999993</v>
      </c>
      <c r="I575" s="720">
        <v>7356.99</v>
      </c>
      <c r="J575" s="718">
        <v>119.13</v>
      </c>
      <c r="K575" s="720">
        <v>1214.78</v>
      </c>
      <c r="L575" s="720">
        <v>298.42</v>
      </c>
      <c r="M575" s="720">
        <v>2961.7</v>
      </c>
      <c r="N575" s="720">
        <v>170.1</v>
      </c>
    </row>
    <row r="576" spans="1:14" ht="15">
      <c r="A576" s="705"/>
      <c r="B576" s="705"/>
      <c r="C576" s="719">
        <v>41075</v>
      </c>
      <c r="D576" s="734">
        <v>9425</v>
      </c>
      <c r="E576" s="720">
        <v>9266.83</v>
      </c>
      <c r="F576" s="720">
        <v>14571.19</v>
      </c>
      <c r="G576" s="720">
        <v>11807.52</v>
      </c>
      <c r="H576" s="720">
        <v>9128.2999999999993</v>
      </c>
      <c r="I576" s="720">
        <v>7356.99</v>
      </c>
      <c r="J576" s="718">
        <v>119.13</v>
      </c>
      <c r="K576" s="720">
        <v>1214.78</v>
      </c>
      <c r="L576" s="720">
        <v>298.42</v>
      </c>
      <c r="M576" s="720">
        <v>2961.7</v>
      </c>
      <c r="N576" s="720">
        <v>170.1</v>
      </c>
    </row>
    <row r="577" spans="1:14" ht="15">
      <c r="A577" s="705"/>
      <c r="B577" s="705"/>
      <c r="C577" s="719">
        <v>41076</v>
      </c>
      <c r="D577" s="734">
        <v>9425</v>
      </c>
      <c r="E577" s="720">
        <v>9266.83</v>
      </c>
      <c r="F577" s="720">
        <v>14571.19</v>
      </c>
      <c r="G577" s="720">
        <v>11807.52</v>
      </c>
      <c r="H577" s="720">
        <v>9128.2999999999993</v>
      </c>
      <c r="I577" s="720">
        <v>7356.99</v>
      </c>
      <c r="J577" s="718">
        <v>119.13</v>
      </c>
      <c r="K577" s="720">
        <v>1214.78</v>
      </c>
      <c r="L577" s="720">
        <v>298.42</v>
      </c>
      <c r="M577" s="720">
        <v>2961.7</v>
      </c>
      <c r="N577" s="720">
        <v>170.1</v>
      </c>
    </row>
    <row r="578" spans="1:14" ht="15">
      <c r="A578" s="705"/>
      <c r="B578" s="705"/>
      <c r="C578" s="719">
        <v>41077</v>
      </c>
      <c r="D578" s="734">
        <v>9425</v>
      </c>
      <c r="E578" s="720">
        <v>9266.83</v>
      </c>
      <c r="F578" s="720">
        <v>14571.19</v>
      </c>
      <c r="G578" s="720">
        <v>11807.52</v>
      </c>
      <c r="H578" s="720">
        <v>9128.2999999999993</v>
      </c>
      <c r="I578" s="720">
        <v>7356.99</v>
      </c>
      <c r="J578" s="718">
        <v>119.13</v>
      </c>
      <c r="K578" s="720">
        <v>1214.78</v>
      </c>
      <c r="L578" s="720">
        <v>298.42</v>
      </c>
      <c r="M578" s="720">
        <v>2961.7</v>
      </c>
      <c r="N578" s="720">
        <v>170.1</v>
      </c>
    </row>
    <row r="579" spans="1:14" ht="15">
      <c r="A579" s="705"/>
      <c r="B579" s="705"/>
      <c r="C579" s="719">
        <v>41078</v>
      </c>
      <c r="D579" s="734">
        <v>9438</v>
      </c>
      <c r="E579" s="720">
        <v>9400.41</v>
      </c>
      <c r="F579" s="720">
        <v>14661.76</v>
      </c>
      <c r="G579" s="720">
        <v>11849.22</v>
      </c>
      <c r="H579" s="720">
        <v>9196.81</v>
      </c>
      <c r="I579" s="720">
        <v>7366.29</v>
      </c>
      <c r="J579" s="718">
        <v>118.86</v>
      </c>
      <c r="K579" s="720">
        <v>1216.31</v>
      </c>
      <c r="L579" s="720">
        <v>299.11</v>
      </c>
      <c r="M579" s="720">
        <v>2968.69</v>
      </c>
      <c r="N579" s="720">
        <v>169.24</v>
      </c>
    </row>
    <row r="580" spans="1:14" ht="15">
      <c r="A580" s="705"/>
      <c r="B580" s="705"/>
      <c r="C580" s="719">
        <v>41079</v>
      </c>
      <c r="D580" s="734">
        <v>9438</v>
      </c>
      <c r="E580" s="720">
        <v>9400.41</v>
      </c>
      <c r="F580" s="720">
        <v>14661.76</v>
      </c>
      <c r="G580" s="720">
        <v>11849.22</v>
      </c>
      <c r="H580" s="720">
        <v>9196.81</v>
      </c>
      <c r="I580" s="720">
        <v>7366.29</v>
      </c>
      <c r="J580" s="718">
        <v>118.86</v>
      </c>
      <c r="K580" s="720">
        <v>1216.31</v>
      </c>
      <c r="L580" s="720">
        <v>299.11</v>
      </c>
      <c r="M580" s="720">
        <v>2968.69</v>
      </c>
      <c r="N580" s="720">
        <v>169.24</v>
      </c>
    </row>
    <row r="581" spans="1:14" ht="15">
      <c r="A581" s="705"/>
      <c r="B581" s="705"/>
      <c r="C581" s="719">
        <v>41080</v>
      </c>
      <c r="D581" s="734">
        <v>9438</v>
      </c>
      <c r="E581" s="720">
        <v>9400.41</v>
      </c>
      <c r="F581" s="720">
        <v>14661.76</v>
      </c>
      <c r="G581" s="720">
        <v>11849.22</v>
      </c>
      <c r="H581" s="720">
        <v>9196.81</v>
      </c>
      <c r="I581" s="720">
        <v>7366.29</v>
      </c>
      <c r="J581" s="718">
        <v>118.86</v>
      </c>
      <c r="K581" s="720">
        <v>1216.31</v>
      </c>
      <c r="L581" s="720">
        <v>299.11</v>
      </c>
      <c r="M581" s="720">
        <v>2968.69</v>
      </c>
      <c r="N581" s="720">
        <v>169.24</v>
      </c>
    </row>
    <row r="582" spans="1:14" ht="15">
      <c r="A582" s="705"/>
      <c r="B582" s="705"/>
      <c r="C582" s="719">
        <v>41081</v>
      </c>
      <c r="D582" s="734">
        <v>9438</v>
      </c>
      <c r="E582" s="720">
        <v>9400.41</v>
      </c>
      <c r="F582" s="720">
        <v>14661.76</v>
      </c>
      <c r="G582" s="720">
        <v>11849.22</v>
      </c>
      <c r="H582" s="720">
        <v>9196.81</v>
      </c>
      <c r="I582" s="720">
        <v>7366.29</v>
      </c>
      <c r="J582" s="718">
        <v>118.86</v>
      </c>
      <c r="K582" s="720">
        <v>1216.31</v>
      </c>
      <c r="L582" s="720">
        <v>299.11</v>
      </c>
      <c r="M582" s="720">
        <v>2968.69</v>
      </c>
      <c r="N582" s="720">
        <v>169.24</v>
      </c>
    </row>
    <row r="583" spans="1:14" ht="15">
      <c r="A583" s="705"/>
      <c r="B583" s="705"/>
      <c r="C583" s="719">
        <v>41082</v>
      </c>
      <c r="D583" s="734">
        <v>9438</v>
      </c>
      <c r="E583" s="720">
        <v>9400.41</v>
      </c>
      <c r="F583" s="720">
        <v>14661.76</v>
      </c>
      <c r="G583" s="720">
        <v>11849.22</v>
      </c>
      <c r="H583" s="720">
        <v>9196.81</v>
      </c>
      <c r="I583" s="720">
        <v>7366.29</v>
      </c>
      <c r="J583" s="718">
        <v>118.86</v>
      </c>
      <c r="K583" s="720">
        <v>1216.31</v>
      </c>
      <c r="L583" s="720">
        <v>299.11</v>
      </c>
      <c r="M583" s="720">
        <v>2968.69</v>
      </c>
      <c r="N583" s="720">
        <v>169.24</v>
      </c>
    </row>
    <row r="584" spans="1:14" ht="15">
      <c r="A584" s="705"/>
      <c r="B584" s="705"/>
      <c r="C584" s="719">
        <v>41083</v>
      </c>
      <c r="D584" s="734">
        <v>9438</v>
      </c>
      <c r="E584" s="720">
        <v>9400.41</v>
      </c>
      <c r="F584" s="720">
        <v>14661.76</v>
      </c>
      <c r="G584" s="720">
        <v>11849.22</v>
      </c>
      <c r="H584" s="720">
        <v>9196.81</v>
      </c>
      <c r="I584" s="720">
        <v>7366.29</v>
      </c>
      <c r="J584" s="718">
        <v>118.86</v>
      </c>
      <c r="K584" s="720">
        <v>1216.31</v>
      </c>
      <c r="L584" s="720">
        <v>299.11</v>
      </c>
      <c r="M584" s="720">
        <v>2968.69</v>
      </c>
      <c r="N584" s="720">
        <v>169.24</v>
      </c>
    </row>
    <row r="585" spans="1:14" ht="15">
      <c r="A585" s="705"/>
      <c r="B585" s="705"/>
      <c r="C585" s="719">
        <v>41084</v>
      </c>
      <c r="D585" s="734">
        <v>9438</v>
      </c>
      <c r="E585" s="720">
        <v>9400.41</v>
      </c>
      <c r="F585" s="720">
        <v>14661.76</v>
      </c>
      <c r="G585" s="720">
        <v>11849.22</v>
      </c>
      <c r="H585" s="720">
        <v>9196.81</v>
      </c>
      <c r="I585" s="720">
        <v>7366.29</v>
      </c>
      <c r="J585" s="718">
        <v>118.86</v>
      </c>
      <c r="K585" s="720">
        <v>1216.31</v>
      </c>
      <c r="L585" s="720">
        <v>299.11</v>
      </c>
      <c r="M585" s="720">
        <v>2968.69</v>
      </c>
      <c r="N585" s="720">
        <v>169.24</v>
      </c>
    </row>
    <row r="586" spans="1:14" ht="15">
      <c r="A586" s="705"/>
      <c r="B586" s="705"/>
      <c r="C586" s="719">
        <v>41085</v>
      </c>
      <c r="D586" s="734">
        <v>9448</v>
      </c>
      <c r="E586" s="720">
        <v>9565.8799999999992</v>
      </c>
      <c r="F586" s="720">
        <v>14797.96</v>
      </c>
      <c r="G586" s="720">
        <v>11917.58</v>
      </c>
      <c r="H586" s="720">
        <v>9233.57</v>
      </c>
      <c r="I586" s="720">
        <v>7427.59</v>
      </c>
      <c r="J586" s="718">
        <v>118.74</v>
      </c>
      <c r="K586" s="720">
        <v>1217.56</v>
      </c>
      <c r="L586" s="720">
        <v>298.86</v>
      </c>
      <c r="M586" s="720">
        <v>2982.25</v>
      </c>
      <c r="N586" s="720">
        <v>168.45</v>
      </c>
    </row>
    <row r="587" spans="1:14" ht="15">
      <c r="A587" s="705"/>
      <c r="B587" s="705"/>
      <c r="C587" s="719">
        <v>41086</v>
      </c>
      <c r="D587" s="734">
        <v>9448</v>
      </c>
      <c r="E587" s="720">
        <v>9565.8799999999992</v>
      </c>
      <c r="F587" s="720">
        <v>14797.96</v>
      </c>
      <c r="G587" s="720">
        <v>11917.58</v>
      </c>
      <c r="H587" s="720">
        <v>9233.57</v>
      </c>
      <c r="I587" s="720">
        <v>7427.59</v>
      </c>
      <c r="J587" s="718">
        <v>118.74</v>
      </c>
      <c r="K587" s="720">
        <v>1217.56</v>
      </c>
      <c r="L587" s="720">
        <v>298.86</v>
      </c>
      <c r="M587" s="720">
        <v>2982.25</v>
      </c>
      <c r="N587" s="720">
        <v>168.45</v>
      </c>
    </row>
    <row r="588" spans="1:14" ht="15">
      <c r="A588" s="705"/>
      <c r="B588" s="705"/>
      <c r="C588" s="719">
        <v>41087</v>
      </c>
      <c r="D588" s="734">
        <v>9448</v>
      </c>
      <c r="E588" s="720">
        <v>9565.8799999999992</v>
      </c>
      <c r="F588" s="720">
        <v>14797.96</v>
      </c>
      <c r="G588" s="720">
        <v>11917.58</v>
      </c>
      <c r="H588" s="720">
        <v>9233.57</v>
      </c>
      <c r="I588" s="720">
        <v>7427.59</v>
      </c>
      <c r="J588" s="718">
        <v>118.74</v>
      </c>
      <c r="K588" s="720">
        <v>1217.56</v>
      </c>
      <c r="L588" s="720">
        <v>298.86</v>
      </c>
      <c r="M588" s="720">
        <v>2982.25</v>
      </c>
      <c r="N588" s="720">
        <v>168.45</v>
      </c>
    </row>
    <row r="589" spans="1:14" ht="15">
      <c r="A589" s="705"/>
      <c r="B589" s="705"/>
      <c r="C589" s="719">
        <v>41088</v>
      </c>
      <c r="D589" s="734">
        <v>9448</v>
      </c>
      <c r="E589" s="720">
        <v>9565.8799999999992</v>
      </c>
      <c r="F589" s="720">
        <v>14797.96</v>
      </c>
      <c r="G589" s="720">
        <v>11917.58</v>
      </c>
      <c r="H589" s="720">
        <v>9233.57</v>
      </c>
      <c r="I589" s="720">
        <v>7427.59</v>
      </c>
      <c r="J589" s="718">
        <v>118.74</v>
      </c>
      <c r="K589" s="720">
        <v>1217.56</v>
      </c>
      <c r="L589" s="720">
        <v>298.86</v>
      </c>
      <c r="M589" s="720">
        <v>2982.25</v>
      </c>
      <c r="N589" s="720">
        <v>168.45</v>
      </c>
    </row>
    <row r="590" spans="1:14" ht="15">
      <c r="A590" s="705"/>
      <c r="B590" s="705"/>
      <c r="C590" s="719">
        <v>41089</v>
      </c>
      <c r="D590" s="734">
        <v>9448</v>
      </c>
      <c r="E590" s="720">
        <v>9565.8799999999992</v>
      </c>
      <c r="F590" s="720">
        <v>14797.96</v>
      </c>
      <c r="G590" s="720">
        <v>11917.58</v>
      </c>
      <c r="H590" s="720">
        <v>9233.57</v>
      </c>
      <c r="I590" s="720">
        <v>7427.59</v>
      </c>
      <c r="J590" s="718">
        <v>118.74</v>
      </c>
      <c r="K590" s="720">
        <v>1217.56</v>
      </c>
      <c r="L590" s="720">
        <v>298.86</v>
      </c>
      <c r="M590" s="720">
        <v>2982.25</v>
      </c>
      <c r="N590" s="720">
        <v>168.45</v>
      </c>
    </row>
    <row r="591" spans="1:14" ht="15">
      <c r="A591" s="705"/>
      <c r="B591" s="705"/>
      <c r="C591" s="719">
        <v>41090</v>
      </c>
      <c r="D591" s="734">
        <v>9448</v>
      </c>
      <c r="E591" s="720">
        <v>9565.8799999999992</v>
      </c>
      <c r="F591" s="720">
        <v>14797.96</v>
      </c>
      <c r="G591" s="720">
        <v>11917.58</v>
      </c>
      <c r="H591" s="720">
        <v>9233.57</v>
      </c>
      <c r="I591" s="720">
        <v>7427.59</v>
      </c>
      <c r="J591" s="718">
        <v>118.74</v>
      </c>
      <c r="K591" s="720">
        <v>1217.56</v>
      </c>
      <c r="L591" s="720">
        <v>298.86</v>
      </c>
      <c r="M591" s="720">
        <v>2982.25</v>
      </c>
      <c r="N591" s="720">
        <v>168.45</v>
      </c>
    </row>
    <row r="592" spans="1:14" ht="15">
      <c r="A592" s="705"/>
      <c r="B592" s="705"/>
      <c r="C592" s="719">
        <v>41091</v>
      </c>
      <c r="D592" s="734">
        <v>9448</v>
      </c>
      <c r="E592" s="720">
        <v>9565.8799999999992</v>
      </c>
      <c r="F592" s="720">
        <v>14797.96</v>
      </c>
      <c r="G592" s="720">
        <v>11917.58</v>
      </c>
      <c r="H592" s="720">
        <v>9233.57</v>
      </c>
      <c r="I592" s="720">
        <v>7427.59</v>
      </c>
      <c r="J592" s="718">
        <v>118.74</v>
      </c>
      <c r="K592" s="720">
        <v>1217.56</v>
      </c>
      <c r="L592" s="720">
        <v>298.86</v>
      </c>
      <c r="M592" s="720">
        <v>2982.25</v>
      </c>
      <c r="N592" s="720">
        <v>168.45</v>
      </c>
    </row>
    <row r="593" spans="1:14" ht="15">
      <c r="A593" s="705"/>
      <c r="B593" s="705"/>
      <c r="C593" s="719">
        <v>41092</v>
      </c>
      <c r="D593" s="734">
        <v>9499</v>
      </c>
      <c r="E593" s="720">
        <v>9532.44</v>
      </c>
      <c r="F593" s="720">
        <v>14777.02</v>
      </c>
      <c r="G593" s="720">
        <v>11841.83</v>
      </c>
      <c r="H593" s="720">
        <v>9226.27</v>
      </c>
      <c r="I593" s="720">
        <v>7423.99</v>
      </c>
      <c r="J593" s="718">
        <v>119.5</v>
      </c>
      <c r="K593" s="720">
        <v>1224.21</v>
      </c>
      <c r="L593" s="720">
        <v>298.07</v>
      </c>
      <c r="M593" s="720">
        <v>2972.52</v>
      </c>
      <c r="N593" s="720">
        <v>166.65</v>
      </c>
    </row>
    <row r="594" spans="1:14" ht="15">
      <c r="A594" s="705"/>
      <c r="B594" s="705"/>
      <c r="C594" s="719">
        <v>41093</v>
      </c>
      <c r="D594" s="734">
        <v>9499</v>
      </c>
      <c r="E594" s="720">
        <v>9532.44</v>
      </c>
      <c r="F594" s="720">
        <v>14777.02</v>
      </c>
      <c r="G594" s="720">
        <v>11841.83</v>
      </c>
      <c r="H594" s="720">
        <v>9226.27</v>
      </c>
      <c r="I594" s="720">
        <v>7423.99</v>
      </c>
      <c r="J594" s="718">
        <v>119.5</v>
      </c>
      <c r="K594" s="720">
        <v>1224.21</v>
      </c>
      <c r="L594" s="720">
        <v>298.07</v>
      </c>
      <c r="M594" s="720">
        <v>2972.52</v>
      </c>
      <c r="N594" s="720">
        <v>166.65</v>
      </c>
    </row>
    <row r="595" spans="1:14" ht="15">
      <c r="A595" s="705"/>
      <c r="B595" s="705"/>
      <c r="C595" s="719">
        <v>41094</v>
      </c>
      <c r="D595" s="734">
        <v>9499</v>
      </c>
      <c r="E595" s="720">
        <v>9532.44</v>
      </c>
      <c r="F595" s="720">
        <v>14777.02</v>
      </c>
      <c r="G595" s="720">
        <v>11841.83</v>
      </c>
      <c r="H595" s="720">
        <v>9226.27</v>
      </c>
      <c r="I595" s="720">
        <v>7423.99</v>
      </c>
      <c r="J595" s="718">
        <v>119.5</v>
      </c>
      <c r="K595" s="720">
        <v>1224.21</v>
      </c>
      <c r="L595" s="720">
        <v>298.07</v>
      </c>
      <c r="M595" s="720">
        <v>2972.52</v>
      </c>
      <c r="N595" s="720">
        <v>166.65</v>
      </c>
    </row>
    <row r="596" spans="1:14" ht="15">
      <c r="A596" s="705"/>
      <c r="B596" s="705"/>
      <c r="C596" s="719">
        <v>41095</v>
      </c>
      <c r="D596" s="734">
        <v>9499</v>
      </c>
      <c r="E596" s="720">
        <v>9532.44</v>
      </c>
      <c r="F596" s="720">
        <v>14777.02</v>
      </c>
      <c r="G596" s="720">
        <v>11841.83</v>
      </c>
      <c r="H596" s="720">
        <v>9226.27</v>
      </c>
      <c r="I596" s="720">
        <v>7423.99</v>
      </c>
      <c r="J596" s="718">
        <v>119.5</v>
      </c>
      <c r="K596" s="720">
        <v>1224.21</v>
      </c>
      <c r="L596" s="720">
        <v>298.07</v>
      </c>
      <c r="M596" s="720">
        <v>2972.52</v>
      </c>
      <c r="N596" s="720">
        <v>166.65</v>
      </c>
    </row>
    <row r="597" spans="1:14" ht="15">
      <c r="A597" s="705"/>
      <c r="B597" s="705"/>
      <c r="C597" s="719">
        <v>41096</v>
      </c>
      <c r="D597" s="734">
        <v>9499</v>
      </c>
      <c r="E597" s="720">
        <v>9532.44</v>
      </c>
      <c r="F597" s="720">
        <v>14777.02</v>
      </c>
      <c r="G597" s="720">
        <v>11841.83</v>
      </c>
      <c r="H597" s="720">
        <v>9226.27</v>
      </c>
      <c r="I597" s="720">
        <v>7423.99</v>
      </c>
      <c r="J597" s="718">
        <v>119.5</v>
      </c>
      <c r="K597" s="720">
        <v>1224.21</v>
      </c>
      <c r="L597" s="720">
        <v>298.07</v>
      </c>
      <c r="M597" s="720">
        <v>2972.52</v>
      </c>
      <c r="N597" s="720">
        <v>166.65</v>
      </c>
    </row>
    <row r="598" spans="1:14" ht="15">
      <c r="A598" s="705"/>
      <c r="B598" s="705"/>
      <c r="C598" s="719">
        <v>41097</v>
      </c>
      <c r="D598" s="734">
        <v>9499</v>
      </c>
      <c r="E598" s="720">
        <v>9532.44</v>
      </c>
      <c r="F598" s="720">
        <v>14777.02</v>
      </c>
      <c r="G598" s="720">
        <v>11841.83</v>
      </c>
      <c r="H598" s="720">
        <v>9226.27</v>
      </c>
      <c r="I598" s="720">
        <v>7423.99</v>
      </c>
      <c r="J598" s="718">
        <v>119.5</v>
      </c>
      <c r="K598" s="720">
        <v>1224.21</v>
      </c>
      <c r="L598" s="720">
        <v>298.07</v>
      </c>
      <c r="M598" s="720">
        <v>2972.52</v>
      </c>
      <c r="N598" s="720">
        <v>166.65</v>
      </c>
    </row>
    <row r="599" spans="1:14" ht="15">
      <c r="A599" s="705"/>
      <c r="B599" s="705"/>
      <c r="C599" s="719">
        <v>41098</v>
      </c>
      <c r="D599" s="734">
        <v>9499</v>
      </c>
      <c r="E599" s="720">
        <v>9532.44</v>
      </c>
      <c r="F599" s="720">
        <v>14777.02</v>
      </c>
      <c r="G599" s="720">
        <v>11841.83</v>
      </c>
      <c r="H599" s="720">
        <v>9226.27</v>
      </c>
      <c r="I599" s="720">
        <v>7423.99</v>
      </c>
      <c r="J599" s="718">
        <v>119.5</v>
      </c>
      <c r="K599" s="720">
        <v>1224.21</v>
      </c>
      <c r="L599" s="720">
        <v>298.07</v>
      </c>
      <c r="M599" s="720">
        <v>2972.52</v>
      </c>
      <c r="N599" s="720">
        <v>166.65</v>
      </c>
    </row>
    <row r="600" spans="1:14" ht="15">
      <c r="A600" s="705"/>
      <c r="B600" s="705"/>
      <c r="C600" s="719">
        <v>41099</v>
      </c>
      <c r="D600" s="734">
        <v>9376</v>
      </c>
      <c r="E600" s="720">
        <v>9633.16</v>
      </c>
      <c r="F600" s="720">
        <v>14705.84</v>
      </c>
      <c r="G600" s="720">
        <v>11804.48</v>
      </c>
      <c r="H600" s="720">
        <v>9243.4599999999991</v>
      </c>
      <c r="I600" s="720">
        <v>7414.26</v>
      </c>
      <c r="J600" s="718">
        <v>117.65</v>
      </c>
      <c r="K600" s="720">
        <v>1208.8399999999999</v>
      </c>
      <c r="L600" s="720">
        <v>298.01</v>
      </c>
      <c r="M600" s="720">
        <v>2966.66</v>
      </c>
      <c r="N600" s="720">
        <v>171.17</v>
      </c>
    </row>
    <row r="601" spans="1:14" ht="15">
      <c r="A601" s="705"/>
      <c r="B601" s="705"/>
      <c r="C601" s="719">
        <v>41100</v>
      </c>
      <c r="D601" s="734">
        <v>9376</v>
      </c>
      <c r="E601" s="720">
        <v>9633.16</v>
      </c>
      <c r="F601" s="720">
        <v>14705.84</v>
      </c>
      <c r="G601" s="720">
        <v>11804.48</v>
      </c>
      <c r="H601" s="720">
        <v>9243.4599999999991</v>
      </c>
      <c r="I601" s="720">
        <v>7414.26</v>
      </c>
      <c r="J601" s="718">
        <v>117.65</v>
      </c>
      <c r="K601" s="720">
        <v>1208.8399999999999</v>
      </c>
      <c r="L601" s="720">
        <v>298.01</v>
      </c>
      <c r="M601" s="720">
        <v>2966.66</v>
      </c>
      <c r="N601" s="720">
        <v>171.17</v>
      </c>
    </row>
    <row r="602" spans="1:14" ht="15">
      <c r="A602" s="705"/>
      <c r="B602" s="705"/>
      <c r="C602" s="719">
        <v>41101</v>
      </c>
      <c r="D602" s="734">
        <v>9376</v>
      </c>
      <c r="E602" s="720">
        <v>9633.16</v>
      </c>
      <c r="F602" s="720">
        <v>14705.84</v>
      </c>
      <c r="G602" s="720">
        <v>11804.48</v>
      </c>
      <c r="H602" s="720">
        <v>9243.4599999999991</v>
      </c>
      <c r="I602" s="720">
        <v>7414.26</v>
      </c>
      <c r="J602" s="718">
        <v>117.65</v>
      </c>
      <c r="K602" s="720">
        <v>1208.8399999999999</v>
      </c>
      <c r="L602" s="720">
        <v>298.01</v>
      </c>
      <c r="M602" s="720">
        <v>2966.66</v>
      </c>
      <c r="N602" s="720">
        <v>171.17</v>
      </c>
    </row>
    <row r="603" spans="1:14" ht="15">
      <c r="A603" s="705"/>
      <c r="B603" s="705"/>
      <c r="C603" s="719">
        <v>41102</v>
      </c>
      <c r="D603" s="734">
        <v>9376</v>
      </c>
      <c r="E603" s="720">
        <v>9633.16</v>
      </c>
      <c r="F603" s="720">
        <v>14705.84</v>
      </c>
      <c r="G603" s="720">
        <v>11804.48</v>
      </c>
      <c r="H603" s="720">
        <v>9243.4599999999991</v>
      </c>
      <c r="I603" s="720">
        <v>7414.26</v>
      </c>
      <c r="J603" s="718">
        <v>117.65</v>
      </c>
      <c r="K603" s="720">
        <v>1208.8399999999999</v>
      </c>
      <c r="L603" s="720">
        <v>298.01</v>
      </c>
      <c r="M603" s="720">
        <v>2966.66</v>
      </c>
      <c r="N603" s="720">
        <v>171.17</v>
      </c>
    </row>
    <row r="604" spans="1:14" ht="15">
      <c r="A604" s="705"/>
      <c r="B604" s="705"/>
      <c r="C604" s="719">
        <v>41103</v>
      </c>
      <c r="D604" s="734">
        <v>9376</v>
      </c>
      <c r="E604" s="720">
        <v>9633.16</v>
      </c>
      <c r="F604" s="720">
        <v>14705.84</v>
      </c>
      <c r="G604" s="720">
        <v>11804.48</v>
      </c>
      <c r="H604" s="720">
        <v>9243.4599999999991</v>
      </c>
      <c r="I604" s="720">
        <v>7414.26</v>
      </c>
      <c r="J604" s="718">
        <v>117.65</v>
      </c>
      <c r="K604" s="720">
        <v>1208.8399999999999</v>
      </c>
      <c r="L604" s="720">
        <v>298.01</v>
      </c>
      <c r="M604" s="720">
        <v>2966.66</v>
      </c>
      <c r="N604" s="720">
        <v>171.17</v>
      </c>
    </row>
    <row r="605" spans="1:14" ht="15">
      <c r="A605" s="705"/>
      <c r="B605" s="705"/>
      <c r="C605" s="719">
        <v>41104</v>
      </c>
      <c r="D605" s="734">
        <v>9376</v>
      </c>
      <c r="E605" s="720">
        <v>9633.16</v>
      </c>
      <c r="F605" s="720">
        <v>14705.84</v>
      </c>
      <c r="G605" s="720">
        <v>11804.48</v>
      </c>
      <c r="H605" s="720">
        <v>9243.4599999999991</v>
      </c>
      <c r="I605" s="720">
        <v>7414.26</v>
      </c>
      <c r="J605" s="718">
        <v>117.65</v>
      </c>
      <c r="K605" s="720">
        <v>1208.8399999999999</v>
      </c>
      <c r="L605" s="720">
        <v>298.01</v>
      </c>
      <c r="M605" s="720">
        <v>2966.66</v>
      </c>
      <c r="N605" s="720">
        <v>171.17</v>
      </c>
    </row>
    <row r="606" spans="1:14" ht="15">
      <c r="A606" s="705"/>
      <c r="B606" s="705"/>
      <c r="C606" s="719">
        <v>41105</v>
      </c>
      <c r="D606" s="734">
        <v>9376</v>
      </c>
      <c r="E606" s="720">
        <v>9633.16</v>
      </c>
      <c r="F606" s="720">
        <v>14705.84</v>
      </c>
      <c r="G606" s="720">
        <v>11804.48</v>
      </c>
      <c r="H606" s="720">
        <v>9243.4599999999991</v>
      </c>
      <c r="I606" s="720">
        <v>7414.26</v>
      </c>
      <c r="J606" s="718">
        <v>117.65</v>
      </c>
      <c r="K606" s="720">
        <v>1208.8399999999999</v>
      </c>
      <c r="L606" s="720">
        <v>298.01</v>
      </c>
      <c r="M606" s="720">
        <v>2966.66</v>
      </c>
      <c r="N606" s="720">
        <v>171.17</v>
      </c>
    </row>
    <row r="607" spans="1:14" ht="15">
      <c r="A607" s="705"/>
      <c r="B607" s="705"/>
      <c r="C607" s="719">
        <v>41106</v>
      </c>
      <c r="D607" s="734">
        <v>9442</v>
      </c>
      <c r="E607" s="720">
        <v>9620.51</v>
      </c>
      <c r="F607" s="720">
        <v>14628.66</v>
      </c>
      <c r="G607" s="720">
        <v>11574.15</v>
      </c>
      <c r="H607" s="720">
        <v>9260.3700000000008</v>
      </c>
      <c r="I607" s="720">
        <v>7439.41</v>
      </c>
      <c r="J607" s="718">
        <v>118.93</v>
      </c>
      <c r="K607" s="720">
        <v>1217.4100000000001</v>
      </c>
      <c r="L607" s="720">
        <v>297.45</v>
      </c>
      <c r="M607" s="720">
        <v>2964.33</v>
      </c>
      <c r="N607" s="720">
        <v>169.44</v>
      </c>
    </row>
    <row r="608" spans="1:14" ht="15">
      <c r="A608" s="705"/>
      <c r="B608" s="705"/>
      <c r="C608" s="719">
        <v>41107</v>
      </c>
      <c r="D608" s="734">
        <v>9442</v>
      </c>
      <c r="E608" s="720">
        <v>9620.51</v>
      </c>
      <c r="F608" s="720">
        <v>14628.66</v>
      </c>
      <c r="G608" s="720">
        <v>11574.15</v>
      </c>
      <c r="H608" s="720">
        <v>9260.3700000000008</v>
      </c>
      <c r="I608" s="720">
        <v>7439.41</v>
      </c>
      <c r="J608" s="718">
        <v>118.93</v>
      </c>
      <c r="K608" s="720">
        <v>1217.4100000000001</v>
      </c>
      <c r="L608" s="720">
        <v>297.45</v>
      </c>
      <c r="M608" s="720">
        <v>2964.33</v>
      </c>
      <c r="N608" s="720">
        <v>169.44</v>
      </c>
    </row>
    <row r="609" spans="1:14" ht="15">
      <c r="A609" s="705"/>
      <c r="B609" s="705"/>
      <c r="C609" s="719">
        <v>41108</v>
      </c>
      <c r="D609" s="734">
        <v>9442</v>
      </c>
      <c r="E609" s="720">
        <v>9620.51</v>
      </c>
      <c r="F609" s="720">
        <v>14628.66</v>
      </c>
      <c r="G609" s="720">
        <v>11574.15</v>
      </c>
      <c r="H609" s="720">
        <v>9260.3700000000008</v>
      </c>
      <c r="I609" s="720">
        <v>7439.41</v>
      </c>
      <c r="J609" s="718">
        <v>118.93</v>
      </c>
      <c r="K609" s="720">
        <v>1217.4100000000001</v>
      </c>
      <c r="L609" s="720">
        <v>297.45</v>
      </c>
      <c r="M609" s="720">
        <v>2964.33</v>
      </c>
      <c r="N609" s="720">
        <v>169.44</v>
      </c>
    </row>
    <row r="610" spans="1:14" ht="15">
      <c r="A610" s="705"/>
      <c r="B610" s="705"/>
      <c r="C610" s="719">
        <v>41109</v>
      </c>
      <c r="D610" s="734">
        <v>9442</v>
      </c>
      <c r="E610" s="720">
        <v>9620.51</v>
      </c>
      <c r="F610" s="720">
        <v>14628.66</v>
      </c>
      <c r="G610" s="720">
        <v>11574.15</v>
      </c>
      <c r="H610" s="720">
        <v>9260.3700000000008</v>
      </c>
      <c r="I610" s="720">
        <v>7439.41</v>
      </c>
      <c r="J610" s="718">
        <v>118.93</v>
      </c>
      <c r="K610" s="720">
        <v>1217.4100000000001</v>
      </c>
      <c r="L610" s="720">
        <v>297.45</v>
      </c>
      <c r="M610" s="720">
        <v>2964.33</v>
      </c>
      <c r="N610" s="720">
        <v>169.44</v>
      </c>
    </row>
    <row r="611" spans="1:14" ht="15">
      <c r="A611" s="705"/>
      <c r="B611" s="705"/>
      <c r="C611" s="719">
        <v>41110</v>
      </c>
      <c r="D611" s="734">
        <v>9442</v>
      </c>
      <c r="E611" s="720">
        <v>9620.51</v>
      </c>
      <c r="F611" s="720">
        <v>14628.66</v>
      </c>
      <c r="G611" s="720">
        <v>11574.15</v>
      </c>
      <c r="H611" s="720">
        <v>9260.3700000000008</v>
      </c>
      <c r="I611" s="720">
        <v>7439.41</v>
      </c>
      <c r="J611" s="718">
        <v>118.93</v>
      </c>
      <c r="K611" s="720">
        <v>1217.4100000000001</v>
      </c>
      <c r="L611" s="720">
        <v>297.45</v>
      </c>
      <c r="M611" s="720">
        <v>2964.33</v>
      </c>
      <c r="N611" s="720">
        <v>169.44</v>
      </c>
    </row>
    <row r="612" spans="1:14" ht="15">
      <c r="A612" s="705"/>
      <c r="B612" s="705"/>
      <c r="C612" s="719">
        <v>41111</v>
      </c>
      <c r="D612" s="734">
        <v>9442</v>
      </c>
      <c r="E612" s="720">
        <v>9620.51</v>
      </c>
      <c r="F612" s="720">
        <v>14628.66</v>
      </c>
      <c r="G612" s="720">
        <v>11574.15</v>
      </c>
      <c r="H612" s="720">
        <v>9260.3700000000008</v>
      </c>
      <c r="I612" s="720">
        <v>7439.41</v>
      </c>
      <c r="J612" s="718">
        <v>118.93</v>
      </c>
      <c r="K612" s="720">
        <v>1217.4100000000001</v>
      </c>
      <c r="L612" s="720">
        <v>297.45</v>
      </c>
      <c r="M612" s="720">
        <v>2964.33</v>
      </c>
      <c r="N612" s="720">
        <v>169.44</v>
      </c>
    </row>
    <row r="613" spans="1:14" ht="15">
      <c r="A613" s="705"/>
      <c r="B613" s="705"/>
      <c r="C613" s="719">
        <v>41112</v>
      </c>
      <c r="D613" s="734">
        <v>9442</v>
      </c>
      <c r="E613" s="720">
        <v>9620.51</v>
      </c>
      <c r="F613" s="720">
        <v>14628.66</v>
      </c>
      <c r="G613" s="720">
        <v>11574.15</v>
      </c>
      <c r="H613" s="720">
        <v>9260.3700000000008</v>
      </c>
      <c r="I613" s="720">
        <v>7439.41</v>
      </c>
      <c r="J613" s="718">
        <v>118.93</v>
      </c>
      <c r="K613" s="720">
        <v>1217.4100000000001</v>
      </c>
      <c r="L613" s="720">
        <v>297.45</v>
      </c>
      <c r="M613" s="720">
        <v>2964.33</v>
      </c>
      <c r="N613" s="720">
        <v>169.44</v>
      </c>
    </row>
    <row r="614" spans="1:14" ht="15">
      <c r="A614" s="705"/>
      <c r="B614" s="705"/>
      <c r="C614" s="719">
        <v>41113</v>
      </c>
      <c r="D614" s="734">
        <v>9467</v>
      </c>
      <c r="E614" s="720">
        <v>9777.66</v>
      </c>
      <c r="F614" s="720">
        <v>14796.74</v>
      </c>
      <c r="G614" s="720">
        <v>11598.04</v>
      </c>
      <c r="H614" s="720">
        <v>9355.44</v>
      </c>
      <c r="I614" s="720">
        <v>7513.61</v>
      </c>
      <c r="J614" s="718">
        <v>120.04</v>
      </c>
      <c r="K614" s="720">
        <v>1220.49</v>
      </c>
      <c r="L614" s="720">
        <v>299.13</v>
      </c>
      <c r="M614" s="720">
        <v>2995.3</v>
      </c>
      <c r="N614" s="720">
        <v>171.28</v>
      </c>
    </row>
    <row r="615" spans="1:14" ht="15">
      <c r="A615" s="705"/>
      <c r="B615" s="705"/>
      <c r="C615" s="719">
        <v>41114</v>
      </c>
      <c r="D615" s="734">
        <v>9467</v>
      </c>
      <c r="E615" s="720">
        <v>9777.66</v>
      </c>
      <c r="F615" s="720">
        <v>14796.74</v>
      </c>
      <c r="G615" s="720">
        <v>11598.04</v>
      </c>
      <c r="H615" s="720">
        <v>9355.44</v>
      </c>
      <c r="I615" s="720">
        <v>7513.61</v>
      </c>
      <c r="J615" s="718">
        <v>120.04</v>
      </c>
      <c r="K615" s="720">
        <v>1220.49</v>
      </c>
      <c r="L615" s="720">
        <v>299.13</v>
      </c>
      <c r="M615" s="720">
        <v>2995.3</v>
      </c>
      <c r="N615" s="720">
        <v>171.28</v>
      </c>
    </row>
    <row r="616" spans="1:14" ht="15">
      <c r="A616" s="705"/>
      <c r="B616" s="705"/>
      <c r="C616" s="719">
        <v>41115</v>
      </c>
      <c r="D616" s="734">
        <v>9467</v>
      </c>
      <c r="E616" s="720">
        <v>9777.66</v>
      </c>
      <c r="F616" s="720">
        <v>14796.74</v>
      </c>
      <c r="G616" s="720">
        <v>11598.04</v>
      </c>
      <c r="H616" s="720">
        <v>9355.44</v>
      </c>
      <c r="I616" s="720">
        <v>7513.61</v>
      </c>
      <c r="J616" s="718">
        <v>120.04</v>
      </c>
      <c r="K616" s="720">
        <v>1220.49</v>
      </c>
      <c r="L616" s="720">
        <v>299.13</v>
      </c>
      <c r="M616" s="720">
        <v>2995.3</v>
      </c>
      <c r="N616" s="720">
        <v>171.28</v>
      </c>
    </row>
    <row r="617" spans="1:14" ht="15">
      <c r="A617" s="705"/>
      <c r="B617" s="705"/>
      <c r="C617" s="719">
        <v>41116</v>
      </c>
      <c r="D617" s="734">
        <v>9467</v>
      </c>
      <c r="E617" s="720">
        <v>9777.66</v>
      </c>
      <c r="F617" s="720">
        <v>14796.74</v>
      </c>
      <c r="G617" s="720">
        <v>11598.04</v>
      </c>
      <c r="H617" s="720">
        <v>9355.44</v>
      </c>
      <c r="I617" s="720">
        <v>7513.61</v>
      </c>
      <c r="J617" s="718">
        <v>120.04</v>
      </c>
      <c r="K617" s="720">
        <v>1220.49</v>
      </c>
      <c r="L617" s="720">
        <v>299.13</v>
      </c>
      <c r="M617" s="720">
        <v>2995.3</v>
      </c>
      <c r="N617" s="720">
        <v>171.28</v>
      </c>
    </row>
    <row r="618" spans="1:14" ht="15">
      <c r="A618" s="705"/>
      <c r="B618" s="705"/>
      <c r="C618" s="719">
        <v>41117</v>
      </c>
      <c r="D618" s="734">
        <v>9467</v>
      </c>
      <c r="E618" s="720">
        <v>9777.66</v>
      </c>
      <c r="F618" s="720">
        <v>14796.74</v>
      </c>
      <c r="G618" s="720">
        <v>11598.04</v>
      </c>
      <c r="H618" s="720">
        <v>9355.44</v>
      </c>
      <c r="I618" s="720">
        <v>7513.61</v>
      </c>
      <c r="J618" s="718">
        <v>120.04</v>
      </c>
      <c r="K618" s="720">
        <v>1220.49</v>
      </c>
      <c r="L618" s="720">
        <v>299.13</v>
      </c>
      <c r="M618" s="720">
        <v>2995.3</v>
      </c>
      <c r="N618" s="720">
        <v>171.28</v>
      </c>
    </row>
    <row r="619" spans="1:14" ht="15">
      <c r="A619" s="705"/>
      <c r="B619" s="705"/>
      <c r="C619" s="719">
        <v>41118</v>
      </c>
      <c r="D619" s="734">
        <v>9467</v>
      </c>
      <c r="E619" s="720">
        <v>9777.66</v>
      </c>
      <c r="F619" s="720">
        <v>14796.74</v>
      </c>
      <c r="G619" s="720">
        <v>11598.04</v>
      </c>
      <c r="H619" s="720">
        <v>9355.44</v>
      </c>
      <c r="I619" s="720">
        <v>7513.61</v>
      </c>
      <c r="J619" s="718">
        <v>120.04</v>
      </c>
      <c r="K619" s="720">
        <v>1220.49</v>
      </c>
      <c r="L619" s="720">
        <v>299.13</v>
      </c>
      <c r="M619" s="720">
        <v>2995.3</v>
      </c>
      <c r="N619" s="720">
        <v>171.28</v>
      </c>
    </row>
    <row r="620" spans="1:14" ht="15">
      <c r="A620" s="705"/>
      <c r="B620" s="705"/>
      <c r="C620" s="719">
        <v>41119</v>
      </c>
      <c r="D620" s="734">
        <v>9467</v>
      </c>
      <c r="E620" s="720">
        <v>9777.66</v>
      </c>
      <c r="F620" s="720">
        <v>14796.74</v>
      </c>
      <c r="G620" s="720">
        <v>11598.04</v>
      </c>
      <c r="H620" s="720">
        <v>9355.44</v>
      </c>
      <c r="I620" s="720">
        <v>7513.61</v>
      </c>
      <c r="J620" s="718">
        <v>120.04</v>
      </c>
      <c r="K620" s="720">
        <v>1220.49</v>
      </c>
      <c r="L620" s="720">
        <v>299.13</v>
      </c>
      <c r="M620" s="720">
        <v>2995.3</v>
      </c>
      <c r="N620" s="720">
        <v>171.28</v>
      </c>
    </row>
    <row r="621" spans="1:14" ht="15">
      <c r="A621" s="705"/>
      <c r="B621" s="705"/>
      <c r="C621" s="719">
        <v>41120</v>
      </c>
      <c r="D621" s="734">
        <v>9506</v>
      </c>
      <c r="E621" s="720">
        <v>9814.8799999999992</v>
      </c>
      <c r="F621" s="720">
        <v>14791.99</v>
      </c>
      <c r="G621" s="720">
        <v>11572.2</v>
      </c>
      <c r="H621" s="720">
        <v>9366.2099999999991</v>
      </c>
      <c r="I621" s="720">
        <v>7567.35</v>
      </c>
      <c r="J621" s="718">
        <v>121.52</v>
      </c>
      <c r="K621" s="720">
        <v>1225.29</v>
      </c>
      <c r="L621" s="720">
        <v>299.89</v>
      </c>
      <c r="M621" s="720">
        <v>2997.62</v>
      </c>
      <c r="N621" s="720">
        <v>169.91</v>
      </c>
    </row>
    <row r="622" spans="1:14" ht="15">
      <c r="A622" s="705"/>
      <c r="B622" s="705"/>
      <c r="C622" s="719">
        <v>41121</v>
      </c>
      <c r="D622" s="734">
        <v>9506</v>
      </c>
      <c r="E622" s="720">
        <v>9814.8799999999992</v>
      </c>
      <c r="F622" s="720">
        <v>14791.99</v>
      </c>
      <c r="G622" s="720">
        <v>11572.2</v>
      </c>
      <c r="H622" s="720">
        <v>9366.2099999999991</v>
      </c>
      <c r="I622" s="720">
        <v>7567.35</v>
      </c>
      <c r="J622" s="718">
        <v>121.52</v>
      </c>
      <c r="K622" s="720">
        <v>1225.29</v>
      </c>
      <c r="L622" s="720">
        <v>299.89</v>
      </c>
      <c r="M622" s="720">
        <v>2997.62</v>
      </c>
      <c r="N622" s="720">
        <v>169.91</v>
      </c>
    </row>
    <row r="623" spans="1:14" ht="15">
      <c r="A623" s="705"/>
      <c r="B623" s="705"/>
      <c r="C623" s="719">
        <v>41122</v>
      </c>
      <c r="D623" s="734">
        <v>9506</v>
      </c>
      <c r="E623" s="720">
        <v>9814.8799999999992</v>
      </c>
      <c r="F623" s="720">
        <v>14791.99</v>
      </c>
      <c r="G623" s="720">
        <v>11572.2</v>
      </c>
      <c r="H623" s="720">
        <v>9366.2099999999991</v>
      </c>
      <c r="I623" s="720">
        <v>7567.35</v>
      </c>
      <c r="J623" s="718">
        <v>121.52</v>
      </c>
      <c r="K623" s="720">
        <v>1225.29</v>
      </c>
      <c r="L623" s="720">
        <v>299.89</v>
      </c>
      <c r="M623" s="720">
        <v>2997.62</v>
      </c>
      <c r="N623" s="720">
        <v>169.91</v>
      </c>
    </row>
    <row r="624" spans="1:14" ht="15">
      <c r="A624" s="705"/>
      <c r="B624" s="705"/>
      <c r="C624" s="719">
        <v>41123</v>
      </c>
      <c r="D624" s="734">
        <v>9506</v>
      </c>
      <c r="E624" s="720">
        <v>9814.8799999999992</v>
      </c>
      <c r="F624" s="720">
        <v>14791.99</v>
      </c>
      <c r="G624" s="720">
        <v>11572.2</v>
      </c>
      <c r="H624" s="720">
        <v>9366.2099999999991</v>
      </c>
      <c r="I624" s="720">
        <v>7567.35</v>
      </c>
      <c r="J624" s="718">
        <v>121.52</v>
      </c>
      <c r="K624" s="720">
        <v>1225.29</v>
      </c>
      <c r="L624" s="720">
        <v>299.89</v>
      </c>
      <c r="M624" s="720">
        <v>2997.62</v>
      </c>
      <c r="N624" s="720">
        <v>169.91</v>
      </c>
    </row>
    <row r="625" spans="1:14" ht="15">
      <c r="A625" s="705"/>
      <c r="B625" s="705"/>
      <c r="C625" s="719">
        <v>41124</v>
      </c>
      <c r="D625" s="734">
        <v>9506</v>
      </c>
      <c r="E625" s="720">
        <v>9814.8799999999992</v>
      </c>
      <c r="F625" s="720">
        <v>14791.99</v>
      </c>
      <c r="G625" s="720">
        <v>11572.2</v>
      </c>
      <c r="H625" s="720">
        <v>9366.2099999999991</v>
      </c>
      <c r="I625" s="720">
        <v>7567.35</v>
      </c>
      <c r="J625" s="718">
        <v>121.52</v>
      </c>
      <c r="K625" s="720">
        <v>1225.29</v>
      </c>
      <c r="L625" s="720">
        <v>299.89</v>
      </c>
      <c r="M625" s="720">
        <v>2997.62</v>
      </c>
      <c r="N625" s="720">
        <v>169.91</v>
      </c>
    </row>
    <row r="626" spans="1:14" ht="15">
      <c r="A626" s="705"/>
      <c r="B626" s="705"/>
      <c r="C626" s="719">
        <v>41125</v>
      </c>
      <c r="D626" s="734">
        <v>9506</v>
      </c>
      <c r="E626" s="720">
        <v>9814.8799999999992</v>
      </c>
      <c r="F626" s="720">
        <v>14791.99</v>
      </c>
      <c r="G626" s="720">
        <v>11572.2</v>
      </c>
      <c r="H626" s="720">
        <v>9366.2099999999991</v>
      </c>
      <c r="I626" s="720">
        <v>7567.35</v>
      </c>
      <c r="J626" s="718">
        <v>121.52</v>
      </c>
      <c r="K626" s="720">
        <v>1225.29</v>
      </c>
      <c r="L626" s="720">
        <v>299.89</v>
      </c>
      <c r="M626" s="720">
        <v>2997.62</v>
      </c>
      <c r="N626" s="720">
        <v>169.91</v>
      </c>
    </row>
    <row r="627" spans="1:14" ht="15">
      <c r="A627" s="705"/>
      <c r="B627" s="705"/>
      <c r="C627" s="719">
        <v>41126</v>
      </c>
      <c r="D627" s="734">
        <v>9506</v>
      </c>
      <c r="E627" s="720">
        <v>9814.8799999999992</v>
      </c>
      <c r="F627" s="720">
        <v>14791.99</v>
      </c>
      <c r="G627" s="720">
        <v>11572.2</v>
      </c>
      <c r="H627" s="720">
        <v>9366.2099999999991</v>
      </c>
      <c r="I627" s="720">
        <v>7567.35</v>
      </c>
      <c r="J627" s="718">
        <v>121.52</v>
      </c>
      <c r="K627" s="720">
        <v>1225.29</v>
      </c>
      <c r="L627" s="720">
        <v>299.89</v>
      </c>
      <c r="M627" s="720">
        <v>2997.62</v>
      </c>
      <c r="N627" s="720">
        <v>169.91</v>
      </c>
    </row>
    <row r="628" spans="1:14" ht="15">
      <c r="A628" s="705"/>
      <c r="B628" s="705"/>
      <c r="C628" s="719">
        <v>41127</v>
      </c>
      <c r="D628" s="734">
        <v>9476</v>
      </c>
      <c r="E628" s="720">
        <v>9948.15</v>
      </c>
      <c r="F628" s="720">
        <v>14863.64</v>
      </c>
      <c r="G628" s="720">
        <v>11642.03</v>
      </c>
      <c r="H628" s="720">
        <v>9451.39</v>
      </c>
      <c r="I628" s="720">
        <v>7607.25</v>
      </c>
      <c r="J628" s="718">
        <v>121.31</v>
      </c>
      <c r="K628" s="720">
        <v>1221.8900000000001</v>
      </c>
      <c r="L628" s="720">
        <v>300.36</v>
      </c>
      <c r="M628" s="720">
        <v>3023.75</v>
      </c>
      <c r="N628" s="720">
        <v>170.42</v>
      </c>
    </row>
    <row r="629" spans="1:14" ht="15">
      <c r="A629" s="705"/>
      <c r="B629" s="705"/>
      <c r="C629" s="719">
        <v>41128</v>
      </c>
      <c r="D629" s="734">
        <v>9476</v>
      </c>
      <c r="E629" s="720">
        <v>9948.15</v>
      </c>
      <c r="F629" s="720">
        <v>14863.64</v>
      </c>
      <c r="G629" s="720">
        <v>11642.03</v>
      </c>
      <c r="H629" s="720">
        <v>9451.39</v>
      </c>
      <c r="I629" s="720">
        <v>7607.25</v>
      </c>
      <c r="J629" s="718">
        <v>121.31</v>
      </c>
      <c r="K629" s="720">
        <v>1221.8900000000001</v>
      </c>
      <c r="L629" s="720">
        <v>300.36</v>
      </c>
      <c r="M629" s="720">
        <v>3023.75</v>
      </c>
      <c r="N629" s="720">
        <v>170.42</v>
      </c>
    </row>
    <row r="630" spans="1:14" ht="15">
      <c r="A630" s="705"/>
      <c r="B630" s="705"/>
      <c r="C630" s="719">
        <v>41129</v>
      </c>
      <c r="D630" s="734">
        <v>9476</v>
      </c>
      <c r="E630" s="720">
        <v>9948.15</v>
      </c>
      <c r="F630" s="720">
        <v>14863.64</v>
      </c>
      <c r="G630" s="720">
        <v>11642.03</v>
      </c>
      <c r="H630" s="720">
        <v>9451.39</v>
      </c>
      <c r="I630" s="720">
        <v>7607.25</v>
      </c>
      <c r="J630" s="718">
        <v>121.31</v>
      </c>
      <c r="K630" s="720">
        <v>1221.8900000000001</v>
      </c>
      <c r="L630" s="720">
        <v>300.36</v>
      </c>
      <c r="M630" s="720">
        <v>3023.75</v>
      </c>
      <c r="N630" s="720">
        <v>170.42</v>
      </c>
    </row>
    <row r="631" spans="1:14" ht="15">
      <c r="A631" s="705"/>
      <c r="B631" s="705"/>
      <c r="C631" s="719">
        <v>41130</v>
      </c>
      <c r="D631" s="734">
        <v>9476</v>
      </c>
      <c r="E631" s="720">
        <v>9948.15</v>
      </c>
      <c r="F631" s="720">
        <v>14863.64</v>
      </c>
      <c r="G631" s="720">
        <v>11642.03</v>
      </c>
      <c r="H631" s="720">
        <v>9451.39</v>
      </c>
      <c r="I631" s="720">
        <v>7607.25</v>
      </c>
      <c r="J631" s="718">
        <v>121.31</v>
      </c>
      <c r="K631" s="720">
        <v>1221.8900000000001</v>
      </c>
      <c r="L631" s="720">
        <v>300.36</v>
      </c>
      <c r="M631" s="720">
        <v>3023.75</v>
      </c>
      <c r="N631" s="720">
        <v>170.42</v>
      </c>
    </row>
    <row r="632" spans="1:14" ht="15">
      <c r="A632" s="705"/>
      <c r="B632" s="705"/>
      <c r="C632" s="719">
        <v>41131</v>
      </c>
      <c r="D632" s="734">
        <v>9476</v>
      </c>
      <c r="E632" s="720">
        <v>9948.15</v>
      </c>
      <c r="F632" s="720">
        <v>14863.64</v>
      </c>
      <c r="G632" s="720">
        <v>11642.03</v>
      </c>
      <c r="H632" s="720">
        <v>9451.39</v>
      </c>
      <c r="I632" s="720">
        <v>7607.25</v>
      </c>
      <c r="J632" s="718">
        <v>121.31</v>
      </c>
      <c r="K632" s="720">
        <v>1221.8900000000001</v>
      </c>
      <c r="L632" s="720">
        <v>300.36</v>
      </c>
      <c r="M632" s="720">
        <v>3023.75</v>
      </c>
      <c r="N632" s="720">
        <v>170.42</v>
      </c>
    </row>
    <row r="633" spans="1:14" ht="15">
      <c r="A633" s="705"/>
      <c r="B633" s="705"/>
      <c r="C633" s="719">
        <v>41132</v>
      </c>
      <c r="D633" s="734">
        <v>9476</v>
      </c>
      <c r="E633" s="720">
        <v>9948.15</v>
      </c>
      <c r="F633" s="720">
        <v>14863.64</v>
      </c>
      <c r="G633" s="720">
        <v>11642.03</v>
      </c>
      <c r="H633" s="720">
        <v>9451.39</v>
      </c>
      <c r="I633" s="720">
        <v>7607.25</v>
      </c>
      <c r="J633" s="718">
        <v>121.31</v>
      </c>
      <c r="K633" s="720">
        <v>1221.8900000000001</v>
      </c>
      <c r="L633" s="720">
        <v>300.36</v>
      </c>
      <c r="M633" s="720">
        <v>3023.75</v>
      </c>
      <c r="N633" s="720">
        <v>170.42</v>
      </c>
    </row>
    <row r="634" spans="1:14" ht="15">
      <c r="A634" s="705"/>
      <c r="B634" s="705"/>
      <c r="C634" s="719">
        <v>41133</v>
      </c>
      <c r="D634" s="734">
        <v>9476</v>
      </c>
      <c r="E634" s="720">
        <v>9948.15</v>
      </c>
      <c r="F634" s="720">
        <v>14863.64</v>
      </c>
      <c r="G634" s="720">
        <v>11642.03</v>
      </c>
      <c r="H634" s="720">
        <v>9451.39</v>
      </c>
      <c r="I634" s="720">
        <v>7607.25</v>
      </c>
      <c r="J634" s="718">
        <v>121.31</v>
      </c>
      <c r="K634" s="720">
        <v>1221.8900000000001</v>
      </c>
      <c r="L634" s="720">
        <v>300.36</v>
      </c>
      <c r="M634" s="720">
        <v>3023.75</v>
      </c>
      <c r="N634" s="720">
        <v>170.42</v>
      </c>
    </row>
    <row r="635" spans="1:14" ht="15">
      <c r="A635" s="705"/>
      <c r="B635" s="705"/>
      <c r="C635" s="719">
        <v>41134</v>
      </c>
      <c r="D635" s="734">
        <v>9479</v>
      </c>
      <c r="E635" s="720">
        <v>10018.92</v>
      </c>
      <c r="F635" s="720">
        <v>14832.93</v>
      </c>
      <c r="G635" s="720">
        <v>11745.81</v>
      </c>
      <c r="H635" s="720">
        <v>9504.2800000000007</v>
      </c>
      <c r="I635" s="720">
        <v>7628.24</v>
      </c>
      <c r="J635" s="718">
        <v>120.83</v>
      </c>
      <c r="K635" s="720">
        <v>1222.22</v>
      </c>
      <c r="L635" s="720">
        <v>301.13</v>
      </c>
      <c r="M635" s="720">
        <v>3049.6</v>
      </c>
      <c r="N635" s="720">
        <v>170.98</v>
      </c>
    </row>
    <row r="636" spans="1:14" ht="15">
      <c r="A636" s="705"/>
      <c r="B636" s="705"/>
      <c r="C636" s="719">
        <v>41135</v>
      </c>
      <c r="D636" s="734">
        <v>9479</v>
      </c>
      <c r="E636" s="720">
        <v>10018.92</v>
      </c>
      <c r="F636" s="720">
        <v>14832.93</v>
      </c>
      <c r="G636" s="720">
        <v>11745.81</v>
      </c>
      <c r="H636" s="720">
        <v>9504.2800000000007</v>
      </c>
      <c r="I636" s="720">
        <v>7628.24</v>
      </c>
      <c r="J636" s="718">
        <v>120.83</v>
      </c>
      <c r="K636" s="720">
        <v>1222.22</v>
      </c>
      <c r="L636" s="720">
        <v>301.13</v>
      </c>
      <c r="M636" s="720">
        <v>3049.6</v>
      </c>
      <c r="N636" s="720">
        <v>170.98</v>
      </c>
    </row>
    <row r="637" spans="1:14" ht="15">
      <c r="A637" s="705"/>
      <c r="B637" s="705"/>
      <c r="C637" s="719">
        <v>41136</v>
      </c>
      <c r="D637" s="734">
        <v>9479</v>
      </c>
      <c r="E637" s="720">
        <v>10018.92</v>
      </c>
      <c r="F637" s="720">
        <v>14832.93</v>
      </c>
      <c r="G637" s="720">
        <v>11745.81</v>
      </c>
      <c r="H637" s="720">
        <v>9504.2800000000007</v>
      </c>
      <c r="I637" s="720">
        <v>7628.24</v>
      </c>
      <c r="J637" s="718">
        <v>120.83</v>
      </c>
      <c r="K637" s="720">
        <v>1222.22</v>
      </c>
      <c r="L637" s="720">
        <v>301.13</v>
      </c>
      <c r="M637" s="720">
        <v>3049.6</v>
      </c>
      <c r="N637" s="720">
        <v>170.98</v>
      </c>
    </row>
    <row r="638" spans="1:14" ht="15">
      <c r="A638" s="705"/>
      <c r="B638" s="705"/>
      <c r="C638" s="719">
        <v>41137</v>
      </c>
      <c r="D638" s="734">
        <v>9479</v>
      </c>
      <c r="E638" s="720">
        <v>10018.92</v>
      </c>
      <c r="F638" s="720">
        <v>14832.93</v>
      </c>
      <c r="G638" s="720">
        <v>11745.81</v>
      </c>
      <c r="H638" s="720">
        <v>9504.2800000000007</v>
      </c>
      <c r="I638" s="720">
        <v>7628.24</v>
      </c>
      <c r="J638" s="718">
        <v>120.83</v>
      </c>
      <c r="K638" s="720">
        <v>1222.22</v>
      </c>
      <c r="L638" s="720">
        <v>301.13</v>
      </c>
      <c r="M638" s="720">
        <v>3049.6</v>
      </c>
      <c r="N638" s="720">
        <v>170.98</v>
      </c>
    </row>
    <row r="639" spans="1:14" ht="15">
      <c r="A639" s="705"/>
      <c r="B639" s="705"/>
      <c r="C639" s="719">
        <v>41138</v>
      </c>
      <c r="D639" s="734">
        <v>9479</v>
      </c>
      <c r="E639" s="720">
        <v>10018.92</v>
      </c>
      <c r="F639" s="720">
        <v>14832.93</v>
      </c>
      <c r="G639" s="720">
        <v>11745.81</v>
      </c>
      <c r="H639" s="720">
        <v>9504.2800000000007</v>
      </c>
      <c r="I639" s="720">
        <v>7628.24</v>
      </c>
      <c r="J639" s="718">
        <v>120.83</v>
      </c>
      <c r="K639" s="720">
        <v>1222.22</v>
      </c>
      <c r="L639" s="720">
        <v>301.13</v>
      </c>
      <c r="M639" s="720">
        <v>3049.6</v>
      </c>
      <c r="N639" s="720">
        <v>170.98</v>
      </c>
    </row>
    <row r="640" spans="1:14" ht="15">
      <c r="A640" s="705"/>
      <c r="B640" s="705"/>
      <c r="C640" s="719">
        <v>41139</v>
      </c>
      <c r="D640" s="734">
        <v>9479</v>
      </c>
      <c r="E640" s="720">
        <v>10018.92</v>
      </c>
      <c r="F640" s="720">
        <v>14832.93</v>
      </c>
      <c r="G640" s="720">
        <v>11745.81</v>
      </c>
      <c r="H640" s="720">
        <v>9504.2800000000007</v>
      </c>
      <c r="I640" s="720">
        <v>7628.24</v>
      </c>
      <c r="J640" s="718">
        <v>120.83</v>
      </c>
      <c r="K640" s="720">
        <v>1222.22</v>
      </c>
      <c r="L640" s="720">
        <v>301.13</v>
      </c>
      <c r="M640" s="720">
        <v>3049.6</v>
      </c>
      <c r="N640" s="720">
        <v>170.98</v>
      </c>
    </row>
    <row r="641" spans="1:14" ht="15">
      <c r="A641" s="705"/>
      <c r="B641" s="705"/>
      <c r="C641" s="719">
        <v>41140</v>
      </c>
      <c r="D641" s="734">
        <v>9479</v>
      </c>
      <c r="E641" s="720">
        <v>10018.92</v>
      </c>
      <c r="F641" s="720">
        <v>14832.93</v>
      </c>
      <c r="G641" s="720">
        <v>11745.81</v>
      </c>
      <c r="H641" s="720">
        <v>9504.2800000000007</v>
      </c>
      <c r="I641" s="720">
        <v>7628.24</v>
      </c>
      <c r="J641" s="718">
        <v>120.83</v>
      </c>
      <c r="K641" s="720">
        <v>1222.22</v>
      </c>
      <c r="L641" s="720">
        <v>301.13</v>
      </c>
      <c r="M641" s="720">
        <v>3049.6</v>
      </c>
      <c r="N641" s="720">
        <v>170.98</v>
      </c>
    </row>
    <row r="642" spans="1:14" ht="15">
      <c r="A642" s="705"/>
      <c r="B642" s="705"/>
      <c r="C642" s="719">
        <v>41141</v>
      </c>
      <c r="D642" s="734">
        <v>9488</v>
      </c>
      <c r="E642" s="720">
        <v>10002.57</v>
      </c>
      <c r="F642" s="720">
        <v>14876.24</v>
      </c>
      <c r="G642" s="720">
        <v>11692.65</v>
      </c>
      <c r="H642" s="720">
        <v>9560.6299999999992</v>
      </c>
      <c r="I642" s="720">
        <v>7615.51</v>
      </c>
      <c r="J642" s="718">
        <v>120.91</v>
      </c>
      <c r="K642" s="720">
        <v>1223.07</v>
      </c>
      <c r="L642" s="720">
        <v>301.55</v>
      </c>
      <c r="M642" s="720">
        <v>3044.09</v>
      </c>
      <c r="N642" s="720">
        <v>171.27</v>
      </c>
    </row>
    <row r="643" spans="1:14" ht="15">
      <c r="A643" s="705"/>
      <c r="B643" s="705"/>
      <c r="C643" s="719">
        <v>41142</v>
      </c>
      <c r="D643" s="734">
        <v>9488</v>
      </c>
      <c r="E643" s="720">
        <v>10002.57</v>
      </c>
      <c r="F643" s="720">
        <v>14876.24</v>
      </c>
      <c r="G643" s="720">
        <v>11692.65</v>
      </c>
      <c r="H643" s="720">
        <v>9560.6299999999992</v>
      </c>
      <c r="I643" s="720">
        <v>7615.51</v>
      </c>
      <c r="J643" s="718">
        <v>120.91</v>
      </c>
      <c r="K643" s="720">
        <v>1223.07</v>
      </c>
      <c r="L643" s="720">
        <v>301.55</v>
      </c>
      <c r="M643" s="720">
        <v>3044.09</v>
      </c>
      <c r="N643" s="720">
        <v>171.27</v>
      </c>
    </row>
    <row r="644" spans="1:14" ht="15">
      <c r="A644" s="705"/>
      <c r="B644" s="705"/>
      <c r="C644" s="719">
        <v>41143</v>
      </c>
      <c r="D644" s="734">
        <v>9488</v>
      </c>
      <c r="E644" s="720">
        <v>10002.57</v>
      </c>
      <c r="F644" s="720">
        <v>14876.24</v>
      </c>
      <c r="G644" s="720">
        <v>11692.65</v>
      </c>
      <c r="H644" s="720">
        <v>9560.6299999999992</v>
      </c>
      <c r="I644" s="720">
        <v>7615.51</v>
      </c>
      <c r="J644" s="718">
        <v>120.91</v>
      </c>
      <c r="K644" s="720">
        <v>1223.07</v>
      </c>
      <c r="L644" s="720">
        <v>301.55</v>
      </c>
      <c r="M644" s="720">
        <v>3044.09</v>
      </c>
      <c r="N644" s="720">
        <v>171.27</v>
      </c>
    </row>
    <row r="645" spans="1:14" ht="15">
      <c r="A645" s="705"/>
      <c r="B645" s="705"/>
      <c r="C645" s="719">
        <v>41144</v>
      </c>
      <c r="D645" s="734">
        <v>9488</v>
      </c>
      <c r="E645" s="720">
        <v>10002.57</v>
      </c>
      <c r="F645" s="720">
        <v>14876.24</v>
      </c>
      <c r="G645" s="720">
        <v>11692.65</v>
      </c>
      <c r="H645" s="720">
        <v>9560.6299999999992</v>
      </c>
      <c r="I645" s="720">
        <v>7615.51</v>
      </c>
      <c r="J645" s="718">
        <v>120.91</v>
      </c>
      <c r="K645" s="720">
        <v>1223.07</v>
      </c>
      <c r="L645" s="720">
        <v>301.55</v>
      </c>
      <c r="M645" s="720">
        <v>3044.09</v>
      </c>
      <c r="N645" s="720">
        <v>171.27</v>
      </c>
    </row>
    <row r="646" spans="1:14" ht="15">
      <c r="A646" s="705"/>
      <c r="B646" s="705"/>
      <c r="C646" s="719">
        <v>41145</v>
      </c>
      <c r="D646" s="734">
        <v>9488</v>
      </c>
      <c r="E646" s="720">
        <v>10002.57</v>
      </c>
      <c r="F646" s="720">
        <v>14876.24</v>
      </c>
      <c r="G646" s="720">
        <v>11692.65</v>
      </c>
      <c r="H646" s="720">
        <v>9560.6299999999992</v>
      </c>
      <c r="I646" s="720">
        <v>7615.51</v>
      </c>
      <c r="J646" s="718">
        <v>120.91</v>
      </c>
      <c r="K646" s="720">
        <v>1223.07</v>
      </c>
      <c r="L646" s="720">
        <v>301.55</v>
      </c>
      <c r="M646" s="720">
        <v>3044.09</v>
      </c>
      <c r="N646" s="720">
        <v>171.27</v>
      </c>
    </row>
    <row r="647" spans="1:14" ht="15">
      <c r="A647" s="705"/>
      <c r="B647" s="705"/>
      <c r="C647" s="719">
        <v>41146</v>
      </c>
      <c r="D647" s="734">
        <v>9488</v>
      </c>
      <c r="E647" s="720">
        <v>10002.57</v>
      </c>
      <c r="F647" s="720">
        <v>14876.24</v>
      </c>
      <c r="G647" s="720">
        <v>11692.65</v>
      </c>
      <c r="H647" s="720">
        <v>9560.6299999999992</v>
      </c>
      <c r="I647" s="720">
        <v>7615.51</v>
      </c>
      <c r="J647" s="718">
        <v>120.91</v>
      </c>
      <c r="K647" s="720">
        <v>1223.07</v>
      </c>
      <c r="L647" s="720">
        <v>301.55</v>
      </c>
      <c r="M647" s="720">
        <v>3044.09</v>
      </c>
      <c r="N647" s="720">
        <v>171.27</v>
      </c>
    </row>
    <row r="648" spans="1:14" ht="15">
      <c r="A648" s="705"/>
      <c r="B648" s="705"/>
      <c r="C648" s="719">
        <v>41147</v>
      </c>
      <c r="D648" s="734">
        <v>9488</v>
      </c>
      <c r="E648" s="720">
        <v>10002.57</v>
      </c>
      <c r="F648" s="720">
        <v>14876.24</v>
      </c>
      <c r="G648" s="720">
        <v>11692.65</v>
      </c>
      <c r="H648" s="720">
        <v>9560.6299999999992</v>
      </c>
      <c r="I648" s="720">
        <v>7615.51</v>
      </c>
      <c r="J648" s="718">
        <v>120.91</v>
      </c>
      <c r="K648" s="720">
        <v>1223.07</v>
      </c>
      <c r="L648" s="720">
        <v>301.55</v>
      </c>
      <c r="M648" s="720">
        <v>3044.09</v>
      </c>
      <c r="N648" s="720">
        <v>171.27</v>
      </c>
    </row>
    <row r="649" spans="1:14" ht="15">
      <c r="A649" s="705"/>
      <c r="B649" s="705"/>
      <c r="C649" s="719">
        <v>41148</v>
      </c>
      <c r="D649" s="734">
        <v>9488</v>
      </c>
      <c r="E649" s="720">
        <v>10002.57</v>
      </c>
      <c r="F649" s="720">
        <v>14876.24</v>
      </c>
      <c r="G649" s="720">
        <v>11692.65</v>
      </c>
      <c r="H649" s="720">
        <v>9560.6299999999992</v>
      </c>
      <c r="I649" s="720">
        <v>7615.51</v>
      </c>
      <c r="J649" s="718">
        <v>120.91</v>
      </c>
      <c r="K649" s="720">
        <v>1223.07</v>
      </c>
      <c r="L649" s="720">
        <v>301.55</v>
      </c>
      <c r="M649" s="720">
        <v>3044.09</v>
      </c>
      <c r="N649" s="720">
        <v>171.27</v>
      </c>
    </row>
    <row r="650" spans="1:14" ht="15">
      <c r="A650" s="705"/>
      <c r="B650" s="705"/>
      <c r="C650" s="719">
        <v>41149</v>
      </c>
      <c r="D650" s="734">
        <v>9488</v>
      </c>
      <c r="E650" s="720">
        <v>10002.57</v>
      </c>
      <c r="F650" s="720">
        <v>14876.24</v>
      </c>
      <c r="G650" s="720">
        <v>11692.65</v>
      </c>
      <c r="H650" s="720">
        <v>9560.6299999999992</v>
      </c>
      <c r="I650" s="720">
        <v>7615.51</v>
      </c>
      <c r="J650" s="718">
        <v>120.91</v>
      </c>
      <c r="K650" s="720">
        <v>1223.07</v>
      </c>
      <c r="L650" s="720">
        <v>301.55</v>
      </c>
      <c r="M650" s="720">
        <v>3044.09</v>
      </c>
      <c r="N650" s="720">
        <v>171.27</v>
      </c>
    </row>
    <row r="651" spans="1:14" ht="15">
      <c r="A651" s="705"/>
      <c r="B651" s="705"/>
      <c r="C651" s="719">
        <v>41150</v>
      </c>
      <c r="D651" s="734">
        <v>9488</v>
      </c>
      <c r="E651" s="720">
        <v>10002.57</v>
      </c>
      <c r="F651" s="720">
        <v>14876.24</v>
      </c>
      <c r="G651" s="720">
        <v>11692.65</v>
      </c>
      <c r="H651" s="720">
        <v>9560.6299999999992</v>
      </c>
      <c r="I651" s="720">
        <v>7615.51</v>
      </c>
      <c r="J651" s="718">
        <v>120.91</v>
      </c>
      <c r="K651" s="720">
        <v>1223.07</v>
      </c>
      <c r="L651" s="720">
        <v>301.55</v>
      </c>
      <c r="M651" s="720">
        <v>3044.09</v>
      </c>
      <c r="N651" s="720">
        <v>171.27</v>
      </c>
    </row>
    <row r="652" spans="1:14" ht="15">
      <c r="A652" s="705"/>
      <c r="B652" s="705"/>
      <c r="C652" s="719">
        <v>41151</v>
      </c>
      <c r="D652" s="734">
        <v>9488</v>
      </c>
      <c r="E652" s="720">
        <v>10002.57</v>
      </c>
      <c r="F652" s="720">
        <v>14876.24</v>
      </c>
      <c r="G652" s="720">
        <v>11692.65</v>
      </c>
      <c r="H652" s="720">
        <v>9560.6299999999992</v>
      </c>
      <c r="I652" s="720">
        <v>7615.51</v>
      </c>
      <c r="J652" s="718">
        <v>120.91</v>
      </c>
      <c r="K652" s="720">
        <v>1223.07</v>
      </c>
      <c r="L652" s="720">
        <v>301.55</v>
      </c>
      <c r="M652" s="720">
        <v>3044.09</v>
      </c>
      <c r="N652" s="720">
        <v>171.27</v>
      </c>
    </row>
    <row r="653" spans="1:14" ht="15">
      <c r="A653" s="705"/>
      <c r="B653" s="705"/>
      <c r="C653" s="719">
        <v>41152</v>
      </c>
      <c r="D653" s="734">
        <v>9488</v>
      </c>
      <c r="E653" s="720">
        <v>10002.57</v>
      </c>
      <c r="F653" s="720">
        <v>14876.24</v>
      </c>
      <c r="G653" s="720">
        <v>11692.65</v>
      </c>
      <c r="H653" s="720">
        <v>9560.6299999999992</v>
      </c>
      <c r="I653" s="720">
        <v>7615.51</v>
      </c>
      <c r="J653" s="718">
        <v>120.91</v>
      </c>
      <c r="K653" s="720">
        <v>1223.07</v>
      </c>
      <c r="L653" s="720">
        <v>301.55</v>
      </c>
      <c r="M653" s="720">
        <v>3044.09</v>
      </c>
      <c r="N653" s="720">
        <v>171.27</v>
      </c>
    </row>
    <row r="654" spans="1:14" ht="15">
      <c r="A654" s="705"/>
      <c r="B654" s="705"/>
      <c r="C654" s="719">
        <v>41153</v>
      </c>
      <c r="D654" s="734">
        <v>9488</v>
      </c>
      <c r="E654" s="720">
        <v>10002.57</v>
      </c>
      <c r="F654" s="720">
        <v>14876.24</v>
      </c>
      <c r="G654" s="720">
        <v>11692.65</v>
      </c>
      <c r="H654" s="720">
        <v>9560.6299999999992</v>
      </c>
      <c r="I654" s="720">
        <v>7615.51</v>
      </c>
      <c r="J654" s="718">
        <v>120.91</v>
      </c>
      <c r="K654" s="720">
        <v>1223.07</v>
      </c>
      <c r="L654" s="720">
        <v>301.55</v>
      </c>
      <c r="M654" s="720">
        <v>3044.09</v>
      </c>
      <c r="N654" s="720">
        <v>171.27</v>
      </c>
    </row>
    <row r="655" spans="1:14" ht="15">
      <c r="A655" s="705"/>
      <c r="B655" s="705"/>
      <c r="C655" s="719">
        <v>41154</v>
      </c>
      <c r="D655" s="734">
        <v>9488</v>
      </c>
      <c r="E655" s="720">
        <v>10002.57</v>
      </c>
      <c r="F655" s="720">
        <v>14876.24</v>
      </c>
      <c r="G655" s="720">
        <v>11692.65</v>
      </c>
      <c r="H655" s="720">
        <v>9560.6299999999992</v>
      </c>
      <c r="I655" s="720">
        <v>7615.51</v>
      </c>
      <c r="J655" s="718">
        <v>120.91</v>
      </c>
      <c r="K655" s="720">
        <v>1223.07</v>
      </c>
      <c r="L655" s="720">
        <v>301.55</v>
      </c>
      <c r="M655" s="720">
        <v>3044.09</v>
      </c>
      <c r="N655" s="720">
        <v>171.27</v>
      </c>
    </row>
    <row r="656" spans="1:14" ht="15">
      <c r="A656" s="705"/>
      <c r="B656" s="705"/>
      <c r="C656" s="719">
        <v>41155</v>
      </c>
      <c r="D656" s="734">
        <v>9565</v>
      </c>
      <c r="E656" s="720">
        <v>9885.81</v>
      </c>
      <c r="F656" s="720">
        <v>15116.33</v>
      </c>
      <c r="G656" s="720">
        <v>11978.06</v>
      </c>
      <c r="H656" s="720">
        <v>9655.18</v>
      </c>
      <c r="I656" s="720">
        <v>7633.31</v>
      </c>
      <c r="J656" s="718">
        <v>121.65</v>
      </c>
      <c r="K656" s="720">
        <v>1233.24</v>
      </c>
      <c r="L656" s="720">
        <v>305.32</v>
      </c>
      <c r="M656" s="720">
        <v>3064.11</v>
      </c>
      <c r="N656" s="720">
        <v>171.86</v>
      </c>
    </row>
    <row r="657" spans="1:14" ht="15">
      <c r="A657" s="705"/>
      <c r="B657" s="705"/>
      <c r="C657" s="719">
        <v>41156</v>
      </c>
      <c r="D657" s="734">
        <v>9565</v>
      </c>
      <c r="E657" s="720">
        <v>9885.81</v>
      </c>
      <c r="F657" s="720">
        <v>15116.33</v>
      </c>
      <c r="G657" s="720">
        <v>11978.06</v>
      </c>
      <c r="H657" s="720">
        <v>9655.18</v>
      </c>
      <c r="I657" s="720">
        <v>7633.31</v>
      </c>
      <c r="J657" s="718">
        <v>121.65</v>
      </c>
      <c r="K657" s="720">
        <v>1233.24</v>
      </c>
      <c r="L657" s="720">
        <v>305.32</v>
      </c>
      <c r="M657" s="720">
        <v>3064.11</v>
      </c>
      <c r="N657" s="720">
        <v>171.86</v>
      </c>
    </row>
    <row r="658" spans="1:14" ht="15">
      <c r="A658" s="705"/>
      <c r="B658" s="705"/>
      <c r="C658" s="719">
        <v>41157</v>
      </c>
      <c r="D658" s="734">
        <v>9565</v>
      </c>
      <c r="E658" s="720">
        <v>9885.81</v>
      </c>
      <c r="F658" s="720">
        <v>15116.33</v>
      </c>
      <c r="G658" s="720">
        <v>11978.06</v>
      </c>
      <c r="H658" s="720">
        <v>9655.18</v>
      </c>
      <c r="I658" s="720">
        <v>7633.31</v>
      </c>
      <c r="J658" s="718">
        <v>121.65</v>
      </c>
      <c r="K658" s="720">
        <v>1233.24</v>
      </c>
      <c r="L658" s="720">
        <v>305.32</v>
      </c>
      <c r="M658" s="720">
        <v>3064.11</v>
      </c>
      <c r="N658" s="720">
        <v>171.86</v>
      </c>
    </row>
    <row r="659" spans="1:14" ht="15">
      <c r="A659" s="705"/>
      <c r="B659" s="705"/>
      <c r="C659" s="719">
        <v>41158</v>
      </c>
      <c r="D659" s="734">
        <v>9565</v>
      </c>
      <c r="E659" s="720">
        <v>9885.81</v>
      </c>
      <c r="F659" s="720">
        <v>15116.33</v>
      </c>
      <c r="G659" s="720">
        <v>11978.06</v>
      </c>
      <c r="H659" s="720">
        <v>9655.18</v>
      </c>
      <c r="I659" s="720">
        <v>7633.31</v>
      </c>
      <c r="J659" s="718">
        <v>121.65</v>
      </c>
      <c r="K659" s="720">
        <v>1233.24</v>
      </c>
      <c r="L659" s="720">
        <v>305.32</v>
      </c>
      <c r="M659" s="720">
        <v>3064.11</v>
      </c>
      <c r="N659" s="720">
        <v>171.86</v>
      </c>
    </row>
    <row r="660" spans="1:14" ht="15">
      <c r="A660" s="705"/>
      <c r="B660" s="705"/>
      <c r="C660" s="719">
        <v>41159</v>
      </c>
      <c r="D660" s="734">
        <v>9565</v>
      </c>
      <c r="E660" s="720">
        <v>9885.81</v>
      </c>
      <c r="F660" s="720">
        <v>15116.33</v>
      </c>
      <c r="G660" s="720">
        <v>11978.06</v>
      </c>
      <c r="H660" s="720">
        <v>9655.18</v>
      </c>
      <c r="I660" s="720">
        <v>7633.31</v>
      </c>
      <c r="J660" s="718">
        <v>121.65</v>
      </c>
      <c r="K660" s="720">
        <v>1233.24</v>
      </c>
      <c r="L660" s="720">
        <v>305.32</v>
      </c>
      <c r="M660" s="720">
        <v>3064.11</v>
      </c>
      <c r="N660" s="720">
        <v>171.86</v>
      </c>
    </row>
    <row r="661" spans="1:14" ht="15">
      <c r="A661" s="705"/>
      <c r="B661" s="705"/>
      <c r="C661" s="719">
        <v>41160</v>
      </c>
      <c r="D661" s="734">
        <v>9565</v>
      </c>
      <c r="E661" s="720">
        <v>9885.81</v>
      </c>
      <c r="F661" s="720">
        <v>15116.33</v>
      </c>
      <c r="G661" s="720">
        <v>11978.06</v>
      </c>
      <c r="H661" s="720">
        <v>9655.18</v>
      </c>
      <c r="I661" s="720">
        <v>7633.31</v>
      </c>
      <c r="J661" s="718">
        <v>121.65</v>
      </c>
      <c r="K661" s="720">
        <v>1233.24</v>
      </c>
      <c r="L661" s="720">
        <v>305.32</v>
      </c>
      <c r="M661" s="720">
        <v>3064.11</v>
      </c>
      <c r="N661" s="720">
        <v>171.86</v>
      </c>
    </row>
    <row r="662" spans="1:14" ht="15">
      <c r="A662" s="705"/>
      <c r="B662" s="705"/>
      <c r="C662" s="719">
        <v>41161</v>
      </c>
      <c r="D662" s="734">
        <v>9565</v>
      </c>
      <c r="E662" s="720">
        <v>9885.81</v>
      </c>
      <c r="F662" s="720">
        <v>15116.33</v>
      </c>
      <c r="G662" s="720">
        <v>11978.06</v>
      </c>
      <c r="H662" s="720">
        <v>9655.18</v>
      </c>
      <c r="I662" s="720">
        <v>7633.31</v>
      </c>
      <c r="J662" s="718">
        <v>121.65</v>
      </c>
      <c r="K662" s="720">
        <v>1233.24</v>
      </c>
      <c r="L662" s="720">
        <v>305.32</v>
      </c>
      <c r="M662" s="720">
        <v>3064.11</v>
      </c>
      <c r="N662" s="720">
        <v>171.86</v>
      </c>
    </row>
    <row r="663" spans="1:14" ht="15">
      <c r="A663" s="705"/>
      <c r="B663" s="705"/>
      <c r="C663" s="719">
        <v>41162</v>
      </c>
      <c r="D663" s="734">
        <v>9579</v>
      </c>
      <c r="E663" s="720">
        <v>9815.2199999999993</v>
      </c>
      <c r="F663" s="720">
        <v>15232.67</v>
      </c>
      <c r="G663" s="720">
        <v>12073</v>
      </c>
      <c r="H663" s="720">
        <v>9718.39</v>
      </c>
      <c r="I663" s="720">
        <v>7691.89</v>
      </c>
      <c r="J663" s="718">
        <v>121.91</v>
      </c>
      <c r="K663" s="720">
        <v>1234.8599999999999</v>
      </c>
      <c r="L663" s="720">
        <v>306.89999999999998</v>
      </c>
      <c r="M663" s="720">
        <v>3076.3</v>
      </c>
      <c r="N663" s="720">
        <v>171.99</v>
      </c>
    </row>
    <row r="664" spans="1:14" ht="15">
      <c r="A664" s="705"/>
      <c r="B664" s="705"/>
      <c r="C664" s="719">
        <v>41163</v>
      </c>
      <c r="D664" s="734">
        <v>9579</v>
      </c>
      <c r="E664" s="720">
        <v>9815.2199999999993</v>
      </c>
      <c r="F664" s="720">
        <v>15232.67</v>
      </c>
      <c r="G664" s="720">
        <v>12073</v>
      </c>
      <c r="H664" s="720">
        <v>9718.39</v>
      </c>
      <c r="I664" s="720">
        <v>7691.89</v>
      </c>
      <c r="J664" s="718">
        <v>121.91</v>
      </c>
      <c r="K664" s="720">
        <v>1234.8599999999999</v>
      </c>
      <c r="L664" s="720">
        <v>306.89999999999998</v>
      </c>
      <c r="M664" s="720">
        <v>3076.3</v>
      </c>
      <c r="N664" s="720">
        <v>171.99</v>
      </c>
    </row>
    <row r="665" spans="1:14" ht="15">
      <c r="A665" s="705"/>
      <c r="B665" s="705"/>
      <c r="C665" s="719">
        <v>41164</v>
      </c>
      <c r="D665" s="734">
        <v>9579</v>
      </c>
      <c r="E665" s="720">
        <v>9815.2199999999993</v>
      </c>
      <c r="F665" s="720">
        <v>15232.67</v>
      </c>
      <c r="G665" s="720">
        <v>12073</v>
      </c>
      <c r="H665" s="720">
        <v>9718.39</v>
      </c>
      <c r="I665" s="720">
        <v>7691.89</v>
      </c>
      <c r="J665" s="718">
        <v>121.91</v>
      </c>
      <c r="K665" s="720">
        <v>1234.8599999999999</v>
      </c>
      <c r="L665" s="720">
        <v>306.89999999999998</v>
      </c>
      <c r="M665" s="720">
        <v>3076.3</v>
      </c>
      <c r="N665" s="720">
        <v>171.99</v>
      </c>
    </row>
    <row r="666" spans="1:14" ht="15">
      <c r="A666" s="705"/>
      <c r="B666" s="705"/>
      <c r="C666" s="719">
        <v>41165</v>
      </c>
      <c r="D666" s="734">
        <v>9579</v>
      </c>
      <c r="E666" s="720">
        <v>9815.2199999999993</v>
      </c>
      <c r="F666" s="720">
        <v>15232.67</v>
      </c>
      <c r="G666" s="720">
        <v>12073</v>
      </c>
      <c r="H666" s="720">
        <v>9718.39</v>
      </c>
      <c r="I666" s="720">
        <v>7691.89</v>
      </c>
      <c r="J666" s="718">
        <v>121.91</v>
      </c>
      <c r="K666" s="720">
        <v>1234.8599999999999</v>
      </c>
      <c r="L666" s="720">
        <v>306.89999999999998</v>
      </c>
      <c r="M666" s="720">
        <v>3076.3</v>
      </c>
      <c r="N666" s="720">
        <v>171.99</v>
      </c>
    </row>
    <row r="667" spans="1:14" ht="15">
      <c r="A667" s="705"/>
      <c r="B667" s="705"/>
      <c r="C667" s="719">
        <v>41166</v>
      </c>
      <c r="D667" s="734">
        <v>9579</v>
      </c>
      <c r="E667" s="720">
        <v>9815.2199999999993</v>
      </c>
      <c r="F667" s="720">
        <v>15232.67</v>
      </c>
      <c r="G667" s="720">
        <v>12073</v>
      </c>
      <c r="H667" s="720">
        <v>9718.39</v>
      </c>
      <c r="I667" s="720">
        <v>7691.89</v>
      </c>
      <c r="J667" s="718">
        <v>121.91</v>
      </c>
      <c r="K667" s="720">
        <v>1234.8599999999999</v>
      </c>
      <c r="L667" s="720">
        <v>306.89999999999998</v>
      </c>
      <c r="M667" s="720">
        <v>3076.3</v>
      </c>
      <c r="N667" s="720">
        <v>171.99</v>
      </c>
    </row>
    <row r="668" spans="1:14" ht="15">
      <c r="A668" s="705"/>
      <c r="B668" s="705"/>
      <c r="C668" s="719">
        <v>41167</v>
      </c>
      <c r="D668" s="734">
        <v>9579</v>
      </c>
      <c r="E668" s="720">
        <v>9815.2199999999993</v>
      </c>
      <c r="F668" s="720">
        <v>15232.67</v>
      </c>
      <c r="G668" s="720">
        <v>12073</v>
      </c>
      <c r="H668" s="720">
        <v>9718.39</v>
      </c>
      <c r="I668" s="720">
        <v>7691.89</v>
      </c>
      <c r="J668" s="718">
        <v>121.91</v>
      </c>
      <c r="K668" s="720">
        <v>1234.8599999999999</v>
      </c>
      <c r="L668" s="720">
        <v>306.89999999999998</v>
      </c>
      <c r="M668" s="720">
        <v>3076.3</v>
      </c>
      <c r="N668" s="720">
        <v>171.99</v>
      </c>
    </row>
    <row r="669" spans="1:14" ht="15">
      <c r="A669" s="705"/>
      <c r="B669" s="705"/>
      <c r="C669" s="719">
        <v>41168</v>
      </c>
      <c r="D669" s="734">
        <v>9579</v>
      </c>
      <c r="E669" s="720">
        <v>9815.2199999999993</v>
      </c>
      <c r="F669" s="720">
        <v>15232.67</v>
      </c>
      <c r="G669" s="720">
        <v>12073</v>
      </c>
      <c r="H669" s="720">
        <v>9718.39</v>
      </c>
      <c r="I669" s="720">
        <v>7691.89</v>
      </c>
      <c r="J669" s="718">
        <v>121.91</v>
      </c>
      <c r="K669" s="720">
        <v>1234.8599999999999</v>
      </c>
      <c r="L669" s="720">
        <v>306.89999999999998</v>
      </c>
      <c r="M669" s="720">
        <v>3076.3</v>
      </c>
      <c r="N669" s="720">
        <v>171.99</v>
      </c>
    </row>
    <row r="670" spans="1:14" ht="15">
      <c r="A670" s="705"/>
      <c r="B670" s="705"/>
      <c r="C670" s="719">
        <v>41169</v>
      </c>
      <c r="D670" s="734">
        <v>9583</v>
      </c>
      <c r="E670" s="720">
        <v>9984.69</v>
      </c>
      <c r="F670" s="720">
        <v>15387.16</v>
      </c>
      <c r="G670" s="720">
        <v>12312.87</v>
      </c>
      <c r="H670" s="720">
        <v>9815.42</v>
      </c>
      <c r="I670" s="720">
        <v>7778.97</v>
      </c>
      <c r="J670" s="718">
        <v>122.88</v>
      </c>
      <c r="K670" s="720">
        <v>1235.6500000000001</v>
      </c>
      <c r="L670" s="720">
        <v>308.68</v>
      </c>
      <c r="M670" s="720">
        <v>3098.96</v>
      </c>
      <c r="N670" s="720">
        <v>173.12</v>
      </c>
    </row>
    <row r="671" spans="1:14" ht="15">
      <c r="A671" s="705"/>
      <c r="B671" s="705"/>
      <c r="C671" s="719">
        <v>41170</v>
      </c>
      <c r="D671" s="734">
        <v>9583</v>
      </c>
      <c r="E671" s="720">
        <v>9984.69</v>
      </c>
      <c r="F671" s="720">
        <v>15387.16</v>
      </c>
      <c r="G671" s="720">
        <v>12312.87</v>
      </c>
      <c r="H671" s="720">
        <v>9815.42</v>
      </c>
      <c r="I671" s="720">
        <v>7778.97</v>
      </c>
      <c r="J671" s="718">
        <v>122.88</v>
      </c>
      <c r="K671" s="720">
        <v>1235.6500000000001</v>
      </c>
      <c r="L671" s="720">
        <v>308.68</v>
      </c>
      <c r="M671" s="720">
        <v>3098.96</v>
      </c>
      <c r="N671" s="720">
        <v>173.12</v>
      </c>
    </row>
    <row r="672" spans="1:14" ht="15">
      <c r="A672" s="705"/>
      <c r="B672" s="705"/>
      <c r="C672" s="719">
        <v>41171</v>
      </c>
      <c r="D672" s="734">
        <v>9583</v>
      </c>
      <c r="E672" s="720">
        <v>9984.69</v>
      </c>
      <c r="F672" s="720">
        <v>15387.16</v>
      </c>
      <c r="G672" s="720">
        <v>12312.87</v>
      </c>
      <c r="H672" s="720">
        <v>9815.42</v>
      </c>
      <c r="I672" s="720">
        <v>7778.97</v>
      </c>
      <c r="J672" s="718">
        <v>122.88</v>
      </c>
      <c r="K672" s="720">
        <v>1235.6500000000001</v>
      </c>
      <c r="L672" s="720">
        <v>308.68</v>
      </c>
      <c r="M672" s="720">
        <v>3098.96</v>
      </c>
      <c r="N672" s="720">
        <v>173.12</v>
      </c>
    </row>
    <row r="673" spans="1:14" ht="15">
      <c r="A673" s="705"/>
      <c r="B673" s="705"/>
      <c r="C673" s="719">
        <v>41172</v>
      </c>
      <c r="D673" s="734">
        <v>9583</v>
      </c>
      <c r="E673" s="720">
        <v>9984.69</v>
      </c>
      <c r="F673" s="720">
        <v>15387.16</v>
      </c>
      <c r="G673" s="720">
        <v>12312.87</v>
      </c>
      <c r="H673" s="720">
        <v>9815.42</v>
      </c>
      <c r="I673" s="720">
        <v>7778.97</v>
      </c>
      <c r="J673" s="718">
        <v>122.88</v>
      </c>
      <c r="K673" s="720">
        <v>1235.6500000000001</v>
      </c>
      <c r="L673" s="720">
        <v>308.68</v>
      </c>
      <c r="M673" s="720">
        <v>3098.96</v>
      </c>
      <c r="N673" s="720">
        <v>173.12</v>
      </c>
    </row>
    <row r="674" spans="1:14" ht="15">
      <c r="A674" s="705"/>
      <c r="B674" s="705"/>
      <c r="C674" s="719">
        <v>41173</v>
      </c>
      <c r="D674" s="734">
        <v>9583</v>
      </c>
      <c r="E674" s="720">
        <v>9984.69</v>
      </c>
      <c r="F674" s="720">
        <v>15387.16</v>
      </c>
      <c r="G674" s="720">
        <v>12312.87</v>
      </c>
      <c r="H674" s="720">
        <v>9815.42</v>
      </c>
      <c r="I674" s="720">
        <v>7778.97</v>
      </c>
      <c r="J674" s="718">
        <v>122.88</v>
      </c>
      <c r="K674" s="720">
        <v>1235.6500000000001</v>
      </c>
      <c r="L674" s="720">
        <v>308.68</v>
      </c>
      <c r="M674" s="720">
        <v>3098.96</v>
      </c>
      <c r="N674" s="720">
        <v>173.12</v>
      </c>
    </row>
    <row r="675" spans="1:14" ht="15">
      <c r="A675" s="705"/>
      <c r="B675" s="705"/>
      <c r="C675" s="719">
        <v>41174</v>
      </c>
      <c r="D675" s="734">
        <v>9583</v>
      </c>
      <c r="E675" s="720">
        <v>9984.69</v>
      </c>
      <c r="F675" s="720">
        <v>15387.16</v>
      </c>
      <c r="G675" s="720">
        <v>12312.87</v>
      </c>
      <c r="H675" s="720">
        <v>9815.42</v>
      </c>
      <c r="I675" s="720">
        <v>7778.97</v>
      </c>
      <c r="J675" s="718">
        <v>122.88</v>
      </c>
      <c r="K675" s="720">
        <v>1235.6500000000001</v>
      </c>
      <c r="L675" s="720">
        <v>308.68</v>
      </c>
      <c r="M675" s="720">
        <v>3098.96</v>
      </c>
      <c r="N675" s="720">
        <v>173.12</v>
      </c>
    </row>
    <row r="676" spans="1:14" ht="15">
      <c r="A676" s="705"/>
      <c r="B676" s="705"/>
      <c r="C676" s="719">
        <v>41175</v>
      </c>
      <c r="D676" s="734">
        <v>9583</v>
      </c>
      <c r="E676" s="720">
        <v>9984.69</v>
      </c>
      <c r="F676" s="720">
        <v>15387.16</v>
      </c>
      <c r="G676" s="720">
        <v>12312.87</v>
      </c>
      <c r="H676" s="720">
        <v>9815.42</v>
      </c>
      <c r="I676" s="720">
        <v>7778.97</v>
      </c>
      <c r="J676" s="718">
        <v>122.88</v>
      </c>
      <c r="K676" s="720">
        <v>1235.6500000000001</v>
      </c>
      <c r="L676" s="720">
        <v>308.68</v>
      </c>
      <c r="M676" s="720">
        <v>3098.96</v>
      </c>
      <c r="N676" s="720">
        <v>173.12</v>
      </c>
    </row>
    <row r="677" spans="1:14" ht="15">
      <c r="A677" s="705"/>
      <c r="B677" s="705"/>
      <c r="C677" s="719">
        <v>41176</v>
      </c>
      <c r="D677" s="734">
        <v>9533</v>
      </c>
      <c r="E677" s="720">
        <v>9967.31</v>
      </c>
      <c r="F677" s="720">
        <v>15467.73</v>
      </c>
      <c r="G677" s="720">
        <v>12419.33</v>
      </c>
      <c r="H677" s="720">
        <v>9778.43</v>
      </c>
      <c r="I677" s="720">
        <v>7784.8</v>
      </c>
      <c r="J677" s="718">
        <v>121.46</v>
      </c>
      <c r="K677" s="720">
        <v>1229.5999999999999</v>
      </c>
      <c r="L677" s="720">
        <v>309.14999999999998</v>
      </c>
      <c r="M677" s="720">
        <v>3114.97</v>
      </c>
      <c r="N677" s="720">
        <v>176.11</v>
      </c>
    </row>
    <row r="678" spans="1:14" ht="15">
      <c r="A678" s="705"/>
      <c r="B678" s="705"/>
      <c r="C678" s="719">
        <v>41177</v>
      </c>
      <c r="D678" s="734">
        <v>9533</v>
      </c>
      <c r="E678" s="720">
        <v>9967.31</v>
      </c>
      <c r="F678" s="720">
        <v>15467.73</v>
      </c>
      <c r="G678" s="720">
        <v>12419.33</v>
      </c>
      <c r="H678" s="720">
        <v>9778.43</v>
      </c>
      <c r="I678" s="720">
        <v>7784.8</v>
      </c>
      <c r="J678" s="718">
        <v>121.46</v>
      </c>
      <c r="K678" s="720">
        <v>1229.5999999999999</v>
      </c>
      <c r="L678" s="720">
        <v>309.14999999999998</v>
      </c>
      <c r="M678" s="720">
        <v>3114.97</v>
      </c>
      <c r="N678" s="720">
        <v>176.11</v>
      </c>
    </row>
    <row r="679" spans="1:14" ht="15">
      <c r="A679" s="705"/>
      <c r="B679" s="705"/>
      <c r="C679" s="719">
        <v>41178</v>
      </c>
      <c r="D679" s="734">
        <v>9533</v>
      </c>
      <c r="E679" s="720">
        <v>9967.31</v>
      </c>
      <c r="F679" s="720">
        <v>15467.73</v>
      </c>
      <c r="G679" s="720">
        <v>12419.33</v>
      </c>
      <c r="H679" s="720">
        <v>9778.43</v>
      </c>
      <c r="I679" s="720">
        <v>7784.8</v>
      </c>
      <c r="J679" s="718">
        <v>121.46</v>
      </c>
      <c r="K679" s="720">
        <v>1229.5999999999999</v>
      </c>
      <c r="L679" s="720">
        <v>309.14999999999998</v>
      </c>
      <c r="M679" s="720">
        <v>3114.97</v>
      </c>
      <c r="N679" s="720">
        <v>176.11</v>
      </c>
    </row>
    <row r="680" spans="1:14" ht="15">
      <c r="A680" s="705"/>
      <c r="B680" s="705"/>
      <c r="C680" s="719">
        <v>41179</v>
      </c>
      <c r="D680" s="734">
        <v>9533</v>
      </c>
      <c r="E680" s="720">
        <v>9967.31</v>
      </c>
      <c r="F680" s="720">
        <v>15467.73</v>
      </c>
      <c r="G680" s="720">
        <v>12419.33</v>
      </c>
      <c r="H680" s="720">
        <v>9778.43</v>
      </c>
      <c r="I680" s="720">
        <v>7784.8</v>
      </c>
      <c r="J680" s="718">
        <v>121.46</v>
      </c>
      <c r="K680" s="720">
        <v>1229.5999999999999</v>
      </c>
      <c r="L680" s="720">
        <v>309.14999999999998</v>
      </c>
      <c r="M680" s="720">
        <v>3114.97</v>
      </c>
      <c r="N680" s="720">
        <v>176.11</v>
      </c>
    </row>
    <row r="681" spans="1:14" ht="15">
      <c r="A681" s="705"/>
      <c r="B681" s="705"/>
      <c r="C681" s="719">
        <v>41180</v>
      </c>
      <c r="D681" s="734">
        <v>9533</v>
      </c>
      <c r="E681" s="720">
        <v>9967.31</v>
      </c>
      <c r="F681" s="720">
        <v>15467.73</v>
      </c>
      <c r="G681" s="720">
        <v>12419.33</v>
      </c>
      <c r="H681" s="720">
        <v>9778.43</v>
      </c>
      <c r="I681" s="720">
        <v>7784.8</v>
      </c>
      <c r="J681" s="718">
        <v>121.46</v>
      </c>
      <c r="K681" s="720">
        <v>1229.5999999999999</v>
      </c>
      <c r="L681" s="720">
        <v>309.14999999999998</v>
      </c>
      <c r="M681" s="720">
        <v>3114.97</v>
      </c>
      <c r="N681" s="720">
        <v>176.11</v>
      </c>
    </row>
    <row r="682" spans="1:14" ht="15">
      <c r="A682" s="705"/>
      <c r="B682" s="705"/>
      <c r="C682" s="719">
        <v>41181</v>
      </c>
      <c r="D682" s="734">
        <v>9533</v>
      </c>
      <c r="E682" s="720">
        <v>9967.31</v>
      </c>
      <c r="F682" s="720">
        <v>15467.73</v>
      </c>
      <c r="G682" s="720">
        <v>12419.33</v>
      </c>
      <c r="H682" s="720">
        <v>9778.43</v>
      </c>
      <c r="I682" s="720">
        <v>7784.8</v>
      </c>
      <c r="J682" s="718">
        <v>121.46</v>
      </c>
      <c r="K682" s="720">
        <v>1229.5999999999999</v>
      </c>
      <c r="L682" s="720">
        <v>309.14999999999998</v>
      </c>
      <c r="M682" s="720">
        <v>3114.97</v>
      </c>
      <c r="N682" s="720">
        <v>176.11</v>
      </c>
    </row>
    <row r="683" spans="1:14" ht="15">
      <c r="A683" s="705"/>
      <c r="B683" s="705"/>
      <c r="C683" s="719">
        <v>41182</v>
      </c>
      <c r="D683" s="734">
        <v>9533</v>
      </c>
      <c r="E683" s="720">
        <v>9967.31</v>
      </c>
      <c r="F683" s="720">
        <v>15467.73</v>
      </c>
      <c r="G683" s="720">
        <v>12419.33</v>
      </c>
      <c r="H683" s="720">
        <v>9778.43</v>
      </c>
      <c r="I683" s="720">
        <v>7784.8</v>
      </c>
      <c r="J683" s="718">
        <v>121.46</v>
      </c>
      <c r="K683" s="720">
        <v>1229.5999999999999</v>
      </c>
      <c r="L683" s="720">
        <v>309.14999999999998</v>
      </c>
      <c r="M683" s="720">
        <v>3114.97</v>
      </c>
      <c r="N683" s="720">
        <v>176.11</v>
      </c>
    </row>
    <row r="684" spans="1:14" ht="15">
      <c r="A684" s="705"/>
      <c r="B684" s="705"/>
      <c r="C684" s="719">
        <v>41183</v>
      </c>
      <c r="D684" s="734">
        <v>9585</v>
      </c>
      <c r="E684" s="720">
        <v>9975.4599999999991</v>
      </c>
      <c r="F684" s="720">
        <v>15522.07</v>
      </c>
      <c r="G684" s="720">
        <v>12374.68</v>
      </c>
      <c r="H684" s="720">
        <v>9770.6299999999992</v>
      </c>
      <c r="I684" s="720">
        <v>7802</v>
      </c>
      <c r="J684" s="718">
        <v>123.11</v>
      </c>
      <c r="K684" s="720">
        <v>1236.1099999999999</v>
      </c>
      <c r="L684" s="720">
        <v>309.88</v>
      </c>
      <c r="M684" s="720">
        <v>3122.04</v>
      </c>
      <c r="N684" s="720">
        <v>179.39</v>
      </c>
    </row>
    <row r="685" spans="1:14" ht="15">
      <c r="A685" s="705"/>
      <c r="B685" s="705"/>
      <c r="C685" s="719">
        <v>41184</v>
      </c>
      <c r="D685" s="734">
        <v>9585</v>
      </c>
      <c r="E685" s="720">
        <v>9975.4599999999991</v>
      </c>
      <c r="F685" s="720">
        <v>15522.07</v>
      </c>
      <c r="G685" s="720">
        <v>12374.68</v>
      </c>
      <c r="H685" s="720">
        <v>9770.6299999999992</v>
      </c>
      <c r="I685" s="720">
        <v>7802</v>
      </c>
      <c r="J685" s="718">
        <v>123.11</v>
      </c>
      <c r="K685" s="720">
        <v>1236.1099999999999</v>
      </c>
      <c r="L685" s="720">
        <v>309.88</v>
      </c>
      <c r="M685" s="720">
        <v>3122.04</v>
      </c>
      <c r="N685" s="720">
        <v>179.39</v>
      </c>
    </row>
    <row r="686" spans="1:14" ht="15">
      <c r="A686" s="705"/>
      <c r="B686" s="705"/>
      <c r="C686" s="719">
        <v>41185</v>
      </c>
      <c r="D686" s="734">
        <v>9585</v>
      </c>
      <c r="E686" s="720">
        <v>9975.4599999999991</v>
      </c>
      <c r="F686" s="720">
        <v>15522.07</v>
      </c>
      <c r="G686" s="720">
        <v>12374.68</v>
      </c>
      <c r="H686" s="720">
        <v>9770.6299999999992</v>
      </c>
      <c r="I686" s="720">
        <v>7802</v>
      </c>
      <c r="J686" s="718">
        <v>123.11</v>
      </c>
      <c r="K686" s="720">
        <v>1236.1099999999999</v>
      </c>
      <c r="L686" s="720">
        <v>309.88</v>
      </c>
      <c r="M686" s="720">
        <v>3122.04</v>
      </c>
      <c r="N686" s="720">
        <v>179.39</v>
      </c>
    </row>
    <row r="687" spans="1:14" ht="15">
      <c r="A687" s="705"/>
      <c r="B687" s="705"/>
      <c r="C687" s="719">
        <v>41186</v>
      </c>
      <c r="D687" s="734">
        <v>9585</v>
      </c>
      <c r="E687" s="720">
        <v>9975.4599999999991</v>
      </c>
      <c r="F687" s="720">
        <v>15522.07</v>
      </c>
      <c r="G687" s="720">
        <v>12374.68</v>
      </c>
      <c r="H687" s="720">
        <v>9770.6299999999992</v>
      </c>
      <c r="I687" s="720">
        <v>7802</v>
      </c>
      <c r="J687" s="718">
        <v>123.11</v>
      </c>
      <c r="K687" s="720">
        <v>1236.1099999999999</v>
      </c>
      <c r="L687" s="720">
        <v>309.88</v>
      </c>
      <c r="M687" s="720">
        <v>3122.04</v>
      </c>
      <c r="N687" s="720">
        <v>179.39</v>
      </c>
    </row>
    <row r="688" spans="1:14" ht="15">
      <c r="A688" s="705"/>
      <c r="B688" s="705"/>
      <c r="C688" s="719">
        <v>41187</v>
      </c>
      <c r="D688" s="734">
        <v>9585</v>
      </c>
      <c r="E688" s="720">
        <v>9975.4599999999991</v>
      </c>
      <c r="F688" s="720">
        <v>15522.07</v>
      </c>
      <c r="G688" s="720">
        <v>12374.68</v>
      </c>
      <c r="H688" s="720">
        <v>9770.6299999999992</v>
      </c>
      <c r="I688" s="720">
        <v>7802</v>
      </c>
      <c r="J688" s="718">
        <v>123.11</v>
      </c>
      <c r="K688" s="720">
        <v>1236.1099999999999</v>
      </c>
      <c r="L688" s="720">
        <v>309.88</v>
      </c>
      <c r="M688" s="720">
        <v>3122.04</v>
      </c>
      <c r="N688" s="720">
        <v>179.39</v>
      </c>
    </row>
    <row r="689" spans="1:14" ht="15">
      <c r="A689" s="705"/>
      <c r="B689" s="705"/>
      <c r="C689" s="719">
        <v>41188</v>
      </c>
      <c r="D689" s="734">
        <v>9585</v>
      </c>
      <c r="E689" s="720">
        <v>9975.4599999999991</v>
      </c>
      <c r="F689" s="720">
        <v>15522.07</v>
      </c>
      <c r="G689" s="720">
        <v>12374.68</v>
      </c>
      <c r="H689" s="720">
        <v>9770.6299999999992</v>
      </c>
      <c r="I689" s="720">
        <v>7802</v>
      </c>
      <c r="J689" s="718">
        <v>123.11</v>
      </c>
      <c r="K689" s="720">
        <v>1236.1099999999999</v>
      </c>
      <c r="L689" s="720">
        <v>309.88</v>
      </c>
      <c r="M689" s="720">
        <v>3122.04</v>
      </c>
      <c r="N689" s="720">
        <v>179.39</v>
      </c>
    </row>
    <row r="690" spans="1:14" ht="15">
      <c r="A690" s="705"/>
      <c r="B690" s="705"/>
      <c r="C690" s="719">
        <v>41189</v>
      </c>
      <c r="D690" s="734">
        <v>9585</v>
      </c>
      <c r="E690" s="720">
        <v>9975.4599999999991</v>
      </c>
      <c r="F690" s="720">
        <v>15522.07</v>
      </c>
      <c r="G690" s="720">
        <v>12374.68</v>
      </c>
      <c r="H690" s="720">
        <v>9770.6299999999992</v>
      </c>
      <c r="I690" s="720">
        <v>7802</v>
      </c>
      <c r="J690" s="718">
        <v>123.11</v>
      </c>
      <c r="K690" s="720">
        <v>1236.1099999999999</v>
      </c>
      <c r="L690" s="720">
        <v>309.88</v>
      </c>
      <c r="M690" s="720">
        <v>3122.04</v>
      </c>
      <c r="N690" s="720">
        <v>179.39</v>
      </c>
    </row>
    <row r="691" spans="1:14" ht="15">
      <c r="A691" s="705"/>
      <c r="B691" s="705"/>
      <c r="C691" s="719">
        <v>41190</v>
      </c>
      <c r="D691" s="734">
        <v>9593</v>
      </c>
      <c r="E691" s="720">
        <v>9911.57</v>
      </c>
      <c r="F691" s="720">
        <v>15490.08</v>
      </c>
      <c r="G691" s="720">
        <v>12371.42</v>
      </c>
      <c r="H691" s="720">
        <v>9751.68</v>
      </c>
      <c r="I691" s="720">
        <v>7804.48</v>
      </c>
      <c r="J691" s="718">
        <v>122.91</v>
      </c>
      <c r="K691" s="720">
        <v>1237</v>
      </c>
      <c r="L691" s="720">
        <v>311.7</v>
      </c>
      <c r="M691" s="720">
        <v>3133.77</v>
      </c>
      <c r="N691" s="720">
        <v>182.93</v>
      </c>
    </row>
    <row r="692" spans="1:14" ht="15">
      <c r="A692" s="705"/>
      <c r="B692" s="705"/>
      <c r="C692" s="719">
        <v>41191</v>
      </c>
      <c r="D692" s="734">
        <v>9593</v>
      </c>
      <c r="E692" s="720">
        <v>9911.57</v>
      </c>
      <c r="F692" s="720">
        <v>15490.08</v>
      </c>
      <c r="G692" s="720">
        <v>12371.42</v>
      </c>
      <c r="H692" s="720">
        <v>9751.68</v>
      </c>
      <c r="I692" s="720">
        <v>7804.48</v>
      </c>
      <c r="J692" s="718">
        <v>122.91</v>
      </c>
      <c r="K692" s="720">
        <v>1237</v>
      </c>
      <c r="L692" s="720">
        <v>311.7</v>
      </c>
      <c r="M692" s="720">
        <v>3133.77</v>
      </c>
      <c r="N692" s="720">
        <v>182.93</v>
      </c>
    </row>
    <row r="693" spans="1:14" ht="15">
      <c r="A693" s="705"/>
      <c r="B693" s="705"/>
      <c r="C693" s="719">
        <v>41192</v>
      </c>
      <c r="D693" s="734">
        <v>9593</v>
      </c>
      <c r="E693" s="720">
        <v>9911.57</v>
      </c>
      <c r="F693" s="720">
        <v>15490.08</v>
      </c>
      <c r="G693" s="720">
        <v>12371.42</v>
      </c>
      <c r="H693" s="720">
        <v>9751.68</v>
      </c>
      <c r="I693" s="720">
        <v>7804.48</v>
      </c>
      <c r="J693" s="718">
        <v>122.91</v>
      </c>
      <c r="K693" s="720">
        <v>1237</v>
      </c>
      <c r="L693" s="720">
        <v>311.7</v>
      </c>
      <c r="M693" s="720">
        <v>3133.77</v>
      </c>
      <c r="N693" s="720">
        <v>182.93</v>
      </c>
    </row>
    <row r="694" spans="1:14" ht="15">
      <c r="A694" s="705"/>
      <c r="B694" s="705"/>
      <c r="C694" s="719">
        <v>41193</v>
      </c>
      <c r="D694" s="734">
        <v>9593</v>
      </c>
      <c r="E694" s="720">
        <v>9911.57</v>
      </c>
      <c r="F694" s="720">
        <v>15490.08</v>
      </c>
      <c r="G694" s="720">
        <v>12371.42</v>
      </c>
      <c r="H694" s="720">
        <v>9751.68</v>
      </c>
      <c r="I694" s="720">
        <v>7804.48</v>
      </c>
      <c r="J694" s="718">
        <v>122.91</v>
      </c>
      <c r="K694" s="720">
        <v>1237</v>
      </c>
      <c r="L694" s="720">
        <v>311.7</v>
      </c>
      <c r="M694" s="720">
        <v>3133.77</v>
      </c>
      <c r="N694" s="720">
        <v>182.93</v>
      </c>
    </row>
    <row r="695" spans="1:14" ht="15">
      <c r="A695" s="705"/>
      <c r="B695" s="705"/>
      <c r="C695" s="719">
        <v>41194</v>
      </c>
      <c r="D695" s="734">
        <v>9593</v>
      </c>
      <c r="E695" s="720">
        <v>9911.57</v>
      </c>
      <c r="F695" s="720">
        <v>15490.08</v>
      </c>
      <c r="G695" s="720">
        <v>12371.42</v>
      </c>
      <c r="H695" s="720">
        <v>9751.68</v>
      </c>
      <c r="I695" s="720">
        <v>7804.48</v>
      </c>
      <c r="J695" s="718">
        <v>122.91</v>
      </c>
      <c r="K695" s="720">
        <v>1237</v>
      </c>
      <c r="L695" s="720">
        <v>311.7</v>
      </c>
      <c r="M695" s="720">
        <v>3133.77</v>
      </c>
      <c r="N695" s="720">
        <v>182.93</v>
      </c>
    </row>
    <row r="696" spans="1:14" ht="15">
      <c r="A696" s="705"/>
      <c r="B696" s="705"/>
      <c r="C696" s="719">
        <v>41195</v>
      </c>
      <c r="D696" s="734">
        <v>9593</v>
      </c>
      <c r="E696" s="720">
        <v>9911.57</v>
      </c>
      <c r="F696" s="720">
        <v>15490.08</v>
      </c>
      <c r="G696" s="720">
        <v>12371.42</v>
      </c>
      <c r="H696" s="720">
        <v>9751.68</v>
      </c>
      <c r="I696" s="720">
        <v>7804.48</v>
      </c>
      <c r="J696" s="718">
        <v>122.91</v>
      </c>
      <c r="K696" s="720">
        <v>1237</v>
      </c>
      <c r="L696" s="720">
        <v>311.7</v>
      </c>
      <c r="M696" s="720">
        <v>3133.77</v>
      </c>
      <c r="N696" s="720">
        <v>182.93</v>
      </c>
    </row>
    <row r="697" spans="1:14" ht="15">
      <c r="A697" s="705"/>
      <c r="B697" s="705"/>
      <c r="C697" s="719">
        <v>41196</v>
      </c>
      <c r="D697" s="734">
        <v>9593</v>
      </c>
      <c r="E697" s="720">
        <v>9911.57</v>
      </c>
      <c r="F697" s="720">
        <v>15490.08</v>
      </c>
      <c r="G697" s="720">
        <v>12371.42</v>
      </c>
      <c r="H697" s="720">
        <v>9751.68</v>
      </c>
      <c r="I697" s="720">
        <v>7804.48</v>
      </c>
      <c r="J697" s="718">
        <v>122.91</v>
      </c>
      <c r="K697" s="720">
        <v>1237</v>
      </c>
      <c r="L697" s="720">
        <v>311.7</v>
      </c>
      <c r="M697" s="720">
        <v>3133.77</v>
      </c>
      <c r="N697" s="720">
        <v>182.93</v>
      </c>
    </row>
    <row r="698" spans="1:14" ht="15">
      <c r="A698" s="705"/>
      <c r="B698" s="705"/>
      <c r="C698" s="719">
        <v>41197</v>
      </c>
      <c r="D698" s="734">
        <v>9593</v>
      </c>
      <c r="E698" s="720">
        <v>9911.57</v>
      </c>
      <c r="F698" s="720">
        <v>15490.08</v>
      </c>
      <c r="G698" s="720">
        <v>12371.42</v>
      </c>
      <c r="H698" s="720">
        <v>9751.68</v>
      </c>
      <c r="I698" s="720">
        <v>7804.48</v>
      </c>
      <c r="J698" s="718">
        <v>122.91</v>
      </c>
      <c r="K698" s="720">
        <v>1237</v>
      </c>
      <c r="L698" s="720">
        <v>311.7</v>
      </c>
      <c r="M698" s="720">
        <v>3133.77</v>
      </c>
      <c r="N698" s="720">
        <v>182.93</v>
      </c>
    </row>
    <row r="699" spans="1:14" ht="15">
      <c r="A699" s="705"/>
      <c r="B699" s="705"/>
      <c r="C699" s="719">
        <v>41198</v>
      </c>
      <c r="D699" s="734">
        <v>9593</v>
      </c>
      <c r="E699" s="720">
        <v>9911.57</v>
      </c>
      <c r="F699" s="720">
        <v>15490.08</v>
      </c>
      <c r="G699" s="720">
        <v>12371.42</v>
      </c>
      <c r="H699" s="720">
        <v>9751.68</v>
      </c>
      <c r="I699" s="720">
        <v>7804.48</v>
      </c>
      <c r="J699" s="718">
        <v>122.91</v>
      </c>
      <c r="K699" s="720">
        <v>1237</v>
      </c>
      <c r="L699" s="720">
        <v>311.7</v>
      </c>
      <c r="M699" s="720">
        <v>3133.77</v>
      </c>
      <c r="N699" s="720">
        <v>182.93</v>
      </c>
    </row>
    <row r="700" spans="1:14" ht="15">
      <c r="A700" s="705"/>
      <c r="B700" s="705"/>
      <c r="C700" s="719">
        <v>41199</v>
      </c>
      <c r="D700" s="734">
        <v>9612</v>
      </c>
      <c r="E700" s="720">
        <v>9851.33</v>
      </c>
      <c r="F700" s="720">
        <v>15430.4</v>
      </c>
      <c r="G700" s="720">
        <v>12431.71</v>
      </c>
      <c r="H700" s="720">
        <v>9800.76</v>
      </c>
      <c r="I700" s="720">
        <v>7848.29</v>
      </c>
      <c r="J700" s="718">
        <v>122.48</v>
      </c>
      <c r="K700" s="720">
        <v>1239.95</v>
      </c>
      <c r="L700" s="720">
        <v>313.08999999999997</v>
      </c>
      <c r="M700" s="720">
        <v>3138.06</v>
      </c>
      <c r="N700" s="720">
        <v>181.72</v>
      </c>
    </row>
    <row r="701" spans="1:14" ht="15">
      <c r="A701" s="705"/>
      <c r="B701" s="705"/>
      <c r="C701" s="719">
        <v>41200</v>
      </c>
      <c r="D701" s="734">
        <v>9612</v>
      </c>
      <c r="E701" s="720">
        <v>9851.33</v>
      </c>
      <c r="F701" s="720">
        <v>15430.4</v>
      </c>
      <c r="G701" s="720">
        <v>12431.71</v>
      </c>
      <c r="H701" s="720">
        <v>9800.76</v>
      </c>
      <c r="I701" s="720">
        <v>7848.29</v>
      </c>
      <c r="J701" s="718">
        <v>122.48</v>
      </c>
      <c r="K701" s="720">
        <v>1239.95</v>
      </c>
      <c r="L701" s="720">
        <v>313.08999999999997</v>
      </c>
      <c r="M701" s="720">
        <v>3138.06</v>
      </c>
      <c r="N701" s="720">
        <v>181.72</v>
      </c>
    </row>
    <row r="702" spans="1:14" ht="15">
      <c r="A702" s="705"/>
      <c r="B702" s="705"/>
      <c r="C702" s="719">
        <v>41201</v>
      </c>
      <c r="D702" s="734">
        <v>9612</v>
      </c>
      <c r="E702" s="720">
        <v>9851.33</v>
      </c>
      <c r="F702" s="720">
        <v>15430.4</v>
      </c>
      <c r="G702" s="720">
        <v>12431.71</v>
      </c>
      <c r="H702" s="720">
        <v>9800.76</v>
      </c>
      <c r="I702" s="720">
        <v>7848.29</v>
      </c>
      <c r="J702" s="718">
        <v>122.48</v>
      </c>
      <c r="K702" s="720">
        <v>1239.95</v>
      </c>
      <c r="L702" s="720">
        <v>313.08999999999997</v>
      </c>
      <c r="M702" s="720">
        <v>3138.06</v>
      </c>
      <c r="N702" s="720">
        <v>181.72</v>
      </c>
    </row>
    <row r="703" spans="1:14" ht="15">
      <c r="A703" s="705"/>
      <c r="B703" s="705"/>
      <c r="C703" s="719">
        <v>41202</v>
      </c>
      <c r="D703" s="734">
        <v>9612</v>
      </c>
      <c r="E703" s="720">
        <v>9851.33</v>
      </c>
      <c r="F703" s="720">
        <v>15430.4</v>
      </c>
      <c r="G703" s="720">
        <v>12431.71</v>
      </c>
      <c r="H703" s="720">
        <v>9800.76</v>
      </c>
      <c r="I703" s="720">
        <v>7848.29</v>
      </c>
      <c r="J703" s="718">
        <v>122.48</v>
      </c>
      <c r="K703" s="720">
        <v>1239.95</v>
      </c>
      <c r="L703" s="720">
        <v>313.08999999999997</v>
      </c>
      <c r="M703" s="720">
        <v>3138.06</v>
      </c>
      <c r="N703" s="720">
        <v>181.72</v>
      </c>
    </row>
    <row r="704" spans="1:14" ht="15">
      <c r="A704" s="705"/>
      <c r="B704" s="705"/>
      <c r="C704" s="719">
        <v>41203</v>
      </c>
      <c r="D704" s="734">
        <v>9612</v>
      </c>
      <c r="E704" s="720">
        <v>9851.33</v>
      </c>
      <c r="F704" s="720">
        <v>15430.4</v>
      </c>
      <c r="G704" s="720">
        <v>12431.71</v>
      </c>
      <c r="H704" s="720">
        <v>9800.76</v>
      </c>
      <c r="I704" s="720">
        <v>7848.29</v>
      </c>
      <c r="J704" s="718">
        <v>122.48</v>
      </c>
      <c r="K704" s="720">
        <v>1239.95</v>
      </c>
      <c r="L704" s="720">
        <v>313.08999999999997</v>
      </c>
      <c r="M704" s="720">
        <v>3138.06</v>
      </c>
      <c r="N704" s="720">
        <v>181.72</v>
      </c>
    </row>
    <row r="705" spans="1:14" ht="15">
      <c r="A705" s="705"/>
      <c r="B705" s="705"/>
      <c r="C705" s="719">
        <v>41204</v>
      </c>
      <c r="D705" s="734">
        <v>9612</v>
      </c>
      <c r="E705" s="720">
        <v>9851.33</v>
      </c>
      <c r="F705" s="720">
        <v>15430.4</v>
      </c>
      <c r="G705" s="720">
        <v>12431.71</v>
      </c>
      <c r="H705" s="720">
        <v>9800.76</v>
      </c>
      <c r="I705" s="720">
        <v>7848.29</v>
      </c>
      <c r="J705" s="718">
        <v>122.48</v>
      </c>
      <c r="K705" s="720">
        <v>1239.95</v>
      </c>
      <c r="L705" s="720">
        <v>313.08999999999997</v>
      </c>
      <c r="M705" s="720">
        <v>3138.06</v>
      </c>
      <c r="N705" s="720">
        <v>181.72</v>
      </c>
    </row>
    <row r="706" spans="1:14" ht="15">
      <c r="A706" s="705"/>
      <c r="B706" s="705"/>
      <c r="C706" s="719">
        <v>41205</v>
      </c>
      <c r="D706" s="734">
        <v>9612</v>
      </c>
      <c r="E706" s="720">
        <v>9851.33</v>
      </c>
      <c r="F706" s="720">
        <v>15430.4</v>
      </c>
      <c r="G706" s="720">
        <v>12431.71</v>
      </c>
      <c r="H706" s="720">
        <v>9800.76</v>
      </c>
      <c r="I706" s="720">
        <v>7848.29</v>
      </c>
      <c r="J706" s="718">
        <v>122.48</v>
      </c>
      <c r="K706" s="720">
        <v>1239.95</v>
      </c>
      <c r="L706" s="720">
        <v>313.08999999999997</v>
      </c>
      <c r="M706" s="720">
        <v>3138.06</v>
      </c>
      <c r="N706" s="720">
        <v>181.72</v>
      </c>
    </row>
    <row r="707" spans="1:14" ht="15">
      <c r="A707" s="705"/>
      <c r="B707" s="705"/>
      <c r="C707" s="719">
        <v>41206</v>
      </c>
      <c r="D707" s="734">
        <v>9614</v>
      </c>
      <c r="E707" s="720">
        <v>9922.33</v>
      </c>
      <c r="F707" s="720">
        <v>15453.93</v>
      </c>
      <c r="G707" s="720">
        <v>12538.07</v>
      </c>
      <c r="H707" s="720">
        <v>9761.34</v>
      </c>
      <c r="I707" s="720">
        <v>7881.84</v>
      </c>
      <c r="J707" s="718">
        <v>121.66</v>
      </c>
      <c r="K707" s="720">
        <v>1240.27</v>
      </c>
      <c r="L707" s="720">
        <v>313.42</v>
      </c>
      <c r="M707" s="720">
        <v>3154.96</v>
      </c>
      <c r="N707" s="720">
        <v>180.68</v>
      </c>
    </row>
    <row r="708" spans="1:14" ht="15">
      <c r="A708" s="705"/>
      <c r="B708" s="705"/>
      <c r="C708" s="719">
        <v>41207</v>
      </c>
      <c r="D708" s="734">
        <v>9614</v>
      </c>
      <c r="E708" s="720">
        <v>9922.33</v>
      </c>
      <c r="F708" s="720">
        <v>15453.93</v>
      </c>
      <c r="G708" s="720">
        <v>12538.07</v>
      </c>
      <c r="H708" s="720">
        <v>9761.34</v>
      </c>
      <c r="I708" s="720">
        <v>7881.84</v>
      </c>
      <c r="J708" s="718">
        <v>121.66</v>
      </c>
      <c r="K708" s="720">
        <v>1240.27</v>
      </c>
      <c r="L708" s="720">
        <v>313.42</v>
      </c>
      <c r="M708" s="720">
        <v>3154.96</v>
      </c>
      <c r="N708" s="720">
        <v>180.68</v>
      </c>
    </row>
    <row r="709" spans="1:14" ht="15">
      <c r="A709" s="705"/>
      <c r="B709" s="705"/>
      <c r="C709" s="719">
        <v>41208</v>
      </c>
      <c r="D709" s="734">
        <v>9614</v>
      </c>
      <c r="E709" s="720">
        <v>9922.33</v>
      </c>
      <c r="F709" s="720">
        <v>15453.93</v>
      </c>
      <c r="G709" s="720">
        <v>12538.07</v>
      </c>
      <c r="H709" s="720">
        <v>9761.34</v>
      </c>
      <c r="I709" s="720">
        <v>7881.84</v>
      </c>
      <c r="J709" s="718">
        <v>121.66</v>
      </c>
      <c r="K709" s="720">
        <v>1240.27</v>
      </c>
      <c r="L709" s="720">
        <v>313.42</v>
      </c>
      <c r="M709" s="720">
        <v>3154.96</v>
      </c>
      <c r="N709" s="720">
        <v>180.68</v>
      </c>
    </row>
    <row r="710" spans="1:14" ht="15">
      <c r="A710" s="705"/>
      <c r="B710" s="705"/>
      <c r="C710" s="719">
        <v>41209</v>
      </c>
      <c r="D710" s="734">
        <v>9614</v>
      </c>
      <c r="E710" s="720">
        <v>9922.33</v>
      </c>
      <c r="F710" s="720">
        <v>15453.93</v>
      </c>
      <c r="G710" s="720">
        <v>12538.07</v>
      </c>
      <c r="H710" s="720">
        <v>9761.34</v>
      </c>
      <c r="I710" s="720">
        <v>7881.84</v>
      </c>
      <c r="J710" s="718">
        <v>121.66</v>
      </c>
      <c r="K710" s="720">
        <v>1240.27</v>
      </c>
      <c r="L710" s="720">
        <v>313.42</v>
      </c>
      <c r="M710" s="720">
        <v>3154.96</v>
      </c>
      <c r="N710" s="720">
        <v>180.68</v>
      </c>
    </row>
    <row r="711" spans="1:14" ht="15">
      <c r="A711" s="705"/>
      <c r="B711" s="705"/>
      <c r="C711" s="719">
        <v>41210</v>
      </c>
      <c r="D711" s="734">
        <v>9614</v>
      </c>
      <c r="E711" s="720">
        <v>9922.33</v>
      </c>
      <c r="F711" s="720">
        <v>15453.93</v>
      </c>
      <c r="G711" s="720">
        <v>12538.07</v>
      </c>
      <c r="H711" s="720">
        <v>9761.34</v>
      </c>
      <c r="I711" s="720">
        <v>7881.84</v>
      </c>
      <c r="J711" s="718">
        <v>121.66</v>
      </c>
      <c r="K711" s="720">
        <v>1240.27</v>
      </c>
      <c r="L711" s="720">
        <v>313.42</v>
      </c>
      <c r="M711" s="720">
        <v>3154.96</v>
      </c>
      <c r="N711" s="720">
        <v>180.68</v>
      </c>
    </row>
    <row r="712" spans="1:14" ht="15">
      <c r="A712" s="705"/>
      <c r="B712" s="705"/>
      <c r="C712" s="719">
        <v>41211</v>
      </c>
      <c r="D712" s="734">
        <v>9614</v>
      </c>
      <c r="E712" s="720">
        <v>9922.33</v>
      </c>
      <c r="F712" s="720">
        <v>15453.93</v>
      </c>
      <c r="G712" s="720">
        <v>12538.07</v>
      </c>
      <c r="H712" s="720">
        <v>9761.34</v>
      </c>
      <c r="I712" s="720">
        <v>7881.84</v>
      </c>
      <c r="J712" s="718">
        <v>121.66</v>
      </c>
      <c r="K712" s="720">
        <v>1240.27</v>
      </c>
      <c r="L712" s="720">
        <v>313.42</v>
      </c>
      <c r="M712" s="720">
        <v>3154.96</v>
      </c>
      <c r="N712" s="720">
        <v>180.68</v>
      </c>
    </row>
    <row r="713" spans="1:14" ht="15">
      <c r="A713" s="705"/>
      <c r="B713" s="705"/>
      <c r="C713" s="719">
        <v>41212</v>
      </c>
      <c r="D713" s="734">
        <v>9614</v>
      </c>
      <c r="E713" s="720">
        <v>9922.33</v>
      </c>
      <c r="F713" s="720">
        <v>15453.93</v>
      </c>
      <c r="G713" s="720">
        <v>12538.07</v>
      </c>
      <c r="H713" s="720">
        <v>9761.34</v>
      </c>
      <c r="I713" s="720">
        <v>7881.84</v>
      </c>
      <c r="J713" s="718">
        <v>121.66</v>
      </c>
      <c r="K713" s="720">
        <v>1240.27</v>
      </c>
      <c r="L713" s="720">
        <v>313.42</v>
      </c>
      <c r="M713" s="720">
        <v>3154.96</v>
      </c>
      <c r="N713" s="720">
        <v>180.68</v>
      </c>
    </row>
    <row r="714" spans="1:14" ht="15">
      <c r="A714" s="705"/>
      <c r="B714" s="705"/>
      <c r="C714" s="719">
        <v>41213</v>
      </c>
      <c r="D714" s="734">
        <v>9618</v>
      </c>
      <c r="E714" s="720">
        <v>9937.36</v>
      </c>
      <c r="F714" s="720">
        <v>15432.81</v>
      </c>
      <c r="G714" s="720">
        <v>12482.63</v>
      </c>
      <c r="H714" s="720">
        <v>9676.11</v>
      </c>
      <c r="I714" s="720">
        <v>7869.43</v>
      </c>
      <c r="J714" s="718">
        <v>120.36</v>
      </c>
      <c r="K714" s="720">
        <v>1240.96</v>
      </c>
      <c r="L714" s="720">
        <v>313.06</v>
      </c>
      <c r="M714" s="720">
        <v>3151.49</v>
      </c>
      <c r="N714" s="720">
        <v>179.05</v>
      </c>
    </row>
    <row r="715" spans="1:14" ht="15">
      <c r="A715" s="705"/>
      <c r="B715" s="705"/>
      <c r="C715" s="719">
        <v>41214</v>
      </c>
      <c r="D715" s="734">
        <v>9618</v>
      </c>
      <c r="E715" s="720">
        <v>9937.36</v>
      </c>
      <c r="F715" s="720">
        <v>15432.81</v>
      </c>
      <c r="G715" s="720">
        <v>12482.63</v>
      </c>
      <c r="H715" s="720">
        <v>9676.11</v>
      </c>
      <c r="I715" s="720">
        <v>7869.43</v>
      </c>
      <c r="J715" s="718">
        <v>120.36</v>
      </c>
      <c r="K715" s="720">
        <v>1240.96</v>
      </c>
      <c r="L715" s="720">
        <v>313.06</v>
      </c>
      <c r="M715" s="720">
        <v>3151.49</v>
      </c>
      <c r="N715" s="720">
        <v>179.05</v>
      </c>
    </row>
    <row r="716" spans="1:14" ht="15">
      <c r="A716" s="705"/>
      <c r="B716" s="705"/>
      <c r="C716" s="719">
        <v>41215</v>
      </c>
      <c r="D716" s="734">
        <v>9618</v>
      </c>
      <c r="E716" s="720">
        <v>9937.36</v>
      </c>
      <c r="F716" s="720">
        <v>15432.81</v>
      </c>
      <c r="G716" s="720">
        <v>12482.63</v>
      </c>
      <c r="H716" s="720">
        <v>9676.11</v>
      </c>
      <c r="I716" s="720">
        <v>7869.43</v>
      </c>
      <c r="J716" s="718">
        <v>120.36</v>
      </c>
      <c r="K716" s="720">
        <v>1240.96</v>
      </c>
      <c r="L716" s="720">
        <v>313.06</v>
      </c>
      <c r="M716" s="720">
        <v>3151.49</v>
      </c>
      <c r="N716" s="720">
        <v>179.05</v>
      </c>
    </row>
    <row r="717" spans="1:14" ht="15">
      <c r="A717" s="705"/>
      <c r="B717" s="705"/>
      <c r="C717" s="719">
        <v>41216</v>
      </c>
      <c r="D717" s="734">
        <v>9618</v>
      </c>
      <c r="E717" s="720">
        <v>9937.36</v>
      </c>
      <c r="F717" s="720">
        <v>15432.81</v>
      </c>
      <c r="G717" s="720">
        <v>12482.63</v>
      </c>
      <c r="H717" s="720">
        <v>9676.11</v>
      </c>
      <c r="I717" s="720">
        <v>7869.43</v>
      </c>
      <c r="J717" s="718">
        <v>120.36</v>
      </c>
      <c r="K717" s="720">
        <v>1240.96</v>
      </c>
      <c r="L717" s="720">
        <v>313.06</v>
      </c>
      <c r="M717" s="720">
        <v>3151.49</v>
      </c>
      <c r="N717" s="720">
        <v>179.05</v>
      </c>
    </row>
    <row r="718" spans="1:14" ht="15">
      <c r="A718" s="705"/>
      <c r="B718" s="705"/>
      <c r="C718" s="719">
        <v>41217</v>
      </c>
      <c r="D718" s="734">
        <v>9618</v>
      </c>
      <c r="E718" s="720">
        <v>9937.36</v>
      </c>
      <c r="F718" s="720">
        <v>15432.81</v>
      </c>
      <c r="G718" s="720">
        <v>12482.63</v>
      </c>
      <c r="H718" s="720">
        <v>9676.11</v>
      </c>
      <c r="I718" s="720">
        <v>7869.43</v>
      </c>
      <c r="J718" s="718">
        <v>120.36</v>
      </c>
      <c r="K718" s="720">
        <v>1240.96</v>
      </c>
      <c r="L718" s="720">
        <v>313.06</v>
      </c>
      <c r="M718" s="720">
        <v>3151.49</v>
      </c>
      <c r="N718" s="720">
        <v>179.05</v>
      </c>
    </row>
    <row r="719" spans="1:14" ht="15">
      <c r="A719" s="705"/>
      <c r="B719" s="705"/>
      <c r="C719" s="719">
        <v>41218</v>
      </c>
      <c r="D719" s="734">
        <v>9618</v>
      </c>
      <c r="E719" s="720">
        <v>9937.36</v>
      </c>
      <c r="F719" s="720">
        <v>15432.81</v>
      </c>
      <c r="G719" s="720">
        <v>12482.63</v>
      </c>
      <c r="H719" s="720">
        <v>9676.11</v>
      </c>
      <c r="I719" s="720">
        <v>7869.43</v>
      </c>
      <c r="J719" s="718">
        <v>120.36</v>
      </c>
      <c r="K719" s="720">
        <v>1240.96</v>
      </c>
      <c r="L719" s="720">
        <v>313.06</v>
      </c>
      <c r="M719" s="720">
        <v>3151.49</v>
      </c>
      <c r="N719" s="720">
        <v>179.05</v>
      </c>
    </row>
    <row r="720" spans="1:14" ht="15">
      <c r="A720" s="705"/>
      <c r="B720" s="705"/>
      <c r="C720" s="719">
        <v>41219</v>
      </c>
      <c r="D720" s="734">
        <v>9618</v>
      </c>
      <c r="E720" s="720">
        <v>9937.36</v>
      </c>
      <c r="F720" s="720">
        <v>15432.81</v>
      </c>
      <c r="G720" s="720">
        <v>12482.63</v>
      </c>
      <c r="H720" s="720">
        <v>9676.11</v>
      </c>
      <c r="I720" s="720">
        <v>7869.43</v>
      </c>
      <c r="J720" s="718">
        <v>120.36</v>
      </c>
      <c r="K720" s="720">
        <v>1240.96</v>
      </c>
      <c r="L720" s="720">
        <v>313.06</v>
      </c>
      <c r="M720" s="720">
        <v>3151.49</v>
      </c>
      <c r="N720" s="720">
        <v>179.05</v>
      </c>
    </row>
    <row r="721" spans="1:14" ht="15">
      <c r="A721" s="705"/>
      <c r="B721" s="705"/>
      <c r="C721" s="719">
        <v>41220</v>
      </c>
      <c r="D721" s="734">
        <v>9629</v>
      </c>
      <c r="E721" s="720">
        <v>9979.4699999999993</v>
      </c>
      <c r="F721" s="720">
        <v>15454.29</v>
      </c>
      <c r="G721" s="720">
        <v>12395.28</v>
      </c>
      <c r="H721" s="720">
        <v>9656.7999999999993</v>
      </c>
      <c r="I721" s="720">
        <v>7872.03</v>
      </c>
      <c r="J721" s="718">
        <v>120.12</v>
      </c>
      <c r="K721" s="720">
        <v>1242.3699999999999</v>
      </c>
      <c r="L721" s="720">
        <v>313.02</v>
      </c>
      <c r="M721" s="720">
        <v>3150.25</v>
      </c>
      <c r="N721" s="720">
        <v>178.36</v>
      </c>
    </row>
    <row r="722" spans="1:14" ht="15">
      <c r="A722" s="705"/>
      <c r="B722" s="705"/>
      <c r="C722" s="719">
        <v>41221</v>
      </c>
      <c r="D722" s="734">
        <v>9629</v>
      </c>
      <c r="E722" s="720">
        <v>9979.4699999999993</v>
      </c>
      <c r="F722" s="720">
        <v>15454.29</v>
      </c>
      <c r="G722" s="720">
        <v>12395.28</v>
      </c>
      <c r="H722" s="720">
        <v>9656.7999999999993</v>
      </c>
      <c r="I722" s="720">
        <v>7872.03</v>
      </c>
      <c r="J722" s="718">
        <v>120.12</v>
      </c>
      <c r="K722" s="720">
        <v>1242.3699999999999</v>
      </c>
      <c r="L722" s="720">
        <v>313.02</v>
      </c>
      <c r="M722" s="720">
        <v>3150.25</v>
      </c>
      <c r="N722" s="720">
        <v>178.36</v>
      </c>
    </row>
    <row r="723" spans="1:14" ht="15">
      <c r="A723" s="705"/>
      <c r="B723" s="705"/>
      <c r="C723" s="719">
        <v>41222</v>
      </c>
      <c r="D723" s="734">
        <v>9629</v>
      </c>
      <c r="E723" s="720">
        <v>9979.4699999999993</v>
      </c>
      <c r="F723" s="720">
        <v>15454.29</v>
      </c>
      <c r="G723" s="720">
        <v>12395.28</v>
      </c>
      <c r="H723" s="720">
        <v>9656.7999999999993</v>
      </c>
      <c r="I723" s="720">
        <v>7872.03</v>
      </c>
      <c r="J723" s="718">
        <v>120.12</v>
      </c>
      <c r="K723" s="720">
        <v>1242.3699999999999</v>
      </c>
      <c r="L723" s="720">
        <v>313.02</v>
      </c>
      <c r="M723" s="720">
        <v>3150.25</v>
      </c>
      <c r="N723" s="720">
        <v>178.36</v>
      </c>
    </row>
    <row r="724" spans="1:14" ht="15">
      <c r="A724" s="705"/>
      <c r="B724" s="705"/>
      <c r="C724" s="719">
        <v>41223</v>
      </c>
      <c r="D724" s="734">
        <v>9629</v>
      </c>
      <c r="E724" s="720">
        <v>9979.4699999999993</v>
      </c>
      <c r="F724" s="720">
        <v>15454.29</v>
      </c>
      <c r="G724" s="720">
        <v>12395.28</v>
      </c>
      <c r="H724" s="720">
        <v>9656.7999999999993</v>
      </c>
      <c r="I724" s="720">
        <v>7872.03</v>
      </c>
      <c r="J724" s="718">
        <v>120.12</v>
      </c>
      <c r="K724" s="720">
        <v>1242.3699999999999</v>
      </c>
      <c r="L724" s="720">
        <v>313.02</v>
      </c>
      <c r="M724" s="720">
        <v>3150.25</v>
      </c>
      <c r="N724" s="720">
        <v>178.36</v>
      </c>
    </row>
    <row r="725" spans="1:14" ht="15">
      <c r="A725" s="705"/>
      <c r="B725" s="705"/>
      <c r="C725" s="719">
        <v>41224</v>
      </c>
      <c r="D725" s="734">
        <v>9629</v>
      </c>
      <c r="E725" s="720">
        <v>9979.4699999999993</v>
      </c>
      <c r="F725" s="720">
        <v>15454.29</v>
      </c>
      <c r="G725" s="720">
        <v>12395.28</v>
      </c>
      <c r="H725" s="720">
        <v>9656.7999999999993</v>
      </c>
      <c r="I725" s="720">
        <v>7872.03</v>
      </c>
      <c r="J725" s="718">
        <v>120.12</v>
      </c>
      <c r="K725" s="720">
        <v>1242.3699999999999</v>
      </c>
      <c r="L725" s="720">
        <v>313.02</v>
      </c>
      <c r="M725" s="720">
        <v>3150.25</v>
      </c>
      <c r="N725" s="720">
        <v>178.36</v>
      </c>
    </row>
    <row r="726" spans="1:14" ht="15">
      <c r="A726" s="705"/>
      <c r="B726" s="705"/>
      <c r="C726" s="719">
        <v>41225</v>
      </c>
      <c r="D726" s="734">
        <v>9629</v>
      </c>
      <c r="E726" s="720">
        <v>9979.4699999999993</v>
      </c>
      <c r="F726" s="720">
        <v>15454.29</v>
      </c>
      <c r="G726" s="720">
        <v>12395.28</v>
      </c>
      <c r="H726" s="720">
        <v>9656.7999999999993</v>
      </c>
      <c r="I726" s="720">
        <v>7872.03</v>
      </c>
      <c r="J726" s="718">
        <v>120.12</v>
      </c>
      <c r="K726" s="720">
        <v>1242.3699999999999</v>
      </c>
      <c r="L726" s="720">
        <v>313.02</v>
      </c>
      <c r="M726" s="720">
        <v>3150.25</v>
      </c>
      <c r="N726" s="720">
        <v>178.36</v>
      </c>
    </row>
    <row r="727" spans="1:14" ht="15">
      <c r="A727" s="705"/>
      <c r="B727" s="705"/>
      <c r="C727" s="719">
        <v>41226</v>
      </c>
      <c r="D727" s="734">
        <v>9629</v>
      </c>
      <c r="E727" s="720">
        <v>9979.4699999999993</v>
      </c>
      <c r="F727" s="720">
        <v>15454.29</v>
      </c>
      <c r="G727" s="720">
        <v>12395.28</v>
      </c>
      <c r="H727" s="720">
        <v>9656.7999999999993</v>
      </c>
      <c r="I727" s="720">
        <v>7872.03</v>
      </c>
      <c r="J727" s="718">
        <v>120.12</v>
      </c>
      <c r="K727" s="720">
        <v>1242.3699999999999</v>
      </c>
      <c r="L727" s="720">
        <v>313.02</v>
      </c>
      <c r="M727" s="720">
        <v>3150.25</v>
      </c>
      <c r="N727" s="720">
        <v>178.36</v>
      </c>
    </row>
    <row r="728" spans="1:14" ht="15">
      <c r="A728" s="705"/>
      <c r="B728" s="705"/>
      <c r="C728" s="719">
        <v>41227</v>
      </c>
      <c r="D728" s="734">
        <v>9632</v>
      </c>
      <c r="E728" s="720">
        <v>10025.56</v>
      </c>
      <c r="F728" s="720">
        <v>15336.65</v>
      </c>
      <c r="G728" s="720">
        <v>12259.42</v>
      </c>
      <c r="H728" s="720">
        <v>9635.4699999999993</v>
      </c>
      <c r="I728" s="720">
        <v>7871.47</v>
      </c>
      <c r="J728" s="718">
        <v>121</v>
      </c>
      <c r="K728" s="720">
        <v>1242.69</v>
      </c>
      <c r="L728" s="720">
        <v>314.07</v>
      </c>
      <c r="M728" s="720">
        <v>3146.79</v>
      </c>
      <c r="N728" s="720">
        <v>176.56</v>
      </c>
    </row>
    <row r="729" spans="1:14" ht="15">
      <c r="A729" s="705"/>
      <c r="B729" s="705"/>
      <c r="C729" s="719">
        <v>41228</v>
      </c>
      <c r="D729" s="734">
        <v>9632</v>
      </c>
      <c r="E729" s="720">
        <v>10025.56</v>
      </c>
      <c r="F729" s="720">
        <v>15336.65</v>
      </c>
      <c r="G729" s="720">
        <v>12259.42</v>
      </c>
      <c r="H729" s="720">
        <v>9635.4699999999993</v>
      </c>
      <c r="I729" s="720">
        <v>7871.47</v>
      </c>
      <c r="J729" s="718">
        <v>121</v>
      </c>
      <c r="K729" s="720">
        <v>1242.69</v>
      </c>
      <c r="L729" s="720">
        <v>314.07</v>
      </c>
      <c r="M729" s="720">
        <v>3146.79</v>
      </c>
      <c r="N729" s="720">
        <v>176.56</v>
      </c>
    </row>
    <row r="730" spans="1:14" ht="15">
      <c r="A730" s="705"/>
      <c r="B730" s="705"/>
      <c r="C730" s="719">
        <v>41229</v>
      </c>
      <c r="D730" s="734">
        <v>9632</v>
      </c>
      <c r="E730" s="720">
        <v>10025.56</v>
      </c>
      <c r="F730" s="720">
        <v>15336.65</v>
      </c>
      <c r="G730" s="720">
        <v>12259.42</v>
      </c>
      <c r="H730" s="720">
        <v>9635.4699999999993</v>
      </c>
      <c r="I730" s="720">
        <v>7871.47</v>
      </c>
      <c r="J730" s="718">
        <v>121</v>
      </c>
      <c r="K730" s="720">
        <v>1242.69</v>
      </c>
      <c r="L730" s="720">
        <v>314.07</v>
      </c>
      <c r="M730" s="720">
        <v>3146.79</v>
      </c>
      <c r="N730" s="720">
        <v>176.56</v>
      </c>
    </row>
    <row r="731" spans="1:14" ht="15">
      <c r="A731" s="705"/>
      <c r="B731" s="705"/>
      <c r="C731" s="719">
        <v>41230</v>
      </c>
      <c r="D731" s="734">
        <v>9632</v>
      </c>
      <c r="E731" s="720">
        <v>10025.56</v>
      </c>
      <c r="F731" s="720">
        <v>15336.65</v>
      </c>
      <c r="G731" s="720">
        <v>12259.42</v>
      </c>
      <c r="H731" s="720">
        <v>9635.4699999999993</v>
      </c>
      <c r="I731" s="720">
        <v>7871.47</v>
      </c>
      <c r="J731" s="718">
        <v>121</v>
      </c>
      <c r="K731" s="720">
        <v>1242.69</v>
      </c>
      <c r="L731" s="720">
        <v>314.07</v>
      </c>
      <c r="M731" s="720">
        <v>3146.79</v>
      </c>
      <c r="N731" s="720">
        <v>176.56</v>
      </c>
    </row>
    <row r="732" spans="1:14" ht="15">
      <c r="A732" s="705"/>
      <c r="B732" s="705"/>
      <c r="C732" s="719">
        <v>41231</v>
      </c>
      <c r="D732" s="734">
        <v>9632</v>
      </c>
      <c r="E732" s="720">
        <v>10025.56</v>
      </c>
      <c r="F732" s="720">
        <v>15336.65</v>
      </c>
      <c r="G732" s="720">
        <v>12259.42</v>
      </c>
      <c r="H732" s="720">
        <v>9635.4699999999993</v>
      </c>
      <c r="I732" s="720">
        <v>7871.47</v>
      </c>
      <c r="J732" s="718">
        <v>121</v>
      </c>
      <c r="K732" s="720">
        <v>1242.69</v>
      </c>
      <c r="L732" s="720">
        <v>314.07</v>
      </c>
      <c r="M732" s="720">
        <v>3146.79</v>
      </c>
      <c r="N732" s="720">
        <v>176.56</v>
      </c>
    </row>
    <row r="733" spans="1:14" ht="15">
      <c r="A733" s="705"/>
      <c r="B733" s="705"/>
      <c r="C733" s="719">
        <v>41232</v>
      </c>
      <c r="D733" s="734">
        <v>9632</v>
      </c>
      <c r="E733" s="720">
        <v>10025.56</v>
      </c>
      <c r="F733" s="720">
        <v>15336.65</v>
      </c>
      <c r="G733" s="720">
        <v>12259.42</v>
      </c>
      <c r="H733" s="720">
        <v>9635.4699999999993</v>
      </c>
      <c r="I733" s="720">
        <v>7871.47</v>
      </c>
      <c r="J733" s="718">
        <v>121</v>
      </c>
      <c r="K733" s="720">
        <v>1242.69</v>
      </c>
      <c r="L733" s="720">
        <v>314.07</v>
      </c>
      <c r="M733" s="720">
        <v>3146.79</v>
      </c>
      <c r="N733" s="720">
        <v>176.56</v>
      </c>
    </row>
    <row r="734" spans="1:14" ht="15">
      <c r="A734" s="705"/>
      <c r="B734" s="705"/>
      <c r="C734" s="719">
        <v>41233</v>
      </c>
      <c r="D734" s="734">
        <v>9632</v>
      </c>
      <c r="E734" s="720">
        <v>10025.56</v>
      </c>
      <c r="F734" s="720">
        <v>15336.65</v>
      </c>
      <c r="G734" s="720">
        <v>12259.42</v>
      </c>
      <c r="H734" s="720">
        <v>9635.4699999999993</v>
      </c>
      <c r="I734" s="720">
        <v>7871.47</v>
      </c>
      <c r="J734" s="718">
        <v>121</v>
      </c>
      <c r="K734" s="720">
        <v>1242.69</v>
      </c>
      <c r="L734" s="720">
        <v>314.07</v>
      </c>
      <c r="M734" s="720">
        <v>3146.79</v>
      </c>
      <c r="N734" s="720">
        <v>176.56</v>
      </c>
    </row>
    <row r="735" spans="1:14" ht="15">
      <c r="A735" s="705"/>
      <c r="B735" s="705"/>
      <c r="C735" s="719">
        <v>41234</v>
      </c>
      <c r="D735" s="734">
        <v>9632</v>
      </c>
      <c r="E735" s="720">
        <v>10002.82</v>
      </c>
      <c r="F735" s="720">
        <v>15301.85</v>
      </c>
      <c r="G735" s="720">
        <v>12292.1</v>
      </c>
      <c r="H735" s="720">
        <v>9636.0400000000009</v>
      </c>
      <c r="I735" s="720">
        <v>7866.55</v>
      </c>
      <c r="J735" s="718">
        <v>118.92</v>
      </c>
      <c r="K735" s="720">
        <v>1242.56</v>
      </c>
      <c r="L735" s="720">
        <v>313.64</v>
      </c>
      <c r="M735" s="720">
        <v>3143.35</v>
      </c>
      <c r="N735" s="720">
        <v>175.26</v>
      </c>
    </row>
    <row r="736" spans="1:14" ht="15">
      <c r="A736" s="705"/>
      <c r="B736" s="705"/>
      <c r="C736" s="719">
        <v>41235</v>
      </c>
      <c r="D736" s="734">
        <v>9632</v>
      </c>
      <c r="E736" s="720">
        <v>10002.82</v>
      </c>
      <c r="F736" s="720">
        <v>15301.85</v>
      </c>
      <c r="G736" s="720">
        <v>12292.1</v>
      </c>
      <c r="H736" s="720">
        <v>9636.0400000000009</v>
      </c>
      <c r="I736" s="720">
        <v>7866.55</v>
      </c>
      <c r="J736" s="718">
        <v>118.92</v>
      </c>
      <c r="K736" s="720">
        <v>1242.56</v>
      </c>
      <c r="L736" s="720">
        <v>313.64</v>
      </c>
      <c r="M736" s="720">
        <v>3143.35</v>
      </c>
      <c r="N736" s="720">
        <v>175.26</v>
      </c>
    </row>
    <row r="737" spans="1:14" ht="15">
      <c r="A737" s="705"/>
      <c r="B737" s="705"/>
      <c r="C737" s="719">
        <v>41236</v>
      </c>
      <c r="D737" s="734">
        <v>9632</v>
      </c>
      <c r="E737" s="720">
        <v>10002.82</v>
      </c>
      <c r="F737" s="720">
        <v>15301.85</v>
      </c>
      <c r="G737" s="720">
        <v>12292.1</v>
      </c>
      <c r="H737" s="720">
        <v>9636.0400000000009</v>
      </c>
      <c r="I737" s="720">
        <v>7866.55</v>
      </c>
      <c r="J737" s="718">
        <v>118.92</v>
      </c>
      <c r="K737" s="720">
        <v>1242.56</v>
      </c>
      <c r="L737" s="720">
        <v>313.64</v>
      </c>
      <c r="M737" s="720">
        <v>3143.35</v>
      </c>
      <c r="N737" s="720">
        <v>175.26</v>
      </c>
    </row>
    <row r="738" spans="1:14" ht="15">
      <c r="A738" s="705"/>
      <c r="B738" s="705"/>
      <c r="C738" s="719">
        <v>41237</v>
      </c>
      <c r="D738" s="734">
        <v>9632</v>
      </c>
      <c r="E738" s="720">
        <v>10002.82</v>
      </c>
      <c r="F738" s="720">
        <v>15301.85</v>
      </c>
      <c r="G738" s="720">
        <v>12292.1</v>
      </c>
      <c r="H738" s="720">
        <v>9636.0400000000009</v>
      </c>
      <c r="I738" s="720">
        <v>7866.55</v>
      </c>
      <c r="J738" s="718">
        <v>118.92</v>
      </c>
      <c r="K738" s="720">
        <v>1242.56</v>
      </c>
      <c r="L738" s="720">
        <v>313.64</v>
      </c>
      <c r="M738" s="720">
        <v>3143.35</v>
      </c>
      <c r="N738" s="720">
        <v>175.26</v>
      </c>
    </row>
    <row r="739" spans="1:14" ht="15">
      <c r="A739" s="705"/>
      <c r="B739" s="705"/>
      <c r="C739" s="719">
        <v>41238</v>
      </c>
      <c r="D739" s="734">
        <v>9632</v>
      </c>
      <c r="E739" s="720">
        <v>10002.82</v>
      </c>
      <c r="F739" s="720">
        <v>15301.85</v>
      </c>
      <c r="G739" s="720">
        <v>12292.1</v>
      </c>
      <c r="H739" s="720">
        <v>9636.0400000000009</v>
      </c>
      <c r="I739" s="720">
        <v>7866.55</v>
      </c>
      <c r="J739" s="718">
        <v>118.92</v>
      </c>
      <c r="K739" s="720">
        <v>1242.56</v>
      </c>
      <c r="L739" s="720">
        <v>313.64</v>
      </c>
      <c r="M739" s="720">
        <v>3143.35</v>
      </c>
      <c r="N739" s="720">
        <v>175.26</v>
      </c>
    </row>
    <row r="740" spans="1:14" ht="15">
      <c r="A740" s="705"/>
      <c r="B740" s="705"/>
      <c r="C740" s="719">
        <v>41239</v>
      </c>
      <c r="D740" s="734">
        <v>9632</v>
      </c>
      <c r="E740" s="720">
        <v>10002.82</v>
      </c>
      <c r="F740" s="720">
        <v>15301.85</v>
      </c>
      <c r="G740" s="720">
        <v>12292.1</v>
      </c>
      <c r="H740" s="720">
        <v>9636.0400000000009</v>
      </c>
      <c r="I740" s="720">
        <v>7866.55</v>
      </c>
      <c r="J740" s="718">
        <v>118.92</v>
      </c>
      <c r="K740" s="720">
        <v>1242.56</v>
      </c>
      <c r="L740" s="720">
        <v>313.64</v>
      </c>
      <c r="M740" s="720">
        <v>3143.35</v>
      </c>
      <c r="N740" s="720">
        <v>175.26</v>
      </c>
    </row>
    <row r="741" spans="1:14" ht="15">
      <c r="A741" s="705"/>
      <c r="B741" s="705"/>
      <c r="C741" s="719">
        <v>41240</v>
      </c>
      <c r="D741" s="734">
        <v>9632</v>
      </c>
      <c r="E741" s="720">
        <v>10002.82</v>
      </c>
      <c r="F741" s="720">
        <v>15301.85</v>
      </c>
      <c r="G741" s="720">
        <v>12292.1</v>
      </c>
      <c r="H741" s="720">
        <v>9636.0400000000009</v>
      </c>
      <c r="I741" s="720">
        <v>7866.55</v>
      </c>
      <c r="J741" s="718">
        <v>118.92</v>
      </c>
      <c r="K741" s="720">
        <v>1242.56</v>
      </c>
      <c r="L741" s="720">
        <v>313.64</v>
      </c>
      <c r="M741" s="720">
        <v>3143.35</v>
      </c>
      <c r="N741" s="720">
        <v>175.26</v>
      </c>
    </row>
    <row r="742" spans="1:14" ht="15">
      <c r="A742" s="705"/>
      <c r="B742" s="705"/>
      <c r="C742" s="719">
        <v>41241</v>
      </c>
      <c r="D742" s="734">
        <v>9637</v>
      </c>
      <c r="E742" s="720">
        <v>10055.629999999999</v>
      </c>
      <c r="F742" s="720">
        <v>15416.5</v>
      </c>
      <c r="G742" s="720">
        <v>12461.8</v>
      </c>
      <c r="H742" s="720">
        <v>9690.69</v>
      </c>
      <c r="I742" s="720">
        <v>7880.06</v>
      </c>
      <c r="J742" s="718">
        <v>117.1</v>
      </c>
      <c r="K742" s="720">
        <v>1243.4100000000001</v>
      </c>
      <c r="L742" s="720">
        <v>314.01</v>
      </c>
      <c r="M742" s="720">
        <v>3151.74</v>
      </c>
      <c r="N742" s="720">
        <v>173.97</v>
      </c>
    </row>
    <row r="743" spans="1:14" ht="15">
      <c r="A743" s="705"/>
      <c r="B743" s="705"/>
      <c r="C743" s="719">
        <v>41242</v>
      </c>
      <c r="D743" s="734">
        <v>9637</v>
      </c>
      <c r="E743" s="720">
        <v>10055.629999999999</v>
      </c>
      <c r="F743" s="720">
        <v>15416.5</v>
      </c>
      <c r="G743" s="720">
        <v>12461.8</v>
      </c>
      <c r="H743" s="720">
        <v>9690.69</v>
      </c>
      <c r="I743" s="720">
        <v>7880.06</v>
      </c>
      <c r="J743" s="718">
        <v>117.1</v>
      </c>
      <c r="K743" s="720">
        <v>1243.4100000000001</v>
      </c>
      <c r="L743" s="720">
        <v>314.01</v>
      </c>
      <c r="M743" s="720">
        <v>3151.74</v>
      </c>
      <c r="N743" s="720">
        <v>173.97</v>
      </c>
    </row>
    <row r="744" spans="1:14" ht="15">
      <c r="A744" s="705"/>
      <c r="B744" s="705"/>
      <c r="C744" s="719">
        <v>41243</v>
      </c>
      <c r="D744" s="734">
        <v>9637</v>
      </c>
      <c r="E744" s="720">
        <v>10055.629999999999</v>
      </c>
      <c r="F744" s="720">
        <v>15416.5</v>
      </c>
      <c r="G744" s="720">
        <v>12461.8</v>
      </c>
      <c r="H744" s="720">
        <v>9690.69</v>
      </c>
      <c r="I744" s="720">
        <v>7880.06</v>
      </c>
      <c r="J744" s="718">
        <v>117.1</v>
      </c>
      <c r="K744" s="720">
        <v>1243.4100000000001</v>
      </c>
      <c r="L744" s="720">
        <v>314.01</v>
      </c>
      <c r="M744" s="720">
        <v>3151.74</v>
      </c>
      <c r="N744" s="720">
        <v>173.97</v>
      </c>
    </row>
    <row r="745" spans="1:14" ht="15">
      <c r="A745" s="705"/>
      <c r="B745" s="705"/>
      <c r="C745" s="719">
        <v>41244</v>
      </c>
      <c r="D745" s="734">
        <v>9637</v>
      </c>
      <c r="E745" s="720">
        <v>10055.629999999999</v>
      </c>
      <c r="F745" s="720">
        <v>15416.5</v>
      </c>
      <c r="G745" s="720">
        <v>12461.8</v>
      </c>
      <c r="H745" s="720">
        <v>9690.69</v>
      </c>
      <c r="I745" s="720">
        <v>7880.06</v>
      </c>
      <c r="J745" s="718">
        <v>117.1</v>
      </c>
      <c r="K745" s="720">
        <v>1243.4100000000001</v>
      </c>
      <c r="L745" s="720">
        <v>314.01</v>
      </c>
      <c r="M745" s="720">
        <v>3151.74</v>
      </c>
      <c r="N745" s="720">
        <v>173.97</v>
      </c>
    </row>
    <row r="746" spans="1:14" ht="15">
      <c r="A746" s="705"/>
      <c r="B746" s="705"/>
      <c r="C746" s="719">
        <v>41245</v>
      </c>
      <c r="D746" s="734">
        <v>9637</v>
      </c>
      <c r="E746" s="720">
        <v>10055.629999999999</v>
      </c>
      <c r="F746" s="720">
        <v>15416.5</v>
      </c>
      <c r="G746" s="720">
        <v>12461.8</v>
      </c>
      <c r="H746" s="720">
        <v>9690.69</v>
      </c>
      <c r="I746" s="720">
        <v>7880.06</v>
      </c>
      <c r="J746" s="718">
        <v>117.1</v>
      </c>
      <c r="K746" s="720">
        <v>1243.4100000000001</v>
      </c>
      <c r="L746" s="720">
        <v>314.01</v>
      </c>
      <c r="M746" s="720">
        <v>3151.74</v>
      </c>
      <c r="N746" s="720">
        <v>173.97</v>
      </c>
    </row>
    <row r="747" spans="1:14" ht="15">
      <c r="A747" s="705"/>
      <c r="B747" s="705"/>
      <c r="C747" s="719">
        <v>41246</v>
      </c>
      <c r="D747" s="734">
        <v>9637</v>
      </c>
      <c r="E747" s="720">
        <v>10055.629999999999</v>
      </c>
      <c r="F747" s="720">
        <v>15416.5</v>
      </c>
      <c r="G747" s="720">
        <v>12461.8</v>
      </c>
      <c r="H747" s="720">
        <v>9690.69</v>
      </c>
      <c r="I747" s="720">
        <v>7880.06</v>
      </c>
      <c r="J747" s="718">
        <v>117.1</v>
      </c>
      <c r="K747" s="720">
        <v>1243.4100000000001</v>
      </c>
      <c r="L747" s="720">
        <v>314.01</v>
      </c>
      <c r="M747" s="720">
        <v>3151.74</v>
      </c>
      <c r="N747" s="720">
        <v>173.97</v>
      </c>
    </row>
    <row r="748" spans="1:14" ht="15">
      <c r="A748" s="705"/>
      <c r="B748" s="705"/>
      <c r="C748" s="719">
        <v>41247</v>
      </c>
      <c r="D748" s="734">
        <v>9637</v>
      </c>
      <c r="E748" s="720">
        <v>10055.629999999999</v>
      </c>
      <c r="F748" s="720">
        <v>15416.5</v>
      </c>
      <c r="G748" s="720">
        <v>12461.8</v>
      </c>
      <c r="H748" s="720">
        <v>9690.69</v>
      </c>
      <c r="I748" s="720">
        <v>7880.06</v>
      </c>
      <c r="J748" s="718">
        <v>117.1</v>
      </c>
      <c r="K748" s="720">
        <v>1243.4100000000001</v>
      </c>
      <c r="L748" s="720">
        <v>314.01</v>
      </c>
      <c r="M748" s="720">
        <v>3151.74</v>
      </c>
      <c r="N748" s="720">
        <v>173.97</v>
      </c>
    </row>
    <row r="749" spans="1:14" ht="15">
      <c r="A749" s="705"/>
      <c r="B749" s="705"/>
      <c r="C749" s="719">
        <v>41248</v>
      </c>
      <c r="D749" s="734">
        <v>9629</v>
      </c>
      <c r="E749" s="720">
        <v>10057.280000000001</v>
      </c>
      <c r="F749" s="720">
        <v>15425.92</v>
      </c>
      <c r="G749" s="720">
        <v>12493.75</v>
      </c>
      <c r="H749" s="720">
        <v>9698.0400000000009</v>
      </c>
      <c r="I749" s="720">
        <v>7884.45</v>
      </c>
      <c r="J749" s="718">
        <v>117.15</v>
      </c>
      <c r="K749" s="720">
        <v>1242.4100000000001</v>
      </c>
      <c r="L749" s="720">
        <v>313.64</v>
      </c>
      <c r="M749" s="720">
        <v>3162.46</v>
      </c>
      <c r="N749" s="720">
        <v>175.87</v>
      </c>
    </row>
    <row r="750" spans="1:14" ht="15">
      <c r="A750" s="705"/>
      <c r="B750" s="705"/>
      <c r="C750" s="719">
        <v>41249</v>
      </c>
      <c r="D750" s="734">
        <v>9629</v>
      </c>
      <c r="E750" s="720">
        <v>10057.280000000001</v>
      </c>
      <c r="F750" s="720">
        <v>15425.92</v>
      </c>
      <c r="G750" s="720">
        <v>12493.75</v>
      </c>
      <c r="H750" s="720">
        <v>9698.0400000000009</v>
      </c>
      <c r="I750" s="720">
        <v>7884.45</v>
      </c>
      <c r="J750" s="718">
        <v>117.15</v>
      </c>
      <c r="K750" s="720">
        <v>1242.4100000000001</v>
      </c>
      <c r="L750" s="720">
        <v>313.64</v>
      </c>
      <c r="M750" s="720">
        <v>3162.46</v>
      </c>
      <c r="N750" s="720">
        <v>175.87</v>
      </c>
    </row>
    <row r="751" spans="1:14" ht="15">
      <c r="A751" s="705"/>
      <c r="B751" s="705"/>
      <c r="C751" s="719">
        <v>41250</v>
      </c>
      <c r="D751" s="734">
        <v>9629</v>
      </c>
      <c r="E751" s="720">
        <v>10057.280000000001</v>
      </c>
      <c r="F751" s="720">
        <v>15425.92</v>
      </c>
      <c r="G751" s="720">
        <v>12493.75</v>
      </c>
      <c r="H751" s="720">
        <v>9698.0400000000009</v>
      </c>
      <c r="I751" s="720">
        <v>7884.45</v>
      </c>
      <c r="J751" s="718">
        <v>117.15</v>
      </c>
      <c r="K751" s="720">
        <v>1242.4100000000001</v>
      </c>
      <c r="L751" s="720">
        <v>313.64</v>
      </c>
      <c r="M751" s="720">
        <v>3162.46</v>
      </c>
      <c r="N751" s="720">
        <v>175.87</v>
      </c>
    </row>
    <row r="752" spans="1:14" ht="15">
      <c r="A752" s="705"/>
      <c r="B752" s="705"/>
      <c r="C752" s="719">
        <v>41251</v>
      </c>
      <c r="D752" s="734">
        <v>9629</v>
      </c>
      <c r="E752" s="720">
        <v>10057.280000000001</v>
      </c>
      <c r="F752" s="720">
        <v>15425.92</v>
      </c>
      <c r="G752" s="720">
        <v>12493.75</v>
      </c>
      <c r="H752" s="720">
        <v>9698.0400000000009</v>
      </c>
      <c r="I752" s="720">
        <v>7884.45</v>
      </c>
      <c r="J752" s="718">
        <v>117.15</v>
      </c>
      <c r="K752" s="720">
        <v>1242.4100000000001</v>
      </c>
      <c r="L752" s="720">
        <v>313.64</v>
      </c>
      <c r="M752" s="720">
        <v>3162.46</v>
      </c>
      <c r="N752" s="720">
        <v>175.87</v>
      </c>
    </row>
    <row r="753" spans="1:14" ht="15">
      <c r="A753" s="705"/>
      <c r="B753" s="705"/>
      <c r="C753" s="719">
        <v>41252</v>
      </c>
      <c r="D753" s="734">
        <v>9629</v>
      </c>
      <c r="E753" s="720">
        <v>10057.280000000001</v>
      </c>
      <c r="F753" s="720">
        <v>15425.92</v>
      </c>
      <c r="G753" s="720">
        <v>12493.75</v>
      </c>
      <c r="H753" s="720">
        <v>9698.0400000000009</v>
      </c>
      <c r="I753" s="720">
        <v>7884.45</v>
      </c>
      <c r="J753" s="718">
        <v>117.15</v>
      </c>
      <c r="K753" s="720">
        <v>1242.4100000000001</v>
      </c>
      <c r="L753" s="720">
        <v>313.64</v>
      </c>
      <c r="M753" s="720">
        <v>3162.46</v>
      </c>
      <c r="N753" s="720">
        <v>175.87</v>
      </c>
    </row>
    <row r="754" spans="1:14" ht="15">
      <c r="A754" s="705"/>
      <c r="B754" s="705"/>
      <c r="C754" s="719">
        <v>41253</v>
      </c>
      <c r="D754" s="734">
        <v>9629</v>
      </c>
      <c r="E754" s="720">
        <v>10057.280000000001</v>
      </c>
      <c r="F754" s="720">
        <v>15425.92</v>
      </c>
      <c r="G754" s="720">
        <v>12493.75</v>
      </c>
      <c r="H754" s="720">
        <v>9698.0400000000009</v>
      </c>
      <c r="I754" s="720">
        <v>7884.45</v>
      </c>
      <c r="J754" s="718">
        <v>117.15</v>
      </c>
      <c r="K754" s="720">
        <v>1242.4100000000001</v>
      </c>
      <c r="L754" s="720">
        <v>313.64</v>
      </c>
      <c r="M754" s="720">
        <v>3162.46</v>
      </c>
      <c r="N754" s="720">
        <v>175.87</v>
      </c>
    </row>
    <row r="755" spans="1:14" ht="15">
      <c r="A755" s="705"/>
      <c r="B755" s="705"/>
      <c r="C755" s="719">
        <v>41254</v>
      </c>
      <c r="D755" s="734">
        <v>9629</v>
      </c>
      <c r="E755" s="720">
        <v>10057.280000000001</v>
      </c>
      <c r="F755" s="720">
        <v>15425.92</v>
      </c>
      <c r="G755" s="720">
        <v>12493.75</v>
      </c>
      <c r="H755" s="720">
        <v>9698.0400000000009</v>
      </c>
      <c r="I755" s="720">
        <v>7884.45</v>
      </c>
      <c r="J755" s="718">
        <v>117.15</v>
      </c>
      <c r="K755" s="720">
        <v>1242.4100000000001</v>
      </c>
      <c r="L755" s="720">
        <v>313.64</v>
      </c>
      <c r="M755" s="720">
        <v>3162.46</v>
      </c>
      <c r="N755" s="720">
        <v>175.87</v>
      </c>
    </row>
    <row r="756" spans="1:14" ht="15">
      <c r="A756" s="705"/>
      <c r="B756" s="705"/>
      <c r="C756" s="719">
        <v>41255</v>
      </c>
      <c r="D756" s="734">
        <v>9659</v>
      </c>
      <c r="E756" s="720">
        <v>10120.56</v>
      </c>
      <c r="F756" s="720">
        <v>15525.27</v>
      </c>
      <c r="G756" s="720">
        <v>12543.88</v>
      </c>
      <c r="H756" s="720">
        <v>9763.16</v>
      </c>
      <c r="I756" s="720">
        <v>7912.52</v>
      </c>
      <c r="J756" s="718">
        <v>117.32</v>
      </c>
      <c r="K756" s="720">
        <v>1246.25</v>
      </c>
      <c r="L756" s="720">
        <v>315.10000000000002</v>
      </c>
      <c r="M756" s="720">
        <v>3163.2</v>
      </c>
      <c r="N756" s="720">
        <v>177.49</v>
      </c>
    </row>
    <row r="757" spans="1:14" ht="15">
      <c r="A757" s="705"/>
      <c r="B757" s="705"/>
      <c r="C757" s="719">
        <v>41256</v>
      </c>
      <c r="D757" s="734">
        <v>9659</v>
      </c>
      <c r="E757" s="720">
        <v>10120.56</v>
      </c>
      <c r="F757" s="720">
        <v>15525.27</v>
      </c>
      <c r="G757" s="720">
        <v>12543.88</v>
      </c>
      <c r="H757" s="720">
        <v>9763.16</v>
      </c>
      <c r="I757" s="720">
        <v>7912.52</v>
      </c>
      <c r="J757" s="718">
        <v>117.32</v>
      </c>
      <c r="K757" s="720">
        <v>1246.25</v>
      </c>
      <c r="L757" s="720">
        <v>315.10000000000002</v>
      </c>
      <c r="M757" s="720">
        <v>3163.2</v>
      </c>
      <c r="N757" s="720">
        <v>177.49</v>
      </c>
    </row>
    <row r="758" spans="1:14" ht="15">
      <c r="A758" s="705"/>
      <c r="B758" s="705"/>
      <c r="C758" s="719">
        <v>41257</v>
      </c>
      <c r="D758" s="734">
        <v>9659</v>
      </c>
      <c r="E758" s="720">
        <v>10120.56</v>
      </c>
      <c r="F758" s="720">
        <v>15525.27</v>
      </c>
      <c r="G758" s="720">
        <v>12543.88</v>
      </c>
      <c r="H758" s="720">
        <v>9763.16</v>
      </c>
      <c r="I758" s="720">
        <v>7912.52</v>
      </c>
      <c r="J758" s="718">
        <v>117.32</v>
      </c>
      <c r="K758" s="720">
        <v>1246.25</v>
      </c>
      <c r="L758" s="720">
        <v>315.10000000000002</v>
      </c>
      <c r="M758" s="720">
        <v>3163.2</v>
      </c>
      <c r="N758" s="720">
        <v>177.49</v>
      </c>
    </row>
    <row r="759" spans="1:14" ht="15">
      <c r="A759" s="705"/>
      <c r="B759" s="705"/>
      <c r="C759" s="719">
        <v>41258</v>
      </c>
      <c r="D759" s="734">
        <v>9659</v>
      </c>
      <c r="E759" s="720">
        <v>10120.56</v>
      </c>
      <c r="F759" s="720">
        <v>15525.27</v>
      </c>
      <c r="G759" s="720">
        <v>12543.88</v>
      </c>
      <c r="H759" s="720">
        <v>9763.16</v>
      </c>
      <c r="I759" s="720">
        <v>7912.52</v>
      </c>
      <c r="J759" s="718">
        <v>117.32</v>
      </c>
      <c r="K759" s="720">
        <v>1246.25</v>
      </c>
      <c r="L759" s="720">
        <v>315.10000000000002</v>
      </c>
      <c r="M759" s="720">
        <v>3163.2</v>
      </c>
      <c r="N759" s="720">
        <v>177.49</v>
      </c>
    </row>
    <row r="760" spans="1:14" ht="15">
      <c r="A760" s="705"/>
      <c r="B760" s="705"/>
      <c r="C760" s="719">
        <v>41259</v>
      </c>
      <c r="D760" s="734">
        <v>9659</v>
      </c>
      <c r="E760" s="720">
        <v>10120.56</v>
      </c>
      <c r="F760" s="720">
        <v>15525.27</v>
      </c>
      <c r="G760" s="720">
        <v>12543.88</v>
      </c>
      <c r="H760" s="720">
        <v>9763.16</v>
      </c>
      <c r="I760" s="720">
        <v>7912.52</v>
      </c>
      <c r="J760" s="718">
        <v>117.32</v>
      </c>
      <c r="K760" s="720">
        <v>1246.25</v>
      </c>
      <c r="L760" s="720">
        <v>315.10000000000002</v>
      </c>
      <c r="M760" s="720">
        <v>3163.2</v>
      </c>
      <c r="N760" s="720">
        <v>177.49</v>
      </c>
    </row>
    <row r="761" spans="1:14" ht="15">
      <c r="A761" s="705"/>
      <c r="B761" s="705"/>
      <c r="C761" s="719">
        <v>41260</v>
      </c>
      <c r="D761" s="734">
        <v>9659</v>
      </c>
      <c r="E761" s="720">
        <v>10120.56</v>
      </c>
      <c r="F761" s="720">
        <v>15525.27</v>
      </c>
      <c r="G761" s="720">
        <v>12543.88</v>
      </c>
      <c r="H761" s="720">
        <v>9763.16</v>
      </c>
      <c r="I761" s="720">
        <v>7912.52</v>
      </c>
      <c r="J761" s="718">
        <v>117.32</v>
      </c>
      <c r="K761" s="720">
        <v>1246.25</v>
      </c>
      <c r="L761" s="720">
        <v>315.10000000000002</v>
      </c>
      <c r="M761" s="720">
        <v>3163.2</v>
      </c>
      <c r="N761" s="720">
        <v>177.49</v>
      </c>
    </row>
    <row r="762" spans="1:14" ht="15">
      <c r="A762" s="705"/>
      <c r="B762" s="705"/>
      <c r="C762" s="719">
        <v>41261</v>
      </c>
      <c r="D762" s="734">
        <v>9659</v>
      </c>
      <c r="E762" s="720">
        <v>10120.56</v>
      </c>
      <c r="F762" s="720">
        <v>15525.27</v>
      </c>
      <c r="G762" s="720">
        <v>12543.88</v>
      </c>
      <c r="H762" s="720">
        <v>9763.16</v>
      </c>
      <c r="I762" s="720">
        <v>7912.52</v>
      </c>
      <c r="J762" s="718">
        <v>117.32</v>
      </c>
      <c r="K762" s="720">
        <v>1246.25</v>
      </c>
      <c r="L762" s="720">
        <v>315.10000000000002</v>
      </c>
      <c r="M762" s="720">
        <v>3163.2</v>
      </c>
      <c r="N762" s="720">
        <v>177.49</v>
      </c>
    </row>
    <row r="763" spans="1:14" ht="15">
      <c r="A763" s="705"/>
      <c r="B763" s="705"/>
      <c r="C763" s="719">
        <v>41262</v>
      </c>
      <c r="D763" s="734">
        <v>9686</v>
      </c>
      <c r="E763" s="720">
        <v>10214.06</v>
      </c>
      <c r="F763" s="720">
        <v>15636.56</v>
      </c>
      <c r="G763" s="720">
        <v>12683.36</v>
      </c>
      <c r="H763" s="720">
        <v>9831.5</v>
      </c>
      <c r="I763" s="720">
        <v>7937.62</v>
      </c>
      <c r="J763" s="718">
        <v>116.27</v>
      </c>
      <c r="K763" s="720">
        <v>1249.77</v>
      </c>
      <c r="L763" s="720">
        <v>316.33999999999997</v>
      </c>
      <c r="M763" s="720">
        <v>3169.64</v>
      </c>
      <c r="N763" s="720">
        <v>178.09</v>
      </c>
    </row>
    <row r="764" spans="1:14" ht="15">
      <c r="A764" s="705"/>
      <c r="B764" s="705"/>
      <c r="C764" s="719">
        <v>41263</v>
      </c>
      <c r="D764" s="734">
        <v>9686</v>
      </c>
      <c r="E764" s="720">
        <v>10214.06</v>
      </c>
      <c r="F764" s="720">
        <v>15636.56</v>
      </c>
      <c r="G764" s="720">
        <v>12683.36</v>
      </c>
      <c r="H764" s="720">
        <v>9831.5</v>
      </c>
      <c r="I764" s="720">
        <v>7937.62</v>
      </c>
      <c r="J764" s="718">
        <v>116.27</v>
      </c>
      <c r="K764" s="720">
        <v>1249.77</v>
      </c>
      <c r="L764" s="720">
        <v>316.33999999999997</v>
      </c>
      <c r="M764" s="720">
        <v>3169.64</v>
      </c>
      <c r="N764" s="720">
        <v>178.09</v>
      </c>
    </row>
    <row r="765" spans="1:14" ht="15">
      <c r="A765" s="705"/>
      <c r="B765" s="705"/>
      <c r="C765" s="719">
        <v>41264</v>
      </c>
      <c r="D765" s="734">
        <v>9686</v>
      </c>
      <c r="E765" s="720">
        <v>10214.06</v>
      </c>
      <c r="F765" s="720">
        <v>15636.56</v>
      </c>
      <c r="G765" s="720">
        <v>12683.36</v>
      </c>
      <c r="H765" s="720">
        <v>9831.5</v>
      </c>
      <c r="I765" s="720">
        <v>7937.62</v>
      </c>
      <c r="J765" s="718">
        <v>116.27</v>
      </c>
      <c r="K765" s="720">
        <v>1249.77</v>
      </c>
      <c r="L765" s="720">
        <v>316.33999999999997</v>
      </c>
      <c r="M765" s="720">
        <v>3169.64</v>
      </c>
      <c r="N765" s="720">
        <v>178.09</v>
      </c>
    </row>
    <row r="766" spans="1:14" ht="15">
      <c r="A766" s="705"/>
      <c r="B766" s="705"/>
      <c r="C766" s="719">
        <v>41265</v>
      </c>
      <c r="D766" s="734">
        <v>9686</v>
      </c>
      <c r="E766" s="720">
        <v>10214.06</v>
      </c>
      <c r="F766" s="720">
        <v>15636.56</v>
      </c>
      <c r="G766" s="720">
        <v>12683.36</v>
      </c>
      <c r="H766" s="720">
        <v>9831.5</v>
      </c>
      <c r="I766" s="720">
        <v>7937.62</v>
      </c>
      <c r="J766" s="718">
        <v>116.27</v>
      </c>
      <c r="K766" s="720">
        <v>1249.77</v>
      </c>
      <c r="L766" s="720">
        <v>316.33999999999997</v>
      </c>
      <c r="M766" s="720">
        <v>3169.64</v>
      </c>
      <c r="N766" s="720">
        <v>178.09</v>
      </c>
    </row>
    <row r="767" spans="1:14" ht="15">
      <c r="A767" s="705"/>
      <c r="B767" s="705"/>
      <c r="C767" s="719">
        <v>41266</v>
      </c>
      <c r="D767" s="734">
        <v>9686</v>
      </c>
      <c r="E767" s="720">
        <v>10214.06</v>
      </c>
      <c r="F767" s="720">
        <v>15636.56</v>
      </c>
      <c r="G767" s="720">
        <v>12683.36</v>
      </c>
      <c r="H767" s="720">
        <v>9831.5</v>
      </c>
      <c r="I767" s="720">
        <v>7937.62</v>
      </c>
      <c r="J767" s="718">
        <v>116.27</v>
      </c>
      <c r="K767" s="720">
        <v>1249.77</v>
      </c>
      <c r="L767" s="720">
        <v>316.33999999999997</v>
      </c>
      <c r="M767" s="720">
        <v>3169.64</v>
      </c>
      <c r="N767" s="720">
        <v>178.09</v>
      </c>
    </row>
    <row r="768" spans="1:14" ht="15">
      <c r="A768" s="705"/>
      <c r="B768" s="705"/>
      <c r="C768" s="719">
        <v>41267</v>
      </c>
      <c r="D768" s="734">
        <v>9686</v>
      </c>
      <c r="E768" s="720">
        <v>10214.06</v>
      </c>
      <c r="F768" s="720">
        <v>15636.56</v>
      </c>
      <c r="G768" s="720">
        <v>12683.36</v>
      </c>
      <c r="H768" s="720">
        <v>9831.5</v>
      </c>
      <c r="I768" s="720">
        <v>7937.62</v>
      </c>
      <c r="J768" s="718">
        <v>116.27</v>
      </c>
      <c r="K768" s="720">
        <v>1249.77</v>
      </c>
      <c r="L768" s="720">
        <v>316.33999999999997</v>
      </c>
      <c r="M768" s="720">
        <v>3169.64</v>
      </c>
      <c r="N768" s="720">
        <v>178.09</v>
      </c>
    </row>
    <row r="769" spans="1:14" ht="15">
      <c r="A769" s="705"/>
      <c r="B769" s="705"/>
      <c r="C769" s="719">
        <v>41268</v>
      </c>
      <c r="D769" s="734">
        <v>9686</v>
      </c>
      <c r="E769" s="720">
        <v>10214.06</v>
      </c>
      <c r="F769" s="720">
        <v>15636.56</v>
      </c>
      <c r="G769" s="720">
        <v>12683.36</v>
      </c>
      <c r="H769" s="720">
        <v>9831.5</v>
      </c>
      <c r="I769" s="720">
        <v>7937.62</v>
      </c>
      <c r="J769" s="718">
        <v>116.27</v>
      </c>
      <c r="K769" s="720">
        <v>1249.77</v>
      </c>
      <c r="L769" s="720">
        <v>316.33999999999997</v>
      </c>
      <c r="M769" s="720">
        <v>3169.64</v>
      </c>
      <c r="N769" s="720">
        <v>178.09</v>
      </c>
    </row>
    <row r="770" spans="1:14" ht="15">
      <c r="A770" s="705"/>
      <c r="B770" s="705"/>
      <c r="C770" s="719">
        <v>41269</v>
      </c>
      <c r="D770" s="734">
        <v>9708</v>
      </c>
      <c r="E770" s="720">
        <v>10196.51</v>
      </c>
      <c r="F770" s="720">
        <v>15775.11</v>
      </c>
      <c r="G770" s="720">
        <v>12826.99</v>
      </c>
      <c r="H770" s="720">
        <v>9837.26</v>
      </c>
      <c r="I770" s="720">
        <v>7964.17</v>
      </c>
      <c r="J770" s="718">
        <v>115.39</v>
      </c>
      <c r="K770" s="720">
        <v>1252.6300000000001</v>
      </c>
      <c r="L770" s="720">
        <v>317.07</v>
      </c>
      <c r="M770" s="720">
        <v>3175.66</v>
      </c>
      <c r="N770" s="720">
        <v>177.22</v>
      </c>
    </row>
    <row r="771" spans="1:14" ht="15">
      <c r="A771" s="705"/>
      <c r="B771" s="705"/>
      <c r="C771" s="719">
        <v>41270</v>
      </c>
      <c r="D771" s="734">
        <v>9708</v>
      </c>
      <c r="E771" s="720">
        <v>10196.51</v>
      </c>
      <c r="F771" s="720">
        <v>15775.11</v>
      </c>
      <c r="G771" s="720">
        <v>12826.99</v>
      </c>
      <c r="H771" s="720">
        <v>9837.26</v>
      </c>
      <c r="I771" s="720">
        <v>7964.17</v>
      </c>
      <c r="J771" s="718">
        <v>115.39</v>
      </c>
      <c r="K771" s="720">
        <v>1252.6300000000001</v>
      </c>
      <c r="L771" s="720">
        <v>317.07</v>
      </c>
      <c r="M771" s="720">
        <v>3175.66</v>
      </c>
      <c r="N771" s="720">
        <v>177.22</v>
      </c>
    </row>
    <row r="772" spans="1:14" ht="15">
      <c r="A772" s="705"/>
      <c r="B772" s="705"/>
      <c r="C772" s="719">
        <v>41271</v>
      </c>
      <c r="D772" s="734">
        <v>9708</v>
      </c>
      <c r="E772" s="720">
        <v>10196.51</v>
      </c>
      <c r="F772" s="720">
        <v>15775.11</v>
      </c>
      <c r="G772" s="720">
        <v>12826.99</v>
      </c>
      <c r="H772" s="720">
        <v>9837.26</v>
      </c>
      <c r="I772" s="720">
        <v>7964.17</v>
      </c>
      <c r="J772" s="718">
        <v>115.39</v>
      </c>
      <c r="K772" s="720">
        <v>1252.6300000000001</v>
      </c>
      <c r="L772" s="720">
        <v>317.07</v>
      </c>
      <c r="M772" s="720">
        <v>3175.66</v>
      </c>
      <c r="N772" s="720">
        <v>177.22</v>
      </c>
    </row>
    <row r="773" spans="1:14" ht="15">
      <c r="A773" s="705"/>
      <c r="B773" s="705"/>
      <c r="C773" s="719">
        <v>41272</v>
      </c>
      <c r="D773" s="734">
        <v>9708</v>
      </c>
      <c r="E773" s="720">
        <v>10196.51</v>
      </c>
      <c r="F773" s="720">
        <v>15775.11</v>
      </c>
      <c r="G773" s="720">
        <v>12826.99</v>
      </c>
      <c r="H773" s="720">
        <v>9837.26</v>
      </c>
      <c r="I773" s="720">
        <v>7964.17</v>
      </c>
      <c r="J773" s="718">
        <v>115.39</v>
      </c>
      <c r="K773" s="720">
        <v>1252.6300000000001</v>
      </c>
      <c r="L773" s="720">
        <v>317.07</v>
      </c>
      <c r="M773" s="720">
        <v>3175.66</v>
      </c>
      <c r="N773" s="720">
        <v>177.22</v>
      </c>
    </row>
    <row r="774" spans="1:14" ht="15">
      <c r="A774" s="705"/>
      <c r="B774" s="705"/>
      <c r="C774" s="719">
        <v>41273</v>
      </c>
      <c r="D774" s="734">
        <v>9708</v>
      </c>
      <c r="E774" s="720">
        <v>10196.51</v>
      </c>
      <c r="F774" s="720">
        <v>15775.11</v>
      </c>
      <c r="G774" s="720">
        <v>12826.99</v>
      </c>
      <c r="H774" s="720">
        <v>9837.26</v>
      </c>
      <c r="I774" s="720">
        <v>7964.17</v>
      </c>
      <c r="J774" s="718">
        <v>115.39</v>
      </c>
      <c r="K774" s="720">
        <v>1252.6300000000001</v>
      </c>
      <c r="L774" s="720">
        <v>317.07</v>
      </c>
      <c r="M774" s="720">
        <v>3175.66</v>
      </c>
      <c r="N774" s="720">
        <v>177.22</v>
      </c>
    </row>
    <row r="775" spans="1:14" ht="15">
      <c r="A775" s="705"/>
      <c r="B775" s="705"/>
      <c r="C775" s="719">
        <v>41274</v>
      </c>
      <c r="D775" s="734">
        <v>9708</v>
      </c>
      <c r="E775" s="720">
        <v>10196.51</v>
      </c>
      <c r="F775" s="720">
        <v>15775.11</v>
      </c>
      <c r="G775" s="720">
        <v>12826.99</v>
      </c>
      <c r="H775" s="720">
        <v>9837.26</v>
      </c>
      <c r="I775" s="720">
        <v>7964.17</v>
      </c>
      <c r="J775" s="718">
        <v>115.39</v>
      </c>
      <c r="K775" s="720">
        <v>1252.6300000000001</v>
      </c>
      <c r="L775" s="720">
        <v>317.07</v>
      </c>
      <c r="M775" s="720">
        <v>3175.66</v>
      </c>
      <c r="N775" s="720">
        <v>177.22</v>
      </c>
    </row>
    <row r="776" spans="1:14" ht="15">
      <c r="A776" s="705"/>
      <c r="B776" s="715" t="s">
        <v>646</v>
      </c>
      <c r="C776" s="719"/>
      <c r="D776" s="717"/>
      <c r="E776" s="710"/>
      <c r="F776" s="705"/>
      <c r="G776" s="706"/>
      <c r="H776" s="705"/>
      <c r="I776" s="705"/>
      <c r="J776" s="718"/>
      <c r="K776" s="706"/>
      <c r="L776" s="705"/>
      <c r="M776" s="705"/>
      <c r="N776" s="705"/>
    </row>
    <row r="777" spans="1:14" ht="15">
      <c r="A777" s="705"/>
      <c r="B777" s="705"/>
      <c r="C777" s="722" t="s">
        <v>647</v>
      </c>
      <c r="D777" s="717">
        <v>9047.44</v>
      </c>
      <c r="E777" s="731">
        <v>9498.2999999999993</v>
      </c>
      <c r="F777" s="732">
        <v>14134.12</v>
      </c>
      <c r="G777" s="733">
        <v>11794.98</v>
      </c>
      <c r="H777" s="732">
        <v>8978.31</v>
      </c>
      <c r="I777" s="732">
        <v>7116.97</v>
      </c>
      <c r="J777" s="717">
        <v>116.75</v>
      </c>
      <c r="K777" s="733">
        <v>1165.67</v>
      </c>
      <c r="L777" s="732">
        <v>289.7</v>
      </c>
      <c r="M777" s="732">
        <v>2934.02</v>
      </c>
      <c r="N777" s="732">
        <v>178.69</v>
      </c>
    </row>
    <row r="778" spans="1:14" ht="15">
      <c r="A778" s="705"/>
      <c r="B778" s="705"/>
      <c r="C778" s="722" t="s">
        <v>648</v>
      </c>
      <c r="D778" s="717">
        <v>9078.15</v>
      </c>
      <c r="E778" s="731">
        <v>9557.9599999999991</v>
      </c>
      <c r="F778" s="732">
        <v>14234.05</v>
      </c>
      <c r="G778" s="733">
        <v>11886.78</v>
      </c>
      <c r="H778" s="732">
        <v>9051.44</v>
      </c>
      <c r="I778" s="732">
        <v>7163.79</v>
      </c>
      <c r="J778" s="717">
        <v>115.09</v>
      </c>
      <c r="K778" s="733">
        <v>1169.67</v>
      </c>
      <c r="L778" s="732">
        <v>292.39</v>
      </c>
      <c r="M778" s="732">
        <v>2958.54</v>
      </c>
      <c r="N778" s="732">
        <v>180.06</v>
      </c>
    </row>
    <row r="779" spans="1:14" ht="15">
      <c r="A779" s="705"/>
      <c r="B779" s="705"/>
      <c r="C779" s="722" t="s">
        <v>649</v>
      </c>
      <c r="D779" s="717">
        <v>9105.17</v>
      </c>
      <c r="E779" s="731">
        <v>9543.27</v>
      </c>
      <c r="F779" s="732">
        <v>14354.55</v>
      </c>
      <c r="G779" s="733">
        <v>11948.89</v>
      </c>
      <c r="H779" s="732">
        <v>9101.93</v>
      </c>
      <c r="I779" s="732">
        <v>7207.71</v>
      </c>
      <c r="J779" s="717">
        <v>114.32</v>
      </c>
      <c r="K779" s="733">
        <v>1173.06</v>
      </c>
      <c r="L779" s="732">
        <v>293.74</v>
      </c>
      <c r="M779" s="732">
        <v>2968.47</v>
      </c>
      <c r="N779" s="732">
        <v>179.5</v>
      </c>
    </row>
    <row r="780" spans="1:14" ht="15">
      <c r="A780" s="705"/>
      <c r="B780" s="705"/>
      <c r="C780" s="722" t="s">
        <v>650</v>
      </c>
      <c r="D780" s="717">
        <v>9130.14</v>
      </c>
      <c r="E780" s="731">
        <v>9497.9500000000007</v>
      </c>
      <c r="F780" s="732">
        <v>14439.3</v>
      </c>
      <c r="G780" s="733">
        <v>11946.68</v>
      </c>
      <c r="H780" s="732">
        <v>9122.2000000000007</v>
      </c>
      <c r="I780" s="732">
        <v>7236.3</v>
      </c>
      <c r="J780" s="717">
        <v>114.58</v>
      </c>
      <c r="K780" s="733">
        <v>1176.23</v>
      </c>
      <c r="L780" s="732">
        <v>294.23</v>
      </c>
      <c r="M780" s="732">
        <v>2974.68</v>
      </c>
      <c r="N780" s="732">
        <v>178.03</v>
      </c>
    </row>
    <row r="781" spans="1:14" ht="15">
      <c r="A781" s="705"/>
      <c r="B781" s="705"/>
      <c r="C781" s="722" t="s">
        <v>651</v>
      </c>
      <c r="D781" s="717">
        <v>9176.27</v>
      </c>
      <c r="E781" s="731">
        <v>9476.07</v>
      </c>
      <c r="F781" s="732">
        <v>14472.94</v>
      </c>
      <c r="G781" s="733">
        <v>11926.55</v>
      </c>
      <c r="H781" s="732">
        <v>9130.5</v>
      </c>
      <c r="I781" s="732">
        <v>7256.77</v>
      </c>
      <c r="J781" s="717">
        <v>115.25</v>
      </c>
      <c r="K781" s="733">
        <v>1182.22</v>
      </c>
      <c r="L781" s="732">
        <v>294.83</v>
      </c>
      <c r="M781" s="732">
        <v>2974.19</v>
      </c>
      <c r="N781" s="732">
        <v>176.66</v>
      </c>
    </row>
    <row r="782" spans="1:14" ht="15">
      <c r="A782" s="705"/>
      <c r="B782" s="705"/>
      <c r="C782" s="722" t="s">
        <v>652</v>
      </c>
      <c r="D782" s="717">
        <v>9221.7099999999991</v>
      </c>
      <c r="E782" s="731">
        <v>9508.27</v>
      </c>
      <c r="F782" s="732">
        <v>14516.02</v>
      </c>
      <c r="G782" s="733">
        <v>11886.48</v>
      </c>
      <c r="H782" s="732">
        <v>9156.2800000000007</v>
      </c>
      <c r="I782" s="732">
        <v>7291.44</v>
      </c>
      <c r="J782" s="717">
        <v>115.94</v>
      </c>
      <c r="K782" s="733">
        <v>1188.19</v>
      </c>
      <c r="L782" s="732">
        <v>295.42</v>
      </c>
      <c r="M782" s="732">
        <v>2975.02</v>
      </c>
      <c r="N782" s="732">
        <v>175.53</v>
      </c>
    </row>
    <row r="783" spans="1:14" ht="15">
      <c r="A783" s="705"/>
      <c r="B783" s="705"/>
      <c r="C783" s="722" t="s">
        <v>653</v>
      </c>
      <c r="D783" s="717">
        <v>9244.59</v>
      </c>
      <c r="E783" s="731">
        <v>9550.77</v>
      </c>
      <c r="F783" s="732">
        <v>14546.16</v>
      </c>
      <c r="G783" s="733">
        <v>11869.45</v>
      </c>
      <c r="H783" s="732">
        <v>9187.09</v>
      </c>
      <c r="I783" s="732">
        <v>7320.16</v>
      </c>
      <c r="J783" s="717">
        <v>116.39</v>
      </c>
      <c r="K783" s="733">
        <v>1191.21</v>
      </c>
      <c r="L783" s="732">
        <v>295.91000000000003</v>
      </c>
      <c r="M783" s="732">
        <v>2980.67</v>
      </c>
      <c r="N783" s="732">
        <v>175.12</v>
      </c>
    </row>
    <row r="784" spans="1:14" ht="15">
      <c r="A784" s="705"/>
      <c r="B784" s="705"/>
      <c r="C784" s="722" t="s">
        <v>654</v>
      </c>
      <c r="D784" s="717">
        <v>9278.32</v>
      </c>
      <c r="E784" s="731">
        <v>9558.92</v>
      </c>
      <c r="F784" s="732">
        <v>14625.61</v>
      </c>
      <c r="G784" s="733">
        <v>11903.81</v>
      </c>
      <c r="H784" s="732">
        <v>9245.48</v>
      </c>
      <c r="I784" s="732">
        <v>7362.49</v>
      </c>
      <c r="J784" s="717">
        <v>116.98</v>
      </c>
      <c r="K784" s="733">
        <v>1195.6400000000001</v>
      </c>
      <c r="L784" s="732">
        <v>297.13</v>
      </c>
      <c r="M784" s="732">
        <v>2992.03</v>
      </c>
      <c r="N784" s="732">
        <v>174.93</v>
      </c>
    </row>
    <row r="785" spans="1:14" ht="15">
      <c r="A785" s="705"/>
      <c r="B785" s="705"/>
      <c r="C785" s="722" t="s">
        <v>655</v>
      </c>
      <c r="D785" s="717">
        <v>9316.23</v>
      </c>
      <c r="E785" s="731">
        <v>9627.3799999999992</v>
      </c>
      <c r="F785" s="732">
        <v>14723.32</v>
      </c>
      <c r="G785" s="733">
        <v>11966.12</v>
      </c>
      <c r="H785" s="732">
        <v>9304.39</v>
      </c>
      <c r="I785" s="732">
        <v>7418.15</v>
      </c>
      <c r="J785" s="717">
        <v>117.57</v>
      </c>
      <c r="K785" s="733">
        <v>1200.67</v>
      </c>
      <c r="L785" s="732">
        <v>298.89</v>
      </c>
      <c r="M785" s="732">
        <v>3009.25</v>
      </c>
      <c r="N785" s="732">
        <v>175.61</v>
      </c>
    </row>
    <row r="786" spans="1:14" ht="15">
      <c r="A786" s="705"/>
      <c r="B786" s="705"/>
      <c r="C786" s="722" t="s">
        <v>656</v>
      </c>
      <c r="D786" s="717">
        <v>9343.15</v>
      </c>
      <c r="E786" s="731">
        <v>9660.44</v>
      </c>
      <c r="F786" s="732">
        <v>14778.98</v>
      </c>
      <c r="G786" s="733">
        <v>11998.97</v>
      </c>
      <c r="H786" s="732">
        <v>9334.2099999999991</v>
      </c>
      <c r="I786" s="732">
        <v>7456.82</v>
      </c>
      <c r="J786" s="717">
        <v>117.72</v>
      </c>
      <c r="K786" s="733">
        <v>1204.25</v>
      </c>
      <c r="L786" s="732">
        <v>300.14999999999998</v>
      </c>
      <c r="M786" s="732">
        <v>3021.06</v>
      </c>
      <c r="N786" s="732">
        <v>175.64</v>
      </c>
    </row>
    <row r="787" spans="1:14" ht="15">
      <c r="A787" s="705"/>
      <c r="B787" s="705"/>
      <c r="C787" s="722" t="s">
        <v>657</v>
      </c>
      <c r="D787" s="717">
        <v>9368.82</v>
      </c>
      <c r="E787" s="731">
        <v>9698.61</v>
      </c>
      <c r="F787" s="732">
        <v>14842.64</v>
      </c>
      <c r="G787" s="733">
        <v>12049.01</v>
      </c>
      <c r="H787" s="732">
        <v>9369.3700000000008</v>
      </c>
      <c r="I787" s="732">
        <v>7493.52</v>
      </c>
      <c r="J787" s="717">
        <v>117.63</v>
      </c>
      <c r="K787" s="733">
        <v>1207.6600000000001</v>
      </c>
      <c r="L787" s="732">
        <v>301.36</v>
      </c>
      <c r="M787" s="732">
        <v>3032.56</v>
      </c>
      <c r="N787" s="732">
        <v>175.76</v>
      </c>
    </row>
    <row r="788" spans="1:14" ht="15">
      <c r="A788" s="705"/>
      <c r="B788" s="705"/>
      <c r="C788" s="722" t="s">
        <v>658</v>
      </c>
      <c r="D788" s="717">
        <v>9400.2000000000007</v>
      </c>
      <c r="E788" s="731">
        <v>9732.74</v>
      </c>
      <c r="F788" s="732">
        <v>14925.45</v>
      </c>
      <c r="G788" s="733">
        <v>12083.25</v>
      </c>
      <c r="H788" s="732">
        <v>9415.6</v>
      </c>
      <c r="I788" s="732">
        <v>7539.69</v>
      </c>
      <c r="J788" s="717">
        <v>117.62</v>
      </c>
      <c r="K788" s="733">
        <v>1211.8499999999999</v>
      </c>
      <c r="L788" s="732">
        <v>302.85000000000002</v>
      </c>
      <c r="M788" s="732">
        <v>3046.73</v>
      </c>
      <c r="N788" s="732">
        <v>175.79</v>
      </c>
    </row>
    <row r="789" spans="1:14" ht="15">
      <c r="A789" s="705"/>
      <c r="B789" s="705"/>
      <c r="C789" s="722" t="s">
        <v>659</v>
      </c>
      <c r="D789" s="717">
        <v>9437.69</v>
      </c>
      <c r="E789" s="731">
        <v>9741.5300000000007</v>
      </c>
      <c r="F789" s="732">
        <v>14994.47</v>
      </c>
      <c r="G789" s="733">
        <v>12103.45</v>
      </c>
      <c r="H789" s="732">
        <v>9453.17</v>
      </c>
      <c r="I789" s="732">
        <v>7574.21</v>
      </c>
      <c r="J789" s="717">
        <v>117.81</v>
      </c>
      <c r="K789" s="733">
        <v>1216.6600000000001</v>
      </c>
      <c r="L789" s="732">
        <v>303.85000000000002</v>
      </c>
      <c r="M789" s="732">
        <v>3053.68</v>
      </c>
      <c r="N789" s="732">
        <v>175.14</v>
      </c>
    </row>
    <row r="790" spans="1:14" ht="15">
      <c r="A790" s="705"/>
      <c r="B790" s="705"/>
      <c r="C790" s="722" t="s">
        <v>660</v>
      </c>
      <c r="D790" s="717">
        <v>9468.26</v>
      </c>
      <c r="E790" s="731">
        <v>9746.7199999999993</v>
      </c>
      <c r="F790" s="732">
        <v>15050.84</v>
      </c>
      <c r="G790" s="733">
        <v>12104.52</v>
      </c>
      <c r="H790" s="732">
        <v>9478.14</v>
      </c>
      <c r="I790" s="732">
        <v>7606.32</v>
      </c>
      <c r="J790" s="717">
        <v>118.5</v>
      </c>
      <c r="K790" s="733">
        <v>1220.6600000000001</v>
      </c>
      <c r="L790" s="732">
        <v>304.42</v>
      </c>
      <c r="M790" s="732">
        <v>3057.88</v>
      </c>
      <c r="N790" s="732">
        <v>174.29</v>
      </c>
    </row>
    <row r="791" spans="1:14" ht="15">
      <c r="A791" s="705"/>
      <c r="B791" s="705"/>
      <c r="C791" s="722" t="s">
        <v>661</v>
      </c>
      <c r="D791" s="717">
        <v>9512.64</v>
      </c>
      <c r="E791" s="731">
        <v>9783.34</v>
      </c>
      <c r="F791" s="732">
        <v>15108.87</v>
      </c>
      <c r="G791" s="733">
        <v>12103.63</v>
      </c>
      <c r="H791" s="732">
        <v>9515.25</v>
      </c>
      <c r="I791" s="732">
        <v>7649.41</v>
      </c>
      <c r="J791" s="717">
        <v>119.43</v>
      </c>
      <c r="K791" s="733">
        <v>1226.54</v>
      </c>
      <c r="L791" s="732">
        <v>305.51</v>
      </c>
      <c r="M791" s="732">
        <v>3067.52</v>
      </c>
      <c r="N791" s="732">
        <v>173.73</v>
      </c>
    </row>
    <row r="792" spans="1:14" ht="15">
      <c r="A792" s="705"/>
      <c r="B792" s="705"/>
      <c r="C792" s="722" t="s">
        <v>662</v>
      </c>
      <c r="D792" s="717">
        <v>9549.9</v>
      </c>
      <c r="E792" s="731">
        <v>9850.83</v>
      </c>
      <c r="F792" s="732">
        <v>15148.63</v>
      </c>
      <c r="G792" s="733">
        <v>12126.65</v>
      </c>
      <c r="H792" s="732">
        <v>9556.8799999999992</v>
      </c>
      <c r="I792" s="732">
        <v>7688.65</v>
      </c>
      <c r="J792" s="717">
        <v>119.94</v>
      </c>
      <c r="K792" s="733">
        <v>1231.5</v>
      </c>
      <c r="L792" s="732">
        <v>306.76</v>
      </c>
      <c r="M792" s="732">
        <v>3076.48</v>
      </c>
      <c r="N792" s="732">
        <v>174.04</v>
      </c>
    </row>
    <row r="793" spans="1:14" ht="15">
      <c r="A793" s="705"/>
      <c r="B793" s="705"/>
      <c r="C793" s="722" t="s">
        <v>663</v>
      </c>
      <c r="D793" s="717">
        <v>9569.08</v>
      </c>
      <c r="E793" s="731">
        <v>9930.0499999999993</v>
      </c>
      <c r="F793" s="732">
        <v>15227.14</v>
      </c>
      <c r="G793" s="733">
        <v>12176.38</v>
      </c>
      <c r="H793" s="732">
        <v>9617.7999999999993</v>
      </c>
      <c r="I793" s="732">
        <v>7739.74</v>
      </c>
      <c r="J793" s="717">
        <v>120.1</v>
      </c>
      <c r="K793" s="733">
        <v>1234.1300000000001</v>
      </c>
      <c r="L793" s="732">
        <v>308.14999999999998</v>
      </c>
      <c r="M793" s="732">
        <v>3093.26</v>
      </c>
      <c r="N793" s="732">
        <v>174.83</v>
      </c>
    </row>
    <row r="794" spans="1:14" ht="15">
      <c r="A794" s="705"/>
      <c r="B794" s="705"/>
      <c r="C794" s="722" t="s">
        <v>664</v>
      </c>
      <c r="D794" s="717">
        <v>9596.85</v>
      </c>
      <c r="E794" s="731">
        <v>9993.6299999999992</v>
      </c>
      <c r="F794" s="732">
        <v>15348.91</v>
      </c>
      <c r="G794" s="733">
        <v>12300.94</v>
      </c>
      <c r="H794" s="732">
        <v>9699.66</v>
      </c>
      <c r="I794" s="732">
        <v>7806.74</v>
      </c>
      <c r="J794" s="717">
        <v>120.24</v>
      </c>
      <c r="K794" s="733">
        <v>1237.8499999999999</v>
      </c>
      <c r="L794" s="732">
        <v>310.56</v>
      </c>
      <c r="M794" s="732">
        <v>3121.76</v>
      </c>
      <c r="N794" s="732">
        <v>176.12</v>
      </c>
    </row>
    <row r="795" spans="1:14" ht="15">
      <c r="A795" s="705"/>
      <c r="B795" s="705"/>
      <c r="C795" s="722" t="s">
        <v>665</v>
      </c>
      <c r="D795" s="717">
        <v>9617.2900000000009</v>
      </c>
      <c r="E795" s="731">
        <v>9994.2900000000009</v>
      </c>
      <c r="F795" s="732">
        <v>15435.61</v>
      </c>
      <c r="G795" s="733">
        <v>12408.14</v>
      </c>
      <c r="H795" s="732">
        <v>9733.94</v>
      </c>
      <c r="I795" s="732">
        <v>7840.23</v>
      </c>
      <c r="J795" s="717">
        <v>120.1</v>
      </c>
      <c r="K795" s="733">
        <v>1240.57</v>
      </c>
      <c r="L795" s="732">
        <v>312.24</v>
      </c>
      <c r="M795" s="732">
        <v>3136.34</v>
      </c>
      <c r="N795" s="732">
        <v>177.04</v>
      </c>
    </row>
    <row r="796" spans="1:14" ht="15">
      <c r="A796" s="705"/>
      <c r="B796" s="705"/>
      <c r="C796" s="722" t="s">
        <v>666</v>
      </c>
      <c r="D796" s="717">
        <v>9633.3799999999992</v>
      </c>
      <c r="E796" s="731">
        <v>10019.23</v>
      </c>
      <c r="F796" s="732">
        <v>15477.03</v>
      </c>
      <c r="G796" s="733">
        <v>12473.47</v>
      </c>
      <c r="H796" s="732">
        <v>9731.5</v>
      </c>
      <c r="I796" s="732">
        <v>7876.53</v>
      </c>
      <c r="J796" s="717">
        <v>119.52</v>
      </c>
      <c r="K796" s="733">
        <v>1242.8</v>
      </c>
      <c r="L796" s="732">
        <v>313.7</v>
      </c>
      <c r="M796" s="732">
        <v>3151.03</v>
      </c>
      <c r="N796" s="732">
        <v>178.2</v>
      </c>
    </row>
    <row r="797" spans="1:14" ht="15">
      <c r="A797" s="705"/>
      <c r="B797" s="705"/>
      <c r="C797" s="722" t="s">
        <v>667</v>
      </c>
      <c r="D797" s="717">
        <v>9651.5</v>
      </c>
      <c r="E797" s="731">
        <v>10081.49</v>
      </c>
      <c r="F797" s="732">
        <v>15484.02</v>
      </c>
      <c r="G797" s="733">
        <v>12494.57</v>
      </c>
      <c r="H797" s="732">
        <v>9718.6200000000008</v>
      </c>
      <c r="I797" s="732">
        <v>7898.61</v>
      </c>
      <c r="J797" s="717">
        <v>117.91</v>
      </c>
      <c r="K797" s="733">
        <v>1245.26</v>
      </c>
      <c r="L797" s="732">
        <v>314.61</v>
      </c>
      <c r="M797" s="732">
        <v>3157.89</v>
      </c>
      <c r="N797" s="732">
        <v>176.6</v>
      </c>
    </row>
    <row r="798" spans="1:14" ht="15">
      <c r="A798" s="705"/>
      <c r="B798" s="715" t="s">
        <v>631</v>
      </c>
      <c r="C798" s="722"/>
      <c r="D798" s="717"/>
      <c r="E798" s="710"/>
      <c r="F798" s="705"/>
      <c r="G798" s="706"/>
      <c r="H798" s="705"/>
      <c r="I798" s="705"/>
      <c r="J798" s="718"/>
      <c r="K798" s="706"/>
      <c r="L798" s="705"/>
      <c r="M798" s="705"/>
      <c r="N798" s="705"/>
    </row>
    <row r="799" spans="1:14" ht="15">
      <c r="A799" s="705"/>
      <c r="B799" s="705"/>
      <c r="C799" s="727" t="s">
        <v>668</v>
      </c>
      <c r="D799" s="717">
        <v>9080.2000000000007</v>
      </c>
      <c r="E799" s="731">
        <v>9384.61</v>
      </c>
      <c r="F799" s="732">
        <v>14080.79</v>
      </c>
      <c r="G799" s="733">
        <v>11734.04</v>
      </c>
      <c r="H799" s="732">
        <v>8944.06</v>
      </c>
      <c r="I799" s="732">
        <v>7068.77</v>
      </c>
      <c r="J799" s="717">
        <v>117.64</v>
      </c>
      <c r="K799" s="733">
        <v>1169.1099999999999</v>
      </c>
      <c r="L799" s="732">
        <v>287.58</v>
      </c>
      <c r="M799" s="732">
        <v>2902.22</v>
      </c>
      <c r="N799" s="732">
        <v>175.5</v>
      </c>
    </row>
    <row r="800" spans="1:14" ht="15">
      <c r="A800" s="705"/>
      <c r="B800" s="705"/>
      <c r="C800" s="727" t="s">
        <v>669</v>
      </c>
      <c r="D800" s="717">
        <v>9006.5</v>
      </c>
      <c r="E800" s="731">
        <v>9640.42</v>
      </c>
      <c r="F800" s="732">
        <v>14200.78</v>
      </c>
      <c r="G800" s="733">
        <v>11871.16</v>
      </c>
      <c r="H800" s="732">
        <v>9021.1200000000008</v>
      </c>
      <c r="I800" s="732">
        <v>7177.23</v>
      </c>
      <c r="J800" s="717">
        <v>115.63</v>
      </c>
      <c r="K800" s="733">
        <v>1161.3699999999999</v>
      </c>
      <c r="L800" s="732">
        <v>292.33999999999997</v>
      </c>
      <c r="M800" s="732">
        <v>2973.77</v>
      </c>
      <c r="N800" s="732">
        <v>182.68</v>
      </c>
    </row>
    <row r="801" spans="1:14" ht="15">
      <c r="A801" s="705"/>
      <c r="B801" s="705"/>
      <c r="C801" s="727" t="s">
        <v>670</v>
      </c>
      <c r="D801" s="717">
        <v>9147.25</v>
      </c>
      <c r="E801" s="731">
        <v>9692.2000000000007</v>
      </c>
      <c r="F801" s="732">
        <v>14458.9</v>
      </c>
      <c r="G801" s="733">
        <v>12093.32</v>
      </c>
      <c r="H801" s="732">
        <v>9215.98</v>
      </c>
      <c r="I801" s="732">
        <v>7269.12</v>
      </c>
      <c r="J801" s="717">
        <v>111.34</v>
      </c>
      <c r="K801" s="733">
        <v>1178.67</v>
      </c>
      <c r="L801" s="732">
        <v>298.47000000000003</v>
      </c>
      <c r="M801" s="732">
        <v>3013.73</v>
      </c>
      <c r="N801" s="732">
        <v>183.14</v>
      </c>
    </row>
    <row r="802" spans="1:14" ht="15">
      <c r="A802" s="705"/>
      <c r="B802" s="705"/>
      <c r="C802" s="727" t="s">
        <v>671</v>
      </c>
      <c r="D802" s="717">
        <v>9175.4</v>
      </c>
      <c r="E802" s="731">
        <v>9505.06</v>
      </c>
      <c r="F802" s="732">
        <v>14667.84</v>
      </c>
      <c r="G802" s="733">
        <v>12110.39</v>
      </c>
      <c r="H802" s="732">
        <v>9233.2099999999991</v>
      </c>
      <c r="I802" s="732">
        <v>7321.92</v>
      </c>
      <c r="J802" s="717">
        <v>112.34</v>
      </c>
      <c r="K802" s="733">
        <v>1181.8599999999999</v>
      </c>
      <c r="L802" s="732">
        <v>297.23</v>
      </c>
      <c r="M802" s="732">
        <v>2994.26</v>
      </c>
      <c r="N802" s="732">
        <v>178.03</v>
      </c>
    </row>
    <row r="803" spans="1:14" ht="15">
      <c r="A803" s="705"/>
      <c r="B803" s="705"/>
      <c r="C803" s="727" t="s">
        <v>672</v>
      </c>
      <c r="D803" s="717">
        <v>9242.5</v>
      </c>
      <c r="E803" s="731">
        <v>9294.01</v>
      </c>
      <c r="F803" s="732">
        <v>14820.67</v>
      </c>
      <c r="G803" s="733">
        <v>11936.7</v>
      </c>
      <c r="H803" s="732">
        <v>9213.4500000000007</v>
      </c>
      <c r="I803" s="732">
        <v>7364.97</v>
      </c>
      <c r="J803" s="717">
        <v>115.73</v>
      </c>
      <c r="K803" s="733">
        <v>1190.54</v>
      </c>
      <c r="L803" s="732">
        <v>296.45</v>
      </c>
      <c r="M803" s="732">
        <v>3002.63</v>
      </c>
      <c r="N803" s="732">
        <v>171.45</v>
      </c>
    </row>
    <row r="804" spans="1:14" ht="15">
      <c r="A804" s="705"/>
      <c r="B804" s="705"/>
      <c r="C804" s="727" t="s">
        <v>673</v>
      </c>
      <c r="D804" s="717">
        <v>9430</v>
      </c>
      <c r="E804" s="731">
        <v>9355.73</v>
      </c>
      <c r="F804" s="732">
        <v>14657.94</v>
      </c>
      <c r="G804" s="733">
        <v>11815.83</v>
      </c>
      <c r="H804" s="732">
        <v>9176.11</v>
      </c>
      <c r="I804" s="732">
        <v>7369.31</v>
      </c>
      <c r="J804" s="717">
        <v>118.96</v>
      </c>
      <c r="K804" s="733">
        <v>1215.1099999999999</v>
      </c>
      <c r="L804" s="732">
        <v>298.10000000000002</v>
      </c>
      <c r="M804" s="732">
        <v>2971.55</v>
      </c>
      <c r="N804" s="732">
        <v>169.1</v>
      </c>
    </row>
    <row r="805" spans="1:14" ht="15">
      <c r="A805" s="705"/>
      <c r="B805" s="705"/>
      <c r="C805" s="727" t="s">
        <v>674</v>
      </c>
      <c r="D805" s="717">
        <v>9458</v>
      </c>
      <c r="E805" s="731">
        <v>9675.73</v>
      </c>
      <c r="F805" s="732">
        <v>14740.05</v>
      </c>
      <c r="G805" s="733">
        <v>11678.14</v>
      </c>
      <c r="H805" s="732">
        <v>9290.35</v>
      </c>
      <c r="I805" s="732">
        <v>7471.72</v>
      </c>
      <c r="J805" s="717">
        <v>119.53</v>
      </c>
      <c r="K805" s="733">
        <v>1219.25</v>
      </c>
      <c r="L805" s="732">
        <v>298.51</v>
      </c>
      <c r="M805" s="732">
        <v>2979.29</v>
      </c>
      <c r="N805" s="732">
        <v>169.69</v>
      </c>
    </row>
    <row r="806" spans="1:14" ht="15">
      <c r="A806" s="705"/>
      <c r="B806" s="705"/>
      <c r="C806" s="727" t="s">
        <v>675</v>
      </c>
      <c r="D806" s="717">
        <v>9481</v>
      </c>
      <c r="E806" s="731">
        <v>9989.8799999999992</v>
      </c>
      <c r="F806" s="732">
        <v>14857.6</v>
      </c>
      <c r="G806" s="733">
        <v>11693.5</v>
      </c>
      <c r="H806" s="732">
        <v>9505.43</v>
      </c>
      <c r="I806" s="732">
        <v>7617</v>
      </c>
      <c r="J806" s="717">
        <v>121.02</v>
      </c>
      <c r="K806" s="733">
        <v>1222.3900000000001</v>
      </c>
      <c r="L806" s="732">
        <v>301.01</v>
      </c>
      <c r="M806" s="732">
        <v>3039.15</v>
      </c>
      <c r="N806" s="732">
        <v>170.89</v>
      </c>
    </row>
    <row r="807" spans="1:14" ht="15">
      <c r="A807" s="705"/>
      <c r="B807" s="705"/>
      <c r="C807" s="727" t="s">
        <v>676</v>
      </c>
      <c r="D807" s="717">
        <v>9565</v>
      </c>
      <c r="E807" s="731">
        <v>9913.26</v>
      </c>
      <c r="F807" s="732">
        <v>15300.97</v>
      </c>
      <c r="G807" s="733">
        <v>12195.82</v>
      </c>
      <c r="H807" s="732">
        <v>9741.86</v>
      </c>
      <c r="I807" s="732">
        <v>7722.24</v>
      </c>
      <c r="J807" s="717">
        <v>121.97</v>
      </c>
      <c r="K807" s="733">
        <v>1233.3399999999999</v>
      </c>
      <c r="L807" s="732">
        <v>307.51</v>
      </c>
      <c r="M807" s="732">
        <v>3088.59</v>
      </c>
      <c r="N807" s="732">
        <v>173.27</v>
      </c>
    </row>
    <row r="808" spans="1:14" ht="15">
      <c r="A808" s="705"/>
      <c r="B808" s="705"/>
      <c r="C808" s="727" t="s">
        <v>677</v>
      </c>
      <c r="D808" s="717">
        <v>9604.4</v>
      </c>
      <c r="E808" s="731">
        <v>9919.61</v>
      </c>
      <c r="F808" s="732">
        <v>15465.86</v>
      </c>
      <c r="G808" s="733">
        <v>12439.7</v>
      </c>
      <c r="H808" s="732">
        <v>9752.1</v>
      </c>
      <c r="I808" s="732">
        <v>7841.21</v>
      </c>
      <c r="J808" s="717">
        <v>122.11</v>
      </c>
      <c r="K808" s="733">
        <v>1238.8599999999999</v>
      </c>
      <c r="L808" s="732">
        <v>312.23</v>
      </c>
      <c r="M808" s="732">
        <v>3140.06</v>
      </c>
      <c r="N808" s="732">
        <v>180.75</v>
      </c>
    </row>
    <row r="809" spans="1:14" ht="15">
      <c r="A809" s="705"/>
      <c r="B809" s="705"/>
      <c r="C809" s="727" t="s">
        <v>678</v>
      </c>
      <c r="D809" s="717">
        <v>9632.5</v>
      </c>
      <c r="E809" s="731">
        <v>10015.870000000001</v>
      </c>
      <c r="F809" s="732">
        <v>15377.32</v>
      </c>
      <c r="G809" s="733">
        <v>12352.15</v>
      </c>
      <c r="H809" s="732">
        <v>9654.75</v>
      </c>
      <c r="I809" s="732">
        <v>7872.53</v>
      </c>
      <c r="J809" s="717">
        <v>119.29</v>
      </c>
      <c r="K809" s="733">
        <v>1242.76</v>
      </c>
      <c r="L809" s="732">
        <v>313.69</v>
      </c>
      <c r="M809" s="732">
        <v>3148.03</v>
      </c>
      <c r="N809" s="732">
        <v>176.04</v>
      </c>
    </row>
    <row r="810" spans="1:14" ht="15">
      <c r="A810" s="705"/>
      <c r="B810" s="705"/>
      <c r="C810" s="727" t="s">
        <v>679</v>
      </c>
      <c r="D810" s="717">
        <v>9670.5</v>
      </c>
      <c r="E810" s="731">
        <v>10147.1</v>
      </c>
      <c r="F810" s="732">
        <v>15590.72</v>
      </c>
      <c r="G810" s="733">
        <v>12637</v>
      </c>
      <c r="H810" s="732">
        <v>9782.49</v>
      </c>
      <c r="I810" s="732">
        <v>7924.69</v>
      </c>
      <c r="J810" s="717">
        <v>116.53</v>
      </c>
      <c r="K810" s="733">
        <v>1247.77</v>
      </c>
      <c r="L810" s="732">
        <v>315.54000000000002</v>
      </c>
      <c r="M810" s="732">
        <v>3167.74</v>
      </c>
      <c r="N810" s="732">
        <v>177.17</v>
      </c>
    </row>
    <row r="811" spans="1:14" ht="15">
      <c r="A811" s="705"/>
      <c r="B811" s="705"/>
      <c r="C811" s="727"/>
      <c r="D811" s="717"/>
      <c r="E811" s="710"/>
      <c r="F811" s="705"/>
      <c r="G811" s="706"/>
      <c r="H811" s="705"/>
      <c r="I811" s="705"/>
      <c r="J811" s="726"/>
      <c r="K811" s="706"/>
      <c r="L811" s="705"/>
      <c r="M811" s="705"/>
      <c r="N811" s="705"/>
    </row>
    <row r="812" spans="1:14" ht="15">
      <c r="A812" s="715" t="s">
        <v>680</v>
      </c>
      <c r="B812" s="705"/>
      <c r="C812" s="719"/>
      <c r="D812" s="717"/>
      <c r="E812" s="710"/>
      <c r="F812" s="705"/>
      <c r="G812" s="706"/>
      <c r="H812" s="705"/>
      <c r="I812" s="705"/>
      <c r="J812" s="718"/>
      <c r="K812" s="706"/>
      <c r="L812" s="705"/>
      <c r="M812" s="705"/>
      <c r="N812" s="705"/>
    </row>
    <row r="813" spans="1:14" ht="15">
      <c r="A813" s="705"/>
      <c r="B813" s="715" t="s">
        <v>645</v>
      </c>
      <c r="C813" s="719"/>
      <c r="D813" s="717"/>
      <c r="E813" s="710"/>
      <c r="F813" s="705"/>
      <c r="G813" s="706"/>
      <c r="H813" s="705"/>
      <c r="I813" s="705"/>
      <c r="J813" s="718"/>
      <c r="K813" s="706"/>
      <c r="L813" s="705"/>
      <c r="M813" s="705"/>
      <c r="N813" s="705"/>
    </row>
    <row r="814" spans="1:14" ht="15">
      <c r="A814" s="705"/>
      <c r="B814" s="705"/>
      <c r="C814" s="719">
        <v>41275</v>
      </c>
      <c r="D814" s="734">
        <v>9708</v>
      </c>
      <c r="E814" s="720">
        <v>10196.51</v>
      </c>
      <c r="F814" s="720">
        <v>15775.11</v>
      </c>
      <c r="G814" s="720">
        <v>12826.99</v>
      </c>
      <c r="H814" s="720">
        <v>9837.26</v>
      </c>
      <c r="I814" s="720">
        <v>7964.17</v>
      </c>
      <c r="J814" s="726">
        <v>115.39</v>
      </c>
      <c r="K814" s="720">
        <v>1252.6300000000001</v>
      </c>
      <c r="L814" s="720">
        <v>317.07</v>
      </c>
      <c r="M814" s="720">
        <v>3175.66</v>
      </c>
      <c r="N814" s="720">
        <v>177.22</v>
      </c>
    </row>
    <row r="815" spans="1:14" ht="15">
      <c r="A815" s="705"/>
      <c r="B815" s="705"/>
      <c r="C815" s="719">
        <v>41276</v>
      </c>
      <c r="D815" s="717">
        <v>9771</v>
      </c>
      <c r="E815" s="720">
        <v>10140.32</v>
      </c>
      <c r="F815" s="720">
        <v>15782.06</v>
      </c>
      <c r="G815" s="720">
        <v>12922.6</v>
      </c>
      <c r="H815" s="720">
        <v>9835.1200000000008</v>
      </c>
      <c r="I815" s="720">
        <v>7996.1</v>
      </c>
      <c r="J815" s="726">
        <v>114.47</v>
      </c>
      <c r="K815" s="720">
        <v>1260.55</v>
      </c>
      <c r="L815" s="720">
        <v>318.99</v>
      </c>
      <c r="M815" s="720">
        <v>3188.42</v>
      </c>
      <c r="N815" s="720">
        <v>177.95</v>
      </c>
    </row>
    <row r="816" spans="1:14" ht="15">
      <c r="A816" s="705"/>
      <c r="B816" s="705"/>
      <c r="C816" s="719">
        <v>41277</v>
      </c>
      <c r="D816" s="717">
        <v>9771</v>
      </c>
      <c r="E816" s="720">
        <v>10140.32</v>
      </c>
      <c r="F816" s="720">
        <v>15782.06</v>
      </c>
      <c r="G816" s="720">
        <v>12922.6</v>
      </c>
      <c r="H816" s="720">
        <v>9835.1200000000008</v>
      </c>
      <c r="I816" s="720">
        <v>7996.1</v>
      </c>
      <c r="J816" s="726">
        <v>114.47</v>
      </c>
      <c r="K816" s="720">
        <v>1260.55</v>
      </c>
      <c r="L816" s="720">
        <v>318.99</v>
      </c>
      <c r="M816" s="720">
        <v>3188.42</v>
      </c>
      <c r="N816" s="720">
        <v>177.95</v>
      </c>
    </row>
    <row r="817" spans="1:14" ht="15">
      <c r="A817" s="705"/>
      <c r="B817" s="705"/>
      <c r="C817" s="719">
        <v>41278</v>
      </c>
      <c r="D817" s="717">
        <v>9771</v>
      </c>
      <c r="E817" s="720">
        <v>10140.32</v>
      </c>
      <c r="F817" s="720">
        <v>15782.06</v>
      </c>
      <c r="G817" s="720">
        <v>12922.6</v>
      </c>
      <c r="H817" s="720">
        <v>9835.1200000000008</v>
      </c>
      <c r="I817" s="720">
        <v>7996.1</v>
      </c>
      <c r="J817" s="726">
        <v>114.47</v>
      </c>
      <c r="K817" s="720">
        <v>1260.55</v>
      </c>
      <c r="L817" s="720">
        <v>318.99</v>
      </c>
      <c r="M817" s="720">
        <v>3188.42</v>
      </c>
      <c r="N817" s="720">
        <v>177.95</v>
      </c>
    </row>
    <row r="818" spans="1:14" ht="15">
      <c r="A818" s="705"/>
      <c r="B818" s="705"/>
      <c r="C818" s="719">
        <v>41279</v>
      </c>
      <c r="D818" s="717">
        <v>9771</v>
      </c>
      <c r="E818" s="720">
        <v>10140.32</v>
      </c>
      <c r="F818" s="720">
        <v>15782.06</v>
      </c>
      <c r="G818" s="720">
        <v>12922.6</v>
      </c>
      <c r="H818" s="720">
        <v>9835.1200000000008</v>
      </c>
      <c r="I818" s="720">
        <v>7996.1</v>
      </c>
      <c r="J818" s="726">
        <v>114.47</v>
      </c>
      <c r="K818" s="720">
        <v>1260.55</v>
      </c>
      <c r="L818" s="720">
        <v>318.99</v>
      </c>
      <c r="M818" s="720">
        <v>3188.42</v>
      </c>
      <c r="N818" s="720">
        <v>177.95</v>
      </c>
    </row>
    <row r="819" spans="1:14" ht="15">
      <c r="A819" s="705"/>
      <c r="B819" s="705"/>
      <c r="C819" s="719">
        <v>41280</v>
      </c>
      <c r="D819" s="717">
        <v>9771</v>
      </c>
      <c r="E819" s="720">
        <v>10140.32</v>
      </c>
      <c r="F819" s="720">
        <v>15782.06</v>
      </c>
      <c r="G819" s="720">
        <v>12922.6</v>
      </c>
      <c r="H819" s="720">
        <v>9835.1200000000008</v>
      </c>
      <c r="I819" s="720">
        <v>7996.1</v>
      </c>
      <c r="J819" s="726">
        <v>114.47</v>
      </c>
      <c r="K819" s="720">
        <v>1260.55</v>
      </c>
      <c r="L819" s="720">
        <v>318.99</v>
      </c>
      <c r="M819" s="720">
        <v>3188.42</v>
      </c>
      <c r="N819" s="720">
        <v>177.95</v>
      </c>
    </row>
    <row r="820" spans="1:14" ht="15">
      <c r="A820" s="705"/>
      <c r="B820" s="705"/>
      <c r="C820" s="719">
        <v>41281</v>
      </c>
      <c r="D820" s="717">
        <v>9771</v>
      </c>
      <c r="E820" s="720">
        <v>10140.32</v>
      </c>
      <c r="F820" s="720">
        <v>15782.06</v>
      </c>
      <c r="G820" s="720">
        <v>12922.6</v>
      </c>
      <c r="H820" s="720">
        <v>9835.1200000000008</v>
      </c>
      <c r="I820" s="720">
        <v>7996.1</v>
      </c>
      <c r="J820" s="726">
        <v>114.47</v>
      </c>
      <c r="K820" s="720">
        <v>1260.55</v>
      </c>
      <c r="L820" s="720">
        <v>318.99</v>
      </c>
      <c r="M820" s="720">
        <v>3188.42</v>
      </c>
      <c r="N820" s="720">
        <v>177.95</v>
      </c>
    </row>
    <row r="821" spans="1:14" ht="15">
      <c r="A821" s="705"/>
      <c r="B821" s="705"/>
      <c r="C821" s="719">
        <v>41282</v>
      </c>
      <c r="D821" s="717">
        <v>9771</v>
      </c>
      <c r="E821" s="720">
        <v>10140.32</v>
      </c>
      <c r="F821" s="720">
        <v>15782.06</v>
      </c>
      <c r="G821" s="720">
        <v>12922.6</v>
      </c>
      <c r="H821" s="720">
        <v>9835.1200000000008</v>
      </c>
      <c r="I821" s="720">
        <v>7996.1</v>
      </c>
      <c r="J821" s="726">
        <v>114.47</v>
      </c>
      <c r="K821" s="720">
        <v>1260.55</v>
      </c>
      <c r="L821" s="720">
        <v>318.99</v>
      </c>
      <c r="M821" s="720">
        <v>3188.42</v>
      </c>
      <c r="N821" s="720">
        <v>177.95</v>
      </c>
    </row>
    <row r="822" spans="1:14" ht="15">
      <c r="A822" s="705"/>
      <c r="B822" s="705"/>
      <c r="C822" s="719">
        <v>41283</v>
      </c>
      <c r="D822" s="717">
        <v>9738</v>
      </c>
      <c r="E822" s="720">
        <v>10195.450000000001</v>
      </c>
      <c r="F822" s="720">
        <v>15741.29</v>
      </c>
      <c r="G822" s="720">
        <v>12789.88</v>
      </c>
      <c r="H822" s="720">
        <v>9860.4599999999991</v>
      </c>
      <c r="I822" s="720">
        <v>7952.27</v>
      </c>
      <c r="J822" s="726">
        <v>111.43</v>
      </c>
      <c r="K822" s="720">
        <v>1256.26</v>
      </c>
      <c r="L822" s="720">
        <v>319.74</v>
      </c>
      <c r="M822" s="720">
        <v>3200.57</v>
      </c>
      <c r="N822" s="720">
        <v>178.17</v>
      </c>
    </row>
    <row r="823" spans="1:14" ht="15">
      <c r="A823" s="705"/>
      <c r="B823" s="705"/>
      <c r="C823" s="719">
        <v>41284</v>
      </c>
      <c r="D823" s="717">
        <v>9738</v>
      </c>
      <c r="E823" s="720">
        <v>10195.450000000001</v>
      </c>
      <c r="F823" s="720">
        <v>15741.29</v>
      </c>
      <c r="G823" s="720">
        <v>12789.88</v>
      </c>
      <c r="H823" s="720">
        <v>9860.4599999999991</v>
      </c>
      <c r="I823" s="720">
        <v>7952.27</v>
      </c>
      <c r="J823" s="726">
        <v>111.43</v>
      </c>
      <c r="K823" s="720">
        <v>1256.26</v>
      </c>
      <c r="L823" s="720">
        <v>319.74</v>
      </c>
      <c r="M823" s="720">
        <v>3200.57</v>
      </c>
      <c r="N823" s="720">
        <v>178.17</v>
      </c>
    </row>
    <row r="824" spans="1:14" ht="15">
      <c r="A824" s="705"/>
      <c r="B824" s="705"/>
      <c r="C824" s="719">
        <v>41285</v>
      </c>
      <c r="D824" s="717">
        <v>9738</v>
      </c>
      <c r="E824" s="720">
        <v>10195.450000000001</v>
      </c>
      <c r="F824" s="720">
        <v>15741.29</v>
      </c>
      <c r="G824" s="720">
        <v>12789.88</v>
      </c>
      <c r="H824" s="720">
        <v>9860.4599999999991</v>
      </c>
      <c r="I824" s="720">
        <v>7952.27</v>
      </c>
      <c r="J824" s="726">
        <v>111.43</v>
      </c>
      <c r="K824" s="720">
        <v>1256.26</v>
      </c>
      <c r="L824" s="720">
        <v>319.74</v>
      </c>
      <c r="M824" s="720">
        <v>3200.57</v>
      </c>
      <c r="N824" s="720">
        <v>178.17</v>
      </c>
    </row>
    <row r="825" spans="1:14" ht="15">
      <c r="A825" s="705"/>
      <c r="B825" s="705"/>
      <c r="C825" s="719">
        <v>41286</v>
      </c>
      <c r="D825" s="717">
        <v>9738</v>
      </c>
      <c r="E825" s="720">
        <v>10195.450000000001</v>
      </c>
      <c r="F825" s="720">
        <v>15741.29</v>
      </c>
      <c r="G825" s="720">
        <v>12789.88</v>
      </c>
      <c r="H825" s="720">
        <v>9860.4599999999991</v>
      </c>
      <c r="I825" s="720">
        <v>7952.27</v>
      </c>
      <c r="J825" s="726">
        <v>111.43</v>
      </c>
      <c r="K825" s="720">
        <v>1256.26</v>
      </c>
      <c r="L825" s="720">
        <v>319.74</v>
      </c>
      <c r="M825" s="720">
        <v>3200.57</v>
      </c>
      <c r="N825" s="720">
        <v>178.17</v>
      </c>
    </row>
    <row r="826" spans="1:14" ht="15">
      <c r="A826" s="705"/>
      <c r="B826" s="705"/>
      <c r="C826" s="719">
        <v>41287</v>
      </c>
      <c r="D826" s="717">
        <v>9738</v>
      </c>
      <c r="E826" s="720">
        <v>10195.450000000001</v>
      </c>
      <c r="F826" s="720">
        <v>15741.29</v>
      </c>
      <c r="G826" s="720">
        <v>12789.88</v>
      </c>
      <c r="H826" s="720">
        <v>9860.4599999999991</v>
      </c>
      <c r="I826" s="720">
        <v>7952.27</v>
      </c>
      <c r="J826" s="726">
        <v>111.43</v>
      </c>
      <c r="K826" s="720">
        <v>1256.26</v>
      </c>
      <c r="L826" s="720">
        <v>319.74</v>
      </c>
      <c r="M826" s="720">
        <v>3200.57</v>
      </c>
      <c r="N826" s="720">
        <v>178.17</v>
      </c>
    </row>
    <row r="827" spans="1:14" ht="15">
      <c r="A827" s="705"/>
      <c r="B827" s="705"/>
      <c r="C827" s="719">
        <v>41288</v>
      </c>
      <c r="D827" s="717">
        <v>9738</v>
      </c>
      <c r="E827" s="720">
        <v>10195.450000000001</v>
      </c>
      <c r="F827" s="720">
        <v>15741.29</v>
      </c>
      <c r="G827" s="720">
        <v>12789.88</v>
      </c>
      <c r="H827" s="720">
        <v>9860.4599999999991</v>
      </c>
      <c r="I827" s="720">
        <v>7952.27</v>
      </c>
      <c r="J827" s="726">
        <v>111.43</v>
      </c>
      <c r="K827" s="720">
        <v>1256.26</v>
      </c>
      <c r="L827" s="720">
        <v>319.74</v>
      </c>
      <c r="M827" s="720">
        <v>3200.57</v>
      </c>
      <c r="N827" s="720">
        <v>178.17</v>
      </c>
    </row>
    <row r="828" spans="1:14" ht="15">
      <c r="A828" s="705"/>
      <c r="B828" s="705"/>
      <c r="C828" s="719">
        <v>41289</v>
      </c>
      <c r="D828" s="717">
        <v>9738</v>
      </c>
      <c r="E828" s="720">
        <v>10195.450000000001</v>
      </c>
      <c r="F828" s="720">
        <v>15741.29</v>
      </c>
      <c r="G828" s="720">
        <v>12789.88</v>
      </c>
      <c r="H828" s="720">
        <v>9860.4599999999991</v>
      </c>
      <c r="I828" s="720">
        <v>7952.27</v>
      </c>
      <c r="J828" s="726">
        <v>111.43</v>
      </c>
      <c r="K828" s="720">
        <v>1256.26</v>
      </c>
      <c r="L828" s="720">
        <v>319.74</v>
      </c>
      <c r="M828" s="720">
        <v>3200.57</v>
      </c>
      <c r="N828" s="720">
        <v>178.17</v>
      </c>
    </row>
    <row r="829" spans="1:14" ht="15">
      <c r="A829" s="705"/>
      <c r="B829" s="705"/>
      <c r="C829" s="719">
        <v>41290</v>
      </c>
      <c r="D829" s="717">
        <v>9821</v>
      </c>
      <c r="E829" s="720">
        <v>10344.25</v>
      </c>
      <c r="F829" s="720">
        <v>15805.99</v>
      </c>
      <c r="G829" s="720">
        <v>12968.17</v>
      </c>
      <c r="H829" s="720">
        <v>9966.11</v>
      </c>
      <c r="I829" s="720">
        <v>8007.44</v>
      </c>
      <c r="J829" s="726">
        <v>111.16</v>
      </c>
      <c r="K829" s="720">
        <v>1266.9100000000001</v>
      </c>
      <c r="L829" s="720">
        <v>323.82</v>
      </c>
      <c r="M829" s="720">
        <v>3240.87</v>
      </c>
      <c r="N829" s="720">
        <v>179.3</v>
      </c>
    </row>
    <row r="830" spans="1:14" ht="15">
      <c r="A830" s="705"/>
      <c r="B830" s="705"/>
      <c r="C830" s="719">
        <v>41291</v>
      </c>
      <c r="D830" s="717">
        <v>9821</v>
      </c>
      <c r="E830" s="720">
        <v>10344.25</v>
      </c>
      <c r="F830" s="720">
        <v>15805.99</v>
      </c>
      <c r="G830" s="720">
        <v>12968.17</v>
      </c>
      <c r="H830" s="720">
        <v>9966.11</v>
      </c>
      <c r="I830" s="720">
        <v>8007.44</v>
      </c>
      <c r="J830" s="726">
        <v>111.16</v>
      </c>
      <c r="K830" s="720">
        <v>1266.9100000000001</v>
      </c>
      <c r="L830" s="720">
        <v>323.82</v>
      </c>
      <c r="M830" s="720">
        <v>3240.87</v>
      </c>
      <c r="N830" s="720">
        <v>179.3</v>
      </c>
    </row>
    <row r="831" spans="1:14" ht="15">
      <c r="A831" s="705"/>
      <c r="B831" s="705"/>
      <c r="C831" s="719">
        <v>41292</v>
      </c>
      <c r="D831" s="717">
        <v>9821</v>
      </c>
      <c r="E831" s="720">
        <v>10344.25</v>
      </c>
      <c r="F831" s="720">
        <v>15805.99</v>
      </c>
      <c r="G831" s="720">
        <v>12968.17</v>
      </c>
      <c r="H831" s="720">
        <v>9966.11</v>
      </c>
      <c r="I831" s="720">
        <v>8007.44</v>
      </c>
      <c r="J831" s="726">
        <v>111.16</v>
      </c>
      <c r="K831" s="720">
        <v>1266.9100000000001</v>
      </c>
      <c r="L831" s="720">
        <v>323.82</v>
      </c>
      <c r="M831" s="720">
        <v>3240.87</v>
      </c>
      <c r="N831" s="720">
        <v>179.3</v>
      </c>
    </row>
    <row r="832" spans="1:14" ht="15">
      <c r="A832" s="705"/>
      <c r="B832" s="705"/>
      <c r="C832" s="719">
        <v>41293</v>
      </c>
      <c r="D832" s="717">
        <v>9821</v>
      </c>
      <c r="E832" s="720">
        <v>10344.25</v>
      </c>
      <c r="F832" s="720">
        <v>15805.99</v>
      </c>
      <c r="G832" s="720">
        <v>12968.17</v>
      </c>
      <c r="H832" s="720">
        <v>9966.11</v>
      </c>
      <c r="I832" s="720">
        <v>8007.44</v>
      </c>
      <c r="J832" s="726">
        <v>111.16</v>
      </c>
      <c r="K832" s="720">
        <v>1266.9100000000001</v>
      </c>
      <c r="L832" s="720">
        <v>323.82</v>
      </c>
      <c r="M832" s="720">
        <v>3240.87</v>
      </c>
      <c r="N832" s="720">
        <v>179.3</v>
      </c>
    </row>
    <row r="833" spans="1:14" ht="15">
      <c r="A833" s="705"/>
      <c r="B833" s="705"/>
      <c r="C833" s="719">
        <v>41294</v>
      </c>
      <c r="D833" s="717">
        <v>9821</v>
      </c>
      <c r="E833" s="720">
        <v>10344.25</v>
      </c>
      <c r="F833" s="720">
        <v>15805.99</v>
      </c>
      <c r="G833" s="720">
        <v>12968.17</v>
      </c>
      <c r="H833" s="720">
        <v>9966.11</v>
      </c>
      <c r="I833" s="720">
        <v>8007.44</v>
      </c>
      <c r="J833" s="726">
        <v>111.16</v>
      </c>
      <c r="K833" s="720">
        <v>1266.9100000000001</v>
      </c>
      <c r="L833" s="720">
        <v>323.82</v>
      </c>
      <c r="M833" s="720">
        <v>3240.87</v>
      </c>
      <c r="N833" s="720">
        <v>179.3</v>
      </c>
    </row>
    <row r="834" spans="1:14" ht="15">
      <c r="A834" s="705"/>
      <c r="B834" s="705"/>
      <c r="C834" s="719">
        <v>41295</v>
      </c>
      <c r="D834" s="717">
        <v>9821</v>
      </c>
      <c r="E834" s="720">
        <v>10344.25</v>
      </c>
      <c r="F834" s="720">
        <v>15805.99</v>
      </c>
      <c r="G834" s="720">
        <v>12968.17</v>
      </c>
      <c r="H834" s="720">
        <v>9966.11</v>
      </c>
      <c r="I834" s="720">
        <v>8007.44</v>
      </c>
      <c r="J834" s="726">
        <v>111.16</v>
      </c>
      <c r="K834" s="720">
        <v>1266.9100000000001</v>
      </c>
      <c r="L834" s="720">
        <v>323.82</v>
      </c>
      <c r="M834" s="720">
        <v>3240.87</v>
      </c>
      <c r="N834" s="720">
        <v>179.3</v>
      </c>
    </row>
    <row r="835" spans="1:14" ht="15">
      <c r="A835" s="705"/>
      <c r="B835" s="705"/>
      <c r="C835" s="719">
        <v>41296</v>
      </c>
      <c r="D835" s="717">
        <v>9821</v>
      </c>
      <c r="E835" s="720">
        <v>10344.25</v>
      </c>
      <c r="F835" s="720">
        <v>15805.99</v>
      </c>
      <c r="G835" s="720">
        <v>12968.17</v>
      </c>
      <c r="H835" s="720">
        <v>9966.11</v>
      </c>
      <c r="I835" s="720">
        <v>8007.44</v>
      </c>
      <c r="J835" s="726">
        <v>111.16</v>
      </c>
      <c r="K835" s="720">
        <v>1266.9100000000001</v>
      </c>
      <c r="L835" s="720">
        <v>323.82</v>
      </c>
      <c r="M835" s="720">
        <v>3240.87</v>
      </c>
      <c r="N835" s="720">
        <v>179.3</v>
      </c>
    </row>
    <row r="836" spans="1:14" ht="15">
      <c r="A836" s="705"/>
      <c r="B836" s="705"/>
      <c r="C836" s="719">
        <v>41297</v>
      </c>
      <c r="D836" s="717">
        <v>9763</v>
      </c>
      <c r="E836" s="720">
        <v>10290.58</v>
      </c>
      <c r="F836" s="720">
        <v>15581.82</v>
      </c>
      <c r="G836" s="720">
        <v>13005.22</v>
      </c>
      <c r="H836" s="720">
        <v>9882.18</v>
      </c>
      <c r="I836" s="720">
        <v>7961.05</v>
      </c>
      <c r="J836" s="726">
        <v>109.27</v>
      </c>
      <c r="K836" s="720">
        <v>1259.33</v>
      </c>
      <c r="L836" s="720">
        <v>327.5</v>
      </c>
      <c r="M836" s="720">
        <v>3236.21</v>
      </c>
      <c r="N836" s="720">
        <v>179.95</v>
      </c>
    </row>
    <row r="837" spans="1:14" ht="15">
      <c r="A837" s="705"/>
      <c r="B837" s="705"/>
      <c r="C837" s="719">
        <v>41298</v>
      </c>
      <c r="D837" s="717">
        <v>9763</v>
      </c>
      <c r="E837" s="720">
        <v>10290.58</v>
      </c>
      <c r="F837" s="720">
        <v>15581.82</v>
      </c>
      <c r="G837" s="720">
        <v>13005.22</v>
      </c>
      <c r="H837" s="720">
        <v>9882.18</v>
      </c>
      <c r="I837" s="720">
        <v>7961.05</v>
      </c>
      <c r="J837" s="726">
        <v>109.27</v>
      </c>
      <c r="K837" s="720">
        <v>1259.33</v>
      </c>
      <c r="L837" s="720">
        <v>327.5</v>
      </c>
      <c r="M837" s="720">
        <v>3236.21</v>
      </c>
      <c r="N837" s="720">
        <v>179.95</v>
      </c>
    </row>
    <row r="838" spans="1:14" ht="15">
      <c r="A838" s="705"/>
      <c r="B838" s="705"/>
      <c r="C838" s="719">
        <v>41299</v>
      </c>
      <c r="D838" s="717">
        <v>9763</v>
      </c>
      <c r="E838" s="720">
        <v>10290.58</v>
      </c>
      <c r="F838" s="720">
        <v>15581.82</v>
      </c>
      <c r="G838" s="720">
        <v>13005.22</v>
      </c>
      <c r="H838" s="720">
        <v>9882.18</v>
      </c>
      <c r="I838" s="720">
        <v>7961.05</v>
      </c>
      <c r="J838" s="726">
        <v>109.27</v>
      </c>
      <c r="K838" s="720">
        <v>1259.33</v>
      </c>
      <c r="L838" s="720">
        <v>327.5</v>
      </c>
      <c r="M838" s="720">
        <v>3236.21</v>
      </c>
      <c r="N838" s="720">
        <v>179.95</v>
      </c>
    </row>
    <row r="839" spans="1:14" ht="15">
      <c r="A839" s="705"/>
      <c r="B839" s="705"/>
      <c r="C839" s="719">
        <v>41300</v>
      </c>
      <c r="D839" s="717">
        <v>9763</v>
      </c>
      <c r="E839" s="720">
        <v>10290.58</v>
      </c>
      <c r="F839" s="720">
        <v>15581.82</v>
      </c>
      <c r="G839" s="720">
        <v>13005.22</v>
      </c>
      <c r="H839" s="720">
        <v>9882.18</v>
      </c>
      <c r="I839" s="720">
        <v>7961.05</v>
      </c>
      <c r="J839" s="726">
        <v>109.27</v>
      </c>
      <c r="K839" s="720">
        <v>1259.33</v>
      </c>
      <c r="L839" s="720">
        <v>327.5</v>
      </c>
      <c r="M839" s="720">
        <v>3236.21</v>
      </c>
      <c r="N839" s="720">
        <v>179.95</v>
      </c>
    </row>
    <row r="840" spans="1:14" ht="15">
      <c r="A840" s="705"/>
      <c r="B840" s="705"/>
      <c r="C840" s="719">
        <v>41301</v>
      </c>
      <c r="D840" s="717">
        <v>9763</v>
      </c>
      <c r="E840" s="720">
        <v>10290.58</v>
      </c>
      <c r="F840" s="720">
        <v>15581.82</v>
      </c>
      <c r="G840" s="720">
        <v>13005.22</v>
      </c>
      <c r="H840" s="720">
        <v>9882.18</v>
      </c>
      <c r="I840" s="720">
        <v>7961.05</v>
      </c>
      <c r="J840" s="726">
        <v>109.27</v>
      </c>
      <c r="K840" s="720">
        <v>1259.33</v>
      </c>
      <c r="L840" s="720">
        <v>327.5</v>
      </c>
      <c r="M840" s="720">
        <v>3236.21</v>
      </c>
      <c r="N840" s="720">
        <v>179.95</v>
      </c>
    </row>
    <row r="841" spans="1:14" ht="15">
      <c r="A841" s="705"/>
      <c r="B841" s="705"/>
      <c r="C841" s="719">
        <v>41302</v>
      </c>
      <c r="D841" s="717">
        <v>9763</v>
      </c>
      <c r="E841" s="720">
        <v>10290.58</v>
      </c>
      <c r="F841" s="720">
        <v>15581.82</v>
      </c>
      <c r="G841" s="720">
        <v>13005.22</v>
      </c>
      <c r="H841" s="720">
        <v>9882.18</v>
      </c>
      <c r="I841" s="720">
        <v>7961.05</v>
      </c>
      <c r="J841" s="726">
        <v>109.27</v>
      </c>
      <c r="K841" s="720">
        <v>1259.33</v>
      </c>
      <c r="L841" s="720">
        <v>327.5</v>
      </c>
      <c r="M841" s="720">
        <v>3236.21</v>
      </c>
      <c r="N841" s="720">
        <v>179.95</v>
      </c>
    </row>
    <row r="842" spans="1:14" ht="15">
      <c r="A842" s="705"/>
      <c r="B842" s="705"/>
      <c r="C842" s="719">
        <v>41303</v>
      </c>
      <c r="D842" s="717">
        <v>9763</v>
      </c>
      <c r="E842" s="720">
        <v>10290.58</v>
      </c>
      <c r="F842" s="720">
        <v>15581.82</v>
      </c>
      <c r="G842" s="720">
        <v>13005.22</v>
      </c>
      <c r="H842" s="720">
        <v>9882.18</v>
      </c>
      <c r="I842" s="720">
        <v>7961.05</v>
      </c>
      <c r="J842" s="726">
        <v>109.27</v>
      </c>
      <c r="K842" s="720">
        <v>1259.33</v>
      </c>
      <c r="L842" s="720">
        <v>327.5</v>
      </c>
      <c r="M842" s="720">
        <v>3236.21</v>
      </c>
      <c r="N842" s="720">
        <v>179.95</v>
      </c>
    </row>
    <row r="843" spans="1:14" ht="15">
      <c r="A843" s="705"/>
      <c r="B843" s="705"/>
      <c r="C843" s="719">
        <v>41304</v>
      </c>
      <c r="D843" s="717">
        <v>9666</v>
      </c>
      <c r="E843" s="720">
        <v>10133.61</v>
      </c>
      <c r="F843" s="720">
        <v>15277.83</v>
      </c>
      <c r="G843" s="720">
        <v>12939.53</v>
      </c>
      <c r="H843" s="720">
        <v>9651.32</v>
      </c>
      <c r="I843" s="720">
        <v>7854.64</v>
      </c>
      <c r="J843" s="726">
        <v>107.49</v>
      </c>
      <c r="K843" s="720">
        <v>1246.55</v>
      </c>
      <c r="L843" s="720">
        <v>323.89</v>
      </c>
      <c r="M843" s="720">
        <v>3173</v>
      </c>
      <c r="N843" s="720">
        <v>179.92</v>
      </c>
    </row>
    <row r="844" spans="1:14" ht="15">
      <c r="A844" s="705"/>
      <c r="B844" s="705"/>
      <c r="C844" s="719">
        <v>41305</v>
      </c>
      <c r="D844" s="717">
        <v>9666</v>
      </c>
      <c r="E844" s="720">
        <v>10133.61</v>
      </c>
      <c r="F844" s="720">
        <v>15277.83</v>
      </c>
      <c r="G844" s="720">
        <v>12939.53</v>
      </c>
      <c r="H844" s="720">
        <v>9651.32</v>
      </c>
      <c r="I844" s="720">
        <v>7854.64</v>
      </c>
      <c r="J844" s="726">
        <v>107.49</v>
      </c>
      <c r="K844" s="720">
        <v>1246.55</v>
      </c>
      <c r="L844" s="720">
        <v>323.89</v>
      </c>
      <c r="M844" s="720">
        <v>3173</v>
      </c>
      <c r="N844" s="720">
        <v>179.92</v>
      </c>
    </row>
    <row r="845" spans="1:14" ht="15">
      <c r="A845" s="705"/>
      <c r="B845" s="705"/>
      <c r="C845" s="719">
        <v>41306</v>
      </c>
      <c r="D845" s="717">
        <v>9666</v>
      </c>
      <c r="E845" s="720">
        <v>10133.61</v>
      </c>
      <c r="F845" s="720">
        <v>15277.83</v>
      </c>
      <c r="G845" s="720">
        <v>12939.53</v>
      </c>
      <c r="H845" s="720">
        <v>9651.32</v>
      </c>
      <c r="I845" s="720">
        <v>7854.64</v>
      </c>
      <c r="J845" s="726">
        <v>107.49</v>
      </c>
      <c r="K845" s="720">
        <v>1246.55</v>
      </c>
      <c r="L845" s="720">
        <v>323.89</v>
      </c>
      <c r="M845" s="720">
        <v>3173</v>
      </c>
      <c r="N845" s="720">
        <v>179.92</v>
      </c>
    </row>
    <row r="846" spans="1:14" ht="15">
      <c r="A846" s="705"/>
      <c r="B846" s="705"/>
      <c r="C846" s="719">
        <v>41307</v>
      </c>
      <c r="D846" s="717">
        <v>9666</v>
      </c>
      <c r="E846" s="720">
        <v>10133.61</v>
      </c>
      <c r="F846" s="720">
        <v>15277.83</v>
      </c>
      <c r="G846" s="720">
        <v>12939.53</v>
      </c>
      <c r="H846" s="720">
        <v>9651.32</v>
      </c>
      <c r="I846" s="720">
        <v>7854.64</v>
      </c>
      <c r="J846" s="726">
        <v>107.49</v>
      </c>
      <c r="K846" s="720">
        <v>1246.55</v>
      </c>
      <c r="L846" s="720">
        <v>323.89</v>
      </c>
      <c r="M846" s="720">
        <v>3173</v>
      </c>
      <c r="N846" s="720">
        <v>179.92</v>
      </c>
    </row>
    <row r="847" spans="1:14" ht="15">
      <c r="A847" s="705"/>
      <c r="B847" s="705"/>
      <c r="C847" s="719">
        <v>41308</v>
      </c>
      <c r="D847" s="717">
        <v>9666</v>
      </c>
      <c r="E847" s="720">
        <v>10133.61</v>
      </c>
      <c r="F847" s="720">
        <v>15277.83</v>
      </c>
      <c r="G847" s="720">
        <v>12939.53</v>
      </c>
      <c r="H847" s="720">
        <v>9651.32</v>
      </c>
      <c r="I847" s="720">
        <v>7854.64</v>
      </c>
      <c r="J847" s="726">
        <v>107.49</v>
      </c>
      <c r="K847" s="720">
        <v>1246.55</v>
      </c>
      <c r="L847" s="720">
        <v>323.89</v>
      </c>
      <c r="M847" s="720">
        <v>3173</v>
      </c>
      <c r="N847" s="720">
        <v>179.92</v>
      </c>
    </row>
    <row r="848" spans="1:14" ht="15">
      <c r="A848" s="705"/>
      <c r="B848" s="705"/>
      <c r="C848" s="719">
        <v>41309</v>
      </c>
      <c r="D848" s="717">
        <v>9666</v>
      </c>
      <c r="E848" s="720">
        <v>10133.61</v>
      </c>
      <c r="F848" s="720">
        <v>15277.83</v>
      </c>
      <c r="G848" s="720">
        <v>12939.53</v>
      </c>
      <c r="H848" s="720">
        <v>9651.32</v>
      </c>
      <c r="I848" s="720">
        <v>7854.64</v>
      </c>
      <c r="J848" s="726">
        <v>107.49</v>
      </c>
      <c r="K848" s="720">
        <v>1246.55</v>
      </c>
      <c r="L848" s="720">
        <v>323.89</v>
      </c>
      <c r="M848" s="720">
        <v>3173</v>
      </c>
      <c r="N848" s="720">
        <v>179.92</v>
      </c>
    </row>
    <row r="849" spans="1:14" ht="15">
      <c r="A849" s="705"/>
      <c r="B849" s="705"/>
      <c r="C849" s="719">
        <v>41310</v>
      </c>
      <c r="D849" s="717">
        <v>9666</v>
      </c>
      <c r="E849" s="720">
        <v>10133.61</v>
      </c>
      <c r="F849" s="720">
        <v>15277.83</v>
      </c>
      <c r="G849" s="720">
        <v>12939.53</v>
      </c>
      <c r="H849" s="720">
        <v>9651.32</v>
      </c>
      <c r="I849" s="720">
        <v>7854.64</v>
      </c>
      <c r="J849" s="726">
        <v>107.49</v>
      </c>
      <c r="K849" s="720">
        <v>1246.55</v>
      </c>
      <c r="L849" s="720">
        <v>323.89</v>
      </c>
      <c r="M849" s="720">
        <v>3173</v>
      </c>
      <c r="N849" s="720">
        <v>179.92</v>
      </c>
    </row>
    <row r="850" spans="1:14" ht="15">
      <c r="A850" s="705"/>
      <c r="B850" s="705"/>
      <c r="C850" s="719">
        <v>41311</v>
      </c>
      <c r="D850" s="717">
        <v>9705</v>
      </c>
      <c r="E850" s="720">
        <v>10119</v>
      </c>
      <c r="F850" s="720">
        <v>15271.86</v>
      </c>
      <c r="G850" s="720">
        <v>13160.68</v>
      </c>
      <c r="H850" s="720">
        <v>9695.49</v>
      </c>
      <c r="I850" s="720">
        <v>7839.22</v>
      </c>
      <c r="J850" s="726">
        <v>105.89</v>
      </c>
      <c r="K850" s="720">
        <v>1251.06</v>
      </c>
      <c r="L850" s="720">
        <v>325.69</v>
      </c>
      <c r="M850" s="720">
        <v>3132.91</v>
      </c>
      <c r="N850" s="720">
        <v>181.82</v>
      </c>
    </row>
    <row r="851" spans="1:14" ht="15">
      <c r="A851" s="705"/>
      <c r="B851" s="705"/>
      <c r="C851" s="719">
        <v>41312</v>
      </c>
      <c r="D851" s="717">
        <v>9705</v>
      </c>
      <c r="E851" s="720">
        <v>10119</v>
      </c>
      <c r="F851" s="720">
        <v>15271.86</v>
      </c>
      <c r="G851" s="720">
        <v>13160.68</v>
      </c>
      <c r="H851" s="720">
        <v>9695.49</v>
      </c>
      <c r="I851" s="720">
        <v>7839.22</v>
      </c>
      <c r="J851" s="726">
        <v>105.89</v>
      </c>
      <c r="K851" s="720">
        <v>1251.06</v>
      </c>
      <c r="L851" s="720">
        <v>325.69</v>
      </c>
      <c r="M851" s="720">
        <v>3132.91</v>
      </c>
      <c r="N851" s="720">
        <v>181.82</v>
      </c>
    </row>
    <row r="852" spans="1:14" ht="15">
      <c r="A852" s="705"/>
      <c r="B852" s="705"/>
      <c r="C852" s="719">
        <v>41313</v>
      </c>
      <c r="D852" s="717">
        <v>9705</v>
      </c>
      <c r="E852" s="720">
        <v>10119</v>
      </c>
      <c r="F852" s="720">
        <v>15271.86</v>
      </c>
      <c r="G852" s="720">
        <v>13160.68</v>
      </c>
      <c r="H852" s="720">
        <v>9695.49</v>
      </c>
      <c r="I852" s="720">
        <v>7839.22</v>
      </c>
      <c r="J852" s="726">
        <v>105.89</v>
      </c>
      <c r="K852" s="720">
        <v>1251.06</v>
      </c>
      <c r="L852" s="720">
        <v>325.69</v>
      </c>
      <c r="M852" s="720">
        <v>3132.91</v>
      </c>
      <c r="N852" s="720">
        <v>181.82</v>
      </c>
    </row>
    <row r="853" spans="1:14" ht="15">
      <c r="A853" s="705"/>
      <c r="B853" s="705"/>
      <c r="C853" s="719">
        <v>41314</v>
      </c>
      <c r="D853" s="717">
        <v>9705</v>
      </c>
      <c r="E853" s="720">
        <v>10119</v>
      </c>
      <c r="F853" s="720">
        <v>15271.86</v>
      </c>
      <c r="G853" s="720">
        <v>13160.68</v>
      </c>
      <c r="H853" s="720">
        <v>9695.49</v>
      </c>
      <c r="I853" s="720">
        <v>7839.22</v>
      </c>
      <c r="J853" s="726">
        <v>105.89</v>
      </c>
      <c r="K853" s="720">
        <v>1251.06</v>
      </c>
      <c r="L853" s="720">
        <v>325.69</v>
      </c>
      <c r="M853" s="720">
        <v>3132.91</v>
      </c>
      <c r="N853" s="720">
        <v>181.82</v>
      </c>
    </row>
    <row r="854" spans="1:14" ht="15">
      <c r="A854" s="705"/>
      <c r="B854" s="705"/>
      <c r="C854" s="719">
        <v>41315</v>
      </c>
      <c r="D854" s="717">
        <v>9705</v>
      </c>
      <c r="E854" s="720">
        <v>10119</v>
      </c>
      <c r="F854" s="720">
        <v>15271.86</v>
      </c>
      <c r="G854" s="720">
        <v>13160.68</v>
      </c>
      <c r="H854" s="720">
        <v>9695.49</v>
      </c>
      <c r="I854" s="720">
        <v>7839.22</v>
      </c>
      <c r="J854" s="726">
        <v>105.89</v>
      </c>
      <c r="K854" s="720">
        <v>1251.06</v>
      </c>
      <c r="L854" s="720">
        <v>325.69</v>
      </c>
      <c r="M854" s="720">
        <v>3132.91</v>
      </c>
      <c r="N854" s="720">
        <v>181.82</v>
      </c>
    </row>
    <row r="855" spans="1:14" ht="15">
      <c r="A855" s="705"/>
      <c r="B855" s="705"/>
      <c r="C855" s="719">
        <v>41316</v>
      </c>
      <c r="D855" s="717">
        <v>9705</v>
      </c>
      <c r="E855" s="720">
        <v>10119</v>
      </c>
      <c r="F855" s="720">
        <v>15271.86</v>
      </c>
      <c r="G855" s="720">
        <v>13160.68</v>
      </c>
      <c r="H855" s="720">
        <v>9695.49</v>
      </c>
      <c r="I855" s="720">
        <v>7839.22</v>
      </c>
      <c r="J855" s="726">
        <v>105.89</v>
      </c>
      <c r="K855" s="720">
        <v>1251.06</v>
      </c>
      <c r="L855" s="720">
        <v>325.69</v>
      </c>
      <c r="M855" s="720">
        <v>3132.91</v>
      </c>
      <c r="N855" s="720">
        <v>181.82</v>
      </c>
    </row>
    <row r="856" spans="1:14" ht="15">
      <c r="A856" s="705"/>
      <c r="B856" s="705"/>
      <c r="C856" s="719">
        <v>41317</v>
      </c>
      <c r="D856" s="717">
        <v>9705</v>
      </c>
      <c r="E856" s="720">
        <v>10119</v>
      </c>
      <c r="F856" s="720">
        <v>15271.86</v>
      </c>
      <c r="G856" s="720">
        <v>13160.68</v>
      </c>
      <c r="H856" s="720">
        <v>9695.49</v>
      </c>
      <c r="I856" s="720">
        <v>7839.22</v>
      </c>
      <c r="J856" s="726">
        <v>105.89</v>
      </c>
      <c r="K856" s="720">
        <v>1251.06</v>
      </c>
      <c r="L856" s="720">
        <v>325.69</v>
      </c>
      <c r="M856" s="720">
        <v>3132.91</v>
      </c>
      <c r="N856" s="720">
        <v>181.82</v>
      </c>
    </row>
    <row r="857" spans="1:14" ht="15">
      <c r="A857" s="705"/>
      <c r="B857" s="705"/>
      <c r="C857" s="719">
        <v>41318</v>
      </c>
      <c r="D857" s="717">
        <v>9671</v>
      </c>
      <c r="E857" s="720">
        <v>9992.64</v>
      </c>
      <c r="F857" s="720">
        <v>15234.99</v>
      </c>
      <c r="G857" s="720">
        <v>13036.04</v>
      </c>
      <c r="H857" s="720">
        <v>9679.7099999999991</v>
      </c>
      <c r="I857" s="720">
        <v>7813.02</v>
      </c>
      <c r="J857" s="726">
        <v>103.82</v>
      </c>
      <c r="K857" s="720">
        <v>1247.0899999999999</v>
      </c>
      <c r="L857" s="720">
        <v>324.81</v>
      </c>
      <c r="M857" s="720">
        <v>3124.33</v>
      </c>
      <c r="N857" s="720">
        <v>181.59</v>
      </c>
    </row>
    <row r="858" spans="1:14" ht="15">
      <c r="A858" s="705"/>
      <c r="B858" s="705"/>
      <c r="C858" s="719">
        <v>41319</v>
      </c>
      <c r="D858" s="717">
        <v>9671</v>
      </c>
      <c r="E858" s="720">
        <v>9992.64</v>
      </c>
      <c r="F858" s="720">
        <v>15234.99</v>
      </c>
      <c r="G858" s="720">
        <v>13036.04</v>
      </c>
      <c r="H858" s="720">
        <v>9679.7099999999991</v>
      </c>
      <c r="I858" s="720">
        <v>7813.02</v>
      </c>
      <c r="J858" s="726">
        <v>103.82</v>
      </c>
      <c r="K858" s="720">
        <v>1247.0899999999999</v>
      </c>
      <c r="L858" s="720">
        <v>324.81</v>
      </c>
      <c r="M858" s="720">
        <v>3124.33</v>
      </c>
      <c r="N858" s="720">
        <v>181.59</v>
      </c>
    </row>
    <row r="859" spans="1:14" ht="15">
      <c r="A859" s="705"/>
      <c r="B859" s="705"/>
      <c r="C859" s="719">
        <v>41320</v>
      </c>
      <c r="D859" s="717">
        <v>9671</v>
      </c>
      <c r="E859" s="720">
        <v>9992.64</v>
      </c>
      <c r="F859" s="720">
        <v>15234.99</v>
      </c>
      <c r="G859" s="720">
        <v>13036.04</v>
      </c>
      <c r="H859" s="720">
        <v>9679.7099999999991</v>
      </c>
      <c r="I859" s="720">
        <v>7813.02</v>
      </c>
      <c r="J859" s="726">
        <v>103.82</v>
      </c>
      <c r="K859" s="720">
        <v>1247.0899999999999</v>
      </c>
      <c r="L859" s="720">
        <v>324.81</v>
      </c>
      <c r="M859" s="720">
        <v>3124.33</v>
      </c>
      <c r="N859" s="720">
        <v>181.59</v>
      </c>
    </row>
    <row r="860" spans="1:14" ht="15">
      <c r="A860" s="705"/>
      <c r="B860" s="705"/>
      <c r="C860" s="719">
        <v>41321</v>
      </c>
      <c r="D860" s="717">
        <v>9671</v>
      </c>
      <c r="E860" s="720">
        <v>9992.64</v>
      </c>
      <c r="F860" s="720">
        <v>15234.99</v>
      </c>
      <c r="G860" s="720">
        <v>13036.04</v>
      </c>
      <c r="H860" s="720">
        <v>9679.7099999999991</v>
      </c>
      <c r="I860" s="720">
        <v>7813.02</v>
      </c>
      <c r="J860" s="726">
        <v>103.82</v>
      </c>
      <c r="K860" s="720">
        <v>1247.0899999999999</v>
      </c>
      <c r="L860" s="720">
        <v>324.81</v>
      </c>
      <c r="M860" s="720">
        <v>3124.33</v>
      </c>
      <c r="N860" s="720">
        <v>181.59</v>
      </c>
    </row>
    <row r="861" spans="1:14" ht="15">
      <c r="A861" s="705"/>
      <c r="B861" s="705"/>
      <c r="C861" s="719">
        <v>41322</v>
      </c>
      <c r="D861" s="717">
        <v>9671</v>
      </c>
      <c r="E861" s="720">
        <v>9992.64</v>
      </c>
      <c r="F861" s="720">
        <v>15234.99</v>
      </c>
      <c r="G861" s="720">
        <v>13036.04</v>
      </c>
      <c r="H861" s="720">
        <v>9679.7099999999991</v>
      </c>
      <c r="I861" s="720">
        <v>7813.02</v>
      </c>
      <c r="J861" s="726">
        <v>103.82</v>
      </c>
      <c r="K861" s="720">
        <v>1247.0899999999999</v>
      </c>
      <c r="L861" s="720">
        <v>324.81</v>
      </c>
      <c r="M861" s="720">
        <v>3124.33</v>
      </c>
      <c r="N861" s="720">
        <v>181.59</v>
      </c>
    </row>
    <row r="862" spans="1:14" ht="15">
      <c r="A862" s="705"/>
      <c r="B862" s="705"/>
      <c r="C862" s="719">
        <v>41323</v>
      </c>
      <c r="D862" s="717">
        <v>9671</v>
      </c>
      <c r="E862" s="720">
        <v>9992.64</v>
      </c>
      <c r="F862" s="720">
        <v>15234.99</v>
      </c>
      <c r="G862" s="720">
        <v>13036.04</v>
      </c>
      <c r="H862" s="720">
        <v>9679.7099999999991</v>
      </c>
      <c r="I862" s="720">
        <v>7813.02</v>
      </c>
      <c r="J862" s="726">
        <v>103.82</v>
      </c>
      <c r="K862" s="720">
        <v>1247.0899999999999</v>
      </c>
      <c r="L862" s="720">
        <v>324.81</v>
      </c>
      <c r="M862" s="720">
        <v>3124.33</v>
      </c>
      <c r="N862" s="720">
        <v>181.59</v>
      </c>
    </row>
    <row r="863" spans="1:14" ht="15">
      <c r="A863" s="705"/>
      <c r="B863" s="705"/>
      <c r="C863" s="719">
        <v>41324</v>
      </c>
      <c r="D863" s="717">
        <v>9671</v>
      </c>
      <c r="E863" s="720">
        <v>9992.64</v>
      </c>
      <c r="F863" s="720">
        <v>15234.99</v>
      </c>
      <c r="G863" s="720">
        <v>13036.04</v>
      </c>
      <c r="H863" s="720">
        <v>9679.7099999999991</v>
      </c>
      <c r="I863" s="720">
        <v>7813.02</v>
      </c>
      <c r="J863" s="726">
        <v>103.82</v>
      </c>
      <c r="K863" s="720">
        <v>1247.0899999999999</v>
      </c>
      <c r="L863" s="720">
        <v>324.81</v>
      </c>
      <c r="M863" s="720">
        <v>3124.33</v>
      </c>
      <c r="N863" s="720">
        <v>181.59</v>
      </c>
    </row>
    <row r="864" spans="1:14" ht="15">
      <c r="A864" s="705"/>
      <c r="B864" s="705"/>
      <c r="C864" s="719">
        <v>41325</v>
      </c>
      <c r="D864" s="717">
        <v>9653</v>
      </c>
      <c r="E864" s="720">
        <v>9941.0300000000007</v>
      </c>
      <c r="F864" s="720">
        <v>14991.96</v>
      </c>
      <c r="G864" s="720">
        <v>12922.78</v>
      </c>
      <c r="H864" s="720">
        <v>9598.66</v>
      </c>
      <c r="I864" s="720">
        <v>7786.02</v>
      </c>
      <c r="J864" s="726">
        <v>102.95</v>
      </c>
      <c r="K864" s="720">
        <v>1244.68</v>
      </c>
      <c r="L864" s="720">
        <v>323.25</v>
      </c>
      <c r="M864" s="720">
        <v>3118.25</v>
      </c>
      <c r="N864" s="720">
        <v>178.62</v>
      </c>
    </row>
    <row r="865" spans="1:14" ht="15">
      <c r="A865" s="705"/>
      <c r="B865" s="705"/>
      <c r="C865" s="719">
        <v>41326</v>
      </c>
      <c r="D865" s="717">
        <v>9653</v>
      </c>
      <c r="E865" s="720">
        <v>9941.0300000000007</v>
      </c>
      <c r="F865" s="720">
        <v>14991.96</v>
      </c>
      <c r="G865" s="720">
        <v>12922.78</v>
      </c>
      <c r="H865" s="720">
        <v>9598.66</v>
      </c>
      <c r="I865" s="720">
        <v>7786.02</v>
      </c>
      <c r="J865" s="726">
        <v>102.95</v>
      </c>
      <c r="K865" s="720">
        <v>1244.68</v>
      </c>
      <c r="L865" s="720">
        <v>323.25</v>
      </c>
      <c r="M865" s="720">
        <v>3118.25</v>
      </c>
      <c r="N865" s="720">
        <v>178.62</v>
      </c>
    </row>
    <row r="866" spans="1:14" ht="15">
      <c r="A866" s="705"/>
      <c r="B866" s="705"/>
      <c r="C866" s="719">
        <v>41327</v>
      </c>
      <c r="D866" s="717">
        <v>9653</v>
      </c>
      <c r="E866" s="720">
        <v>9941.0300000000007</v>
      </c>
      <c r="F866" s="720">
        <v>14991.96</v>
      </c>
      <c r="G866" s="720">
        <v>12922.78</v>
      </c>
      <c r="H866" s="720">
        <v>9598.66</v>
      </c>
      <c r="I866" s="720">
        <v>7786.02</v>
      </c>
      <c r="J866" s="726">
        <v>102.95</v>
      </c>
      <c r="K866" s="720">
        <v>1244.68</v>
      </c>
      <c r="L866" s="720">
        <v>323.25</v>
      </c>
      <c r="M866" s="720">
        <v>3118.25</v>
      </c>
      <c r="N866" s="720">
        <v>178.62</v>
      </c>
    </row>
    <row r="867" spans="1:14" ht="15">
      <c r="A867" s="705"/>
      <c r="B867" s="705"/>
      <c r="C867" s="719">
        <v>41328</v>
      </c>
      <c r="D867" s="717">
        <v>9653</v>
      </c>
      <c r="E867" s="720">
        <v>9941.0300000000007</v>
      </c>
      <c r="F867" s="720">
        <v>14991.96</v>
      </c>
      <c r="G867" s="720">
        <v>12922.78</v>
      </c>
      <c r="H867" s="720">
        <v>9598.66</v>
      </c>
      <c r="I867" s="720">
        <v>7786.02</v>
      </c>
      <c r="J867" s="726">
        <v>102.95</v>
      </c>
      <c r="K867" s="720">
        <v>1244.68</v>
      </c>
      <c r="L867" s="720">
        <v>323.25</v>
      </c>
      <c r="M867" s="720">
        <v>3118.25</v>
      </c>
      <c r="N867" s="720">
        <v>178.62</v>
      </c>
    </row>
    <row r="868" spans="1:14" ht="15">
      <c r="A868" s="705"/>
      <c r="B868" s="705"/>
      <c r="C868" s="719">
        <v>41329</v>
      </c>
      <c r="D868" s="717">
        <v>9653</v>
      </c>
      <c r="E868" s="720">
        <v>9941.0300000000007</v>
      </c>
      <c r="F868" s="720">
        <v>14991.96</v>
      </c>
      <c r="G868" s="720">
        <v>12922.78</v>
      </c>
      <c r="H868" s="720">
        <v>9598.66</v>
      </c>
      <c r="I868" s="720">
        <v>7786.02</v>
      </c>
      <c r="J868" s="726">
        <v>102.95</v>
      </c>
      <c r="K868" s="720">
        <v>1244.68</v>
      </c>
      <c r="L868" s="720">
        <v>323.25</v>
      </c>
      <c r="M868" s="720">
        <v>3118.25</v>
      </c>
      <c r="N868" s="720">
        <v>178.62</v>
      </c>
    </row>
    <row r="869" spans="1:14" ht="15">
      <c r="A869" s="705"/>
      <c r="B869" s="705"/>
      <c r="C869" s="719">
        <v>41330</v>
      </c>
      <c r="D869" s="717">
        <v>9653</v>
      </c>
      <c r="E869" s="720">
        <v>9941.0300000000007</v>
      </c>
      <c r="F869" s="720">
        <v>14991.96</v>
      </c>
      <c r="G869" s="720">
        <v>12922.78</v>
      </c>
      <c r="H869" s="720">
        <v>9598.66</v>
      </c>
      <c r="I869" s="720">
        <v>7786.02</v>
      </c>
      <c r="J869" s="726">
        <v>102.95</v>
      </c>
      <c r="K869" s="720">
        <v>1244.68</v>
      </c>
      <c r="L869" s="720">
        <v>323.25</v>
      </c>
      <c r="M869" s="720">
        <v>3118.25</v>
      </c>
      <c r="N869" s="720">
        <v>178.62</v>
      </c>
    </row>
    <row r="870" spans="1:14" ht="15">
      <c r="A870" s="705"/>
      <c r="B870" s="705"/>
      <c r="C870" s="719">
        <v>41331</v>
      </c>
      <c r="D870" s="717">
        <v>9653</v>
      </c>
      <c r="E870" s="720">
        <v>9941.0300000000007</v>
      </c>
      <c r="F870" s="720">
        <v>14991.96</v>
      </c>
      <c r="G870" s="720">
        <v>12922.78</v>
      </c>
      <c r="H870" s="720">
        <v>9598.66</v>
      </c>
      <c r="I870" s="720">
        <v>7786.02</v>
      </c>
      <c r="J870" s="726">
        <v>102.95</v>
      </c>
      <c r="K870" s="720">
        <v>1244.68</v>
      </c>
      <c r="L870" s="720">
        <v>323.25</v>
      </c>
      <c r="M870" s="720">
        <v>3118.25</v>
      </c>
      <c r="N870" s="720">
        <v>178.62</v>
      </c>
    </row>
    <row r="871" spans="1:14" ht="15">
      <c r="A871" s="705"/>
      <c r="B871" s="705"/>
      <c r="C871" s="719">
        <v>41332</v>
      </c>
      <c r="D871" s="717">
        <v>9707</v>
      </c>
      <c r="E871" s="720">
        <v>9999.3700000000008</v>
      </c>
      <c r="F871" s="720">
        <v>14815.21</v>
      </c>
      <c r="G871" s="720">
        <v>12871.48</v>
      </c>
      <c r="H871" s="720">
        <v>9533.49</v>
      </c>
      <c r="I871" s="720">
        <v>7837.07</v>
      </c>
      <c r="J871" s="726">
        <v>103.81</v>
      </c>
      <c r="K871" s="720">
        <v>1251.5899999999999</v>
      </c>
      <c r="L871" s="720">
        <v>325.11</v>
      </c>
      <c r="M871" s="720">
        <v>3129.07</v>
      </c>
      <c r="N871" s="720">
        <v>178.95</v>
      </c>
    </row>
    <row r="872" spans="1:14" ht="15">
      <c r="A872" s="705"/>
      <c r="B872" s="705"/>
      <c r="C872" s="719">
        <v>41333</v>
      </c>
      <c r="D872" s="717">
        <v>9707</v>
      </c>
      <c r="E872" s="720">
        <v>9999.3700000000008</v>
      </c>
      <c r="F872" s="720">
        <v>14815.21</v>
      </c>
      <c r="G872" s="720">
        <v>12871.48</v>
      </c>
      <c r="H872" s="720">
        <v>9533.49</v>
      </c>
      <c r="I872" s="720">
        <v>7837.07</v>
      </c>
      <c r="J872" s="726">
        <v>103.81</v>
      </c>
      <c r="K872" s="720">
        <v>1251.5899999999999</v>
      </c>
      <c r="L872" s="720">
        <v>325.11</v>
      </c>
      <c r="M872" s="720">
        <v>3129.07</v>
      </c>
      <c r="N872" s="720">
        <v>178.95</v>
      </c>
    </row>
    <row r="873" spans="1:14" ht="15">
      <c r="A873" s="705"/>
      <c r="B873" s="705"/>
      <c r="C873" s="719">
        <v>41334</v>
      </c>
      <c r="D873" s="717">
        <v>9707</v>
      </c>
      <c r="E873" s="720">
        <v>9999.3700000000008</v>
      </c>
      <c r="F873" s="720">
        <v>14815.21</v>
      </c>
      <c r="G873" s="720">
        <v>12871.48</v>
      </c>
      <c r="H873" s="720">
        <v>9533.49</v>
      </c>
      <c r="I873" s="720">
        <v>7837.07</v>
      </c>
      <c r="J873" s="726">
        <v>103.81</v>
      </c>
      <c r="K873" s="720">
        <v>1251.5899999999999</v>
      </c>
      <c r="L873" s="720">
        <v>325.11</v>
      </c>
      <c r="M873" s="720">
        <v>3129.07</v>
      </c>
      <c r="N873" s="720">
        <v>178.95</v>
      </c>
    </row>
    <row r="874" spans="1:14" ht="15">
      <c r="A874" s="705"/>
      <c r="B874" s="705"/>
      <c r="C874" s="719">
        <v>41335</v>
      </c>
      <c r="D874" s="717">
        <v>9707</v>
      </c>
      <c r="E874" s="720">
        <v>9999.3700000000008</v>
      </c>
      <c r="F874" s="720">
        <v>14815.21</v>
      </c>
      <c r="G874" s="720">
        <v>12871.48</v>
      </c>
      <c r="H874" s="720">
        <v>9533.49</v>
      </c>
      <c r="I874" s="720">
        <v>7837.07</v>
      </c>
      <c r="J874" s="726">
        <v>103.81</v>
      </c>
      <c r="K874" s="720">
        <v>1251.5899999999999</v>
      </c>
      <c r="L874" s="720">
        <v>325.11</v>
      </c>
      <c r="M874" s="720">
        <v>3129.07</v>
      </c>
      <c r="N874" s="720">
        <v>178.95</v>
      </c>
    </row>
    <row r="875" spans="1:14" ht="15">
      <c r="A875" s="705"/>
      <c r="B875" s="705"/>
      <c r="C875" s="719">
        <v>41336</v>
      </c>
      <c r="D875" s="717">
        <v>9707</v>
      </c>
      <c r="E875" s="720">
        <v>9999.3700000000008</v>
      </c>
      <c r="F875" s="720">
        <v>14815.21</v>
      </c>
      <c r="G875" s="720">
        <v>12871.48</v>
      </c>
      <c r="H875" s="720">
        <v>9533.49</v>
      </c>
      <c r="I875" s="720">
        <v>7837.07</v>
      </c>
      <c r="J875" s="726">
        <v>103.81</v>
      </c>
      <c r="K875" s="720">
        <v>1251.5899999999999</v>
      </c>
      <c r="L875" s="720">
        <v>325.11</v>
      </c>
      <c r="M875" s="720">
        <v>3129.07</v>
      </c>
      <c r="N875" s="720">
        <v>178.95</v>
      </c>
    </row>
    <row r="876" spans="1:14" ht="15">
      <c r="A876" s="705"/>
      <c r="B876" s="705"/>
      <c r="C876" s="719">
        <v>41337</v>
      </c>
      <c r="D876" s="717">
        <v>9707</v>
      </c>
      <c r="E876" s="720">
        <v>9999.3700000000008</v>
      </c>
      <c r="F876" s="720">
        <v>14815.21</v>
      </c>
      <c r="G876" s="720">
        <v>12871.48</v>
      </c>
      <c r="H876" s="720">
        <v>9533.49</v>
      </c>
      <c r="I876" s="720">
        <v>7837.07</v>
      </c>
      <c r="J876" s="726">
        <v>103.81</v>
      </c>
      <c r="K876" s="720">
        <v>1251.5899999999999</v>
      </c>
      <c r="L876" s="720">
        <v>325.11</v>
      </c>
      <c r="M876" s="720">
        <v>3129.07</v>
      </c>
      <c r="N876" s="720">
        <v>178.95</v>
      </c>
    </row>
    <row r="877" spans="1:14" ht="15">
      <c r="A877" s="705"/>
      <c r="B877" s="705"/>
      <c r="C877" s="719">
        <v>41338</v>
      </c>
      <c r="D877" s="717">
        <v>9707</v>
      </c>
      <c r="E877" s="720">
        <v>9999.3700000000008</v>
      </c>
      <c r="F877" s="720">
        <v>14815.21</v>
      </c>
      <c r="G877" s="720">
        <v>12871.48</v>
      </c>
      <c r="H877" s="720">
        <v>9533.49</v>
      </c>
      <c r="I877" s="720">
        <v>7837.07</v>
      </c>
      <c r="J877" s="726">
        <v>103.81</v>
      </c>
      <c r="K877" s="720">
        <v>1251.5899999999999</v>
      </c>
      <c r="L877" s="720">
        <v>325.11</v>
      </c>
      <c r="M877" s="720">
        <v>3129.07</v>
      </c>
      <c r="N877" s="720">
        <v>178.95</v>
      </c>
    </row>
    <row r="878" spans="1:14" ht="15">
      <c r="A878" s="705"/>
      <c r="B878" s="705"/>
      <c r="C878" s="719">
        <v>41339</v>
      </c>
      <c r="D878" s="717">
        <v>9690</v>
      </c>
      <c r="E878" s="720">
        <v>9896.19</v>
      </c>
      <c r="F878" s="720">
        <v>14650.01</v>
      </c>
      <c r="G878" s="720">
        <v>12658.17</v>
      </c>
      <c r="H878" s="720">
        <v>9439.4699999999993</v>
      </c>
      <c r="I878" s="720">
        <v>7815.74</v>
      </c>
      <c r="J878" s="726">
        <v>104.68</v>
      </c>
      <c r="K878" s="720">
        <v>1249.21</v>
      </c>
      <c r="L878" s="720">
        <v>325.14</v>
      </c>
      <c r="M878" s="720">
        <v>3126.23</v>
      </c>
      <c r="N878" s="720">
        <v>178.42</v>
      </c>
    </row>
    <row r="879" spans="1:14" ht="15">
      <c r="A879" s="705"/>
      <c r="B879" s="705"/>
      <c r="C879" s="719">
        <v>41340</v>
      </c>
      <c r="D879" s="717">
        <v>9690</v>
      </c>
      <c r="E879" s="720">
        <v>9896.19</v>
      </c>
      <c r="F879" s="720">
        <v>14650.01</v>
      </c>
      <c r="G879" s="720">
        <v>12658.17</v>
      </c>
      <c r="H879" s="720">
        <v>9439.4699999999993</v>
      </c>
      <c r="I879" s="720">
        <v>7815.74</v>
      </c>
      <c r="J879" s="726">
        <v>104.68</v>
      </c>
      <c r="K879" s="720">
        <v>1249.21</v>
      </c>
      <c r="L879" s="720">
        <v>325.14</v>
      </c>
      <c r="M879" s="720">
        <v>3126.23</v>
      </c>
      <c r="N879" s="720">
        <v>178.42</v>
      </c>
    </row>
    <row r="880" spans="1:14" ht="15">
      <c r="A880" s="705"/>
      <c r="B880" s="705"/>
      <c r="C880" s="719">
        <v>41341</v>
      </c>
      <c r="D880" s="717">
        <v>9690</v>
      </c>
      <c r="E880" s="720">
        <v>9896.19</v>
      </c>
      <c r="F880" s="720">
        <v>14650.01</v>
      </c>
      <c r="G880" s="720">
        <v>12658.17</v>
      </c>
      <c r="H880" s="720">
        <v>9439.4699999999993</v>
      </c>
      <c r="I880" s="720">
        <v>7815.74</v>
      </c>
      <c r="J880" s="726">
        <v>104.68</v>
      </c>
      <c r="K880" s="720">
        <v>1249.21</v>
      </c>
      <c r="L880" s="720">
        <v>325.14</v>
      </c>
      <c r="M880" s="720">
        <v>3126.23</v>
      </c>
      <c r="N880" s="720">
        <v>178.42</v>
      </c>
    </row>
    <row r="881" spans="1:14" ht="15">
      <c r="A881" s="705"/>
      <c r="B881" s="705"/>
      <c r="C881" s="719">
        <v>41342</v>
      </c>
      <c r="D881" s="717">
        <v>9690</v>
      </c>
      <c r="E881" s="720">
        <v>9896.19</v>
      </c>
      <c r="F881" s="720">
        <v>14650.01</v>
      </c>
      <c r="G881" s="720">
        <v>12658.17</v>
      </c>
      <c r="H881" s="720">
        <v>9439.4699999999993</v>
      </c>
      <c r="I881" s="720">
        <v>7815.74</v>
      </c>
      <c r="J881" s="726">
        <v>104.68</v>
      </c>
      <c r="K881" s="720">
        <v>1249.21</v>
      </c>
      <c r="L881" s="720">
        <v>325.14</v>
      </c>
      <c r="M881" s="720">
        <v>3126.23</v>
      </c>
      <c r="N881" s="720">
        <v>178.42</v>
      </c>
    </row>
    <row r="882" spans="1:14" ht="15">
      <c r="A882" s="705"/>
      <c r="B882" s="705"/>
      <c r="C882" s="719">
        <v>41343</v>
      </c>
      <c r="D882" s="717">
        <v>9690</v>
      </c>
      <c r="E882" s="720">
        <v>9896.19</v>
      </c>
      <c r="F882" s="720">
        <v>14650.01</v>
      </c>
      <c r="G882" s="720">
        <v>12658.17</v>
      </c>
      <c r="H882" s="720">
        <v>9439.4699999999993</v>
      </c>
      <c r="I882" s="720">
        <v>7815.74</v>
      </c>
      <c r="J882" s="726">
        <v>104.68</v>
      </c>
      <c r="K882" s="720">
        <v>1249.21</v>
      </c>
      <c r="L882" s="720">
        <v>325.14</v>
      </c>
      <c r="M882" s="720">
        <v>3126.23</v>
      </c>
      <c r="N882" s="720">
        <v>178.42</v>
      </c>
    </row>
    <row r="883" spans="1:14" ht="15">
      <c r="A883" s="705"/>
      <c r="B883" s="705"/>
      <c r="C883" s="719">
        <v>41344</v>
      </c>
      <c r="D883" s="717">
        <v>9690</v>
      </c>
      <c r="E883" s="720">
        <v>9896.19</v>
      </c>
      <c r="F883" s="720">
        <v>14650.01</v>
      </c>
      <c r="G883" s="720">
        <v>12658.17</v>
      </c>
      <c r="H883" s="720">
        <v>9439.4699999999993</v>
      </c>
      <c r="I883" s="720">
        <v>7815.74</v>
      </c>
      <c r="J883" s="726">
        <v>104.68</v>
      </c>
      <c r="K883" s="720">
        <v>1249.21</v>
      </c>
      <c r="L883" s="720">
        <v>325.14</v>
      </c>
      <c r="M883" s="720">
        <v>3126.23</v>
      </c>
      <c r="N883" s="720">
        <v>178.42</v>
      </c>
    </row>
    <row r="884" spans="1:14" ht="15">
      <c r="A884" s="705"/>
      <c r="B884" s="705"/>
      <c r="C884" s="719">
        <v>41345</v>
      </c>
      <c r="D884" s="717">
        <v>9690</v>
      </c>
      <c r="E884" s="720">
        <v>9896.19</v>
      </c>
      <c r="F884" s="720">
        <v>14650.01</v>
      </c>
      <c r="G884" s="720">
        <v>12658.17</v>
      </c>
      <c r="H884" s="720">
        <v>9439.4699999999993</v>
      </c>
      <c r="I884" s="720">
        <v>7815.74</v>
      </c>
      <c r="J884" s="726">
        <v>104.68</v>
      </c>
      <c r="K884" s="720">
        <v>1249.21</v>
      </c>
      <c r="L884" s="720">
        <v>325.14</v>
      </c>
      <c r="M884" s="720">
        <v>3126.23</v>
      </c>
      <c r="N884" s="720">
        <v>178.42</v>
      </c>
    </row>
    <row r="885" spans="1:14" ht="15">
      <c r="A885" s="705"/>
      <c r="B885" s="705"/>
      <c r="C885" s="719">
        <v>41346</v>
      </c>
      <c r="D885" s="717">
        <v>9692</v>
      </c>
      <c r="E885" s="720">
        <v>9927.1200000000008</v>
      </c>
      <c r="F885" s="720">
        <v>14537.7</v>
      </c>
      <c r="G885" s="720">
        <v>12623.76</v>
      </c>
      <c r="H885" s="720">
        <v>9418.2900000000009</v>
      </c>
      <c r="I885" s="720">
        <v>7770.6</v>
      </c>
      <c r="J885" s="726">
        <v>102.16</v>
      </c>
      <c r="K885" s="720">
        <v>1249.54</v>
      </c>
      <c r="L885" s="720">
        <v>325.69</v>
      </c>
      <c r="M885" s="720">
        <v>3119.89</v>
      </c>
      <c r="N885" s="720">
        <v>177.42</v>
      </c>
    </row>
    <row r="886" spans="1:14" ht="15">
      <c r="A886" s="705"/>
      <c r="B886" s="705"/>
      <c r="C886" s="719">
        <v>41347</v>
      </c>
      <c r="D886" s="717">
        <v>9692</v>
      </c>
      <c r="E886" s="720">
        <v>9927.1200000000008</v>
      </c>
      <c r="F886" s="720">
        <v>14537.7</v>
      </c>
      <c r="G886" s="720">
        <v>12623.76</v>
      </c>
      <c r="H886" s="720">
        <v>9418.2900000000009</v>
      </c>
      <c r="I886" s="720">
        <v>7770.6</v>
      </c>
      <c r="J886" s="726">
        <v>102.16</v>
      </c>
      <c r="K886" s="720">
        <v>1249.54</v>
      </c>
      <c r="L886" s="720">
        <v>325.69</v>
      </c>
      <c r="M886" s="720">
        <v>3119.89</v>
      </c>
      <c r="N886" s="720">
        <v>177.42</v>
      </c>
    </row>
    <row r="887" spans="1:14" ht="15">
      <c r="A887" s="705"/>
      <c r="B887" s="705"/>
      <c r="C887" s="719">
        <v>41348</v>
      </c>
      <c r="D887" s="717">
        <v>9692</v>
      </c>
      <c r="E887" s="720">
        <v>9927.1200000000008</v>
      </c>
      <c r="F887" s="720">
        <v>14537.7</v>
      </c>
      <c r="G887" s="720">
        <v>12623.76</v>
      </c>
      <c r="H887" s="720">
        <v>9418.2900000000009</v>
      </c>
      <c r="I887" s="720">
        <v>7770.6</v>
      </c>
      <c r="J887" s="726">
        <v>102.16</v>
      </c>
      <c r="K887" s="720">
        <v>1249.54</v>
      </c>
      <c r="L887" s="720">
        <v>325.69</v>
      </c>
      <c r="M887" s="720">
        <v>3119.89</v>
      </c>
      <c r="N887" s="720">
        <v>177.42</v>
      </c>
    </row>
    <row r="888" spans="1:14" ht="15">
      <c r="A888" s="705"/>
      <c r="B888" s="705"/>
      <c r="C888" s="719">
        <v>41349</v>
      </c>
      <c r="D888" s="717">
        <v>9692</v>
      </c>
      <c r="E888" s="720">
        <v>9927.1200000000008</v>
      </c>
      <c r="F888" s="720">
        <v>14537.7</v>
      </c>
      <c r="G888" s="720">
        <v>12623.76</v>
      </c>
      <c r="H888" s="720">
        <v>9418.2900000000009</v>
      </c>
      <c r="I888" s="720">
        <v>7770.6</v>
      </c>
      <c r="J888" s="726">
        <v>102.16</v>
      </c>
      <c r="K888" s="720">
        <v>1249.54</v>
      </c>
      <c r="L888" s="720">
        <v>325.69</v>
      </c>
      <c r="M888" s="720">
        <v>3119.89</v>
      </c>
      <c r="N888" s="720">
        <v>177.42</v>
      </c>
    </row>
    <row r="889" spans="1:14" ht="15">
      <c r="A889" s="705"/>
      <c r="B889" s="705"/>
      <c r="C889" s="719">
        <v>41350</v>
      </c>
      <c r="D889" s="717">
        <v>9692</v>
      </c>
      <c r="E889" s="720">
        <v>9927.1200000000008</v>
      </c>
      <c r="F889" s="720">
        <v>14537.7</v>
      </c>
      <c r="G889" s="720">
        <v>12623.76</v>
      </c>
      <c r="H889" s="720">
        <v>9418.2900000000009</v>
      </c>
      <c r="I889" s="720">
        <v>7770.6</v>
      </c>
      <c r="J889" s="726">
        <v>102.16</v>
      </c>
      <c r="K889" s="720">
        <v>1249.54</v>
      </c>
      <c r="L889" s="720">
        <v>325.69</v>
      </c>
      <c r="M889" s="720">
        <v>3119.89</v>
      </c>
      <c r="N889" s="720">
        <v>177.42</v>
      </c>
    </row>
    <row r="890" spans="1:14" ht="15">
      <c r="A890" s="705"/>
      <c r="B890" s="705"/>
      <c r="C890" s="719">
        <v>41351</v>
      </c>
      <c r="D890" s="717">
        <v>9692</v>
      </c>
      <c r="E890" s="720">
        <v>9927.1200000000008</v>
      </c>
      <c r="F890" s="720">
        <v>14537.7</v>
      </c>
      <c r="G890" s="720">
        <v>12623.76</v>
      </c>
      <c r="H890" s="720">
        <v>9418.2900000000009</v>
      </c>
      <c r="I890" s="720">
        <v>7770.6</v>
      </c>
      <c r="J890" s="726">
        <v>102.16</v>
      </c>
      <c r="K890" s="720">
        <v>1249.54</v>
      </c>
      <c r="L890" s="720">
        <v>325.69</v>
      </c>
      <c r="M890" s="720">
        <v>3119.89</v>
      </c>
      <c r="N890" s="720">
        <v>177.42</v>
      </c>
    </row>
    <row r="891" spans="1:14" ht="15">
      <c r="A891" s="705"/>
      <c r="B891" s="705"/>
      <c r="C891" s="719">
        <v>41352</v>
      </c>
      <c r="D891" s="717">
        <v>9692</v>
      </c>
      <c r="E891" s="720">
        <v>9927.1200000000008</v>
      </c>
      <c r="F891" s="720">
        <v>14537.7</v>
      </c>
      <c r="G891" s="720">
        <v>12623.76</v>
      </c>
      <c r="H891" s="720">
        <v>9418.2900000000009</v>
      </c>
      <c r="I891" s="720">
        <v>7770.6</v>
      </c>
      <c r="J891" s="726">
        <v>102.16</v>
      </c>
      <c r="K891" s="720">
        <v>1249.54</v>
      </c>
      <c r="L891" s="720">
        <v>325.69</v>
      </c>
      <c r="M891" s="720">
        <v>3119.89</v>
      </c>
      <c r="N891" s="720">
        <v>177.42</v>
      </c>
    </row>
    <row r="892" spans="1:14" ht="15">
      <c r="A892" s="705"/>
      <c r="B892" s="705"/>
      <c r="C892" s="719">
        <v>41353</v>
      </c>
      <c r="D892" s="717">
        <v>9703</v>
      </c>
      <c r="E892" s="720">
        <v>10070.81</v>
      </c>
      <c r="F892" s="720">
        <v>14617.98</v>
      </c>
      <c r="G892" s="720">
        <v>12604.52</v>
      </c>
      <c r="H892" s="720">
        <v>9487.8799999999992</v>
      </c>
      <c r="I892" s="720">
        <v>7769.33</v>
      </c>
      <c r="J892" s="726">
        <v>101.44</v>
      </c>
      <c r="K892" s="720">
        <v>1250.2</v>
      </c>
      <c r="L892" s="720">
        <v>328.48</v>
      </c>
      <c r="M892" s="720">
        <v>3110.53</v>
      </c>
      <c r="N892" s="720">
        <v>178.95</v>
      </c>
    </row>
    <row r="893" spans="1:14" ht="15">
      <c r="A893" s="705"/>
      <c r="B893" s="705"/>
      <c r="C893" s="719">
        <v>41354</v>
      </c>
      <c r="D893" s="717">
        <v>9703</v>
      </c>
      <c r="E893" s="720">
        <v>10070.81</v>
      </c>
      <c r="F893" s="720">
        <v>14617.98</v>
      </c>
      <c r="G893" s="720">
        <v>12604.52</v>
      </c>
      <c r="H893" s="720">
        <v>9487.8799999999992</v>
      </c>
      <c r="I893" s="720">
        <v>7769.33</v>
      </c>
      <c r="J893" s="726">
        <v>101.44</v>
      </c>
      <c r="K893" s="720">
        <v>1250.2</v>
      </c>
      <c r="L893" s="720">
        <v>328.48</v>
      </c>
      <c r="M893" s="720">
        <v>3110.53</v>
      </c>
      <c r="N893" s="720">
        <v>178.95</v>
      </c>
    </row>
    <row r="894" spans="1:14" ht="15">
      <c r="A894" s="705"/>
      <c r="B894" s="705"/>
      <c r="C894" s="719">
        <v>41355</v>
      </c>
      <c r="D894" s="717">
        <v>9703</v>
      </c>
      <c r="E894" s="720">
        <v>10070.81</v>
      </c>
      <c r="F894" s="720">
        <v>14617.98</v>
      </c>
      <c r="G894" s="720">
        <v>12604.52</v>
      </c>
      <c r="H894" s="720">
        <v>9487.8799999999992</v>
      </c>
      <c r="I894" s="720">
        <v>7769.33</v>
      </c>
      <c r="J894" s="726">
        <v>101.44</v>
      </c>
      <c r="K894" s="720">
        <v>1250.2</v>
      </c>
      <c r="L894" s="720">
        <v>328.48</v>
      </c>
      <c r="M894" s="720">
        <v>3110.53</v>
      </c>
      <c r="N894" s="720">
        <v>178.95</v>
      </c>
    </row>
    <row r="895" spans="1:14" ht="15">
      <c r="A895" s="705"/>
      <c r="B895" s="705"/>
      <c r="C895" s="719">
        <v>41356</v>
      </c>
      <c r="D895" s="717">
        <v>9703</v>
      </c>
      <c r="E895" s="720">
        <v>10070.81</v>
      </c>
      <c r="F895" s="720">
        <v>14617.98</v>
      </c>
      <c r="G895" s="720">
        <v>12604.52</v>
      </c>
      <c r="H895" s="720">
        <v>9487.8799999999992</v>
      </c>
      <c r="I895" s="720">
        <v>7769.33</v>
      </c>
      <c r="J895" s="726">
        <v>101.44</v>
      </c>
      <c r="K895" s="720">
        <v>1250.2</v>
      </c>
      <c r="L895" s="720">
        <v>328.48</v>
      </c>
      <c r="M895" s="720">
        <v>3110.53</v>
      </c>
      <c r="N895" s="720">
        <v>178.95</v>
      </c>
    </row>
    <row r="896" spans="1:14" ht="15">
      <c r="A896" s="705"/>
      <c r="B896" s="705"/>
      <c r="C896" s="719">
        <v>41357</v>
      </c>
      <c r="D896" s="717">
        <v>9703</v>
      </c>
      <c r="E896" s="720">
        <v>10070.81</v>
      </c>
      <c r="F896" s="720">
        <v>14617.98</v>
      </c>
      <c r="G896" s="720">
        <v>12604.52</v>
      </c>
      <c r="H896" s="720">
        <v>9487.8799999999992</v>
      </c>
      <c r="I896" s="720">
        <v>7769.33</v>
      </c>
      <c r="J896" s="726">
        <v>101.44</v>
      </c>
      <c r="K896" s="720">
        <v>1250.2</v>
      </c>
      <c r="L896" s="720">
        <v>328.48</v>
      </c>
      <c r="M896" s="720">
        <v>3110.53</v>
      </c>
      <c r="N896" s="720">
        <v>178.95</v>
      </c>
    </row>
    <row r="897" spans="1:14" ht="15">
      <c r="A897" s="705"/>
      <c r="B897" s="705"/>
      <c r="C897" s="719">
        <v>41358</v>
      </c>
      <c r="D897" s="717">
        <v>9703</v>
      </c>
      <c r="E897" s="720">
        <v>10070.81</v>
      </c>
      <c r="F897" s="720">
        <v>14617.98</v>
      </c>
      <c r="G897" s="720">
        <v>12604.52</v>
      </c>
      <c r="H897" s="720">
        <v>9487.8799999999992</v>
      </c>
      <c r="I897" s="720">
        <v>7769.33</v>
      </c>
      <c r="J897" s="726">
        <v>101.44</v>
      </c>
      <c r="K897" s="720">
        <v>1250.2</v>
      </c>
      <c r="L897" s="720">
        <v>328.48</v>
      </c>
      <c r="M897" s="720">
        <v>3110.53</v>
      </c>
      <c r="N897" s="720">
        <v>178.95</v>
      </c>
    </row>
    <row r="898" spans="1:14" ht="15">
      <c r="A898" s="705"/>
      <c r="B898" s="705"/>
      <c r="C898" s="719">
        <v>41359</v>
      </c>
      <c r="D898" s="717">
        <v>9703</v>
      </c>
      <c r="E898" s="720">
        <v>10070.81</v>
      </c>
      <c r="F898" s="720">
        <v>14617.98</v>
      </c>
      <c r="G898" s="720">
        <v>12604.52</v>
      </c>
      <c r="H898" s="720">
        <v>9487.8799999999992</v>
      </c>
      <c r="I898" s="720">
        <v>7769.33</v>
      </c>
      <c r="J898" s="726">
        <v>101.44</v>
      </c>
      <c r="K898" s="720">
        <v>1250.2</v>
      </c>
      <c r="L898" s="720">
        <v>328.48</v>
      </c>
      <c r="M898" s="720">
        <v>3110.53</v>
      </c>
      <c r="N898" s="720">
        <v>178.95</v>
      </c>
    </row>
    <row r="899" spans="1:14" ht="15">
      <c r="A899" s="705"/>
      <c r="B899" s="705"/>
      <c r="C899" s="719">
        <v>41360</v>
      </c>
      <c r="D899" s="717">
        <v>9748</v>
      </c>
      <c r="E899" s="720">
        <v>10175.74</v>
      </c>
      <c r="F899" s="720">
        <v>14788.5</v>
      </c>
      <c r="G899" s="720">
        <v>12581.94</v>
      </c>
      <c r="H899" s="720">
        <v>9525.67</v>
      </c>
      <c r="I899" s="720">
        <v>7817.16</v>
      </c>
      <c r="J899" s="726">
        <v>102.9</v>
      </c>
      <c r="K899" s="720">
        <v>1255.77</v>
      </c>
      <c r="L899" s="720">
        <v>333.36</v>
      </c>
      <c r="M899" s="720">
        <v>3134.2</v>
      </c>
      <c r="N899" s="720">
        <v>179.54</v>
      </c>
    </row>
    <row r="900" spans="1:14" ht="15">
      <c r="A900" s="705"/>
      <c r="B900" s="705"/>
      <c r="C900" s="719">
        <v>41361</v>
      </c>
      <c r="D900" s="717">
        <v>9748</v>
      </c>
      <c r="E900" s="720">
        <v>10175.74</v>
      </c>
      <c r="F900" s="720">
        <v>14788.5</v>
      </c>
      <c r="G900" s="720">
        <v>12581.94</v>
      </c>
      <c r="H900" s="720">
        <v>9525.67</v>
      </c>
      <c r="I900" s="720">
        <v>7817.16</v>
      </c>
      <c r="J900" s="726">
        <v>102.9</v>
      </c>
      <c r="K900" s="720">
        <v>1255.77</v>
      </c>
      <c r="L900" s="720">
        <v>333.36</v>
      </c>
      <c r="M900" s="720">
        <v>3134.2</v>
      </c>
      <c r="N900" s="720">
        <v>179.54</v>
      </c>
    </row>
    <row r="901" spans="1:14" ht="15">
      <c r="A901" s="705"/>
      <c r="B901" s="705"/>
      <c r="C901" s="719">
        <v>41362</v>
      </c>
      <c r="D901" s="717">
        <v>9748</v>
      </c>
      <c r="E901" s="720">
        <v>10175.74</v>
      </c>
      <c r="F901" s="720">
        <v>14788.5</v>
      </c>
      <c r="G901" s="720">
        <v>12581.94</v>
      </c>
      <c r="H901" s="720">
        <v>9525.67</v>
      </c>
      <c r="I901" s="720">
        <v>7817.16</v>
      </c>
      <c r="J901" s="726">
        <v>102.9</v>
      </c>
      <c r="K901" s="720">
        <v>1255.77</v>
      </c>
      <c r="L901" s="720">
        <v>333.36</v>
      </c>
      <c r="M901" s="720">
        <v>3134.2</v>
      </c>
      <c r="N901" s="720">
        <v>179.54</v>
      </c>
    </row>
    <row r="902" spans="1:14" ht="15">
      <c r="A902" s="705"/>
      <c r="B902" s="705"/>
      <c r="C902" s="719">
        <v>41363</v>
      </c>
      <c r="D902" s="717">
        <v>9748</v>
      </c>
      <c r="E902" s="720">
        <v>10175.74</v>
      </c>
      <c r="F902" s="720">
        <v>14788.5</v>
      </c>
      <c r="G902" s="720">
        <v>12581.94</v>
      </c>
      <c r="H902" s="720">
        <v>9525.67</v>
      </c>
      <c r="I902" s="720">
        <v>7817.16</v>
      </c>
      <c r="J902" s="726">
        <v>102.9</v>
      </c>
      <c r="K902" s="720">
        <v>1255.77</v>
      </c>
      <c r="L902" s="720">
        <v>333.36</v>
      </c>
      <c r="M902" s="720">
        <v>3134.2</v>
      </c>
      <c r="N902" s="720">
        <v>179.54</v>
      </c>
    </row>
    <row r="903" spans="1:14" ht="15">
      <c r="A903" s="705"/>
      <c r="B903" s="705"/>
      <c r="C903" s="719">
        <v>41364</v>
      </c>
      <c r="D903" s="717">
        <v>9748</v>
      </c>
      <c r="E903" s="720">
        <v>10175.74</v>
      </c>
      <c r="F903" s="720">
        <v>14788.5</v>
      </c>
      <c r="G903" s="720">
        <v>12581.94</v>
      </c>
      <c r="H903" s="720">
        <v>9525.67</v>
      </c>
      <c r="I903" s="720">
        <v>7817.16</v>
      </c>
      <c r="J903" s="726">
        <v>102.9</v>
      </c>
      <c r="K903" s="720">
        <v>1255.77</v>
      </c>
      <c r="L903" s="720">
        <v>333.36</v>
      </c>
      <c r="M903" s="720">
        <v>3134.2</v>
      </c>
      <c r="N903" s="720">
        <v>179.54</v>
      </c>
    </row>
    <row r="904" spans="1:14" ht="15">
      <c r="A904" s="705"/>
      <c r="B904" s="705"/>
      <c r="C904" s="719">
        <v>41365</v>
      </c>
      <c r="D904" s="717">
        <v>9748</v>
      </c>
      <c r="E904" s="720">
        <v>10175.74</v>
      </c>
      <c r="F904" s="720">
        <v>14788.5</v>
      </c>
      <c r="G904" s="720">
        <v>12581.94</v>
      </c>
      <c r="H904" s="720">
        <v>9525.67</v>
      </c>
      <c r="I904" s="720">
        <v>7817.16</v>
      </c>
      <c r="J904" s="726">
        <v>102.9</v>
      </c>
      <c r="K904" s="720">
        <v>1255.77</v>
      </c>
      <c r="L904" s="720">
        <v>333.36</v>
      </c>
      <c r="M904" s="720">
        <v>3134.2</v>
      </c>
      <c r="N904" s="720">
        <v>179.54</v>
      </c>
    </row>
    <row r="905" spans="1:14" ht="15">
      <c r="A905" s="705"/>
      <c r="B905" s="705"/>
      <c r="C905" s="719">
        <v>41366</v>
      </c>
      <c r="D905" s="717">
        <v>9748</v>
      </c>
      <c r="E905" s="720">
        <v>10175.74</v>
      </c>
      <c r="F905" s="720">
        <v>14788.5</v>
      </c>
      <c r="G905" s="720">
        <v>12581.94</v>
      </c>
      <c r="H905" s="720">
        <v>9525.67</v>
      </c>
      <c r="I905" s="720">
        <v>7817.16</v>
      </c>
      <c r="J905" s="726">
        <v>102.9</v>
      </c>
      <c r="K905" s="720">
        <v>1255.77</v>
      </c>
      <c r="L905" s="720">
        <v>333.36</v>
      </c>
      <c r="M905" s="720">
        <v>3134.2</v>
      </c>
      <c r="N905" s="720">
        <v>179.54</v>
      </c>
    </row>
    <row r="906" spans="1:14" ht="15">
      <c r="A906" s="705"/>
      <c r="B906" s="705"/>
      <c r="C906" s="719">
        <v>41367</v>
      </c>
      <c r="D906" s="717">
        <v>9736</v>
      </c>
      <c r="E906" s="720">
        <v>10153.030000000001</v>
      </c>
      <c r="F906" s="720">
        <v>14795.56</v>
      </c>
      <c r="G906" s="720">
        <v>12487.73</v>
      </c>
      <c r="H906" s="720">
        <v>9578.31</v>
      </c>
      <c r="I906" s="720">
        <v>7850.46</v>
      </c>
      <c r="J906" s="726">
        <v>103.76</v>
      </c>
      <c r="K906" s="720">
        <v>1254.03</v>
      </c>
      <c r="L906" s="720">
        <v>332.3</v>
      </c>
      <c r="M906" s="720">
        <v>3147.45</v>
      </c>
      <c r="N906" s="720">
        <v>179.35</v>
      </c>
    </row>
    <row r="907" spans="1:14" ht="15">
      <c r="A907" s="705"/>
      <c r="B907" s="705"/>
      <c r="C907" s="719">
        <v>41368</v>
      </c>
      <c r="D907" s="717">
        <v>9736</v>
      </c>
      <c r="E907" s="720">
        <v>10153.030000000001</v>
      </c>
      <c r="F907" s="720">
        <v>14795.56</v>
      </c>
      <c r="G907" s="720">
        <v>12487.73</v>
      </c>
      <c r="H907" s="720">
        <v>9578.31</v>
      </c>
      <c r="I907" s="720">
        <v>7850.46</v>
      </c>
      <c r="J907" s="726">
        <v>103.76</v>
      </c>
      <c r="K907" s="720">
        <v>1254.03</v>
      </c>
      <c r="L907" s="720">
        <v>332.3</v>
      </c>
      <c r="M907" s="720">
        <v>3147.45</v>
      </c>
      <c r="N907" s="720">
        <v>179.35</v>
      </c>
    </row>
    <row r="908" spans="1:14" ht="15">
      <c r="A908" s="705"/>
      <c r="B908" s="705"/>
      <c r="C908" s="719">
        <v>41369</v>
      </c>
      <c r="D908" s="717">
        <v>9736</v>
      </c>
      <c r="E908" s="720">
        <v>10153.030000000001</v>
      </c>
      <c r="F908" s="720">
        <v>14795.56</v>
      </c>
      <c r="G908" s="720">
        <v>12487.73</v>
      </c>
      <c r="H908" s="720">
        <v>9578.31</v>
      </c>
      <c r="I908" s="720">
        <v>7850.46</v>
      </c>
      <c r="J908" s="726">
        <v>103.76</v>
      </c>
      <c r="K908" s="720">
        <v>1254.03</v>
      </c>
      <c r="L908" s="720">
        <v>332.3</v>
      </c>
      <c r="M908" s="720">
        <v>3147.45</v>
      </c>
      <c r="N908" s="720">
        <v>179.35</v>
      </c>
    </row>
    <row r="909" spans="1:14" ht="15">
      <c r="A909" s="705"/>
      <c r="B909" s="705"/>
      <c r="C909" s="719">
        <v>41370</v>
      </c>
      <c r="D909" s="717">
        <v>9736</v>
      </c>
      <c r="E909" s="720">
        <v>10153.030000000001</v>
      </c>
      <c r="F909" s="720">
        <v>14795.56</v>
      </c>
      <c r="G909" s="720">
        <v>12487.73</v>
      </c>
      <c r="H909" s="720">
        <v>9578.31</v>
      </c>
      <c r="I909" s="720">
        <v>7850.46</v>
      </c>
      <c r="J909" s="726">
        <v>103.76</v>
      </c>
      <c r="K909" s="720">
        <v>1254.03</v>
      </c>
      <c r="L909" s="720">
        <v>332.3</v>
      </c>
      <c r="M909" s="720">
        <v>3147.45</v>
      </c>
      <c r="N909" s="720">
        <v>179.35</v>
      </c>
    </row>
    <row r="910" spans="1:14" ht="15">
      <c r="A910" s="705"/>
      <c r="B910" s="705"/>
      <c r="C910" s="719">
        <v>41371</v>
      </c>
      <c r="D910" s="717">
        <v>9736</v>
      </c>
      <c r="E910" s="720">
        <v>10153.030000000001</v>
      </c>
      <c r="F910" s="720">
        <v>14795.56</v>
      </c>
      <c r="G910" s="720">
        <v>12487.73</v>
      </c>
      <c r="H910" s="720">
        <v>9578.31</v>
      </c>
      <c r="I910" s="720">
        <v>7850.46</v>
      </c>
      <c r="J910" s="726">
        <v>103.76</v>
      </c>
      <c r="K910" s="720">
        <v>1254.03</v>
      </c>
      <c r="L910" s="720">
        <v>332.3</v>
      </c>
      <c r="M910" s="720">
        <v>3147.45</v>
      </c>
      <c r="N910" s="720">
        <v>179.35</v>
      </c>
    </row>
    <row r="911" spans="1:14" ht="15">
      <c r="A911" s="705"/>
      <c r="B911" s="705"/>
      <c r="C911" s="719">
        <v>41372</v>
      </c>
      <c r="D911" s="717">
        <v>9736</v>
      </c>
      <c r="E911" s="720">
        <v>10153.030000000001</v>
      </c>
      <c r="F911" s="720">
        <v>14795.56</v>
      </c>
      <c r="G911" s="720">
        <v>12487.73</v>
      </c>
      <c r="H911" s="720">
        <v>9578.31</v>
      </c>
      <c r="I911" s="720">
        <v>7850.46</v>
      </c>
      <c r="J911" s="726">
        <v>103.76</v>
      </c>
      <c r="K911" s="720">
        <v>1254.03</v>
      </c>
      <c r="L911" s="720">
        <v>332.3</v>
      </c>
      <c r="M911" s="720">
        <v>3147.45</v>
      </c>
      <c r="N911" s="720">
        <v>179.35</v>
      </c>
    </row>
    <row r="912" spans="1:14" ht="15">
      <c r="A912" s="705"/>
      <c r="B912" s="705"/>
      <c r="C912" s="719">
        <v>41373</v>
      </c>
      <c r="D912" s="717">
        <v>9736</v>
      </c>
      <c r="E912" s="720">
        <v>10153.030000000001</v>
      </c>
      <c r="F912" s="720">
        <v>14795.56</v>
      </c>
      <c r="G912" s="720">
        <v>12487.73</v>
      </c>
      <c r="H912" s="720">
        <v>9578.31</v>
      </c>
      <c r="I912" s="720">
        <v>7850.46</v>
      </c>
      <c r="J912" s="726">
        <v>103.76</v>
      </c>
      <c r="K912" s="720">
        <v>1254.03</v>
      </c>
      <c r="L912" s="720">
        <v>332.3</v>
      </c>
      <c r="M912" s="720">
        <v>3147.45</v>
      </c>
      <c r="N912" s="720">
        <v>179.35</v>
      </c>
    </row>
    <row r="913" spans="1:14" ht="15">
      <c r="A913" s="705"/>
      <c r="B913" s="705"/>
      <c r="C913" s="719">
        <v>41374</v>
      </c>
      <c r="D913" s="717">
        <v>9749</v>
      </c>
      <c r="E913" s="720">
        <v>10160.99</v>
      </c>
      <c r="F913" s="720">
        <v>14846.75</v>
      </c>
      <c r="G913" s="720">
        <v>12593.76</v>
      </c>
      <c r="H913" s="720">
        <v>9602.09</v>
      </c>
      <c r="I913" s="720">
        <v>7863.24</v>
      </c>
      <c r="J913" s="726">
        <v>101.82</v>
      </c>
      <c r="K913" s="720">
        <v>1255.78</v>
      </c>
      <c r="L913" s="720">
        <v>332.48</v>
      </c>
      <c r="M913" s="720">
        <v>3172.82</v>
      </c>
      <c r="N913" s="720">
        <v>178.55</v>
      </c>
    </row>
    <row r="914" spans="1:14" ht="15">
      <c r="A914" s="705"/>
      <c r="B914" s="705"/>
      <c r="C914" s="719">
        <v>41375</v>
      </c>
      <c r="D914" s="717">
        <v>9749</v>
      </c>
      <c r="E914" s="720">
        <v>10160.99</v>
      </c>
      <c r="F914" s="720">
        <v>14846.75</v>
      </c>
      <c r="G914" s="720">
        <v>12593.76</v>
      </c>
      <c r="H914" s="720">
        <v>9602.09</v>
      </c>
      <c r="I914" s="720">
        <v>7863.24</v>
      </c>
      <c r="J914" s="726">
        <v>101.82</v>
      </c>
      <c r="K914" s="720">
        <v>1255.78</v>
      </c>
      <c r="L914" s="720">
        <v>332.48</v>
      </c>
      <c r="M914" s="720">
        <v>3172.82</v>
      </c>
      <c r="N914" s="720">
        <v>178.55</v>
      </c>
    </row>
    <row r="915" spans="1:14" ht="15">
      <c r="A915" s="705"/>
      <c r="B915" s="705"/>
      <c r="C915" s="719">
        <v>41376</v>
      </c>
      <c r="D915" s="717">
        <v>9749</v>
      </c>
      <c r="E915" s="720">
        <v>10160.99</v>
      </c>
      <c r="F915" s="720">
        <v>14846.75</v>
      </c>
      <c r="G915" s="720">
        <v>12593.76</v>
      </c>
      <c r="H915" s="720">
        <v>9602.09</v>
      </c>
      <c r="I915" s="720">
        <v>7863.24</v>
      </c>
      <c r="J915" s="726">
        <v>101.82</v>
      </c>
      <c r="K915" s="720">
        <v>1255.78</v>
      </c>
      <c r="L915" s="720">
        <v>332.48</v>
      </c>
      <c r="M915" s="720">
        <v>3172.82</v>
      </c>
      <c r="N915" s="720">
        <v>178.55</v>
      </c>
    </row>
    <row r="916" spans="1:14" ht="15">
      <c r="A916" s="705"/>
      <c r="B916" s="705"/>
      <c r="C916" s="719">
        <v>41377</v>
      </c>
      <c r="D916" s="717">
        <v>9749</v>
      </c>
      <c r="E916" s="720">
        <v>10160.99</v>
      </c>
      <c r="F916" s="720">
        <v>14846.75</v>
      </c>
      <c r="G916" s="720">
        <v>12593.76</v>
      </c>
      <c r="H916" s="720">
        <v>9602.09</v>
      </c>
      <c r="I916" s="720">
        <v>7863.24</v>
      </c>
      <c r="J916" s="726">
        <v>101.82</v>
      </c>
      <c r="K916" s="720">
        <v>1255.78</v>
      </c>
      <c r="L916" s="720">
        <v>332.48</v>
      </c>
      <c r="M916" s="720">
        <v>3172.82</v>
      </c>
      <c r="N916" s="720">
        <v>178.55</v>
      </c>
    </row>
    <row r="917" spans="1:14" ht="15">
      <c r="A917" s="705"/>
      <c r="B917" s="705"/>
      <c r="C917" s="719">
        <v>41378</v>
      </c>
      <c r="D917" s="717">
        <v>9749</v>
      </c>
      <c r="E917" s="720">
        <v>10160.99</v>
      </c>
      <c r="F917" s="720">
        <v>14846.75</v>
      </c>
      <c r="G917" s="720">
        <v>12593.76</v>
      </c>
      <c r="H917" s="720">
        <v>9602.09</v>
      </c>
      <c r="I917" s="720">
        <v>7863.24</v>
      </c>
      <c r="J917" s="726">
        <v>101.82</v>
      </c>
      <c r="K917" s="720">
        <v>1255.78</v>
      </c>
      <c r="L917" s="720">
        <v>332.48</v>
      </c>
      <c r="M917" s="720">
        <v>3172.82</v>
      </c>
      <c r="N917" s="720">
        <v>178.55</v>
      </c>
    </row>
    <row r="918" spans="1:14" ht="15">
      <c r="A918" s="705"/>
      <c r="B918" s="705"/>
      <c r="C918" s="719">
        <v>41379</v>
      </c>
      <c r="D918" s="717">
        <v>9749</v>
      </c>
      <c r="E918" s="720">
        <v>10160.99</v>
      </c>
      <c r="F918" s="720">
        <v>14846.75</v>
      </c>
      <c r="G918" s="720">
        <v>12593.76</v>
      </c>
      <c r="H918" s="720">
        <v>9602.09</v>
      </c>
      <c r="I918" s="720">
        <v>7863.24</v>
      </c>
      <c r="J918" s="726">
        <v>101.82</v>
      </c>
      <c r="K918" s="720">
        <v>1255.78</v>
      </c>
      <c r="L918" s="720">
        <v>332.48</v>
      </c>
      <c r="M918" s="720">
        <v>3172.82</v>
      </c>
      <c r="N918" s="720">
        <v>178.55</v>
      </c>
    </row>
    <row r="919" spans="1:14" ht="15">
      <c r="A919" s="705"/>
      <c r="B919" s="705"/>
      <c r="C919" s="719">
        <v>41380</v>
      </c>
      <c r="D919" s="717">
        <v>9749</v>
      </c>
      <c r="E919" s="720">
        <v>10160.99</v>
      </c>
      <c r="F919" s="720">
        <v>14846.75</v>
      </c>
      <c r="G919" s="720">
        <v>12593.76</v>
      </c>
      <c r="H919" s="720">
        <v>9602.09</v>
      </c>
      <c r="I919" s="720">
        <v>7863.24</v>
      </c>
      <c r="J919" s="726">
        <v>101.82</v>
      </c>
      <c r="K919" s="720">
        <v>1255.78</v>
      </c>
      <c r="L919" s="720">
        <v>332.48</v>
      </c>
      <c r="M919" s="720">
        <v>3172.82</v>
      </c>
      <c r="N919" s="720">
        <v>178.55</v>
      </c>
    </row>
    <row r="920" spans="1:14" ht="15">
      <c r="A920" s="705"/>
      <c r="B920" s="705"/>
      <c r="C920" s="719">
        <v>41381</v>
      </c>
      <c r="D920" s="717">
        <v>9708</v>
      </c>
      <c r="E920" s="720">
        <v>10198.969999999999</v>
      </c>
      <c r="F920" s="720">
        <v>14897.25</v>
      </c>
      <c r="G920" s="720">
        <v>12708.47</v>
      </c>
      <c r="H920" s="720">
        <v>9572.23</v>
      </c>
      <c r="I920" s="720">
        <v>7843.95</v>
      </c>
      <c r="J920" s="726">
        <v>98.05</v>
      </c>
      <c r="K920" s="720">
        <v>1250.55</v>
      </c>
      <c r="L920" s="720">
        <v>334.41</v>
      </c>
      <c r="M920" s="720">
        <v>3197.95</v>
      </c>
      <c r="N920" s="720">
        <v>177.97</v>
      </c>
    </row>
    <row r="921" spans="1:14" ht="15">
      <c r="A921" s="705"/>
      <c r="B921" s="705"/>
      <c r="C921" s="719">
        <v>41382</v>
      </c>
      <c r="D921" s="717">
        <v>9708</v>
      </c>
      <c r="E921" s="720">
        <v>10198.969999999999</v>
      </c>
      <c r="F921" s="720">
        <v>14897.25</v>
      </c>
      <c r="G921" s="720">
        <v>12708.47</v>
      </c>
      <c r="H921" s="720">
        <v>9572.23</v>
      </c>
      <c r="I921" s="720">
        <v>7843.95</v>
      </c>
      <c r="J921" s="726">
        <v>98.05</v>
      </c>
      <c r="K921" s="720">
        <v>1250.55</v>
      </c>
      <c r="L921" s="720">
        <v>334.41</v>
      </c>
      <c r="M921" s="720">
        <v>3197.95</v>
      </c>
      <c r="N921" s="720">
        <v>177.97</v>
      </c>
    </row>
    <row r="922" spans="1:14" ht="15">
      <c r="A922" s="705"/>
      <c r="B922" s="705"/>
      <c r="C922" s="719">
        <v>41383</v>
      </c>
      <c r="D922" s="717">
        <v>9708</v>
      </c>
      <c r="E922" s="720">
        <v>10198.969999999999</v>
      </c>
      <c r="F922" s="720">
        <v>14897.25</v>
      </c>
      <c r="G922" s="720">
        <v>12708.47</v>
      </c>
      <c r="H922" s="720">
        <v>9572.23</v>
      </c>
      <c r="I922" s="720">
        <v>7843.95</v>
      </c>
      <c r="J922" s="726">
        <v>98.05</v>
      </c>
      <c r="K922" s="720">
        <v>1250.55</v>
      </c>
      <c r="L922" s="720">
        <v>334.41</v>
      </c>
      <c r="M922" s="720">
        <v>3197.95</v>
      </c>
      <c r="N922" s="720">
        <v>177.97</v>
      </c>
    </row>
    <row r="923" spans="1:14" ht="15">
      <c r="A923" s="705"/>
      <c r="B923" s="705"/>
      <c r="C923" s="719">
        <v>41384</v>
      </c>
      <c r="D923" s="717">
        <v>9708</v>
      </c>
      <c r="E923" s="720">
        <v>10198.969999999999</v>
      </c>
      <c r="F923" s="720">
        <v>14897.25</v>
      </c>
      <c r="G923" s="720">
        <v>12708.47</v>
      </c>
      <c r="H923" s="720">
        <v>9572.23</v>
      </c>
      <c r="I923" s="720">
        <v>7843.95</v>
      </c>
      <c r="J923" s="726">
        <v>98.05</v>
      </c>
      <c r="K923" s="720">
        <v>1250.55</v>
      </c>
      <c r="L923" s="720">
        <v>334.41</v>
      </c>
      <c r="M923" s="720">
        <v>3197.95</v>
      </c>
      <c r="N923" s="720">
        <v>177.97</v>
      </c>
    </row>
    <row r="924" spans="1:14" ht="15">
      <c r="A924" s="705"/>
      <c r="B924" s="705"/>
      <c r="C924" s="719">
        <v>41385</v>
      </c>
      <c r="D924" s="717">
        <v>9708</v>
      </c>
      <c r="E924" s="720">
        <v>10198.969999999999</v>
      </c>
      <c r="F924" s="720">
        <v>14897.25</v>
      </c>
      <c r="G924" s="720">
        <v>12708.47</v>
      </c>
      <c r="H924" s="720">
        <v>9572.23</v>
      </c>
      <c r="I924" s="720">
        <v>7843.95</v>
      </c>
      <c r="J924" s="726">
        <v>98.05</v>
      </c>
      <c r="K924" s="720">
        <v>1250.55</v>
      </c>
      <c r="L924" s="720">
        <v>334.41</v>
      </c>
      <c r="M924" s="720">
        <v>3197.95</v>
      </c>
      <c r="N924" s="720">
        <v>177.97</v>
      </c>
    </row>
    <row r="925" spans="1:14" ht="15">
      <c r="A925" s="705"/>
      <c r="B925" s="705"/>
      <c r="C925" s="719">
        <v>41386</v>
      </c>
      <c r="D925" s="717">
        <v>9708</v>
      </c>
      <c r="E925" s="720">
        <v>10198.969999999999</v>
      </c>
      <c r="F925" s="720">
        <v>14897.25</v>
      </c>
      <c r="G925" s="720">
        <v>12708.47</v>
      </c>
      <c r="H925" s="720">
        <v>9572.23</v>
      </c>
      <c r="I925" s="720">
        <v>7843.95</v>
      </c>
      <c r="J925" s="726">
        <v>98.05</v>
      </c>
      <c r="K925" s="720">
        <v>1250.55</v>
      </c>
      <c r="L925" s="720">
        <v>334.41</v>
      </c>
      <c r="M925" s="720">
        <v>3197.95</v>
      </c>
      <c r="N925" s="720">
        <v>177.97</v>
      </c>
    </row>
    <row r="926" spans="1:14" ht="15">
      <c r="A926" s="705"/>
      <c r="B926" s="705"/>
      <c r="C926" s="719">
        <v>41387</v>
      </c>
      <c r="D926" s="717">
        <v>9708</v>
      </c>
      <c r="E926" s="720">
        <v>10198.969999999999</v>
      </c>
      <c r="F926" s="720">
        <v>14897.25</v>
      </c>
      <c r="G926" s="720">
        <v>12708.47</v>
      </c>
      <c r="H926" s="720">
        <v>9572.23</v>
      </c>
      <c r="I926" s="720">
        <v>7843.95</v>
      </c>
      <c r="J926" s="726">
        <v>98.05</v>
      </c>
      <c r="K926" s="720">
        <v>1250.55</v>
      </c>
      <c r="L926" s="720">
        <v>334.41</v>
      </c>
      <c r="M926" s="720">
        <v>3197.95</v>
      </c>
      <c r="N926" s="720">
        <v>177.97</v>
      </c>
    </row>
    <row r="927" spans="1:14" ht="15">
      <c r="A927" s="705"/>
      <c r="B927" s="705"/>
      <c r="C927" s="719">
        <v>41388</v>
      </c>
      <c r="D927" s="717">
        <v>9713</v>
      </c>
      <c r="E927" s="720">
        <v>10017.39</v>
      </c>
      <c r="F927" s="720">
        <v>14831.25</v>
      </c>
      <c r="G927" s="720">
        <v>12702.59</v>
      </c>
      <c r="H927" s="720">
        <v>9475.35</v>
      </c>
      <c r="I927" s="720">
        <v>7856.09</v>
      </c>
      <c r="J927" s="726">
        <v>98.47</v>
      </c>
      <c r="K927" s="720">
        <v>1251.08</v>
      </c>
      <c r="L927" s="720">
        <v>337.7</v>
      </c>
      <c r="M927" s="720">
        <v>3199.57</v>
      </c>
      <c r="N927" s="720">
        <v>179.51</v>
      </c>
    </row>
    <row r="928" spans="1:14" ht="15">
      <c r="A928" s="705"/>
      <c r="B928" s="705"/>
      <c r="C928" s="719">
        <v>41389</v>
      </c>
      <c r="D928" s="717">
        <v>9713</v>
      </c>
      <c r="E928" s="720">
        <v>10017.39</v>
      </c>
      <c r="F928" s="720">
        <v>14831.25</v>
      </c>
      <c r="G928" s="720">
        <v>12702.59</v>
      </c>
      <c r="H928" s="720">
        <v>9475.35</v>
      </c>
      <c r="I928" s="720">
        <v>7856.09</v>
      </c>
      <c r="J928" s="726">
        <v>98.47</v>
      </c>
      <c r="K928" s="720">
        <v>1251.08</v>
      </c>
      <c r="L928" s="720">
        <v>337.7</v>
      </c>
      <c r="M928" s="720">
        <v>3199.57</v>
      </c>
      <c r="N928" s="720">
        <v>179.51</v>
      </c>
    </row>
    <row r="929" spans="1:14" ht="15">
      <c r="A929" s="705"/>
      <c r="B929" s="705"/>
      <c r="C929" s="719">
        <v>41390</v>
      </c>
      <c r="D929" s="717">
        <v>9713</v>
      </c>
      <c r="E929" s="720">
        <v>10017.39</v>
      </c>
      <c r="F929" s="720">
        <v>14831.25</v>
      </c>
      <c r="G929" s="720">
        <v>12702.59</v>
      </c>
      <c r="H929" s="720">
        <v>9475.35</v>
      </c>
      <c r="I929" s="720">
        <v>7856.09</v>
      </c>
      <c r="J929" s="726">
        <v>98.47</v>
      </c>
      <c r="K929" s="720">
        <v>1251.08</v>
      </c>
      <c r="L929" s="720">
        <v>337.7</v>
      </c>
      <c r="M929" s="720">
        <v>3199.57</v>
      </c>
      <c r="N929" s="720">
        <v>179.51</v>
      </c>
    </row>
    <row r="930" spans="1:14" ht="15">
      <c r="A930" s="705"/>
      <c r="B930" s="705"/>
      <c r="C930" s="719">
        <v>41391</v>
      </c>
      <c r="D930" s="717">
        <v>9713</v>
      </c>
      <c r="E930" s="720">
        <v>10017.39</v>
      </c>
      <c r="F930" s="720">
        <v>14831.25</v>
      </c>
      <c r="G930" s="720">
        <v>12702.59</v>
      </c>
      <c r="H930" s="720">
        <v>9475.35</v>
      </c>
      <c r="I930" s="720">
        <v>7856.09</v>
      </c>
      <c r="J930" s="726">
        <v>98.47</v>
      </c>
      <c r="K930" s="720">
        <v>1251.08</v>
      </c>
      <c r="L930" s="720">
        <v>337.7</v>
      </c>
      <c r="M930" s="720">
        <v>3199.57</v>
      </c>
      <c r="N930" s="720">
        <v>179.51</v>
      </c>
    </row>
    <row r="931" spans="1:14" ht="15">
      <c r="A931" s="705"/>
      <c r="B931" s="705"/>
      <c r="C931" s="719">
        <v>41392</v>
      </c>
      <c r="D931" s="717">
        <v>9713</v>
      </c>
      <c r="E931" s="720">
        <v>10017.39</v>
      </c>
      <c r="F931" s="720">
        <v>14831.25</v>
      </c>
      <c r="G931" s="720">
        <v>12702.59</v>
      </c>
      <c r="H931" s="720">
        <v>9475.35</v>
      </c>
      <c r="I931" s="720">
        <v>7856.09</v>
      </c>
      <c r="J931" s="726">
        <v>98.47</v>
      </c>
      <c r="K931" s="720">
        <v>1251.08</v>
      </c>
      <c r="L931" s="720">
        <v>337.7</v>
      </c>
      <c r="M931" s="720">
        <v>3199.57</v>
      </c>
      <c r="N931" s="720">
        <v>179.51</v>
      </c>
    </row>
    <row r="932" spans="1:14" ht="15">
      <c r="A932" s="705"/>
      <c r="B932" s="705"/>
      <c r="C932" s="719">
        <v>41393</v>
      </c>
      <c r="D932" s="717">
        <v>9713</v>
      </c>
      <c r="E932" s="720">
        <v>10017.39</v>
      </c>
      <c r="F932" s="720">
        <v>14831.25</v>
      </c>
      <c r="G932" s="720">
        <v>12702.59</v>
      </c>
      <c r="H932" s="720">
        <v>9475.35</v>
      </c>
      <c r="I932" s="720">
        <v>7856.09</v>
      </c>
      <c r="J932" s="726">
        <v>98.47</v>
      </c>
      <c r="K932" s="720">
        <v>1251.08</v>
      </c>
      <c r="L932" s="720">
        <v>337.7</v>
      </c>
      <c r="M932" s="720">
        <v>3199.57</v>
      </c>
      <c r="N932" s="720">
        <v>179.51</v>
      </c>
    </row>
    <row r="933" spans="1:14" ht="15">
      <c r="A933" s="705"/>
      <c r="B933" s="705"/>
      <c r="C933" s="719">
        <v>41394</v>
      </c>
      <c r="D933" s="717">
        <v>9713</v>
      </c>
      <c r="E933" s="720">
        <v>10017.39</v>
      </c>
      <c r="F933" s="720">
        <v>14831.25</v>
      </c>
      <c r="G933" s="720">
        <v>12702.59</v>
      </c>
      <c r="H933" s="720">
        <v>9475.35</v>
      </c>
      <c r="I933" s="720">
        <v>7856.09</v>
      </c>
      <c r="J933" s="726">
        <v>98.47</v>
      </c>
      <c r="K933" s="720">
        <v>1251.08</v>
      </c>
      <c r="L933" s="720">
        <v>337.7</v>
      </c>
      <c r="M933" s="720">
        <v>3199.57</v>
      </c>
      <c r="N933" s="720">
        <v>179.51</v>
      </c>
    </row>
    <row r="934" spans="1:14" ht="15">
      <c r="A934" s="705"/>
      <c r="B934" s="705"/>
      <c r="C934" s="719">
        <v>41395</v>
      </c>
      <c r="D934" s="717">
        <v>9723</v>
      </c>
      <c r="E934" s="720">
        <v>9999.2900000000009</v>
      </c>
      <c r="F934" s="720">
        <v>14960.05</v>
      </c>
      <c r="G934" s="720">
        <v>12658.76</v>
      </c>
      <c r="H934" s="720">
        <v>9526.16</v>
      </c>
      <c r="I934" s="720">
        <v>7849.25</v>
      </c>
      <c r="J934" s="726">
        <v>98.43</v>
      </c>
      <c r="K934" s="720">
        <v>1252.23</v>
      </c>
      <c r="L934" s="720">
        <v>334.24</v>
      </c>
      <c r="M934" s="720">
        <v>3196.6</v>
      </c>
      <c r="N934" s="720">
        <v>178.94</v>
      </c>
    </row>
    <row r="935" spans="1:14" ht="15">
      <c r="A935" s="705"/>
      <c r="B935" s="705"/>
      <c r="C935" s="719">
        <v>41396</v>
      </c>
      <c r="D935" s="717">
        <v>9723</v>
      </c>
      <c r="E935" s="720">
        <v>9999.2900000000009</v>
      </c>
      <c r="F935" s="720">
        <v>14960.05</v>
      </c>
      <c r="G935" s="720">
        <v>12658.76</v>
      </c>
      <c r="H935" s="720">
        <v>9526.16</v>
      </c>
      <c r="I935" s="720">
        <v>7849.25</v>
      </c>
      <c r="J935" s="726">
        <v>98.43</v>
      </c>
      <c r="K935" s="720">
        <v>1252.23</v>
      </c>
      <c r="L935" s="720">
        <v>334.24</v>
      </c>
      <c r="M935" s="720">
        <v>3196.6</v>
      </c>
      <c r="N935" s="720">
        <v>178.94</v>
      </c>
    </row>
    <row r="936" spans="1:14" ht="15">
      <c r="A936" s="705"/>
      <c r="B936" s="705"/>
      <c r="C936" s="719">
        <v>41397</v>
      </c>
      <c r="D936" s="717">
        <v>9723</v>
      </c>
      <c r="E936" s="720">
        <v>9999.2900000000009</v>
      </c>
      <c r="F936" s="720">
        <v>14960.05</v>
      </c>
      <c r="G936" s="720">
        <v>12658.76</v>
      </c>
      <c r="H936" s="720">
        <v>9526.16</v>
      </c>
      <c r="I936" s="720">
        <v>7849.25</v>
      </c>
      <c r="J936" s="726">
        <v>98.43</v>
      </c>
      <c r="K936" s="720">
        <v>1252.23</v>
      </c>
      <c r="L936" s="720">
        <v>334.24</v>
      </c>
      <c r="M936" s="720">
        <v>3196.6</v>
      </c>
      <c r="N936" s="720">
        <v>178.94</v>
      </c>
    </row>
    <row r="937" spans="1:14" ht="15">
      <c r="A937" s="705"/>
      <c r="B937" s="705"/>
      <c r="C937" s="719">
        <v>41398</v>
      </c>
      <c r="D937" s="717">
        <v>9723</v>
      </c>
      <c r="E937" s="720">
        <v>9999.2900000000009</v>
      </c>
      <c r="F937" s="720">
        <v>14960.05</v>
      </c>
      <c r="G937" s="720">
        <v>12658.76</v>
      </c>
      <c r="H937" s="720">
        <v>9526.16</v>
      </c>
      <c r="I937" s="720">
        <v>7849.25</v>
      </c>
      <c r="J937" s="726">
        <v>98.43</v>
      </c>
      <c r="K937" s="720">
        <v>1252.23</v>
      </c>
      <c r="L937" s="720">
        <v>334.24</v>
      </c>
      <c r="M937" s="720">
        <v>3196.6</v>
      </c>
      <c r="N937" s="720">
        <v>178.94</v>
      </c>
    </row>
    <row r="938" spans="1:14" ht="15">
      <c r="A938" s="705"/>
      <c r="B938" s="705"/>
      <c r="C938" s="719">
        <v>41399</v>
      </c>
      <c r="D938" s="717">
        <v>9723</v>
      </c>
      <c r="E938" s="720">
        <v>9999.2900000000009</v>
      </c>
      <c r="F938" s="720">
        <v>14960.05</v>
      </c>
      <c r="G938" s="720">
        <v>12658.76</v>
      </c>
      <c r="H938" s="720">
        <v>9526.16</v>
      </c>
      <c r="I938" s="720">
        <v>7849.25</v>
      </c>
      <c r="J938" s="726">
        <v>98.43</v>
      </c>
      <c r="K938" s="720">
        <v>1252.23</v>
      </c>
      <c r="L938" s="720">
        <v>334.24</v>
      </c>
      <c r="M938" s="720">
        <v>3196.6</v>
      </c>
      <c r="N938" s="720">
        <v>178.94</v>
      </c>
    </row>
    <row r="939" spans="1:14" ht="15">
      <c r="A939" s="705"/>
      <c r="B939" s="705"/>
      <c r="C939" s="719">
        <v>41400</v>
      </c>
      <c r="D939" s="717">
        <v>9723</v>
      </c>
      <c r="E939" s="720">
        <v>9999.2900000000009</v>
      </c>
      <c r="F939" s="720">
        <v>14960.05</v>
      </c>
      <c r="G939" s="720">
        <v>12658.76</v>
      </c>
      <c r="H939" s="720">
        <v>9526.16</v>
      </c>
      <c r="I939" s="720">
        <v>7849.25</v>
      </c>
      <c r="J939" s="726">
        <v>98.43</v>
      </c>
      <c r="K939" s="720">
        <v>1252.23</v>
      </c>
      <c r="L939" s="720">
        <v>334.24</v>
      </c>
      <c r="M939" s="720">
        <v>3196.6</v>
      </c>
      <c r="N939" s="720">
        <v>178.94</v>
      </c>
    </row>
    <row r="940" spans="1:14" ht="15">
      <c r="A940" s="705"/>
      <c r="B940" s="705"/>
      <c r="C940" s="719">
        <v>41401</v>
      </c>
      <c r="D940" s="717">
        <v>9723</v>
      </c>
      <c r="E940" s="720">
        <v>9999.2900000000009</v>
      </c>
      <c r="F940" s="720">
        <v>14960.05</v>
      </c>
      <c r="G940" s="720">
        <v>12658.76</v>
      </c>
      <c r="H940" s="720">
        <v>9526.16</v>
      </c>
      <c r="I940" s="720">
        <v>7849.25</v>
      </c>
      <c r="J940" s="726">
        <v>98.43</v>
      </c>
      <c r="K940" s="720">
        <v>1252.23</v>
      </c>
      <c r="L940" s="720">
        <v>334.24</v>
      </c>
      <c r="M940" s="720">
        <v>3196.6</v>
      </c>
      <c r="N940" s="720">
        <v>178.94</v>
      </c>
    </row>
    <row r="941" spans="1:14" ht="15">
      <c r="A941" s="705"/>
      <c r="B941" s="705"/>
      <c r="C941" s="719">
        <v>41402</v>
      </c>
      <c r="D941" s="717">
        <v>9732</v>
      </c>
      <c r="E941" s="720">
        <v>10031.549999999999</v>
      </c>
      <c r="F941" s="720">
        <v>15140.07</v>
      </c>
      <c r="G941" s="720">
        <v>12783.18</v>
      </c>
      <c r="H941" s="720">
        <v>9656.2900000000009</v>
      </c>
      <c r="I941" s="720">
        <v>7895.38</v>
      </c>
      <c r="J941" s="726">
        <v>99.19</v>
      </c>
      <c r="K941" s="720">
        <v>1254.1600000000001</v>
      </c>
      <c r="L941" s="720">
        <v>330.3</v>
      </c>
      <c r="M941" s="720">
        <v>3213.09</v>
      </c>
      <c r="N941" s="720">
        <v>180.71</v>
      </c>
    </row>
    <row r="942" spans="1:14" ht="15">
      <c r="A942" s="705"/>
      <c r="B942" s="705"/>
      <c r="C942" s="719">
        <v>41403</v>
      </c>
      <c r="D942" s="717">
        <v>9732</v>
      </c>
      <c r="E942" s="720">
        <v>10031.549999999999</v>
      </c>
      <c r="F942" s="720">
        <v>15140.07</v>
      </c>
      <c r="G942" s="720">
        <v>12783.18</v>
      </c>
      <c r="H942" s="720">
        <v>9656.2900000000009</v>
      </c>
      <c r="I942" s="720">
        <v>7895.38</v>
      </c>
      <c r="J942" s="726">
        <v>99.19</v>
      </c>
      <c r="K942" s="720">
        <v>1254.1600000000001</v>
      </c>
      <c r="L942" s="720">
        <v>330.3</v>
      </c>
      <c r="M942" s="720">
        <v>3213.09</v>
      </c>
      <c r="N942" s="720">
        <v>180.71</v>
      </c>
    </row>
    <row r="943" spans="1:14" ht="15">
      <c r="A943" s="705"/>
      <c r="B943" s="705"/>
      <c r="C943" s="719">
        <v>41404</v>
      </c>
      <c r="D943" s="717">
        <v>9732</v>
      </c>
      <c r="E943" s="720">
        <v>10031.549999999999</v>
      </c>
      <c r="F943" s="720">
        <v>15140.07</v>
      </c>
      <c r="G943" s="720">
        <v>12783.18</v>
      </c>
      <c r="H943" s="720">
        <v>9656.2900000000009</v>
      </c>
      <c r="I943" s="720">
        <v>7895.38</v>
      </c>
      <c r="J943" s="726">
        <v>99.19</v>
      </c>
      <c r="K943" s="720">
        <v>1254.1600000000001</v>
      </c>
      <c r="L943" s="720">
        <v>330.3</v>
      </c>
      <c r="M943" s="720">
        <v>3213.09</v>
      </c>
      <c r="N943" s="720">
        <v>180.71</v>
      </c>
    </row>
    <row r="944" spans="1:14" ht="15">
      <c r="A944" s="705"/>
      <c r="B944" s="705"/>
      <c r="C944" s="719">
        <v>41405</v>
      </c>
      <c r="D944" s="717">
        <v>9732</v>
      </c>
      <c r="E944" s="720">
        <v>10031.549999999999</v>
      </c>
      <c r="F944" s="720">
        <v>15140.07</v>
      </c>
      <c r="G944" s="720">
        <v>12783.18</v>
      </c>
      <c r="H944" s="720">
        <v>9656.2900000000009</v>
      </c>
      <c r="I944" s="720">
        <v>7895.38</v>
      </c>
      <c r="J944" s="726">
        <v>99.19</v>
      </c>
      <c r="K944" s="720">
        <v>1254.1600000000001</v>
      </c>
      <c r="L944" s="720">
        <v>330.3</v>
      </c>
      <c r="M944" s="720">
        <v>3213.09</v>
      </c>
      <c r="N944" s="720">
        <v>180.71</v>
      </c>
    </row>
    <row r="945" spans="1:14" ht="15">
      <c r="A945" s="705"/>
      <c r="B945" s="705"/>
      <c r="C945" s="719">
        <v>41406</v>
      </c>
      <c r="D945" s="717">
        <v>9732</v>
      </c>
      <c r="E945" s="720">
        <v>10031.549999999999</v>
      </c>
      <c r="F945" s="720">
        <v>15140.07</v>
      </c>
      <c r="G945" s="720">
        <v>12783.18</v>
      </c>
      <c r="H945" s="720">
        <v>9656.2900000000009</v>
      </c>
      <c r="I945" s="720">
        <v>7895.38</v>
      </c>
      <c r="J945" s="726">
        <v>99.19</v>
      </c>
      <c r="K945" s="720">
        <v>1254.1600000000001</v>
      </c>
      <c r="L945" s="720">
        <v>330.3</v>
      </c>
      <c r="M945" s="720">
        <v>3213.09</v>
      </c>
      <c r="N945" s="720">
        <v>180.71</v>
      </c>
    </row>
    <row r="946" spans="1:14" ht="15">
      <c r="A946" s="705"/>
      <c r="B946" s="705"/>
      <c r="C946" s="719">
        <v>41407</v>
      </c>
      <c r="D946" s="717">
        <v>9732</v>
      </c>
      <c r="E946" s="720">
        <v>10031.549999999999</v>
      </c>
      <c r="F946" s="720">
        <v>15140.07</v>
      </c>
      <c r="G946" s="720">
        <v>12783.18</v>
      </c>
      <c r="H946" s="720">
        <v>9656.2900000000009</v>
      </c>
      <c r="I946" s="720">
        <v>7895.38</v>
      </c>
      <c r="J946" s="726">
        <v>99.19</v>
      </c>
      <c r="K946" s="720">
        <v>1254.1600000000001</v>
      </c>
      <c r="L946" s="720">
        <v>330.3</v>
      </c>
      <c r="M946" s="720">
        <v>3213.09</v>
      </c>
      <c r="N946" s="720">
        <v>180.71</v>
      </c>
    </row>
    <row r="947" spans="1:14" ht="15">
      <c r="A947" s="705"/>
      <c r="B947" s="705"/>
      <c r="C947" s="719">
        <v>41408</v>
      </c>
      <c r="D947" s="717">
        <v>9732</v>
      </c>
      <c r="E947" s="720">
        <v>10031.549999999999</v>
      </c>
      <c r="F947" s="720">
        <v>15140.07</v>
      </c>
      <c r="G947" s="720">
        <v>12783.18</v>
      </c>
      <c r="H947" s="720">
        <v>9656.2900000000009</v>
      </c>
      <c r="I947" s="720">
        <v>7895.38</v>
      </c>
      <c r="J947" s="726">
        <v>99.19</v>
      </c>
      <c r="K947" s="720">
        <v>1254.1600000000001</v>
      </c>
      <c r="L947" s="720">
        <v>330.3</v>
      </c>
      <c r="M947" s="720">
        <v>3213.09</v>
      </c>
      <c r="N947" s="720">
        <v>180.71</v>
      </c>
    </row>
    <row r="948" spans="1:14" ht="15">
      <c r="A948" s="705"/>
      <c r="B948" s="705"/>
      <c r="C948" s="719">
        <v>41409</v>
      </c>
      <c r="D948" s="717">
        <v>9731</v>
      </c>
      <c r="E948" s="720">
        <v>9820.33</v>
      </c>
      <c r="F948" s="720">
        <v>15020.58</v>
      </c>
      <c r="G948" s="720">
        <v>12696.62</v>
      </c>
      <c r="H948" s="720">
        <v>9661.6299999999992</v>
      </c>
      <c r="I948" s="720">
        <v>7884.2</v>
      </c>
      <c r="J948" s="726">
        <v>96.9</v>
      </c>
      <c r="K948" s="720">
        <v>1253.96</v>
      </c>
      <c r="L948" s="720">
        <v>328.77</v>
      </c>
      <c r="M948" s="720">
        <v>3263.27</v>
      </c>
      <c r="N948" s="720">
        <v>179.08</v>
      </c>
    </row>
    <row r="949" spans="1:14" ht="15">
      <c r="A949" s="705"/>
      <c r="B949" s="705"/>
      <c r="C949" s="719">
        <v>41410</v>
      </c>
      <c r="D949" s="717">
        <v>9731</v>
      </c>
      <c r="E949" s="720">
        <v>9820.33</v>
      </c>
      <c r="F949" s="720">
        <v>15020.58</v>
      </c>
      <c r="G949" s="720">
        <v>12696.62</v>
      </c>
      <c r="H949" s="720">
        <v>9661.6299999999992</v>
      </c>
      <c r="I949" s="720">
        <v>7884.2</v>
      </c>
      <c r="J949" s="726">
        <v>96.9</v>
      </c>
      <c r="K949" s="720">
        <v>1253.96</v>
      </c>
      <c r="L949" s="720">
        <v>328.77</v>
      </c>
      <c r="M949" s="720">
        <v>3263.27</v>
      </c>
      <c r="N949" s="720">
        <v>179.08</v>
      </c>
    </row>
    <row r="950" spans="1:14" ht="15">
      <c r="A950" s="705"/>
      <c r="B950" s="705"/>
      <c r="C950" s="719">
        <v>41411</v>
      </c>
      <c r="D950" s="717">
        <v>9731</v>
      </c>
      <c r="E950" s="720">
        <v>9820.33</v>
      </c>
      <c r="F950" s="720">
        <v>15020.58</v>
      </c>
      <c r="G950" s="720">
        <v>12696.62</v>
      </c>
      <c r="H950" s="720">
        <v>9661.6299999999992</v>
      </c>
      <c r="I950" s="720">
        <v>7884.2</v>
      </c>
      <c r="J950" s="726">
        <v>96.9</v>
      </c>
      <c r="K950" s="720">
        <v>1253.96</v>
      </c>
      <c r="L950" s="720">
        <v>328.77</v>
      </c>
      <c r="M950" s="720">
        <v>3263.27</v>
      </c>
      <c r="N950" s="720">
        <v>179.08</v>
      </c>
    </row>
    <row r="951" spans="1:14" ht="15">
      <c r="A951" s="705"/>
      <c r="B951" s="705"/>
      <c r="C951" s="719">
        <v>41412</v>
      </c>
      <c r="D951" s="717">
        <v>9731</v>
      </c>
      <c r="E951" s="720">
        <v>9820.33</v>
      </c>
      <c r="F951" s="720">
        <v>15020.58</v>
      </c>
      <c r="G951" s="720">
        <v>12696.62</v>
      </c>
      <c r="H951" s="720">
        <v>9661.6299999999992</v>
      </c>
      <c r="I951" s="720">
        <v>7884.2</v>
      </c>
      <c r="J951" s="726">
        <v>96.9</v>
      </c>
      <c r="K951" s="720">
        <v>1253.96</v>
      </c>
      <c r="L951" s="720">
        <v>328.77</v>
      </c>
      <c r="M951" s="720">
        <v>3263.27</v>
      </c>
      <c r="N951" s="720">
        <v>179.08</v>
      </c>
    </row>
    <row r="952" spans="1:14" ht="15">
      <c r="A952" s="705"/>
      <c r="B952" s="705"/>
      <c r="C952" s="719">
        <v>41413</v>
      </c>
      <c r="D952" s="717">
        <v>9731</v>
      </c>
      <c r="E952" s="720">
        <v>9820.33</v>
      </c>
      <c r="F952" s="720">
        <v>15020.58</v>
      </c>
      <c r="G952" s="720">
        <v>12696.62</v>
      </c>
      <c r="H952" s="720">
        <v>9661.6299999999992</v>
      </c>
      <c r="I952" s="720">
        <v>7884.2</v>
      </c>
      <c r="J952" s="726">
        <v>96.9</v>
      </c>
      <c r="K952" s="720">
        <v>1253.96</v>
      </c>
      <c r="L952" s="720">
        <v>328.77</v>
      </c>
      <c r="M952" s="720">
        <v>3263.27</v>
      </c>
      <c r="N952" s="720">
        <v>179.08</v>
      </c>
    </row>
    <row r="953" spans="1:14" ht="15">
      <c r="A953" s="705"/>
      <c r="B953" s="705"/>
      <c r="C953" s="719">
        <v>41414</v>
      </c>
      <c r="D953" s="717">
        <v>9731</v>
      </c>
      <c r="E953" s="720">
        <v>9820.33</v>
      </c>
      <c r="F953" s="720">
        <v>15020.58</v>
      </c>
      <c r="G953" s="720">
        <v>12696.62</v>
      </c>
      <c r="H953" s="720">
        <v>9661.6299999999992</v>
      </c>
      <c r="I953" s="720">
        <v>7884.2</v>
      </c>
      <c r="J953" s="726">
        <v>96.9</v>
      </c>
      <c r="K953" s="720">
        <v>1253.96</v>
      </c>
      <c r="L953" s="720">
        <v>328.77</v>
      </c>
      <c r="M953" s="720">
        <v>3263.27</v>
      </c>
      <c r="N953" s="720">
        <v>179.08</v>
      </c>
    </row>
    <row r="954" spans="1:14" ht="15">
      <c r="A954" s="705"/>
      <c r="B954" s="705"/>
      <c r="C954" s="719">
        <v>41415</v>
      </c>
      <c r="D954" s="717">
        <v>9731</v>
      </c>
      <c r="E954" s="720">
        <v>9820.33</v>
      </c>
      <c r="F954" s="720">
        <v>15020.58</v>
      </c>
      <c r="G954" s="720">
        <v>12696.62</v>
      </c>
      <c r="H954" s="720">
        <v>9661.6299999999992</v>
      </c>
      <c r="I954" s="720">
        <v>7884.2</v>
      </c>
      <c r="J954" s="726">
        <v>96.9</v>
      </c>
      <c r="K954" s="720">
        <v>1253.96</v>
      </c>
      <c r="L954" s="720">
        <v>328.77</v>
      </c>
      <c r="M954" s="720">
        <v>3263.27</v>
      </c>
      <c r="N954" s="720">
        <v>179.08</v>
      </c>
    </row>
    <row r="955" spans="1:14" ht="15">
      <c r="A955" s="705"/>
      <c r="B955" s="705"/>
      <c r="C955" s="719">
        <v>41416</v>
      </c>
      <c r="D955" s="717">
        <v>9759</v>
      </c>
      <c r="E955" s="720">
        <v>9582.17</v>
      </c>
      <c r="F955" s="720">
        <v>14846.26</v>
      </c>
      <c r="G955" s="720">
        <v>12561.53</v>
      </c>
      <c r="H955" s="720">
        <v>9549.48</v>
      </c>
      <c r="I955" s="720">
        <v>7798.06</v>
      </c>
      <c r="J955" s="726">
        <v>95.13</v>
      </c>
      <c r="K955" s="720">
        <v>1257.1500000000001</v>
      </c>
      <c r="L955" s="720">
        <v>327.83</v>
      </c>
      <c r="M955" s="720">
        <v>3242.58</v>
      </c>
      <c r="N955" s="720">
        <v>178.03</v>
      </c>
    </row>
    <row r="956" spans="1:14" ht="15">
      <c r="A956" s="705"/>
      <c r="B956" s="705"/>
      <c r="C956" s="719">
        <v>41417</v>
      </c>
      <c r="D956" s="717">
        <v>9759</v>
      </c>
      <c r="E956" s="720">
        <v>9582.17</v>
      </c>
      <c r="F956" s="720">
        <v>14846.26</v>
      </c>
      <c r="G956" s="720">
        <v>12561.53</v>
      </c>
      <c r="H956" s="720">
        <v>9549.48</v>
      </c>
      <c r="I956" s="720">
        <v>7798.06</v>
      </c>
      <c r="J956" s="726">
        <v>95.13</v>
      </c>
      <c r="K956" s="720">
        <v>1257.1500000000001</v>
      </c>
      <c r="L956" s="720">
        <v>327.83</v>
      </c>
      <c r="M956" s="720">
        <v>3242.58</v>
      </c>
      <c r="N956" s="720">
        <v>178.03</v>
      </c>
    </row>
    <row r="957" spans="1:14" ht="15">
      <c r="A957" s="705"/>
      <c r="B957" s="705"/>
      <c r="C957" s="719">
        <v>41418</v>
      </c>
      <c r="D957" s="717">
        <v>9759</v>
      </c>
      <c r="E957" s="720">
        <v>9582.17</v>
      </c>
      <c r="F957" s="720">
        <v>14846.26</v>
      </c>
      <c r="G957" s="720">
        <v>12561.53</v>
      </c>
      <c r="H957" s="720">
        <v>9549.48</v>
      </c>
      <c r="I957" s="720">
        <v>7798.06</v>
      </c>
      <c r="J957" s="726">
        <v>95.13</v>
      </c>
      <c r="K957" s="720">
        <v>1257.1500000000001</v>
      </c>
      <c r="L957" s="720">
        <v>327.83</v>
      </c>
      <c r="M957" s="720">
        <v>3242.58</v>
      </c>
      <c r="N957" s="720">
        <v>178.03</v>
      </c>
    </row>
    <row r="958" spans="1:14" ht="15">
      <c r="A958" s="705"/>
      <c r="B958" s="705"/>
      <c r="C958" s="719">
        <v>41419</v>
      </c>
      <c r="D958" s="717">
        <v>9759</v>
      </c>
      <c r="E958" s="720">
        <v>9582.17</v>
      </c>
      <c r="F958" s="720">
        <v>14846.26</v>
      </c>
      <c r="G958" s="720">
        <v>12561.53</v>
      </c>
      <c r="H958" s="720">
        <v>9549.48</v>
      </c>
      <c r="I958" s="720">
        <v>7798.06</v>
      </c>
      <c r="J958" s="726">
        <v>95.13</v>
      </c>
      <c r="K958" s="720">
        <v>1257.1500000000001</v>
      </c>
      <c r="L958" s="720">
        <v>327.83</v>
      </c>
      <c r="M958" s="720">
        <v>3242.58</v>
      </c>
      <c r="N958" s="720">
        <v>178.03</v>
      </c>
    </row>
    <row r="959" spans="1:14" ht="15">
      <c r="A959" s="705"/>
      <c r="B959" s="705"/>
      <c r="C959" s="719">
        <v>41420</v>
      </c>
      <c r="D959" s="717">
        <v>9759</v>
      </c>
      <c r="E959" s="720">
        <v>9582.17</v>
      </c>
      <c r="F959" s="720">
        <v>14846.26</v>
      </c>
      <c r="G959" s="720">
        <v>12561.53</v>
      </c>
      <c r="H959" s="720">
        <v>9549.48</v>
      </c>
      <c r="I959" s="720">
        <v>7798.06</v>
      </c>
      <c r="J959" s="726">
        <v>95.13</v>
      </c>
      <c r="K959" s="720">
        <v>1257.1500000000001</v>
      </c>
      <c r="L959" s="720">
        <v>327.83</v>
      </c>
      <c r="M959" s="720">
        <v>3242.58</v>
      </c>
      <c r="N959" s="720">
        <v>178.03</v>
      </c>
    </row>
    <row r="960" spans="1:14" ht="15">
      <c r="A960" s="705"/>
      <c r="B960" s="705"/>
      <c r="C960" s="719">
        <v>41421</v>
      </c>
      <c r="D960" s="717">
        <v>9759</v>
      </c>
      <c r="E960" s="720">
        <v>9582.17</v>
      </c>
      <c r="F960" s="720">
        <v>14846.26</v>
      </c>
      <c r="G960" s="720">
        <v>12561.53</v>
      </c>
      <c r="H960" s="720">
        <v>9549.48</v>
      </c>
      <c r="I960" s="720">
        <v>7798.06</v>
      </c>
      <c r="J960" s="726">
        <v>95.13</v>
      </c>
      <c r="K960" s="720">
        <v>1257.1500000000001</v>
      </c>
      <c r="L960" s="720">
        <v>327.83</v>
      </c>
      <c r="M960" s="720">
        <v>3242.58</v>
      </c>
      <c r="N960" s="720">
        <v>178.03</v>
      </c>
    </row>
    <row r="961" spans="1:14" ht="15">
      <c r="A961" s="705"/>
      <c r="B961" s="705"/>
      <c r="C961" s="719">
        <v>41422</v>
      </c>
      <c r="D961" s="717">
        <v>9759</v>
      </c>
      <c r="E961" s="720">
        <v>9582.17</v>
      </c>
      <c r="F961" s="720">
        <v>14846.26</v>
      </c>
      <c r="G961" s="720">
        <v>12561.53</v>
      </c>
      <c r="H961" s="720">
        <v>9549.48</v>
      </c>
      <c r="I961" s="720">
        <v>7798.06</v>
      </c>
      <c r="J961" s="726">
        <v>95.13</v>
      </c>
      <c r="K961" s="720">
        <v>1257.1500000000001</v>
      </c>
      <c r="L961" s="720">
        <v>327.83</v>
      </c>
      <c r="M961" s="720">
        <v>3242.58</v>
      </c>
      <c r="N961" s="720">
        <v>178.03</v>
      </c>
    </row>
    <row r="962" spans="1:14" ht="15">
      <c r="A962" s="705"/>
      <c r="B962" s="705"/>
      <c r="C962" s="719">
        <v>41423</v>
      </c>
      <c r="D962" s="717">
        <v>9782</v>
      </c>
      <c r="E962" s="720">
        <v>9500.48</v>
      </c>
      <c r="F962" s="720">
        <v>14786.65</v>
      </c>
      <c r="G962" s="720">
        <v>12632.55</v>
      </c>
      <c r="H962" s="720">
        <v>9481.7900000000009</v>
      </c>
      <c r="I962" s="720">
        <v>7745.72</v>
      </c>
      <c r="J962" s="726">
        <v>95.92</v>
      </c>
      <c r="K962" s="720">
        <v>1260.1500000000001</v>
      </c>
      <c r="L962" s="720">
        <v>327.32</v>
      </c>
      <c r="M962" s="720">
        <v>3232.16</v>
      </c>
      <c r="N962" s="720">
        <v>176.07</v>
      </c>
    </row>
    <row r="963" spans="1:14" ht="15">
      <c r="A963" s="705"/>
      <c r="B963" s="705"/>
      <c r="C963" s="719">
        <v>41424</v>
      </c>
      <c r="D963" s="717">
        <v>9782</v>
      </c>
      <c r="E963" s="720">
        <v>9500.48</v>
      </c>
      <c r="F963" s="720">
        <v>14786.65</v>
      </c>
      <c r="G963" s="720">
        <v>12632.55</v>
      </c>
      <c r="H963" s="720">
        <v>9481.7900000000009</v>
      </c>
      <c r="I963" s="720">
        <v>7745.72</v>
      </c>
      <c r="J963" s="726">
        <v>95.92</v>
      </c>
      <c r="K963" s="720">
        <v>1260.1500000000001</v>
      </c>
      <c r="L963" s="720">
        <v>327.32</v>
      </c>
      <c r="M963" s="720">
        <v>3232.16</v>
      </c>
      <c r="N963" s="720">
        <v>176.07</v>
      </c>
    </row>
    <row r="964" spans="1:14" ht="15">
      <c r="A964" s="705"/>
      <c r="B964" s="705"/>
      <c r="C964" s="719">
        <v>41425</v>
      </c>
      <c r="D964" s="717">
        <v>9782</v>
      </c>
      <c r="E964" s="720">
        <v>9500.48</v>
      </c>
      <c r="F964" s="720">
        <v>14786.65</v>
      </c>
      <c r="G964" s="720">
        <v>12632.55</v>
      </c>
      <c r="H964" s="720">
        <v>9481.7900000000009</v>
      </c>
      <c r="I964" s="720">
        <v>7745.72</v>
      </c>
      <c r="J964" s="726">
        <v>95.92</v>
      </c>
      <c r="K964" s="720">
        <v>1260.1500000000001</v>
      </c>
      <c r="L964" s="720">
        <v>327.32</v>
      </c>
      <c r="M964" s="720">
        <v>3232.16</v>
      </c>
      <c r="N964" s="720">
        <v>176.07</v>
      </c>
    </row>
    <row r="965" spans="1:14" ht="15">
      <c r="A965" s="705"/>
      <c r="B965" s="705"/>
      <c r="C965" s="719">
        <v>41426</v>
      </c>
      <c r="D965" s="717">
        <v>9782</v>
      </c>
      <c r="E965" s="720">
        <v>9500.48</v>
      </c>
      <c r="F965" s="720">
        <v>14786.65</v>
      </c>
      <c r="G965" s="720">
        <v>12632.55</v>
      </c>
      <c r="H965" s="720">
        <v>9481.7900000000009</v>
      </c>
      <c r="I965" s="720">
        <v>7745.72</v>
      </c>
      <c r="J965" s="726">
        <v>95.92</v>
      </c>
      <c r="K965" s="720">
        <v>1260.1500000000001</v>
      </c>
      <c r="L965" s="720">
        <v>327.32</v>
      </c>
      <c r="M965" s="720">
        <v>3232.16</v>
      </c>
      <c r="N965" s="720">
        <v>176.07</v>
      </c>
    </row>
    <row r="966" spans="1:14" ht="15">
      <c r="A966" s="705"/>
      <c r="B966" s="705"/>
      <c r="C966" s="719">
        <v>41427</v>
      </c>
      <c r="D966" s="717">
        <v>9782</v>
      </c>
      <c r="E966" s="720">
        <v>9500.48</v>
      </c>
      <c r="F966" s="720">
        <v>14786.65</v>
      </c>
      <c r="G966" s="720">
        <v>12632.55</v>
      </c>
      <c r="H966" s="720">
        <v>9481.7900000000009</v>
      </c>
      <c r="I966" s="720">
        <v>7745.72</v>
      </c>
      <c r="J966" s="726">
        <v>95.92</v>
      </c>
      <c r="K966" s="720">
        <v>1260.1500000000001</v>
      </c>
      <c r="L966" s="720">
        <v>327.32</v>
      </c>
      <c r="M966" s="720">
        <v>3232.16</v>
      </c>
      <c r="N966" s="720">
        <v>176.07</v>
      </c>
    </row>
    <row r="967" spans="1:14" ht="15">
      <c r="A967" s="705"/>
      <c r="B967" s="705"/>
      <c r="C967" s="719">
        <v>41428</v>
      </c>
      <c r="D967" s="717">
        <v>9782</v>
      </c>
      <c r="E967" s="720">
        <v>9500.48</v>
      </c>
      <c r="F967" s="720">
        <v>14786.65</v>
      </c>
      <c r="G967" s="720">
        <v>12632.55</v>
      </c>
      <c r="H967" s="720">
        <v>9481.7900000000009</v>
      </c>
      <c r="I967" s="720">
        <v>7745.72</v>
      </c>
      <c r="J967" s="726">
        <v>95.92</v>
      </c>
      <c r="K967" s="720">
        <v>1260.1500000000001</v>
      </c>
      <c r="L967" s="720">
        <v>327.32</v>
      </c>
      <c r="M967" s="720">
        <v>3232.16</v>
      </c>
      <c r="N967" s="720">
        <v>176.07</v>
      </c>
    </row>
    <row r="968" spans="1:14" ht="15">
      <c r="A968" s="705"/>
      <c r="B968" s="705"/>
      <c r="C968" s="719">
        <v>41429</v>
      </c>
      <c r="D968" s="717">
        <v>9782</v>
      </c>
      <c r="E968" s="720">
        <v>9500.48</v>
      </c>
      <c r="F968" s="720">
        <v>14786.65</v>
      </c>
      <c r="G968" s="720">
        <v>12632.55</v>
      </c>
      <c r="H968" s="720">
        <v>9481.7900000000009</v>
      </c>
      <c r="I968" s="720">
        <v>7745.72</v>
      </c>
      <c r="J968" s="726">
        <v>95.92</v>
      </c>
      <c r="K968" s="720">
        <v>1260.1500000000001</v>
      </c>
      <c r="L968" s="720">
        <v>327.32</v>
      </c>
      <c r="M968" s="720">
        <v>3232.16</v>
      </c>
      <c r="N968" s="720">
        <v>176.07</v>
      </c>
    </row>
    <row r="969" spans="1:14" ht="15">
      <c r="A969" s="705"/>
      <c r="B969" s="705"/>
      <c r="C969" s="719">
        <v>41430</v>
      </c>
      <c r="D969" s="717">
        <v>9834</v>
      </c>
      <c r="E969" s="720">
        <v>9457.9599999999991</v>
      </c>
      <c r="F969" s="720">
        <v>14909.6</v>
      </c>
      <c r="G969" s="720">
        <v>12753.13</v>
      </c>
      <c r="H969" s="720">
        <v>9492.98</v>
      </c>
      <c r="I969" s="720">
        <v>7778.48</v>
      </c>
      <c r="J969" s="726">
        <v>97.3</v>
      </c>
      <c r="K969" s="720">
        <v>1266.5999999999999</v>
      </c>
      <c r="L969" s="720">
        <v>325.29000000000002</v>
      </c>
      <c r="M969" s="720">
        <v>3195.75</v>
      </c>
      <c r="N969" s="720">
        <v>174.8</v>
      </c>
    </row>
    <row r="970" spans="1:14" ht="15">
      <c r="A970" s="705"/>
      <c r="B970" s="705"/>
      <c r="C970" s="719">
        <v>41431</v>
      </c>
      <c r="D970" s="717">
        <v>9834</v>
      </c>
      <c r="E970" s="720">
        <v>9457.9599999999991</v>
      </c>
      <c r="F970" s="720">
        <v>14909.6</v>
      </c>
      <c r="G970" s="720">
        <v>12753.13</v>
      </c>
      <c r="H970" s="720">
        <v>9492.98</v>
      </c>
      <c r="I970" s="720">
        <v>7778.48</v>
      </c>
      <c r="J970" s="726">
        <v>97.3</v>
      </c>
      <c r="K970" s="720">
        <v>1266.5999999999999</v>
      </c>
      <c r="L970" s="720">
        <v>325.29000000000002</v>
      </c>
      <c r="M970" s="720">
        <v>3195.75</v>
      </c>
      <c r="N970" s="720">
        <v>174.8</v>
      </c>
    </row>
    <row r="971" spans="1:14" ht="15">
      <c r="A971" s="705"/>
      <c r="B971" s="705"/>
      <c r="C971" s="719">
        <v>41432</v>
      </c>
      <c r="D971" s="717">
        <v>9834</v>
      </c>
      <c r="E971" s="720">
        <v>9457.9599999999991</v>
      </c>
      <c r="F971" s="720">
        <v>14909.6</v>
      </c>
      <c r="G971" s="720">
        <v>12753.13</v>
      </c>
      <c r="H971" s="720">
        <v>9492.98</v>
      </c>
      <c r="I971" s="720">
        <v>7778.48</v>
      </c>
      <c r="J971" s="726">
        <v>97.3</v>
      </c>
      <c r="K971" s="720">
        <v>1266.5999999999999</v>
      </c>
      <c r="L971" s="720">
        <v>325.29000000000002</v>
      </c>
      <c r="M971" s="720">
        <v>3195.75</v>
      </c>
      <c r="N971" s="720">
        <v>174.8</v>
      </c>
    </row>
    <row r="972" spans="1:14" ht="15">
      <c r="A972" s="705"/>
      <c r="B972" s="705"/>
      <c r="C972" s="719">
        <v>41433</v>
      </c>
      <c r="D972" s="717">
        <v>9834</v>
      </c>
      <c r="E972" s="720">
        <v>9457.9599999999991</v>
      </c>
      <c r="F972" s="720">
        <v>14909.6</v>
      </c>
      <c r="G972" s="720">
        <v>12753.13</v>
      </c>
      <c r="H972" s="720">
        <v>9492.98</v>
      </c>
      <c r="I972" s="720">
        <v>7778.48</v>
      </c>
      <c r="J972" s="726">
        <v>97.3</v>
      </c>
      <c r="K972" s="720">
        <v>1266.5999999999999</v>
      </c>
      <c r="L972" s="720">
        <v>325.29000000000002</v>
      </c>
      <c r="M972" s="720">
        <v>3195.75</v>
      </c>
      <c r="N972" s="720">
        <v>174.8</v>
      </c>
    </row>
    <row r="973" spans="1:14" ht="15">
      <c r="A973" s="705"/>
      <c r="B973" s="705"/>
      <c r="C973" s="719">
        <v>41434</v>
      </c>
      <c r="D973" s="717">
        <v>9834</v>
      </c>
      <c r="E973" s="720">
        <v>9457.9599999999991</v>
      </c>
      <c r="F973" s="720">
        <v>14909.6</v>
      </c>
      <c r="G973" s="720">
        <v>12753.13</v>
      </c>
      <c r="H973" s="720">
        <v>9492.98</v>
      </c>
      <c r="I973" s="720">
        <v>7778.48</v>
      </c>
      <c r="J973" s="726">
        <v>97.3</v>
      </c>
      <c r="K973" s="720">
        <v>1266.5999999999999</v>
      </c>
      <c r="L973" s="720">
        <v>325.29000000000002</v>
      </c>
      <c r="M973" s="720">
        <v>3195.75</v>
      </c>
      <c r="N973" s="720">
        <v>174.8</v>
      </c>
    </row>
    <row r="974" spans="1:14" ht="15">
      <c r="A974" s="705"/>
      <c r="B974" s="705"/>
      <c r="C974" s="719">
        <v>41435</v>
      </c>
      <c r="D974" s="717">
        <v>9834</v>
      </c>
      <c r="E974" s="720">
        <v>9457.9599999999991</v>
      </c>
      <c r="F974" s="720">
        <v>14909.6</v>
      </c>
      <c r="G974" s="720">
        <v>12753.13</v>
      </c>
      <c r="H974" s="720">
        <v>9492.98</v>
      </c>
      <c r="I974" s="720">
        <v>7778.48</v>
      </c>
      <c r="J974" s="726">
        <v>97.3</v>
      </c>
      <c r="K974" s="720">
        <v>1266.5999999999999</v>
      </c>
      <c r="L974" s="720">
        <v>325.29000000000002</v>
      </c>
      <c r="M974" s="720">
        <v>3195.75</v>
      </c>
      <c r="N974" s="720">
        <v>174.8</v>
      </c>
    </row>
    <row r="975" spans="1:14" ht="15">
      <c r="A975" s="705"/>
      <c r="B975" s="705"/>
      <c r="C975" s="719">
        <v>41436</v>
      </c>
      <c r="D975" s="717">
        <v>9834</v>
      </c>
      <c r="E975" s="720">
        <v>9457.9599999999991</v>
      </c>
      <c r="F975" s="720">
        <v>14909.6</v>
      </c>
      <c r="G975" s="720">
        <v>12753.13</v>
      </c>
      <c r="H975" s="720">
        <v>9492.98</v>
      </c>
      <c r="I975" s="720">
        <v>7778.48</v>
      </c>
      <c r="J975" s="726">
        <v>97.3</v>
      </c>
      <c r="K975" s="720">
        <v>1266.5999999999999</v>
      </c>
      <c r="L975" s="720">
        <v>325.29000000000002</v>
      </c>
      <c r="M975" s="720">
        <v>3195.75</v>
      </c>
      <c r="N975" s="720">
        <v>174.8</v>
      </c>
    </row>
    <row r="976" spans="1:14" ht="15">
      <c r="A976" s="705"/>
      <c r="B976" s="705"/>
      <c r="C976" s="719">
        <v>41437</v>
      </c>
      <c r="D976" s="717">
        <v>9863</v>
      </c>
      <c r="E976" s="720">
        <v>9406.7000000000007</v>
      </c>
      <c r="F976" s="720">
        <v>15230.85</v>
      </c>
      <c r="G976" s="720">
        <v>12960.25</v>
      </c>
      <c r="H976" s="720">
        <v>9599.34</v>
      </c>
      <c r="I976" s="720">
        <v>7893.48</v>
      </c>
      <c r="J976" s="726">
        <v>99.8</v>
      </c>
      <c r="K976" s="720">
        <v>1270.6600000000001</v>
      </c>
      <c r="L976" s="720">
        <v>322.67</v>
      </c>
      <c r="M976" s="720">
        <v>3189.52</v>
      </c>
      <c r="N976" s="720">
        <v>173.72</v>
      </c>
    </row>
    <row r="977" spans="1:14" ht="15">
      <c r="A977" s="705"/>
      <c r="B977" s="705"/>
      <c r="C977" s="719">
        <v>41438</v>
      </c>
      <c r="D977" s="717">
        <v>9863</v>
      </c>
      <c r="E977" s="720">
        <v>9406.7000000000007</v>
      </c>
      <c r="F977" s="720">
        <v>15230.85</v>
      </c>
      <c r="G977" s="720">
        <v>12960.25</v>
      </c>
      <c r="H977" s="720">
        <v>9599.34</v>
      </c>
      <c r="I977" s="720">
        <v>7893.48</v>
      </c>
      <c r="J977" s="726">
        <v>99.8</v>
      </c>
      <c r="K977" s="720">
        <v>1270.6600000000001</v>
      </c>
      <c r="L977" s="720">
        <v>322.67</v>
      </c>
      <c r="M977" s="720">
        <v>3189.52</v>
      </c>
      <c r="N977" s="720">
        <v>173.72</v>
      </c>
    </row>
    <row r="978" spans="1:14" ht="15">
      <c r="A978" s="705"/>
      <c r="B978" s="705"/>
      <c r="C978" s="719">
        <v>41439</v>
      </c>
      <c r="D978" s="717">
        <v>9863</v>
      </c>
      <c r="E978" s="720">
        <v>9406.7000000000007</v>
      </c>
      <c r="F978" s="720">
        <v>15230.85</v>
      </c>
      <c r="G978" s="720">
        <v>12960.25</v>
      </c>
      <c r="H978" s="720">
        <v>9599.34</v>
      </c>
      <c r="I978" s="720">
        <v>7893.48</v>
      </c>
      <c r="J978" s="726">
        <v>99.8</v>
      </c>
      <c r="K978" s="720">
        <v>1270.6600000000001</v>
      </c>
      <c r="L978" s="720">
        <v>322.67</v>
      </c>
      <c r="M978" s="720">
        <v>3189.52</v>
      </c>
      <c r="N978" s="720">
        <v>173.72</v>
      </c>
    </row>
    <row r="979" spans="1:14" ht="15">
      <c r="A979" s="705"/>
      <c r="B979" s="705"/>
      <c r="C979" s="719">
        <v>41440</v>
      </c>
      <c r="D979" s="717">
        <v>9863</v>
      </c>
      <c r="E979" s="720">
        <v>9406.7000000000007</v>
      </c>
      <c r="F979" s="720">
        <v>15230.85</v>
      </c>
      <c r="G979" s="720">
        <v>12960.25</v>
      </c>
      <c r="H979" s="720">
        <v>9599.34</v>
      </c>
      <c r="I979" s="720">
        <v>7893.48</v>
      </c>
      <c r="J979" s="726">
        <v>99.8</v>
      </c>
      <c r="K979" s="720">
        <v>1270.6600000000001</v>
      </c>
      <c r="L979" s="720">
        <v>322.67</v>
      </c>
      <c r="M979" s="720">
        <v>3189.52</v>
      </c>
      <c r="N979" s="720">
        <v>173.72</v>
      </c>
    </row>
    <row r="980" spans="1:14" ht="15">
      <c r="A980" s="705"/>
      <c r="B980" s="705"/>
      <c r="C980" s="719">
        <v>41441</v>
      </c>
      <c r="D980" s="717">
        <v>9863</v>
      </c>
      <c r="E980" s="720">
        <v>9406.7000000000007</v>
      </c>
      <c r="F980" s="720">
        <v>15230.85</v>
      </c>
      <c r="G980" s="720">
        <v>12960.25</v>
      </c>
      <c r="H980" s="720">
        <v>9599.34</v>
      </c>
      <c r="I980" s="720">
        <v>7893.48</v>
      </c>
      <c r="J980" s="726">
        <v>99.8</v>
      </c>
      <c r="K980" s="720">
        <v>1270.6600000000001</v>
      </c>
      <c r="L980" s="720">
        <v>322.67</v>
      </c>
      <c r="M980" s="720">
        <v>3189.52</v>
      </c>
      <c r="N980" s="720">
        <v>173.72</v>
      </c>
    </row>
    <row r="981" spans="1:14" ht="15">
      <c r="A981" s="705"/>
      <c r="B981" s="705"/>
      <c r="C981" s="719">
        <v>41442</v>
      </c>
      <c r="D981" s="717">
        <v>9863</v>
      </c>
      <c r="E981" s="720">
        <v>9406.7000000000007</v>
      </c>
      <c r="F981" s="720">
        <v>15230.85</v>
      </c>
      <c r="G981" s="720">
        <v>12960.25</v>
      </c>
      <c r="H981" s="720">
        <v>9599.34</v>
      </c>
      <c r="I981" s="720">
        <v>7893.48</v>
      </c>
      <c r="J981" s="726">
        <v>99.8</v>
      </c>
      <c r="K981" s="720">
        <v>1270.6600000000001</v>
      </c>
      <c r="L981" s="720">
        <v>322.67</v>
      </c>
      <c r="M981" s="720">
        <v>3189.52</v>
      </c>
      <c r="N981" s="720">
        <v>173.72</v>
      </c>
    </row>
    <row r="982" spans="1:14" ht="15">
      <c r="A982" s="705"/>
      <c r="B982" s="705"/>
      <c r="C982" s="719">
        <v>41443</v>
      </c>
      <c r="D982" s="717">
        <v>9863</v>
      </c>
      <c r="E982" s="720">
        <v>9406.7000000000007</v>
      </c>
      <c r="F982" s="720">
        <v>15230.85</v>
      </c>
      <c r="G982" s="720">
        <v>12960.25</v>
      </c>
      <c r="H982" s="720">
        <v>9599.34</v>
      </c>
      <c r="I982" s="720">
        <v>7893.48</v>
      </c>
      <c r="J982" s="726">
        <v>99.8</v>
      </c>
      <c r="K982" s="720">
        <v>1270.6600000000001</v>
      </c>
      <c r="L982" s="720">
        <v>322.67</v>
      </c>
      <c r="M982" s="720">
        <v>3189.52</v>
      </c>
      <c r="N982" s="720">
        <v>173.72</v>
      </c>
    </row>
    <row r="983" spans="1:14" ht="15">
      <c r="A983" s="705"/>
      <c r="B983" s="705"/>
      <c r="C983" s="719">
        <v>41444</v>
      </c>
      <c r="D983" s="717">
        <v>9867</v>
      </c>
      <c r="E983" s="720">
        <v>9416.49</v>
      </c>
      <c r="F983" s="720">
        <v>15483.54</v>
      </c>
      <c r="G983" s="720">
        <v>13162.76</v>
      </c>
      <c r="H983" s="720">
        <v>9693.85</v>
      </c>
      <c r="I983" s="720">
        <v>7872.71</v>
      </c>
      <c r="J983" s="726">
        <v>103.57</v>
      </c>
      <c r="K983" s="720">
        <v>1270.94</v>
      </c>
      <c r="L983" s="720">
        <v>320.70999999999998</v>
      </c>
      <c r="M983" s="720">
        <v>3150.33</v>
      </c>
      <c r="N983" s="720">
        <v>170.33</v>
      </c>
    </row>
    <row r="984" spans="1:14" ht="15">
      <c r="A984" s="705"/>
      <c r="B984" s="705"/>
      <c r="C984" s="719">
        <v>41445</v>
      </c>
      <c r="D984" s="717">
        <v>9867</v>
      </c>
      <c r="E984" s="720">
        <v>9416.49</v>
      </c>
      <c r="F984" s="720">
        <v>15483.54</v>
      </c>
      <c r="G984" s="720">
        <v>13162.76</v>
      </c>
      <c r="H984" s="720">
        <v>9693.85</v>
      </c>
      <c r="I984" s="720">
        <v>7872.71</v>
      </c>
      <c r="J984" s="726">
        <v>103.57</v>
      </c>
      <c r="K984" s="720">
        <v>1270.94</v>
      </c>
      <c r="L984" s="720">
        <v>320.70999999999998</v>
      </c>
      <c r="M984" s="720">
        <v>3150.33</v>
      </c>
      <c r="N984" s="720">
        <v>170.33</v>
      </c>
    </row>
    <row r="985" spans="1:14" ht="15">
      <c r="A985" s="705"/>
      <c r="B985" s="705"/>
      <c r="C985" s="719">
        <v>41446</v>
      </c>
      <c r="D985" s="717">
        <v>9867</v>
      </c>
      <c r="E985" s="720">
        <v>9416.49</v>
      </c>
      <c r="F985" s="720">
        <v>15483.54</v>
      </c>
      <c r="G985" s="720">
        <v>13162.76</v>
      </c>
      <c r="H985" s="720">
        <v>9693.85</v>
      </c>
      <c r="I985" s="720">
        <v>7872.71</v>
      </c>
      <c r="J985" s="726">
        <v>103.57</v>
      </c>
      <c r="K985" s="720">
        <v>1270.94</v>
      </c>
      <c r="L985" s="720">
        <v>320.70999999999998</v>
      </c>
      <c r="M985" s="720">
        <v>3150.33</v>
      </c>
      <c r="N985" s="720">
        <v>170.33</v>
      </c>
    </row>
    <row r="986" spans="1:14" ht="15">
      <c r="A986" s="705"/>
      <c r="B986" s="705"/>
      <c r="C986" s="719">
        <v>41447</v>
      </c>
      <c r="D986" s="717">
        <v>9867</v>
      </c>
      <c r="E986" s="720">
        <v>9416.49</v>
      </c>
      <c r="F986" s="720">
        <v>15483.54</v>
      </c>
      <c r="G986" s="720">
        <v>13162.76</v>
      </c>
      <c r="H986" s="720">
        <v>9693.85</v>
      </c>
      <c r="I986" s="720">
        <v>7872.71</v>
      </c>
      <c r="J986" s="726">
        <v>103.57</v>
      </c>
      <c r="K986" s="720">
        <v>1270.94</v>
      </c>
      <c r="L986" s="720">
        <v>320.70999999999998</v>
      </c>
      <c r="M986" s="720">
        <v>3150.33</v>
      </c>
      <c r="N986" s="720">
        <v>170.33</v>
      </c>
    </row>
    <row r="987" spans="1:14" ht="15">
      <c r="A987" s="705"/>
      <c r="B987" s="705"/>
      <c r="C987" s="719">
        <v>41448</v>
      </c>
      <c r="D987" s="717">
        <v>9867</v>
      </c>
      <c r="E987" s="720">
        <v>9416.49</v>
      </c>
      <c r="F987" s="720">
        <v>15483.54</v>
      </c>
      <c r="G987" s="720">
        <v>13162.76</v>
      </c>
      <c r="H987" s="720">
        <v>9693.85</v>
      </c>
      <c r="I987" s="720">
        <v>7872.71</v>
      </c>
      <c r="J987" s="726">
        <v>103.57</v>
      </c>
      <c r="K987" s="720">
        <v>1270.94</v>
      </c>
      <c r="L987" s="720">
        <v>320.70999999999998</v>
      </c>
      <c r="M987" s="720">
        <v>3150.33</v>
      </c>
      <c r="N987" s="720">
        <v>170.33</v>
      </c>
    </row>
    <row r="988" spans="1:14" ht="15">
      <c r="A988" s="705"/>
      <c r="B988" s="705"/>
      <c r="C988" s="719">
        <v>41449</v>
      </c>
      <c r="D988" s="717">
        <v>9867</v>
      </c>
      <c r="E988" s="720">
        <v>9416.49</v>
      </c>
      <c r="F988" s="720">
        <v>15483.54</v>
      </c>
      <c r="G988" s="720">
        <v>13162.76</v>
      </c>
      <c r="H988" s="720">
        <v>9693.85</v>
      </c>
      <c r="I988" s="720">
        <v>7872.71</v>
      </c>
      <c r="J988" s="726">
        <v>103.57</v>
      </c>
      <c r="K988" s="720">
        <v>1270.94</v>
      </c>
      <c r="L988" s="720">
        <v>320.70999999999998</v>
      </c>
      <c r="M988" s="720">
        <v>3150.33</v>
      </c>
      <c r="N988" s="720">
        <v>170.33</v>
      </c>
    </row>
    <row r="989" spans="1:14" ht="15">
      <c r="A989" s="705"/>
      <c r="B989" s="705"/>
      <c r="C989" s="719">
        <v>41450</v>
      </c>
      <c r="D989" s="717">
        <v>9867</v>
      </c>
      <c r="E989" s="720">
        <v>9416.49</v>
      </c>
      <c r="F989" s="720">
        <v>15483.54</v>
      </c>
      <c r="G989" s="720">
        <v>13162.76</v>
      </c>
      <c r="H989" s="720">
        <v>9693.85</v>
      </c>
      <c r="I989" s="720">
        <v>7872.71</v>
      </c>
      <c r="J989" s="726">
        <v>103.57</v>
      </c>
      <c r="K989" s="720">
        <v>1270.94</v>
      </c>
      <c r="L989" s="720">
        <v>320.70999999999998</v>
      </c>
      <c r="M989" s="720">
        <v>3150.33</v>
      </c>
      <c r="N989" s="720">
        <v>170.33</v>
      </c>
    </row>
    <row r="990" spans="1:14" ht="15">
      <c r="A990" s="705"/>
      <c r="B990" s="705"/>
      <c r="C990" s="719">
        <v>41451</v>
      </c>
      <c r="D990" s="717">
        <v>9982</v>
      </c>
      <c r="E990" s="720">
        <v>9306.19</v>
      </c>
      <c r="F990" s="720">
        <v>15475.9</v>
      </c>
      <c r="G990" s="720">
        <v>13215.44</v>
      </c>
      <c r="H990" s="720">
        <v>9654.09</v>
      </c>
      <c r="I990" s="720">
        <v>7868.32</v>
      </c>
      <c r="J990" s="726">
        <v>103</v>
      </c>
      <c r="K990" s="720">
        <v>1286.77</v>
      </c>
      <c r="L990" s="720">
        <v>322.08</v>
      </c>
      <c r="M990" s="720">
        <v>3134.09</v>
      </c>
      <c r="N990" s="720">
        <v>168.95</v>
      </c>
    </row>
    <row r="991" spans="1:14" ht="15">
      <c r="A991" s="705"/>
      <c r="B991" s="705"/>
      <c r="C991" s="719">
        <v>41452</v>
      </c>
      <c r="D991" s="717">
        <v>9982</v>
      </c>
      <c r="E991" s="720">
        <v>9306.19</v>
      </c>
      <c r="F991" s="720">
        <v>15475.9</v>
      </c>
      <c r="G991" s="720">
        <v>13215.44</v>
      </c>
      <c r="H991" s="720">
        <v>9654.09</v>
      </c>
      <c r="I991" s="720">
        <v>7868.32</v>
      </c>
      <c r="J991" s="726">
        <v>103</v>
      </c>
      <c r="K991" s="720">
        <v>1286.77</v>
      </c>
      <c r="L991" s="720">
        <v>322.08</v>
      </c>
      <c r="M991" s="720">
        <v>3134.09</v>
      </c>
      <c r="N991" s="720">
        <v>168.95</v>
      </c>
    </row>
    <row r="992" spans="1:14" ht="15">
      <c r="A992" s="705"/>
      <c r="B992" s="705"/>
      <c r="C992" s="719">
        <v>41453</v>
      </c>
      <c r="D992" s="717">
        <v>9982</v>
      </c>
      <c r="E992" s="720">
        <v>9306.19</v>
      </c>
      <c r="F992" s="720">
        <v>15475.9</v>
      </c>
      <c r="G992" s="720">
        <v>13215.44</v>
      </c>
      <c r="H992" s="720">
        <v>9654.09</v>
      </c>
      <c r="I992" s="720">
        <v>7868.32</v>
      </c>
      <c r="J992" s="726">
        <v>103</v>
      </c>
      <c r="K992" s="720">
        <v>1286.77</v>
      </c>
      <c r="L992" s="720">
        <v>322.08</v>
      </c>
      <c r="M992" s="720">
        <v>3134.09</v>
      </c>
      <c r="N992" s="720">
        <v>168.95</v>
      </c>
    </row>
    <row r="993" spans="1:14" ht="15">
      <c r="A993" s="705"/>
      <c r="B993" s="705"/>
      <c r="C993" s="719">
        <v>41454</v>
      </c>
      <c r="D993" s="717">
        <v>9982</v>
      </c>
      <c r="E993" s="720">
        <v>9306.19</v>
      </c>
      <c r="F993" s="720">
        <v>15475.9</v>
      </c>
      <c r="G993" s="720">
        <v>13215.44</v>
      </c>
      <c r="H993" s="720">
        <v>9654.09</v>
      </c>
      <c r="I993" s="720">
        <v>7868.32</v>
      </c>
      <c r="J993" s="726">
        <v>103</v>
      </c>
      <c r="K993" s="720">
        <v>1286.77</v>
      </c>
      <c r="L993" s="720">
        <v>322.08</v>
      </c>
      <c r="M993" s="720">
        <v>3134.09</v>
      </c>
      <c r="N993" s="720">
        <v>168.95</v>
      </c>
    </row>
    <row r="994" spans="1:14" ht="15">
      <c r="A994" s="705"/>
      <c r="B994" s="705"/>
      <c r="C994" s="719">
        <v>41455</v>
      </c>
      <c r="D994" s="717">
        <v>9982</v>
      </c>
      <c r="E994" s="720">
        <v>9306.19</v>
      </c>
      <c r="F994" s="720">
        <v>15475.9</v>
      </c>
      <c r="G994" s="720">
        <v>13215.44</v>
      </c>
      <c r="H994" s="720">
        <v>9654.09</v>
      </c>
      <c r="I994" s="720">
        <v>7868.32</v>
      </c>
      <c r="J994" s="726">
        <v>103</v>
      </c>
      <c r="K994" s="720">
        <v>1286.77</v>
      </c>
      <c r="L994" s="720">
        <v>322.08</v>
      </c>
      <c r="M994" s="720">
        <v>3134.09</v>
      </c>
      <c r="N994" s="720">
        <v>168.95</v>
      </c>
    </row>
    <row r="995" spans="1:14" ht="15">
      <c r="A995" s="705"/>
      <c r="B995" s="705"/>
      <c r="C995" s="719">
        <v>41456</v>
      </c>
      <c r="D995" s="717">
        <v>9982</v>
      </c>
      <c r="E995" s="720">
        <v>9306.19</v>
      </c>
      <c r="F995" s="720">
        <v>15475.9</v>
      </c>
      <c r="G995" s="720">
        <v>13215.44</v>
      </c>
      <c r="H995" s="720">
        <v>9654.09</v>
      </c>
      <c r="I995" s="720">
        <v>7868.32</v>
      </c>
      <c r="J995" s="726">
        <v>103</v>
      </c>
      <c r="K995" s="720">
        <v>1286.77</v>
      </c>
      <c r="L995" s="720">
        <v>322.08</v>
      </c>
      <c r="M995" s="720">
        <v>3134.09</v>
      </c>
      <c r="N995" s="720">
        <v>168.95</v>
      </c>
    </row>
    <row r="996" spans="1:14" ht="15">
      <c r="A996" s="705"/>
      <c r="B996" s="705"/>
      <c r="C996" s="719">
        <v>41457</v>
      </c>
      <c r="D996" s="717">
        <v>9982</v>
      </c>
      <c r="E996" s="720">
        <v>9306.19</v>
      </c>
      <c r="F996" s="720">
        <v>15475.9</v>
      </c>
      <c r="G996" s="720">
        <v>13215.44</v>
      </c>
      <c r="H996" s="720">
        <v>9654.09</v>
      </c>
      <c r="I996" s="720">
        <v>7868.32</v>
      </c>
      <c r="J996" s="726">
        <v>103</v>
      </c>
      <c r="K996" s="720">
        <v>1286.77</v>
      </c>
      <c r="L996" s="720">
        <v>322.08</v>
      </c>
      <c r="M996" s="720">
        <v>3134.09</v>
      </c>
      <c r="N996" s="720">
        <v>168.95</v>
      </c>
    </row>
    <row r="997" spans="1:14" ht="15">
      <c r="A997" s="705"/>
      <c r="B997" s="705"/>
      <c r="C997" s="719">
        <v>41458</v>
      </c>
      <c r="D997" s="717">
        <v>9959</v>
      </c>
      <c r="E997" s="720">
        <v>9190.01</v>
      </c>
      <c r="F997" s="720">
        <v>15221.61</v>
      </c>
      <c r="G997" s="720">
        <v>12980.38</v>
      </c>
      <c r="H997" s="720">
        <v>9486.36</v>
      </c>
      <c r="I997" s="720">
        <v>7849.05</v>
      </c>
      <c r="J997" s="726">
        <v>101.21</v>
      </c>
      <c r="K997" s="720">
        <v>1283.7</v>
      </c>
      <c r="L997" s="720">
        <v>320.39</v>
      </c>
      <c r="M997" s="720">
        <v>3133.54</v>
      </c>
      <c r="N997" s="720">
        <v>165.98</v>
      </c>
    </row>
    <row r="998" spans="1:14" ht="15">
      <c r="A998" s="705"/>
      <c r="B998" s="705"/>
      <c r="C998" s="719">
        <v>41459</v>
      </c>
      <c r="D998" s="717">
        <v>9959</v>
      </c>
      <c r="E998" s="720">
        <v>9190.01</v>
      </c>
      <c r="F998" s="720">
        <v>15221.61</v>
      </c>
      <c r="G998" s="720">
        <v>12980.38</v>
      </c>
      <c r="H998" s="720">
        <v>9486.36</v>
      </c>
      <c r="I998" s="720">
        <v>7849.05</v>
      </c>
      <c r="J998" s="726">
        <v>101.21</v>
      </c>
      <c r="K998" s="720">
        <v>1283.7</v>
      </c>
      <c r="L998" s="720">
        <v>320.39</v>
      </c>
      <c r="M998" s="720">
        <v>3133.54</v>
      </c>
      <c r="N998" s="720">
        <v>165.98</v>
      </c>
    </row>
    <row r="999" spans="1:14" ht="15">
      <c r="A999" s="705"/>
      <c r="B999" s="705"/>
      <c r="C999" s="719">
        <v>41460</v>
      </c>
      <c r="D999" s="717">
        <v>9959</v>
      </c>
      <c r="E999" s="720">
        <v>9190.01</v>
      </c>
      <c r="F999" s="720">
        <v>15221.61</v>
      </c>
      <c r="G999" s="720">
        <v>12980.38</v>
      </c>
      <c r="H999" s="720">
        <v>9486.36</v>
      </c>
      <c r="I999" s="720">
        <v>7849.05</v>
      </c>
      <c r="J999" s="726">
        <v>101.21</v>
      </c>
      <c r="K999" s="720">
        <v>1283.7</v>
      </c>
      <c r="L999" s="720">
        <v>320.39</v>
      </c>
      <c r="M999" s="720">
        <v>3133.54</v>
      </c>
      <c r="N999" s="720">
        <v>165.98</v>
      </c>
    </row>
    <row r="1000" spans="1:14" ht="15">
      <c r="A1000" s="705"/>
      <c r="B1000" s="705"/>
      <c r="C1000" s="719">
        <v>41461</v>
      </c>
      <c r="D1000" s="717">
        <v>9959</v>
      </c>
      <c r="E1000" s="720">
        <v>9190.01</v>
      </c>
      <c r="F1000" s="720">
        <v>15221.61</v>
      </c>
      <c r="G1000" s="720">
        <v>12980.38</v>
      </c>
      <c r="H1000" s="720">
        <v>9486.36</v>
      </c>
      <c r="I1000" s="720">
        <v>7849.05</v>
      </c>
      <c r="J1000" s="726">
        <v>101.21</v>
      </c>
      <c r="K1000" s="720">
        <v>1283.7</v>
      </c>
      <c r="L1000" s="720">
        <v>320.39</v>
      </c>
      <c r="M1000" s="720">
        <v>3133.54</v>
      </c>
      <c r="N1000" s="720">
        <v>165.98</v>
      </c>
    </row>
    <row r="1001" spans="1:14" ht="15">
      <c r="A1001" s="705"/>
      <c r="B1001" s="705"/>
      <c r="C1001" s="719">
        <v>41462</v>
      </c>
      <c r="D1001" s="717">
        <v>9959</v>
      </c>
      <c r="E1001" s="720">
        <v>9190.01</v>
      </c>
      <c r="F1001" s="720">
        <v>15221.61</v>
      </c>
      <c r="G1001" s="720">
        <v>12980.38</v>
      </c>
      <c r="H1001" s="720">
        <v>9486.36</v>
      </c>
      <c r="I1001" s="720">
        <v>7849.05</v>
      </c>
      <c r="J1001" s="726">
        <v>101.21</v>
      </c>
      <c r="K1001" s="720">
        <v>1283.7</v>
      </c>
      <c r="L1001" s="720">
        <v>320.39</v>
      </c>
      <c r="M1001" s="720">
        <v>3133.54</v>
      </c>
      <c r="N1001" s="720">
        <v>165.98</v>
      </c>
    </row>
    <row r="1002" spans="1:14" ht="15">
      <c r="A1002" s="705"/>
      <c r="B1002" s="705"/>
      <c r="C1002" s="719">
        <v>41463</v>
      </c>
      <c r="D1002" s="717">
        <v>9959</v>
      </c>
      <c r="E1002" s="720">
        <v>9190.01</v>
      </c>
      <c r="F1002" s="720">
        <v>15221.61</v>
      </c>
      <c r="G1002" s="720">
        <v>12980.38</v>
      </c>
      <c r="H1002" s="720">
        <v>9486.36</v>
      </c>
      <c r="I1002" s="720">
        <v>7849.05</v>
      </c>
      <c r="J1002" s="726">
        <v>101.21</v>
      </c>
      <c r="K1002" s="720">
        <v>1283.7</v>
      </c>
      <c r="L1002" s="720">
        <v>320.39</v>
      </c>
      <c r="M1002" s="720">
        <v>3133.54</v>
      </c>
      <c r="N1002" s="720">
        <v>165.98</v>
      </c>
    </row>
    <row r="1003" spans="1:14" ht="15">
      <c r="A1003" s="705"/>
      <c r="B1003" s="705"/>
      <c r="C1003" s="719">
        <v>41464</v>
      </c>
      <c r="D1003" s="717">
        <v>9959</v>
      </c>
      <c r="E1003" s="720">
        <v>9190.01</v>
      </c>
      <c r="F1003" s="720">
        <v>15221.61</v>
      </c>
      <c r="G1003" s="720">
        <v>12980.38</v>
      </c>
      <c r="H1003" s="720">
        <v>9486.36</v>
      </c>
      <c r="I1003" s="720">
        <v>7849.05</v>
      </c>
      <c r="J1003" s="726">
        <v>101.21</v>
      </c>
      <c r="K1003" s="720">
        <v>1283.7</v>
      </c>
      <c r="L1003" s="720">
        <v>320.39</v>
      </c>
      <c r="M1003" s="720">
        <v>3133.54</v>
      </c>
      <c r="N1003" s="720">
        <v>165.98</v>
      </c>
    </row>
    <row r="1004" spans="1:14" ht="15">
      <c r="A1004" s="705"/>
      <c r="B1004" s="705"/>
      <c r="C1004" s="719">
        <v>41465</v>
      </c>
      <c r="D1004" s="717">
        <v>9962</v>
      </c>
      <c r="E1004" s="720">
        <v>9069.6</v>
      </c>
      <c r="F1004" s="720">
        <v>15000.58</v>
      </c>
      <c r="G1004" s="720">
        <v>12871.9</v>
      </c>
      <c r="H1004" s="720">
        <v>9447.85</v>
      </c>
      <c r="I1004" s="720">
        <v>7804.52</v>
      </c>
      <c r="J1004" s="726">
        <v>98.98</v>
      </c>
      <c r="K1004" s="720">
        <v>1284.71</v>
      </c>
      <c r="L1004" s="720">
        <v>319.73</v>
      </c>
      <c r="M1004" s="720">
        <v>3125.82</v>
      </c>
      <c r="N1004" s="720">
        <v>165.86</v>
      </c>
    </row>
    <row r="1005" spans="1:14" ht="15">
      <c r="A1005" s="705"/>
      <c r="B1005" s="705"/>
      <c r="C1005" s="719">
        <v>41466</v>
      </c>
      <c r="D1005" s="717">
        <v>9962</v>
      </c>
      <c r="E1005" s="720">
        <v>9069.6</v>
      </c>
      <c r="F1005" s="720">
        <v>15000.58</v>
      </c>
      <c r="G1005" s="720">
        <v>12871.9</v>
      </c>
      <c r="H1005" s="720">
        <v>9447.85</v>
      </c>
      <c r="I1005" s="720">
        <v>7804.52</v>
      </c>
      <c r="J1005" s="726">
        <v>98.98</v>
      </c>
      <c r="K1005" s="720">
        <v>1284.71</v>
      </c>
      <c r="L1005" s="720">
        <v>319.73</v>
      </c>
      <c r="M1005" s="720">
        <v>3125.82</v>
      </c>
      <c r="N1005" s="720">
        <v>165.86</v>
      </c>
    </row>
    <row r="1006" spans="1:14" ht="15">
      <c r="A1006" s="705"/>
      <c r="B1006" s="705"/>
      <c r="C1006" s="719">
        <v>41467</v>
      </c>
      <c r="D1006" s="717">
        <v>9962</v>
      </c>
      <c r="E1006" s="720">
        <v>9069.6</v>
      </c>
      <c r="F1006" s="720">
        <v>15000.58</v>
      </c>
      <c r="G1006" s="720">
        <v>12871.9</v>
      </c>
      <c r="H1006" s="720">
        <v>9447.85</v>
      </c>
      <c r="I1006" s="720">
        <v>7804.52</v>
      </c>
      <c r="J1006" s="726">
        <v>98.98</v>
      </c>
      <c r="K1006" s="720">
        <v>1284.71</v>
      </c>
      <c r="L1006" s="720">
        <v>319.73</v>
      </c>
      <c r="M1006" s="720">
        <v>3125.82</v>
      </c>
      <c r="N1006" s="720">
        <v>165.86</v>
      </c>
    </row>
    <row r="1007" spans="1:14" ht="15">
      <c r="A1007" s="705"/>
      <c r="B1007" s="705"/>
      <c r="C1007" s="719">
        <v>41468</v>
      </c>
      <c r="D1007" s="717">
        <v>9962</v>
      </c>
      <c r="E1007" s="720">
        <v>9069.6</v>
      </c>
      <c r="F1007" s="720">
        <v>15000.58</v>
      </c>
      <c r="G1007" s="720">
        <v>12871.9</v>
      </c>
      <c r="H1007" s="720">
        <v>9447.85</v>
      </c>
      <c r="I1007" s="720">
        <v>7804.52</v>
      </c>
      <c r="J1007" s="726">
        <v>98.98</v>
      </c>
      <c r="K1007" s="720">
        <v>1284.71</v>
      </c>
      <c r="L1007" s="720">
        <v>319.73</v>
      </c>
      <c r="M1007" s="720">
        <v>3125.82</v>
      </c>
      <c r="N1007" s="720">
        <v>165.86</v>
      </c>
    </row>
    <row r="1008" spans="1:14" ht="15">
      <c r="A1008" s="705"/>
      <c r="B1008" s="705"/>
      <c r="C1008" s="719">
        <v>41469</v>
      </c>
      <c r="D1008" s="717">
        <v>9962</v>
      </c>
      <c r="E1008" s="720">
        <v>9069.6</v>
      </c>
      <c r="F1008" s="720">
        <v>15000.58</v>
      </c>
      <c r="G1008" s="720">
        <v>12871.9</v>
      </c>
      <c r="H1008" s="720">
        <v>9447.85</v>
      </c>
      <c r="I1008" s="720">
        <v>7804.52</v>
      </c>
      <c r="J1008" s="726">
        <v>98.98</v>
      </c>
      <c r="K1008" s="720">
        <v>1284.71</v>
      </c>
      <c r="L1008" s="720">
        <v>319.73</v>
      </c>
      <c r="M1008" s="720">
        <v>3125.82</v>
      </c>
      <c r="N1008" s="720">
        <v>165.86</v>
      </c>
    </row>
    <row r="1009" spans="1:14" ht="15">
      <c r="A1009" s="705"/>
      <c r="B1009" s="705"/>
      <c r="C1009" s="719">
        <v>41470</v>
      </c>
      <c r="D1009" s="717">
        <v>9962</v>
      </c>
      <c r="E1009" s="720">
        <v>9069.6</v>
      </c>
      <c r="F1009" s="720">
        <v>15000.58</v>
      </c>
      <c r="G1009" s="720">
        <v>12871.9</v>
      </c>
      <c r="H1009" s="720">
        <v>9447.85</v>
      </c>
      <c r="I1009" s="720">
        <v>7804.52</v>
      </c>
      <c r="J1009" s="726">
        <v>98.98</v>
      </c>
      <c r="K1009" s="720">
        <v>1284.71</v>
      </c>
      <c r="L1009" s="720">
        <v>319.73</v>
      </c>
      <c r="M1009" s="720">
        <v>3125.82</v>
      </c>
      <c r="N1009" s="720">
        <v>165.86</v>
      </c>
    </row>
    <row r="1010" spans="1:14" ht="15">
      <c r="A1010" s="705"/>
      <c r="B1010" s="705"/>
      <c r="C1010" s="719">
        <v>41471</v>
      </c>
      <c r="D1010" s="717">
        <v>9962</v>
      </c>
      <c r="E1010" s="720">
        <v>9069.6</v>
      </c>
      <c r="F1010" s="720">
        <v>15000.58</v>
      </c>
      <c r="G1010" s="720">
        <v>12871.9</v>
      </c>
      <c r="H1010" s="720">
        <v>9447.85</v>
      </c>
      <c r="I1010" s="720">
        <v>7804.52</v>
      </c>
      <c r="J1010" s="726">
        <v>98.98</v>
      </c>
      <c r="K1010" s="720">
        <v>1284.71</v>
      </c>
      <c r="L1010" s="720">
        <v>319.73</v>
      </c>
      <c r="M1010" s="720">
        <v>3125.82</v>
      </c>
      <c r="N1010" s="720">
        <v>165.86</v>
      </c>
    </row>
    <row r="1011" spans="1:14" ht="15">
      <c r="A1011" s="705"/>
      <c r="B1011" s="705"/>
      <c r="C1011" s="719">
        <v>41472</v>
      </c>
      <c r="D1011" s="717">
        <v>9991</v>
      </c>
      <c r="E1011" s="720">
        <v>9127.2099999999991</v>
      </c>
      <c r="F1011" s="720">
        <v>15043.45</v>
      </c>
      <c r="G1011" s="720">
        <v>12986.18</v>
      </c>
      <c r="H1011" s="720">
        <v>9580.74</v>
      </c>
      <c r="I1011" s="720">
        <v>7885.99</v>
      </c>
      <c r="J1011" s="726">
        <v>100.25</v>
      </c>
      <c r="K1011" s="720">
        <v>1287.8800000000001</v>
      </c>
      <c r="L1011" s="720">
        <v>320.42</v>
      </c>
      <c r="M1011" s="720">
        <v>3141.58</v>
      </c>
      <c r="N1011" s="720">
        <v>167.13</v>
      </c>
    </row>
    <row r="1012" spans="1:14" ht="15">
      <c r="A1012" s="705"/>
      <c r="B1012" s="705"/>
      <c r="C1012" s="719">
        <v>41473</v>
      </c>
      <c r="D1012" s="717">
        <v>9991</v>
      </c>
      <c r="E1012" s="720">
        <v>9127.2099999999991</v>
      </c>
      <c r="F1012" s="720">
        <v>15043.45</v>
      </c>
      <c r="G1012" s="720">
        <v>12986.18</v>
      </c>
      <c r="H1012" s="720">
        <v>9580.74</v>
      </c>
      <c r="I1012" s="720">
        <v>7885.99</v>
      </c>
      <c r="J1012" s="726">
        <v>100.25</v>
      </c>
      <c r="K1012" s="720">
        <v>1287.8800000000001</v>
      </c>
      <c r="L1012" s="720">
        <v>320.42</v>
      </c>
      <c r="M1012" s="720">
        <v>3141.58</v>
      </c>
      <c r="N1012" s="720">
        <v>167.13</v>
      </c>
    </row>
    <row r="1013" spans="1:14" ht="15">
      <c r="A1013" s="705"/>
      <c r="B1013" s="705"/>
      <c r="C1013" s="719">
        <v>41474</v>
      </c>
      <c r="D1013" s="717">
        <v>9991</v>
      </c>
      <c r="E1013" s="720">
        <v>9127.2099999999991</v>
      </c>
      <c r="F1013" s="720">
        <v>15043.45</v>
      </c>
      <c r="G1013" s="720">
        <v>12986.18</v>
      </c>
      <c r="H1013" s="720">
        <v>9580.74</v>
      </c>
      <c r="I1013" s="720">
        <v>7885.99</v>
      </c>
      <c r="J1013" s="726">
        <v>100.25</v>
      </c>
      <c r="K1013" s="720">
        <v>1287.8800000000001</v>
      </c>
      <c r="L1013" s="720">
        <v>320.42</v>
      </c>
      <c r="M1013" s="720">
        <v>3141.58</v>
      </c>
      <c r="N1013" s="720">
        <v>167.13</v>
      </c>
    </row>
    <row r="1014" spans="1:14" ht="15">
      <c r="A1014" s="705"/>
      <c r="B1014" s="705"/>
      <c r="C1014" s="719">
        <v>41475</v>
      </c>
      <c r="D1014" s="717">
        <v>9991</v>
      </c>
      <c r="E1014" s="720">
        <v>9127.2099999999991</v>
      </c>
      <c r="F1014" s="720">
        <v>15043.45</v>
      </c>
      <c r="G1014" s="720">
        <v>12986.18</v>
      </c>
      <c r="H1014" s="720">
        <v>9580.74</v>
      </c>
      <c r="I1014" s="720">
        <v>7885.99</v>
      </c>
      <c r="J1014" s="726">
        <v>100.25</v>
      </c>
      <c r="K1014" s="720">
        <v>1287.8800000000001</v>
      </c>
      <c r="L1014" s="720">
        <v>320.42</v>
      </c>
      <c r="M1014" s="720">
        <v>3141.58</v>
      </c>
      <c r="N1014" s="720">
        <v>167.13</v>
      </c>
    </row>
    <row r="1015" spans="1:14" ht="15">
      <c r="A1015" s="705"/>
      <c r="B1015" s="705"/>
      <c r="C1015" s="719">
        <v>41476</v>
      </c>
      <c r="D1015" s="717">
        <v>9991</v>
      </c>
      <c r="E1015" s="720">
        <v>9127.2099999999991</v>
      </c>
      <c r="F1015" s="720">
        <v>15043.45</v>
      </c>
      <c r="G1015" s="720">
        <v>12986.18</v>
      </c>
      <c r="H1015" s="720">
        <v>9580.74</v>
      </c>
      <c r="I1015" s="720">
        <v>7885.99</v>
      </c>
      <c r="J1015" s="726">
        <v>100.25</v>
      </c>
      <c r="K1015" s="720">
        <v>1287.8800000000001</v>
      </c>
      <c r="L1015" s="720">
        <v>320.42</v>
      </c>
      <c r="M1015" s="720">
        <v>3141.58</v>
      </c>
      <c r="N1015" s="720">
        <v>167.13</v>
      </c>
    </row>
    <row r="1016" spans="1:14" ht="15">
      <c r="A1016" s="705"/>
      <c r="B1016" s="705"/>
      <c r="C1016" s="719">
        <v>41477</v>
      </c>
      <c r="D1016" s="717">
        <v>9991</v>
      </c>
      <c r="E1016" s="720">
        <v>9127.2099999999991</v>
      </c>
      <c r="F1016" s="720">
        <v>15043.45</v>
      </c>
      <c r="G1016" s="720">
        <v>12986.18</v>
      </c>
      <c r="H1016" s="720">
        <v>9580.74</v>
      </c>
      <c r="I1016" s="720">
        <v>7885.99</v>
      </c>
      <c r="J1016" s="726">
        <v>100.25</v>
      </c>
      <c r="K1016" s="720">
        <v>1287.8800000000001</v>
      </c>
      <c r="L1016" s="720">
        <v>320.42</v>
      </c>
      <c r="M1016" s="720">
        <v>3141.58</v>
      </c>
      <c r="N1016" s="720">
        <v>167.13</v>
      </c>
    </row>
    <row r="1017" spans="1:14" ht="15">
      <c r="A1017" s="705"/>
      <c r="B1017" s="705"/>
      <c r="C1017" s="719">
        <v>41478</v>
      </c>
      <c r="D1017" s="717">
        <v>9991</v>
      </c>
      <c r="E1017" s="720">
        <v>9127.2099999999991</v>
      </c>
      <c r="F1017" s="720">
        <v>15043.45</v>
      </c>
      <c r="G1017" s="720">
        <v>12986.18</v>
      </c>
      <c r="H1017" s="720">
        <v>9580.74</v>
      </c>
      <c r="I1017" s="720">
        <v>7885.99</v>
      </c>
      <c r="J1017" s="726">
        <v>100.25</v>
      </c>
      <c r="K1017" s="720">
        <v>1287.8800000000001</v>
      </c>
      <c r="L1017" s="720">
        <v>320.42</v>
      </c>
      <c r="M1017" s="720">
        <v>3141.58</v>
      </c>
      <c r="N1017" s="720">
        <v>167.13</v>
      </c>
    </row>
    <row r="1018" spans="1:14" ht="15">
      <c r="A1018" s="705"/>
      <c r="B1018" s="705"/>
      <c r="C1018" s="719">
        <v>41479</v>
      </c>
      <c r="D1018" s="717">
        <v>10101</v>
      </c>
      <c r="E1018" s="720">
        <v>9302.01</v>
      </c>
      <c r="F1018" s="720">
        <v>15384.43</v>
      </c>
      <c r="G1018" s="720">
        <v>13271.5</v>
      </c>
      <c r="H1018" s="720">
        <v>9734.9699999999993</v>
      </c>
      <c r="I1018" s="720">
        <v>7995.35</v>
      </c>
      <c r="J1018" s="726">
        <v>101.05</v>
      </c>
      <c r="K1018" s="720">
        <v>1302.02</v>
      </c>
      <c r="L1018" s="720">
        <v>325.61</v>
      </c>
      <c r="M1018" s="720">
        <v>3166.5</v>
      </c>
      <c r="N1018" s="720">
        <v>169.98</v>
      </c>
    </row>
    <row r="1019" spans="1:14" ht="15">
      <c r="A1019" s="705"/>
      <c r="B1019" s="705"/>
      <c r="C1019" s="719">
        <v>41480</v>
      </c>
      <c r="D1019" s="717">
        <v>10101</v>
      </c>
      <c r="E1019" s="720">
        <v>9302.01</v>
      </c>
      <c r="F1019" s="720">
        <v>15384.43</v>
      </c>
      <c r="G1019" s="720">
        <v>13271.5</v>
      </c>
      <c r="H1019" s="720">
        <v>9734.9699999999993</v>
      </c>
      <c r="I1019" s="720">
        <v>7995.35</v>
      </c>
      <c r="J1019" s="726">
        <v>101.05</v>
      </c>
      <c r="K1019" s="720">
        <v>1302.02</v>
      </c>
      <c r="L1019" s="720">
        <v>325.61</v>
      </c>
      <c r="M1019" s="720">
        <v>3166.5</v>
      </c>
      <c r="N1019" s="720">
        <v>169.98</v>
      </c>
    </row>
    <row r="1020" spans="1:14" ht="15">
      <c r="A1020" s="705"/>
      <c r="B1020" s="705"/>
      <c r="C1020" s="719">
        <v>41481</v>
      </c>
      <c r="D1020" s="717">
        <v>10101</v>
      </c>
      <c r="E1020" s="720">
        <v>9302.01</v>
      </c>
      <c r="F1020" s="720">
        <v>15384.43</v>
      </c>
      <c r="G1020" s="720">
        <v>13271.5</v>
      </c>
      <c r="H1020" s="720">
        <v>9734.9699999999993</v>
      </c>
      <c r="I1020" s="720">
        <v>7995.35</v>
      </c>
      <c r="J1020" s="726">
        <v>101.05</v>
      </c>
      <c r="K1020" s="720">
        <v>1302.02</v>
      </c>
      <c r="L1020" s="720">
        <v>325.61</v>
      </c>
      <c r="M1020" s="720">
        <v>3166.5</v>
      </c>
      <c r="N1020" s="720">
        <v>169.98</v>
      </c>
    </row>
    <row r="1021" spans="1:14" ht="15">
      <c r="A1021" s="705"/>
      <c r="B1021" s="705"/>
      <c r="C1021" s="719">
        <v>41482</v>
      </c>
      <c r="D1021" s="717">
        <v>10101</v>
      </c>
      <c r="E1021" s="720">
        <v>9302.01</v>
      </c>
      <c r="F1021" s="720">
        <v>15384.43</v>
      </c>
      <c r="G1021" s="720">
        <v>13271.5</v>
      </c>
      <c r="H1021" s="720">
        <v>9734.9699999999993</v>
      </c>
      <c r="I1021" s="720">
        <v>7995.35</v>
      </c>
      <c r="J1021" s="726">
        <v>101.05</v>
      </c>
      <c r="K1021" s="720">
        <v>1302.02</v>
      </c>
      <c r="L1021" s="720">
        <v>325.61</v>
      </c>
      <c r="M1021" s="720">
        <v>3166.5</v>
      </c>
      <c r="N1021" s="720">
        <v>169.98</v>
      </c>
    </row>
    <row r="1022" spans="1:14" ht="15">
      <c r="A1022" s="705"/>
      <c r="B1022" s="705"/>
      <c r="C1022" s="719">
        <v>41483</v>
      </c>
      <c r="D1022" s="717">
        <v>10101</v>
      </c>
      <c r="E1022" s="720">
        <v>9302.01</v>
      </c>
      <c r="F1022" s="720">
        <v>15384.43</v>
      </c>
      <c r="G1022" s="720">
        <v>13271.5</v>
      </c>
      <c r="H1022" s="720">
        <v>9734.9699999999993</v>
      </c>
      <c r="I1022" s="720">
        <v>7995.35</v>
      </c>
      <c r="J1022" s="726">
        <v>101.05</v>
      </c>
      <c r="K1022" s="720">
        <v>1302.02</v>
      </c>
      <c r="L1022" s="720">
        <v>325.61</v>
      </c>
      <c r="M1022" s="720">
        <v>3166.5</v>
      </c>
      <c r="N1022" s="720">
        <v>169.98</v>
      </c>
    </row>
    <row r="1023" spans="1:14" ht="15">
      <c r="A1023" s="705"/>
      <c r="B1023" s="705"/>
      <c r="C1023" s="719">
        <v>41484</v>
      </c>
      <c r="D1023" s="717">
        <v>10101</v>
      </c>
      <c r="E1023" s="720">
        <v>9302.01</v>
      </c>
      <c r="F1023" s="720">
        <v>15384.43</v>
      </c>
      <c r="G1023" s="720">
        <v>13271.5</v>
      </c>
      <c r="H1023" s="720">
        <v>9734.9699999999993</v>
      </c>
      <c r="I1023" s="720">
        <v>7995.35</v>
      </c>
      <c r="J1023" s="726">
        <v>101.05</v>
      </c>
      <c r="K1023" s="720">
        <v>1302.02</v>
      </c>
      <c r="L1023" s="720">
        <v>325.61</v>
      </c>
      <c r="M1023" s="720">
        <v>3166.5</v>
      </c>
      <c r="N1023" s="720">
        <v>169.98</v>
      </c>
    </row>
    <row r="1024" spans="1:14" ht="15">
      <c r="A1024" s="705"/>
      <c r="B1024" s="705"/>
      <c r="C1024" s="719">
        <v>41485</v>
      </c>
      <c r="D1024" s="717">
        <v>10101</v>
      </c>
      <c r="E1024" s="720">
        <v>9302.01</v>
      </c>
      <c r="F1024" s="720">
        <v>15384.43</v>
      </c>
      <c r="G1024" s="720">
        <v>13271.5</v>
      </c>
      <c r="H1024" s="720">
        <v>9734.9699999999993</v>
      </c>
      <c r="I1024" s="720">
        <v>7995.35</v>
      </c>
      <c r="J1024" s="726">
        <v>101.05</v>
      </c>
      <c r="K1024" s="720">
        <v>1302.02</v>
      </c>
      <c r="L1024" s="720">
        <v>325.61</v>
      </c>
      <c r="M1024" s="720">
        <v>3166.5</v>
      </c>
      <c r="N1024" s="720">
        <v>169.98</v>
      </c>
    </row>
    <row r="1025" spans="1:14" ht="15">
      <c r="A1025" s="705"/>
      <c r="B1025" s="705"/>
      <c r="C1025" s="719">
        <v>41486</v>
      </c>
      <c r="D1025" s="717">
        <v>10270</v>
      </c>
      <c r="E1025" s="720">
        <v>9482.74</v>
      </c>
      <c r="F1025" s="720">
        <v>15781.91</v>
      </c>
      <c r="G1025" s="720">
        <v>13600.44</v>
      </c>
      <c r="H1025" s="720">
        <v>9985.42</v>
      </c>
      <c r="I1025" s="720">
        <v>8114.16</v>
      </c>
      <c r="J1025" s="726">
        <v>103.63</v>
      </c>
      <c r="K1025" s="720">
        <v>1323.84</v>
      </c>
      <c r="L1025" s="720">
        <v>330.53</v>
      </c>
      <c r="M1025" s="720">
        <v>3211.08</v>
      </c>
      <c r="N1025" s="720">
        <v>173.29</v>
      </c>
    </row>
    <row r="1026" spans="1:14" ht="15">
      <c r="A1026" s="705"/>
      <c r="B1026" s="705"/>
      <c r="C1026" s="719">
        <v>41487</v>
      </c>
      <c r="D1026" s="717">
        <v>10270</v>
      </c>
      <c r="E1026" s="720">
        <v>9482.74</v>
      </c>
      <c r="F1026" s="720">
        <v>15781.91</v>
      </c>
      <c r="G1026" s="720">
        <v>13600.44</v>
      </c>
      <c r="H1026" s="720">
        <v>9985.42</v>
      </c>
      <c r="I1026" s="720">
        <v>8114.16</v>
      </c>
      <c r="J1026" s="726">
        <v>103.63</v>
      </c>
      <c r="K1026" s="720">
        <v>1323.84</v>
      </c>
      <c r="L1026" s="720">
        <v>330.53</v>
      </c>
      <c r="M1026" s="720">
        <v>3211.08</v>
      </c>
      <c r="N1026" s="720">
        <v>173.29</v>
      </c>
    </row>
    <row r="1027" spans="1:14" ht="15">
      <c r="A1027" s="705"/>
      <c r="B1027" s="705"/>
      <c r="C1027" s="719">
        <v>41488</v>
      </c>
      <c r="D1027" s="717">
        <v>10270</v>
      </c>
      <c r="E1027" s="720">
        <v>9482.74</v>
      </c>
      <c r="F1027" s="720">
        <v>15781.91</v>
      </c>
      <c r="G1027" s="720">
        <v>13600.44</v>
      </c>
      <c r="H1027" s="720">
        <v>9985.42</v>
      </c>
      <c r="I1027" s="720">
        <v>8114.16</v>
      </c>
      <c r="J1027" s="726">
        <v>103.63</v>
      </c>
      <c r="K1027" s="720">
        <v>1323.84</v>
      </c>
      <c r="L1027" s="720">
        <v>330.53</v>
      </c>
      <c r="M1027" s="720">
        <v>3211.08</v>
      </c>
      <c r="N1027" s="720">
        <v>173.29</v>
      </c>
    </row>
    <row r="1028" spans="1:14" ht="15">
      <c r="A1028" s="705"/>
      <c r="B1028" s="705"/>
      <c r="C1028" s="719">
        <v>41489</v>
      </c>
      <c r="D1028" s="717">
        <v>10270</v>
      </c>
      <c r="E1028" s="720">
        <v>9482.74</v>
      </c>
      <c r="F1028" s="720">
        <v>15781.91</v>
      </c>
      <c r="G1028" s="720">
        <v>13600.44</v>
      </c>
      <c r="H1028" s="720">
        <v>9985.42</v>
      </c>
      <c r="I1028" s="720">
        <v>8114.16</v>
      </c>
      <c r="J1028" s="726">
        <v>103.63</v>
      </c>
      <c r="K1028" s="720">
        <v>1323.84</v>
      </c>
      <c r="L1028" s="720">
        <v>330.53</v>
      </c>
      <c r="M1028" s="720">
        <v>3211.08</v>
      </c>
      <c r="N1028" s="720">
        <v>173.29</v>
      </c>
    </row>
    <row r="1029" spans="1:14" ht="15">
      <c r="A1029" s="705"/>
      <c r="B1029" s="705"/>
      <c r="C1029" s="719">
        <v>41490</v>
      </c>
      <c r="D1029" s="717">
        <v>10270</v>
      </c>
      <c r="E1029" s="720">
        <v>9482.74</v>
      </c>
      <c r="F1029" s="720">
        <v>15781.91</v>
      </c>
      <c r="G1029" s="720">
        <v>13600.44</v>
      </c>
      <c r="H1029" s="720">
        <v>9985.42</v>
      </c>
      <c r="I1029" s="720">
        <v>8114.16</v>
      </c>
      <c r="J1029" s="726">
        <v>103.63</v>
      </c>
      <c r="K1029" s="720">
        <v>1323.84</v>
      </c>
      <c r="L1029" s="720">
        <v>330.53</v>
      </c>
      <c r="M1029" s="720">
        <v>3211.08</v>
      </c>
      <c r="N1029" s="720">
        <v>173.29</v>
      </c>
    </row>
    <row r="1030" spans="1:14" ht="15">
      <c r="A1030" s="705"/>
      <c r="B1030" s="705"/>
      <c r="C1030" s="719">
        <v>41491</v>
      </c>
      <c r="D1030" s="717">
        <v>10270</v>
      </c>
      <c r="E1030" s="720">
        <v>9482.74</v>
      </c>
      <c r="F1030" s="720">
        <v>15781.91</v>
      </c>
      <c r="G1030" s="720">
        <v>13600.44</v>
      </c>
      <c r="H1030" s="720">
        <v>9985.42</v>
      </c>
      <c r="I1030" s="720">
        <v>8114.16</v>
      </c>
      <c r="J1030" s="726">
        <v>103.63</v>
      </c>
      <c r="K1030" s="720">
        <v>1323.84</v>
      </c>
      <c r="L1030" s="720">
        <v>330.53</v>
      </c>
      <c r="M1030" s="720">
        <v>3211.08</v>
      </c>
      <c r="N1030" s="720">
        <v>173.29</v>
      </c>
    </row>
    <row r="1031" spans="1:14" ht="15">
      <c r="A1031" s="705"/>
      <c r="B1031" s="705"/>
      <c r="C1031" s="719">
        <v>41492</v>
      </c>
      <c r="D1031" s="717">
        <v>10270</v>
      </c>
      <c r="E1031" s="720">
        <v>9482.74</v>
      </c>
      <c r="F1031" s="720">
        <v>15781.91</v>
      </c>
      <c r="G1031" s="720">
        <v>13600.44</v>
      </c>
      <c r="H1031" s="720">
        <v>9985.42</v>
      </c>
      <c r="I1031" s="720">
        <v>8114.16</v>
      </c>
      <c r="J1031" s="726">
        <v>103.63</v>
      </c>
      <c r="K1031" s="720">
        <v>1323.84</v>
      </c>
      <c r="L1031" s="720">
        <v>330.53</v>
      </c>
      <c r="M1031" s="720">
        <v>3211.08</v>
      </c>
      <c r="N1031" s="720">
        <v>173.29</v>
      </c>
    </row>
    <row r="1032" spans="1:14" ht="15">
      <c r="A1032" s="705"/>
      <c r="B1032" s="705"/>
      <c r="C1032" s="719">
        <v>41493</v>
      </c>
      <c r="D1032" s="717">
        <v>10270</v>
      </c>
      <c r="E1032" s="720">
        <v>9482.74</v>
      </c>
      <c r="F1032" s="720">
        <v>15781.91</v>
      </c>
      <c r="G1032" s="720">
        <v>13600.44</v>
      </c>
      <c r="H1032" s="720">
        <v>9985.42</v>
      </c>
      <c r="I1032" s="720">
        <v>8114.16</v>
      </c>
      <c r="J1032" s="726">
        <v>103.63</v>
      </c>
      <c r="K1032" s="720">
        <v>1323.84</v>
      </c>
      <c r="L1032" s="720">
        <v>330.53</v>
      </c>
      <c r="M1032" s="720">
        <v>3211.08</v>
      </c>
      <c r="N1032" s="720">
        <v>173.29</v>
      </c>
    </row>
    <row r="1033" spans="1:14" ht="15">
      <c r="A1033" s="705"/>
      <c r="B1033" s="705"/>
      <c r="C1033" s="719">
        <v>41494</v>
      </c>
      <c r="D1033" s="717">
        <v>10270</v>
      </c>
      <c r="E1033" s="720">
        <v>9482.74</v>
      </c>
      <c r="F1033" s="720">
        <v>15781.91</v>
      </c>
      <c r="G1033" s="720">
        <v>13600.44</v>
      </c>
      <c r="H1033" s="720">
        <v>9985.42</v>
      </c>
      <c r="I1033" s="720">
        <v>8114.16</v>
      </c>
      <c r="J1033" s="726">
        <v>103.63</v>
      </c>
      <c r="K1033" s="720">
        <v>1323.84</v>
      </c>
      <c r="L1033" s="720">
        <v>330.53</v>
      </c>
      <c r="M1033" s="720">
        <v>3211.08</v>
      </c>
      <c r="N1033" s="720">
        <v>173.29</v>
      </c>
    </row>
    <row r="1034" spans="1:14" ht="15">
      <c r="A1034" s="705"/>
      <c r="B1034" s="705"/>
      <c r="C1034" s="719">
        <v>41495</v>
      </c>
      <c r="D1034" s="717">
        <v>10270</v>
      </c>
      <c r="E1034" s="720">
        <v>9482.74</v>
      </c>
      <c r="F1034" s="720">
        <v>15781.91</v>
      </c>
      <c r="G1034" s="720">
        <v>13600.44</v>
      </c>
      <c r="H1034" s="720">
        <v>9985.42</v>
      </c>
      <c r="I1034" s="720">
        <v>8114.16</v>
      </c>
      <c r="J1034" s="726">
        <v>103.63</v>
      </c>
      <c r="K1034" s="720">
        <v>1323.84</v>
      </c>
      <c r="L1034" s="720">
        <v>330.53</v>
      </c>
      <c r="M1034" s="720">
        <v>3211.08</v>
      </c>
      <c r="N1034" s="720">
        <v>173.29</v>
      </c>
    </row>
    <row r="1035" spans="1:14" ht="15">
      <c r="A1035" s="705"/>
      <c r="B1035" s="705"/>
      <c r="C1035" s="719">
        <v>41496</v>
      </c>
      <c r="D1035" s="717">
        <v>10270</v>
      </c>
      <c r="E1035" s="720">
        <v>9482.74</v>
      </c>
      <c r="F1035" s="720">
        <v>15781.91</v>
      </c>
      <c r="G1035" s="720">
        <v>13600.44</v>
      </c>
      <c r="H1035" s="720">
        <v>9985.42</v>
      </c>
      <c r="I1035" s="720">
        <v>8114.16</v>
      </c>
      <c r="J1035" s="726">
        <v>103.63</v>
      </c>
      <c r="K1035" s="720">
        <v>1323.84</v>
      </c>
      <c r="L1035" s="720">
        <v>330.53</v>
      </c>
      <c r="M1035" s="720">
        <v>3211.08</v>
      </c>
      <c r="N1035" s="720">
        <v>173.29</v>
      </c>
    </row>
    <row r="1036" spans="1:14" ht="15">
      <c r="A1036" s="705"/>
      <c r="B1036" s="705"/>
      <c r="C1036" s="719">
        <v>41497</v>
      </c>
      <c r="D1036" s="717">
        <v>10270</v>
      </c>
      <c r="E1036" s="720">
        <v>9482.74</v>
      </c>
      <c r="F1036" s="720">
        <v>15781.91</v>
      </c>
      <c r="G1036" s="720">
        <v>13600.44</v>
      </c>
      <c r="H1036" s="720">
        <v>9985.42</v>
      </c>
      <c r="I1036" s="720">
        <v>8114.16</v>
      </c>
      <c r="J1036" s="726">
        <v>103.63</v>
      </c>
      <c r="K1036" s="720">
        <v>1323.84</v>
      </c>
      <c r="L1036" s="720">
        <v>330.53</v>
      </c>
      <c r="M1036" s="720">
        <v>3211.08</v>
      </c>
      <c r="N1036" s="720">
        <v>173.29</v>
      </c>
    </row>
    <row r="1037" spans="1:14" ht="15">
      <c r="A1037" s="705"/>
      <c r="B1037" s="705"/>
      <c r="C1037" s="719">
        <v>41498</v>
      </c>
      <c r="D1037" s="717">
        <v>10270</v>
      </c>
      <c r="E1037" s="720">
        <v>9482.74</v>
      </c>
      <c r="F1037" s="720">
        <v>15781.91</v>
      </c>
      <c r="G1037" s="720">
        <v>13600.44</v>
      </c>
      <c r="H1037" s="720">
        <v>9985.42</v>
      </c>
      <c r="I1037" s="720">
        <v>8114.16</v>
      </c>
      <c r="J1037" s="726">
        <v>103.63</v>
      </c>
      <c r="K1037" s="720">
        <v>1323.84</v>
      </c>
      <c r="L1037" s="720">
        <v>330.53</v>
      </c>
      <c r="M1037" s="720">
        <v>3211.08</v>
      </c>
      <c r="N1037" s="720">
        <v>173.29</v>
      </c>
    </row>
    <row r="1038" spans="1:14" ht="15">
      <c r="A1038" s="705"/>
      <c r="B1038" s="705"/>
      <c r="C1038" s="719">
        <v>41499</v>
      </c>
      <c r="D1038" s="717">
        <v>10270</v>
      </c>
      <c r="E1038" s="720">
        <v>9482.74</v>
      </c>
      <c r="F1038" s="720">
        <v>15781.91</v>
      </c>
      <c r="G1038" s="720">
        <v>13600.44</v>
      </c>
      <c r="H1038" s="720">
        <v>9985.42</v>
      </c>
      <c r="I1038" s="720">
        <v>8114.16</v>
      </c>
      <c r="J1038" s="726">
        <v>103.63</v>
      </c>
      <c r="K1038" s="720">
        <v>1323.84</v>
      </c>
      <c r="L1038" s="720">
        <v>330.53</v>
      </c>
      <c r="M1038" s="720">
        <v>3211.08</v>
      </c>
      <c r="N1038" s="720">
        <v>173.29</v>
      </c>
    </row>
    <row r="1039" spans="1:14" ht="15">
      <c r="A1039" s="705"/>
      <c r="B1039" s="705"/>
      <c r="C1039" s="719">
        <v>41500</v>
      </c>
      <c r="D1039" s="717">
        <v>10301</v>
      </c>
      <c r="E1039" s="720">
        <v>9350.27</v>
      </c>
      <c r="F1039" s="720">
        <v>15926.79</v>
      </c>
      <c r="G1039" s="720">
        <v>13717.93</v>
      </c>
      <c r="H1039" s="720">
        <v>9944.58</v>
      </c>
      <c r="I1039" s="720">
        <v>8154.89</v>
      </c>
      <c r="J1039" s="726">
        <v>106.3</v>
      </c>
      <c r="K1039" s="720">
        <v>1328.1</v>
      </c>
      <c r="L1039" s="720">
        <v>328.92</v>
      </c>
      <c r="M1039" s="720">
        <v>3174.49</v>
      </c>
      <c r="N1039" s="720">
        <v>168.89</v>
      </c>
    </row>
    <row r="1040" spans="1:14" ht="15">
      <c r="A1040" s="705"/>
      <c r="B1040" s="705"/>
      <c r="C1040" s="719">
        <v>41501</v>
      </c>
      <c r="D1040" s="717">
        <v>10301</v>
      </c>
      <c r="E1040" s="720">
        <v>9350.27</v>
      </c>
      <c r="F1040" s="720">
        <v>15926.79</v>
      </c>
      <c r="G1040" s="720">
        <v>13717.93</v>
      </c>
      <c r="H1040" s="720">
        <v>9944.58</v>
      </c>
      <c r="I1040" s="720">
        <v>8154.89</v>
      </c>
      <c r="J1040" s="726">
        <v>106.3</v>
      </c>
      <c r="K1040" s="720">
        <v>1328.1</v>
      </c>
      <c r="L1040" s="720">
        <v>328.92</v>
      </c>
      <c r="M1040" s="720">
        <v>3174.49</v>
      </c>
      <c r="N1040" s="720">
        <v>168.89</v>
      </c>
    </row>
    <row r="1041" spans="1:14" ht="15">
      <c r="A1041" s="705"/>
      <c r="B1041" s="705"/>
      <c r="C1041" s="719">
        <v>41502</v>
      </c>
      <c r="D1041" s="717">
        <v>10301</v>
      </c>
      <c r="E1041" s="720">
        <v>9350.27</v>
      </c>
      <c r="F1041" s="720">
        <v>15926.79</v>
      </c>
      <c r="G1041" s="720">
        <v>13717.93</v>
      </c>
      <c r="H1041" s="720">
        <v>9944.58</v>
      </c>
      <c r="I1041" s="720">
        <v>8154.89</v>
      </c>
      <c r="J1041" s="726">
        <v>106.3</v>
      </c>
      <c r="K1041" s="720">
        <v>1328.1</v>
      </c>
      <c r="L1041" s="720">
        <v>328.92</v>
      </c>
      <c r="M1041" s="720">
        <v>3174.49</v>
      </c>
      <c r="N1041" s="720">
        <v>168.89</v>
      </c>
    </row>
    <row r="1042" spans="1:14" ht="15">
      <c r="A1042" s="705"/>
      <c r="B1042" s="705"/>
      <c r="C1042" s="719">
        <v>41503</v>
      </c>
      <c r="D1042" s="717">
        <v>10301</v>
      </c>
      <c r="E1042" s="720">
        <v>9350.27</v>
      </c>
      <c r="F1042" s="720">
        <v>15926.79</v>
      </c>
      <c r="G1042" s="720">
        <v>13717.93</v>
      </c>
      <c r="H1042" s="720">
        <v>9944.58</v>
      </c>
      <c r="I1042" s="720">
        <v>8154.89</v>
      </c>
      <c r="J1042" s="726">
        <v>106.3</v>
      </c>
      <c r="K1042" s="720">
        <v>1328.1</v>
      </c>
      <c r="L1042" s="720">
        <v>328.92</v>
      </c>
      <c r="M1042" s="720">
        <v>3174.49</v>
      </c>
      <c r="N1042" s="720">
        <v>168.89</v>
      </c>
    </row>
    <row r="1043" spans="1:14" ht="15">
      <c r="A1043" s="705"/>
      <c r="B1043" s="705"/>
      <c r="C1043" s="719">
        <v>41504</v>
      </c>
      <c r="D1043" s="717">
        <v>10301</v>
      </c>
      <c r="E1043" s="720">
        <v>9350.27</v>
      </c>
      <c r="F1043" s="720">
        <v>15926.79</v>
      </c>
      <c r="G1043" s="720">
        <v>13717.93</v>
      </c>
      <c r="H1043" s="720">
        <v>9944.58</v>
      </c>
      <c r="I1043" s="720">
        <v>8154.89</v>
      </c>
      <c r="J1043" s="726">
        <v>106.3</v>
      </c>
      <c r="K1043" s="720">
        <v>1328.1</v>
      </c>
      <c r="L1043" s="720">
        <v>328.92</v>
      </c>
      <c r="M1043" s="720">
        <v>3174.49</v>
      </c>
      <c r="N1043" s="720">
        <v>168.89</v>
      </c>
    </row>
    <row r="1044" spans="1:14" ht="15">
      <c r="A1044" s="705"/>
      <c r="B1044" s="705"/>
      <c r="C1044" s="719">
        <v>41505</v>
      </c>
      <c r="D1044" s="717">
        <v>10301</v>
      </c>
      <c r="E1044" s="720">
        <v>9350.27</v>
      </c>
      <c r="F1044" s="720">
        <v>15926.79</v>
      </c>
      <c r="G1044" s="720">
        <v>13717.93</v>
      </c>
      <c r="H1044" s="720">
        <v>9944.58</v>
      </c>
      <c r="I1044" s="720">
        <v>8154.89</v>
      </c>
      <c r="J1044" s="726">
        <v>106.3</v>
      </c>
      <c r="K1044" s="720">
        <v>1328.1</v>
      </c>
      <c r="L1044" s="720">
        <v>328.92</v>
      </c>
      <c r="M1044" s="720">
        <v>3174.49</v>
      </c>
      <c r="N1044" s="720">
        <v>168.89</v>
      </c>
    </row>
    <row r="1045" spans="1:14" ht="15">
      <c r="A1045" s="705"/>
      <c r="B1045" s="705"/>
      <c r="C1045" s="719">
        <v>41506</v>
      </c>
      <c r="D1045" s="717">
        <v>10301</v>
      </c>
      <c r="E1045" s="720">
        <v>9350.27</v>
      </c>
      <c r="F1045" s="720">
        <v>15926.79</v>
      </c>
      <c r="G1045" s="720">
        <v>13717.93</v>
      </c>
      <c r="H1045" s="720">
        <v>9944.58</v>
      </c>
      <c r="I1045" s="720">
        <v>8154.89</v>
      </c>
      <c r="J1045" s="726">
        <v>106.3</v>
      </c>
      <c r="K1045" s="720">
        <v>1328.1</v>
      </c>
      <c r="L1045" s="720">
        <v>328.92</v>
      </c>
      <c r="M1045" s="720">
        <v>3174.49</v>
      </c>
      <c r="N1045" s="720">
        <v>168.89</v>
      </c>
    </row>
    <row r="1046" spans="1:14" ht="15">
      <c r="A1046" s="705"/>
      <c r="B1046" s="705"/>
      <c r="C1046" s="719">
        <v>41507</v>
      </c>
      <c r="D1046" s="717">
        <v>10387</v>
      </c>
      <c r="E1046" s="720">
        <v>9507.7099999999991</v>
      </c>
      <c r="F1046" s="720">
        <v>16164.77</v>
      </c>
      <c r="G1046" s="720">
        <v>13800.41</v>
      </c>
      <c r="H1046" s="720">
        <v>10054.209999999999</v>
      </c>
      <c r="I1046" s="720">
        <v>8174.15</v>
      </c>
      <c r="J1046" s="726">
        <v>106.16</v>
      </c>
      <c r="K1046" s="720">
        <v>1339.39</v>
      </c>
      <c r="L1046" s="720">
        <v>332</v>
      </c>
      <c r="M1046" s="720">
        <v>3172.99</v>
      </c>
      <c r="N1046" s="720">
        <v>169.02</v>
      </c>
    </row>
    <row r="1047" spans="1:14" ht="15">
      <c r="A1047" s="705"/>
      <c r="B1047" s="705"/>
      <c r="C1047" s="719">
        <v>41508</v>
      </c>
      <c r="D1047" s="717">
        <v>10387</v>
      </c>
      <c r="E1047" s="720">
        <v>9507.7099999999991</v>
      </c>
      <c r="F1047" s="720">
        <v>16164.77</v>
      </c>
      <c r="G1047" s="720">
        <v>13800.41</v>
      </c>
      <c r="H1047" s="720">
        <v>10054.209999999999</v>
      </c>
      <c r="I1047" s="720">
        <v>8174.15</v>
      </c>
      <c r="J1047" s="726">
        <v>106.16</v>
      </c>
      <c r="K1047" s="720">
        <v>1339.39</v>
      </c>
      <c r="L1047" s="720">
        <v>332</v>
      </c>
      <c r="M1047" s="720">
        <v>3172.99</v>
      </c>
      <c r="N1047" s="720">
        <v>169.02</v>
      </c>
    </row>
    <row r="1048" spans="1:14" ht="15">
      <c r="A1048" s="705"/>
      <c r="B1048" s="705"/>
      <c r="C1048" s="719">
        <v>41509</v>
      </c>
      <c r="D1048" s="717">
        <v>10387</v>
      </c>
      <c r="E1048" s="720">
        <v>9507.7099999999991</v>
      </c>
      <c r="F1048" s="720">
        <v>16164.77</v>
      </c>
      <c r="G1048" s="720">
        <v>13800.41</v>
      </c>
      <c r="H1048" s="720">
        <v>10054.209999999999</v>
      </c>
      <c r="I1048" s="720">
        <v>8174.15</v>
      </c>
      <c r="J1048" s="726">
        <v>106.16</v>
      </c>
      <c r="K1048" s="720">
        <v>1339.39</v>
      </c>
      <c r="L1048" s="720">
        <v>332</v>
      </c>
      <c r="M1048" s="720">
        <v>3172.99</v>
      </c>
      <c r="N1048" s="720">
        <v>169.02</v>
      </c>
    </row>
    <row r="1049" spans="1:14" ht="15">
      <c r="A1049" s="705"/>
      <c r="B1049" s="705"/>
      <c r="C1049" s="719">
        <v>41510</v>
      </c>
      <c r="D1049" s="717">
        <v>10387</v>
      </c>
      <c r="E1049" s="720">
        <v>9507.7099999999991</v>
      </c>
      <c r="F1049" s="720">
        <v>16164.77</v>
      </c>
      <c r="G1049" s="720">
        <v>13800.41</v>
      </c>
      <c r="H1049" s="720">
        <v>10054.209999999999</v>
      </c>
      <c r="I1049" s="720">
        <v>8174.15</v>
      </c>
      <c r="J1049" s="726">
        <v>106.16</v>
      </c>
      <c r="K1049" s="720">
        <v>1339.39</v>
      </c>
      <c r="L1049" s="720">
        <v>332</v>
      </c>
      <c r="M1049" s="720">
        <v>3172.99</v>
      </c>
      <c r="N1049" s="720">
        <v>169.02</v>
      </c>
    </row>
    <row r="1050" spans="1:14" ht="15">
      <c r="A1050" s="705"/>
      <c r="B1050" s="705"/>
      <c r="C1050" s="719">
        <v>41511</v>
      </c>
      <c r="D1050" s="717">
        <v>10387</v>
      </c>
      <c r="E1050" s="720">
        <v>9507.7099999999991</v>
      </c>
      <c r="F1050" s="720">
        <v>16164.77</v>
      </c>
      <c r="G1050" s="720">
        <v>13800.41</v>
      </c>
      <c r="H1050" s="720">
        <v>10054.209999999999</v>
      </c>
      <c r="I1050" s="720">
        <v>8174.15</v>
      </c>
      <c r="J1050" s="726">
        <v>106.16</v>
      </c>
      <c r="K1050" s="720">
        <v>1339.39</v>
      </c>
      <c r="L1050" s="720">
        <v>332</v>
      </c>
      <c r="M1050" s="720">
        <v>3172.99</v>
      </c>
      <c r="N1050" s="720">
        <v>169.02</v>
      </c>
    </row>
    <row r="1051" spans="1:14" ht="15">
      <c r="A1051" s="705"/>
      <c r="B1051" s="705"/>
      <c r="C1051" s="719">
        <v>41512</v>
      </c>
      <c r="D1051" s="717">
        <v>10387</v>
      </c>
      <c r="E1051" s="720">
        <v>9507.7099999999991</v>
      </c>
      <c r="F1051" s="720">
        <v>16164.77</v>
      </c>
      <c r="G1051" s="720">
        <v>13800.41</v>
      </c>
      <c r="H1051" s="720">
        <v>10054.209999999999</v>
      </c>
      <c r="I1051" s="720">
        <v>8174.15</v>
      </c>
      <c r="J1051" s="726">
        <v>106.16</v>
      </c>
      <c r="K1051" s="720">
        <v>1339.39</v>
      </c>
      <c r="L1051" s="720">
        <v>332</v>
      </c>
      <c r="M1051" s="720">
        <v>3172.99</v>
      </c>
      <c r="N1051" s="720">
        <v>169.02</v>
      </c>
    </row>
    <row r="1052" spans="1:14" ht="15">
      <c r="A1052" s="705"/>
      <c r="B1052" s="705"/>
      <c r="C1052" s="719">
        <v>41513</v>
      </c>
      <c r="D1052" s="717">
        <v>10387</v>
      </c>
      <c r="E1052" s="720">
        <v>9507.7099999999991</v>
      </c>
      <c r="F1052" s="720">
        <v>16164.77</v>
      </c>
      <c r="G1052" s="720">
        <v>13800.41</v>
      </c>
      <c r="H1052" s="720">
        <v>10054.209999999999</v>
      </c>
      <c r="I1052" s="720">
        <v>8174.15</v>
      </c>
      <c r="J1052" s="726">
        <v>106.16</v>
      </c>
      <c r="K1052" s="720">
        <v>1339.39</v>
      </c>
      <c r="L1052" s="720">
        <v>332</v>
      </c>
      <c r="M1052" s="720">
        <v>3172.99</v>
      </c>
      <c r="N1052" s="720">
        <v>169.02</v>
      </c>
    </row>
    <row r="1053" spans="1:14" ht="15">
      <c r="A1053" s="705"/>
      <c r="B1053" s="705"/>
      <c r="C1053" s="719">
        <v>41514</v>
      </c>
      <c r="D1053" s="735">
        <v>10863</v>
      </c>
      <c r="E1053" s="720">
        <v>9807.91</v>
      </c>
      <c r="F1053" s="720">
        <v>16952.64</v>
      </c>
      <c r="G1053" s="720">
        <v>14520.37</v>
      </c>
      <c r="H1053" s="720">
        <v>10383.719999999999</v>
      </c>
      <c r="I1053" s="720">
        <v>8490.6</v>
      </c>
      <c r="J1053" s="736">
        <v>110.67</v>
      </c>
      <c r="K1053" s="720">
        <v>1400.66</v>
      </c>
      <c r="L1053" s="720">
        <v>340.72</v>
      </c>
      <c r="M1053" s="720">
        <v>3291.78</v>
      </c>
      <c r="N1053" s="720">
        <v>170.04</v>
      </c>
    </row>
    <row r="1054" spans="1:14" ht="15">
      <c r="A1054" s="705"/>
      <c r="B1054" s="705"/>
      <c r="C1054" s="719">
        <v>41515</v>
      </c>
      <c r="D1054" s="735">
        <v>10863</v>
      </c>
      <c r="E1054" s="720">
        <v>9807.91</v>
      </c>
      <c r="F1054" s="720">
        <v>16952.64</v>
      </c>
      <c r="G1054" s="720">
        <v>14520.37</v>
      </c>
      <c r="H1054" s="720">
        <v>10383.719999999999</v>
      </c>
      <c r="I1054" s="720">
        <v>8490.6</v>
      </c>
      <c r="J1054" s="736">
        <v>110.67</v>
      </c>
      <c r="K1054" s="720">
        <v>1400.66</v>
      </c>
      <c r="L1054" s="720">
        <v>340.72</v>
      </c>
      <c r="M1054" s="720">
        <v>3291.78</v>
      </c>
      <c r="N1054" s="720">
        <v>170.04</v>
      </c>
    </row>
    <row r="1055" spans="1:14" ht="15">
      <c r="A1055" s="705"/>
      <c r="B1055" s="705"/>
      <c r="C1055" s="719">
        <v>41516</v>
      </c>
      <c r="D1055" s="735">
        <v>10863</v>
      </c>
      <c r="E1055" s="720">
        <v>9807.91</v>
      </c>
      <c r="F1055" s="720">
        <v>16952.64</v>
      </c>
      <c r="G1055" s="720">
        <v>14520.37</v>
      </c>
      <c r="H1055" s="720">
        <v>10383.719999999999</v>
      </c>
      <c r="I1055" s="720">
        <v>8490.6</v>
      </c>
      <c r="J1055" s="736">
        <v>110.67</v>
      </c>
      <c r="K1055" s="720">
        <v>1400.66</v>
      </c>
      <c r="L1055" s="720">
        <v>340.72</v>
      </c>
      <c r="M1055" s="720">
        <v>3291.78</v>
      </c>
      <c r="N1055" s="720">
        <v>170.04</v>
      </c>
    </row>
    <row r="1056" spans="1:14" ht="15">
      <c r="A1056" s="705"/>
      <c r="B1056" s="705"/>
      <c r="C1056" s="719">
        <v>41517</v>
      </c>
      <c r="D1056" s="735">
        <v>10863</v>
      </c>
      <c r="E1056" s="720">
        <v>9807.91</v>
      </c>
      <c r="F1056" s="720">
        <v>16952.64</v>
      </c>
      <c r="G1056" s="720">
        <v>14520.37</v>
      </c>
      <c r="H1056" s="720">
        <v>10383.719999999999</v>
      </c>
      <c r="I1056" s="720">
        <v>8490.6</v>
      </c>
      <c r="J1056" s="736">
        <v>110.67</v>
      </c>
      <c r="K1056" s="720">
        <v>1400.66</v>
      </c>
      <c r="L1056" s="720">
        <v>340.72</v>
      </c>
      <c r="M1056" s="720">
        <v>3291.78</v>
      </c>
      <c r="N1056" s="720">
        <v>170.04</v>
      </c>
    </row>
    <row r="1057" spans="1:14" ht="15">
      <c r="A1057" s="705"/>
      <c r="B1057" s="705"/>
      <c r="C1057" s="719">
        <v>41518</v>
      </c>
      <c r="D1057" s="735">
        <v>10863</v>
      </c>
      <c r="E1057" s="720">
        <v>9807.91</v>
      </c>
      <c r="F1057" s="720">
        <v>16952.64</v>
      </c>
      <c r="G1057" s="720">
        <v>14520.37</v>
      </c>
      <c r="H1057" s="720">
        <v>10383.719999999999</v>
      </c>
      <c r="I1057" s="720">
        <v>8490.6</v>
      </c>
      <c r="J1057" s="736">
        <v>110.67</v>
      </c>
      <c r="K1057" s="720">
        <v>1400.66</v>
      </c>
      <c r="L1057" s="720">
        <v>340.72</v>
      </c>
      <c r="M1057" s="720">
        <v>3291.78</v>
      </c>
      <c r="N1057" s="720">
        <v>170.04</v>
      </c>
    </row>
    <row r="1058" spans="1:14" ht="15">
      <c r="A1058" s="705"/>
      <c r="B1058" s="705"/>
      <c r="C1058" s="719">
        <v>41519</v>
      </c>
      <c r="D1058" s="735">
        <v>10863</v>
      </c>
      <c r="E1058" s="720">
        <v>9807.91</v>
      </c>
      <c r="F1058" s="720">
        <v>16952.64</v>
      </c>
      <c r="G1058" s="720">
        <v>14520.37</v>
      </c>
      <c r="H1058" s="720">
        <v>10383.719999999999</v>
      </c>
      <c r="I1058" s="720">
        <v>8490.6</v>
      </c>
      <c r="J1058" s="736">
        <v>110.67</v>
      </c>
      <c r="K1058" s="720">
        <v>1400.66</v>
      </c>
      <c r="L1058" s="720">
        <v>340.72</v>
      </c>
      <c r="M1058" s="720">
        <v>3291.78</v>
      </c>
      <c r="N1058" s="720">
        <v>170.04</v>
      </c>
    </row>
    <row r="1059" spans="1:14" ht="15">
      <c r="A1059" s="705"/>
      <c r="B1059" s="705"/>
      <c r="C1059" s="719">
        <v>41520</v>
      </c>
      <c r="D1059" s="735">
        <v>10863</v>
      </c>
      <c r="E1059" s="720">
        <v>9807.91</v>
      </c>
      <c r="F1059" s="720">
        <v>16952.64</v>
      </c>
      <c r="G1059" s="720">
        <v>14520.37</v>
      </c>
      <c r="H1059" s="720">
        <v>10383.719999999999</v>
      </c>
      <c r="I1059" s="720">
        <v>8490.6</v>
      </c>
      <c r="J1059" s="736">
        <v>110.67</v>
      </c>
      <c r="K1059" s="720">
        <v>1400.66</v>
      </c>
      <c r="L1059" s="720">
        <v>340.72</v>
      </c>
      <c r="M1059" s="720">
        <v>3291.78</v>
      </c>
      <c r="N1059" s="720">
        <v>170.04</v>
      </c>
    </row>
    <row r="1060" spans="1:14" ht="15">
      <c r="A1060" s="705"/>
      <c r="B1060" s="705"/>
      <c r="C1060" s="719">
        <v>41521</v>
      </c>
      <c r="D1060" s="717">
        <v>11194</v>
      </c>
      <c r="E1060" s="720">
        <v>10011.11</v>
      </c>
      <c r="F1060" s="720">
        <v>17378.740000000002</v>
      </c>
      <c r="G1060" s="720">
        <v>14864.88</v>
      </c>
      <c r="H1060" s="720">
        <v>10649.82</v>
      </c>
      <c r="I1060" s="720">
        <v>8767.4699999999993</v>
      </c>
      <c r="J1060" s="736">
        <v>114.3</v>
      </c>
      <c r="K1060" s="720">
        <v>1443.32</v>
      </c>
      <c r="L1060" s="720">
        <v>348.15</v>
      </c>
      <c r="M1060" s="720">
        <v>3380.73</v>
      </c>
      <c r="N1060" s="720">
        <v>167.5</v>
      </c>
    </row>
    <row r="1061" spans="1:14" ht="15">
      <c r="A1061" s="705"/>
      <c r="B1061" s="705"/>
      <c r="C1061" s="719">
        <v>41522</v>
      </c>
      <c r="D1061" s="717">
        <v>11194</v>
      </c>
      <c r="E1061" s="720">
        <v>10011.11</v>
      </c>
      <c r="F1061" s="720">
        <v>17378.740000000002</v>
      </c>
      <c r="G1061" s="720">
        <v>14864.88</v>
      </c>
      <c r="H1061" s="720">
        <v>10649.82</v>
      </c>
      <c r="I1061" s="720">
        <v>8767.4699999999993</v>
      </c>
      <c r="J1061" s="736">
        <v>114.3</v>
      </c>
      <c r="K1061" s="720">
        <v>1443.32</v>
      </c>
      <c r="L1061" s="720">
        <v>348.15</v>
      </c>
      <c r="M1061" s="720">
        <v>3380.73</v>
      </c>
      <c r="N1061" s="720">
        <v>167.5</v>
      </c>
    </row>
    <row r="1062" spans="1:14" ht="15">
      <c r="A1062" s="705"/>
      <c r="B1062" s="705"/>
      <c r="C1062" s="719">
        <v>41523</v>
      </c>
      <c r="D1062" s="717">
        <v>11194</v>
      </c>
      <c r="E1062" s="720">
        <v>10011.11</v>
      </c>
      <c r="F1062" s="720">
        <v>17378.740000000002</v>
      </c>
      <c r="G1062" s="720">
        <v>14864.88</v>
      </c>
      <c r="H1062" s="720">
        <v>10649.82</v>
      </c>
      <c r="I1062" s="720">
        <v>8767.4699999999993</v>
      </c>
      <c r="J1062" s="736">
        <v>114.3</v>
      </c>
      <c r="K1062" s="720">
        <v>1443.32</v>
      </c>
      <c r="L1062" s="720">
        <v>348.15</v>
      </c>
      <c r="M1062" s="720">
        <v>3380.73</v>
      </c>
      <c r="N1062" s="720">
        <v>167.5</v>
      </c>
    </row>
    <row r="1063" spans="1:14" ht="15">
      <c r="A1063" s="705"/>
      <c r="B1063" s="705"/>
      <c r="C1063" s="719">
        <v>41524</v>
      </c>
      <c r="D1063" s="717">
        <v>11194</v>
      </c>
      <c r="E1063" s="720">
        <v>10011.11</v>
      </c>
      <c r="F1063" s="720">
        <v>17378.740000000002</v>
      </c>
      <c r="G1063" s="720">
        <v>14864.88</v>
      </c>
      <c r="H1063" s="720">
        <v>10649.82</v>
      </c>
      <c r="I1063" s="720">
        <v>8767.4699999999993</v>
      </c>
      <c r="J1063" s="736">
        <v>114.3</v>
      </c>
      <c r="K1063" s="720">
        <v>1443.32</v>
      </c>
      <c r="L1063" s="720">
        <v>348.15</v>
      </c>
      <c r="M1063" s="720">
        <v>3380.73</v>
      </c>
      <c r="N1063" s="720">
        <v>167.5</v>
      </c>
    </row>
    <row r="1064" spans="1:14" ht="15">
      <c r="A1064" s="705"/>
      <c r="B1064" s="705"/>
      <c r="C1064" s="719">
        <v>41525</v>
      </c>
      <c r="D1064" s="717">
        <v>11194</v>
      </c>
      <c r="E1064" s="720">
        <v>10011.11</v>
      </c>
      <c r="F1064" s="720">
        <v>17378.740000000002</v>
      </c>
      <c r="G1064" s="720">
        <v>14864.88</v>
      </c>
      <c r="H1064" s="720">
        <v>10649.82</v>
      </c>
      <c r="I1064" s="720">
        <v>8767.4699999999993</v>
      </c>
      <c r="J1064" s="736">
        <v>114.3</v>
      </c>
      <c r="K1064" s="720">
        <v>1443.32</v>
      </c>
      <c r="L1064" s="720">
        <v>348.15</v>
      </c>
      <c r="M1064" s="720">
        <v>3380.73</v>
      </c>
      <c r="N1064" s="720">
        <v>167.5</v>
      </c>
    </row>
    <row r="1065" spans="1:14" ht="15">
      <c r="A1065" s="705"/>
      <c r="B1065" s="705"/>
      <c r="C1065" s="719">
        <v>41526</v>
      </c>
      <c r="D1065" s="717">
        <v>11194</v>
      </c>
      <c r="E1065" s="720">
        <v>10011.11</v>
      </c>
      <c r="F1065" s="720">
        <v>17378.740000000002</v>
      </c>
      <c r="G1065" s="720">
        <v>14864.88</v>
      </c>
      <c r="H1065" s="720">
        <v>10649.82</v>
      </c>
      <c r="I1065" s="720">
        <v>8767.4699999999993</v>
      </c>
      <c r="J1065" s="736">
        <v>114.3</v>
      </c>
      <c r="K1065" s="720">
        <v>1443.32</v>
      </c>
      <c r="L1065" s="720">
        <v>348.15</v>
      </c>
      <c r="M1065" s="720">
        <v>3380.73</v>
      </c>
      <c r="N1065" s="720">
        <v>167.5</v>
      </c>
    </row>
    <row r="1066" spans="1:14" ht="15">
      <c r="A1066" s="705"/>
      <c r="B1066" s="705"/>
      <c r="C1066" s="719">
        <v>41527</v>
      </c>
      <c r="D1066" s="717">
        <v>11194</v>
      </c>
      <c r="E1066" s="720">
        <v>10011.11</v>
      </c>
      <c r="F1066" s="720">
        <v>17378.740000000002</v>
      </c>
      <c r="G1066" s="720">
        <v>14864.88</v>
      </c>
      <c r="H1066" s="720">
        <v>10649.82</v>
      </c>
      <c r="I1066" s="720">
        <v>8767.4699999999993</v>
      </c>
      <c r="J1066" s="736">
        <v>114.3</v>
      </c>
      <c r="K1066" s="720">
        <v>1443.32</v>
      </c>
      <c r="L1066" s="720">
        <v>348.15</v>
      </c>
      <c r="M1066" s="720">
        <v>3380.73</v>
      </c>
      <c r="N1066" s="720">
        <v>167.5</v>
      </c>
    </row>
    <row r="1067" spans="1:14" ht="15">
      <c r="A1067" s="705"/>
      <c r="B1067" s="705"/>
      <c r="C1067" s="719">
        <v>41528</v>
      </c>
      <c r="D1067" s="717">
        <v>11455</v>
      </c>
      <c r="E1067" s="720">
        <v>10479.450000000001</v>
      </c>
      <c r="F1067" s="720">
        <v>17880.009999999998</v>
      </c>
      <c r="G1067" s="720">
        <v>15084.27</v>
      </c>
      <c r="H1067" s="720">
        <v>10942.32</v>
      </c>
      <c r="I1067" s="720">
        <v>8972.57</v>
      </c>
      <c r="J1067" s="736">
        <v>114.96</v>
      </c>
      <c r="K1067" s="720">
        <v>1476.97</v>
      </c>
      <c r="L1067" s="720">
        <v>355.35</v>
      </c>
      <c r="M1067" s="720">
        <v>3466.33</v>
      </c>
      <c r="N1067" s="720">
        <v>172.13</v>
      </c>
    </row>
    <row r="1068" spans="1:14" ht="15">
      <c r="A1068" s="705"/>
      <c r="B1068" s="705"/>
      <c r="C1068" s="719">
        <v>41529</v>
      </c>
      <c r="D1068" s="717">
        <v>11455</v>
      </c>
      <c r="E1068" s="720">
        <v>10479.450000000001</v>
      </c>
      <c r="F1068" s="720">
        <v>17880.009999999998</v>
      </c>
      <c r="G1068" s="720">
        <v>15084.27</v>
      </c>
      <c r="H1068" s="720">
        <v>10942.32</v>
      </c>
      <c r="I1068" s="720">
        <v>8972.57</v>
      </c>
      <c r="J1068" s="736">
        <v>114.96</v>
      </c>
      <c r="K1068" s="720">
        <v>1476.97</v>
      </c>
      <c r="L1068" s="720">
        <v>355.35</v>
      </c>
      <c r="M1068" s="720">
        <v>3466.33</v>
      </c>
      <c r="N1068" s="720">
        <v>172.13</v>
      </c>
    </row>
    <row r="1069" spans="1:14" ht="15">
      <c r="A1069" s="705"/>
      <c r="B1069" s="705"/>
      <c r="C1069" s="719">
        <v>41530</v>
      </c>
      <c r="D1069" s="717">
        <v>11455</v>
      </c>
      <c r="E1069" s="720">
        <v>10479.450000000001</v>
      </c>
      <c r="F1069" s="720">
        <v>17880.009999999998</v>
      </c>
      <c r="G1069" s="720">
        <v>15084.27</v>
      </c>
      <c r="H1069" s="720">
        <v>10942.32</v>
      </c>
      <c r="I1069" s="720">
        <v>8972.57</v>
      </c>
      <c r="J1069" s="736">
        <v>114.96</v>
      </c>
      <c r="K1069" s="720">
        <v>1476.97</v>
      </c>
      <c r="L1069" s="720">
        <v>355.35</v>
      </c>
      <c r="M1069" s="720">
        <v>3466.33</v>
      </c>
      <c r="N1069" s="720">
        <v>172.13</v>
      </c>
    </row>
    <row r="1070" spans="1:14" ht="15">
      <c r="A1070" s="705"/>
      <c r="B1070" s="705"/>
      <c r="C1070" s="719">
        <v>41531</v>
      </c>
      <c r="D1070" s="717">
        <v>11455</v>
      </c>
      <c r="E1070" s="720">
        <v>10479.450000000001</v>
      </c>
      <c r="F1070" s="720">
        <v>17880.009999999998</v>
      </c>
      <c r="G1070" s="720">
        <v>15084.27</v>
      </c>
      <c r="H1070" s="720">
        <v>10942.32</v>
      </c>
      <c r="I1070" s="720">
        <v>8972.57</v>
      </c>
      <c r="J1070" s="736">
        <v>114.96</v>
      </c>
      <c r="K1070" s="720">
        <v>1476.97</v>
      </c>
      <c r="L1070" s="720">
        <v>355.35</v>
      </c>
      <c r="M1070" s="720">
        <v>3466.33</v>
      </c>
      <c r="N1070" s="720">
        <v>172.13</v>
      </c>
    </row>
    <row r="1071" spans="1:14" ht="15">
      <c r="A1071" s="705"/>
      <c r="B1071" s="705"/>
      <c r="C1071" s="719">
        <v>41532</v>
      </c>
      <c r="D1071" s="717">
        <v>11455</v>
      </c>
      <c r="E1071" s="720">
        <v>10479.450000000001</v>
      </c>
      <c r="F1071" s="720">
        <v>17880.009999999998</v>
      </c>
      <c r="G1071" s="720">
        <v>15084.27</v>
      </c>
      <c r="H1071" s="720">
        <v>10942.32</v>
      </c>
      <c r="I1071" s="720">
        <v>8972.57</v>
      </c>
      <c r="J1071" s="736">
        <v>114.96</v>
      </c>
      <c r="K1071" s="720">
        <v>1476.97</v>
      </c>
      <c r="L1071" s="720">
        <v>355.35</v>
      </c>
      <c r="M1071" s="720">
        <v>3466.33</v>
      </c>
      <c r="N1071" s="720">
        <v>172.13</v>
      </c>
    </row>
    <row r="1072" spans="1:14" ht="15">
      <c r="A1072" s="705"/>
      <c r="B1072" s="705"/>
      <c r="C1072" s="719">
        <v>41533</v>
      </c>
      <c r="D1072" s="717">
        <v>11455</v>
      </c>
      <c r="E1072" s="720">
        <v>10479.450000000001</v>
      </c>
      <c r="F1072" s="720">
        <v>17880.009999999998</v>
      </c>
      <c r="G1072" s="720">
        <v>15084.27</v>
      </c>
      <c r="H1072" s="720">
        <v>10942.32</v>
      </c>
      <c r="I1072" s="720">
        <v>8972.57</v>
      </c>
      <c r="J1072" s="736">
        <v>114.96</v>
      </c>
      <c r="K1072" s="720">
        <v>1476.97</v>
      </c>
      <c r="L1072" s="720">
        <v>355.35</v>
      </c>
      <c r="M1072" s="720">
        <v>3466.33</v>
      </c>
      <c r="N1072" s="720">
        <v>172.13</v>
      </c>
    </row>
    <row r="1073" spans="1:14" ht="15">
      <c r="A1073" s="705"/>
      <c r="B1073" s="705"/>
      <c r="C1073" s="719">
        <v>41534</v>
      </c>
      <c r="D1073" s="717">
        <v>11455</v>
      </c>
      <c r="E1073" s="720">
        <v>10479.450000000001</v>
      </c>
      <c r="F1073" s="720">
        <v>17880.009999999998</v>
      </c>
      <c r="G1073" s="720">
        <v>15084.27</v>
      </c>
      <c r="H1073" s="720">
        <v>10942.32</v>
      </c>
      <c r="I1073" s="720">
        <v>8972.57</v>
      </c>
      <c r="J1073" s="736">
        <v>114.96</v>
      </c>
      <c r="K1073" s="720">
        <v>1476.97</v>
      </c>
      <c r="L1073" s="720">
        <v>355.35</v>
      </c>
      <c r="M1073" s="720">
        <v>3466.33</v>
      </c>
      <c r="N1073" s="720">
        <v>172.13</v>
      </c>
    </row>
    <row r="1074" spans="1:14" ht="15">
      <c r="A1074" s="705"/>
      <c r="B1074" s="705"/>
      <c r="C1074" s="719">
        <v>41535</v>
      </c>
      <c r="D1074" s="717">
        <v>11319</v>
      </c>
      <c r="E1074" s="720">
        <v>10525.47</v>
      </c>
      <c r="F1074" s="720">
        <v>17924.41</v>
      </c>
      <c r="G1074" s="720">
        <v>15062.26</v>
      </c>
      <c r="H1074" s="720">
        <v>10957.48</v>
      </c>
      <c r="I1074" s="720">
        <v>8935.19</v>
      </c>
      <c r="J1074" s="736">
        <v>113.62</v>
      </c>
      <c r="K1074" s="720">
        <v>1459.59</v>
      </c>
      <c r="L1074" s="720">
        <v>355.3</v>
      </c>
      <c r="M1074" s="720">
        <v>3460.86</v>
      </c>
      <c r="N1074" s="720">
        <v>178.07</v>
      </c>
    </row>
    <row r="1075" spans="1:14" ht="15">
      <c r="A1075" s="705"/>
      <c r="B1075" s="705"/>
      <c r="C1075" s="719">
        <v>41536</v>
      </c>
      <c r="D1075" s="717">
        <v>11319</v>
      </c>
      <c r="E1075" s="720">
        <v>10525.47</v>
      </c>
      <c r="F1075" s="720">
        <v>17924.41</v>
      </c>
      <c r="G1075" s="720">
        <v>15062.26</v>
      </c>
      <c r="H1075" s="720">
        <v>10957.48</v>
      </c>
      <c r="I1075" s="720">
        <v>8935.19</v>
      </c>
      <c r="J1075" s="736">
        <v>113.62</v>
      </c>
      <c r="K1075" s="720">
        <v>1459.59</v>
      </c>
      <c r="L1075" s="720">
        <v>355.3</v>
      </c>
      <c r="M1075" s="720">
        <v>3460.86</v>
      </c>
      <c r="N1075" s="720">
        <v>178.07</v>
      </c>
    </row>
    <row r="1076" spans="1:14" ht="15">
      <c r="A1076" s="705"/>
      <c r="B1076" s="705"/>
      <c r="C1076" s="719">
        <v>41537</v>
      </c>
      <c r="D1076" s="717">
        <v>11319</v>
      </c>
      <c r="E1076" s="720">
        <v>10525.47</v>
      </c>
      <c r="F1076" s="720">
        <v>17924.41</v>
      </c>
      <c r="G1076" s="720">
        <v>15062.26</v>
      </c>
      <c r="H1076" s="720">
        <v>10957.48</v>
      </c>
      <c r="I1076" s="720">
        <v>8935.19</v>
      </c>
      <c r="J1076" s="736">
        <v>113.62</v>
      </c>
      <c r="K1076" s="720">
        <v>1459.59</v>
      </c>
      <c r="L1076" s="720">
        <v>355.3</v>
      </c>
      <c r="M1076" s="720">
        <v>3460.86</v>
      </c>
      <c r="N1076" s="720">
        <v>178.07</v>
      </c>
    </row>
    <row r="1077" spans="1:14" ht="15">
      <c r="A1077" s="705"/>
      <c r="B1077" s="705"/>
      <c r="C1077" s="719">
        <v>41538</v>
      </c>
      <c r="D1077" s="717">
        <v>11319</v>
      </c>
      <c r="E1077" s="720">
        <v>10525.47</v>
      </c>
      <c r="F1077" s="720">
        <v>17924.41</v>
      </c>
      <c r="G1077" s="720">
        <v>15062.26</v>
      </c>
      <c r="H1077" s="720">
        <v>10957.48</v>
      </c>
      <c r="I1077" s="720">
        <v>8935.19</v>
      </c>
      <c r="J1077" s="736">
        <v>113.62</v>
      </c>
      <c r="K1077" s="720">
        <v>1459.59</v>
      </c>
      <c r="L1077" s="720">
        <v>355.3</v>
      </c>
      <c r="M1077" s="720">
        <v>3460.86</v>
      </c>
      <c r="N1077" s="720">
        <v>178.07</v>
      </c>
    </row>
    <row r="1078" spans="1:14" ht="15">
      <c r="A1078" s="705"/>
      <c r="B1078" s="705"/>
      <c r="C1078" s="719">
        <v>41539</v>
      </c>
      <c r="D1078" s="717">
        <v>11319</v>
      </c>
      <c r="E1078" s="720">
        <v>10525.47</v>
      </c>
      <c r="F1078" s="720">
        <v>17924.41</v>
      </c>
      <c r="G1078" s="720">
        <v>15062.26</v>
      </c>
      <c r="H1078" s="720">
        <v>10957.48</v>
      </c>
      <c r="I1078" s="720">
        <v>8935.19</v>
      </c>
      <c r="J1078" s="736">
        <v>113.62</v>
      </c>
      <c r="K1078" s="720">
        <v>1459.59</v>
      </c>
      <c r="L1078" s="720">
        <v>355.3</v>
      </c>
      <c r="M1078" s="720">
        <v>3460.86</v>
      </c>
      <c r="N1078" s="720">
        <v>178.07</v>
      </c>
    </row>
    <row r="1079" spans="1:14" ht="15">
      <c r="A1079" s="705"/>
      <c r="B1079" s="705"/>
      <c r="C1079" s="719">
        <v>41540</v>
      </c>
      <c r="D1079" s="717">
        <v>11319</v>
      </c>
      <c r="E1079" s="720">
        <v>10525.47</v>
      </c>
      <c r="F1079" s="720">
        <v>17924.41</v>
      </c>
      <c r="G1079" s="720">
        <v>15062.26</v>
      </c>
      <c r="H1079" s="720">
        <v>10957.48</v>
      </c>
      <c r="I1079" s="720">
        <v>8935.19</v>
      </c>
      <c r="J1079" s="736">
        <v>113.62</v>
      </c>
      <c r="K1079" s="720">
        <v>1459.59</v>
      </c>
      <c r="L1079" s="720">
        <v>355.3</v>
      </c>
      <c r="M1079" s="720">
        <v>3460.86</v>
      </c>
      <c r="N1079" s="720">
        <v>178.07</v>
      </c>
    </row>
    <row r="1080" spans="1:14" ht="15">
      <c r="A1080" s="705"/>
      <c r="B1080" s="705"/>
      <c r="C1080" s="719">
        <v>41541</v>
      </c>
      <c r="D1080" s="717">
        <v>11319</v>
      </c>
      <c r="E1080" s="720">
        <v>10525.47</v>
      </c>
      <c r="F1080" s="720">
        <v>17924.41</v>
      </c>
      <c r="G1080" s="720">
        <v>15062.26</v>
      </c>
      <c r="H1080" s="720">
        <v>10957.48</v>
      </c>
      <c r="I1080" s="720">
        <v>8935.19</v>
      </c>
      <c r="J1080" s="736">
        <v>113.62</v>
      </c>
      <c r="K1080" s="720">
        <v>1459.59</v>
      </c>
      <c r="L1080" s="720">
        <v>355.3</v>
      </c>
      <c r="M1080" s="720">
        <v>3460.86</v>
      </c>
      <c r="N1080" s="720">
        <v>178.07</v>
      </c>
    </row>
    <row r="1081" spans="1:14" ht="15">
      <c r="A1081" s="705"/>
      <c r="B1081" s="705"/>
      <c r="C1081" s="719">
        <v>41542</v>
      </c>
      <c r="D1081" s="717">
        <v>11132</v>
      </c>
      <c r="E1081" s="720">
        <v>10470.540000000001</v>
      </c>
      <c r="F1081" s="720">
        <v>17807.189999999999</v>
      </c>
      <c r="G1081" s="720">
        <v>14986.34</v>
      </c>
      <c r="H1081" s="720">
        <v>10825.63</v>
      </c>
      <c r="I1081" s="720">
        <v>8884.99</v>
      </c>
      <c r="J1081" s="736">
        <v>112.35</v>
      </c>
      <c r="K1081" s="720">
        <v>1435.71</v>
      </c>
      <c r="L1081" s="720">
        <v>355.8</v>
      </c>
      <c r="M1081" s="720">
        <v>3485.63</v>
      </c>
      <c r="N1081" s="720">
        <v>177.54</v>
      </c>
    </row>
    <row r="1082" spans="1:14" ht="15">
      <c r="A1082" s="705"/>
      <c r="B1082" s="705"/>
      <c r="C1082" s="719">
        <v>41543</v>
      </c>
      <c r="D1082" s="717">
        <v>11132</v>
      </c>
      <c r="E1082" s="720">
        <v>10470.540000000001</v>
      </c>
      <c r="F1082" s="720">
        <v>17807.189999999999</v>
      </c>
      <c r="G1082" s="720">
        <v>14986.34</v>
      </c>
      <c r="H1082" s="720">
        <v>10825.63</v>
      </c>
      <c r="I1082" s="720">
        <v>8884.99</v>
      </c>
      <c r="J1082" s="736">
        <v>112.35</v>
      </c>
      <c r="K1082" s="720">
        <v>1435.71</v>
      </c>
      <c r="L1082" s="720">
        <v>355.8</v>
      </c>
      <c r="M1082" s="720">
        <v>3485.63</v>
      </c>
      <c r="N1082" s="720">
        <v>177.54</v>
      </c>
    </row>
    <row r="1083" spans="1:14" ht="15">
      <c r="A1083" s="705"/>
      <c r="B1083" s="705"/>
      <c r="C1083" s="719">
        <v>41544</v>
      </c>
      <c r="D1083" s="717">
        <v>11132</v>
      </c>
      <c r="E1083" s="720">
        <v>10470.540000000001</v>
      </c>
      <c r="F1083" s="720">
        <v>17807.189999999999</v>
      </c>
      <c r="G1083" s="720">
        <v>14986.34</v>
      </c>
      <c r="H1083" s="720">
        <v>10825.63</v>
      </c>
      <c r="I1083" s="720">
        <v>8884.99</v>
      </c>
      <c r="J1083" s="736">
        <v>112.35</v>
      </c>
      <c r="K1083" s="720">
        <v>1435.71</v>
      </c>
      <c r="L1083" s="720">
        <v>355.8</v>
      </c>
      <c r="M1083" s="720">
        <v>3485.63</v>
      </c>
      <c r="N1083" s="720">
        <v>177.54</v>
      </c>
    </row>
    <row r="1084" spans="1:14" ht="15">
      <c r="A1084" s="705"/>
      <c r="B1084" s="705"/>
      <c r="C1084" s="719">
        <v>41545</v>
      </c>
      <c r="D1084" s="717">
        <v>11132</v>
      </c>
      <c r="E1084" s="720">
        <v>10470.540000000001</v>
      </c>
      <c r="F1084" s="720">
        <v>17807.189999999999</v>
      </c>
      <c r="G1084" s="720">
        <v>14986.34</v>
      </c>
      <c r="H1084" s="720">
        <v>10825.63</v>
      </c>
      <c r="I1084" s="720">
        <v>8884.99</v>
      </c>
      <c r="J1084" s="736">
        <v>112.35</v>
      </c>
      <c r="K1084" s="720">
        <v>1435.71</v>
      </c>
      <c r="L1084" s="720">
        <v>355.8</v>
      </c>
      <c r="M1084" s="720">
        <v>3485.63</v>
      </c>
      <c r="N1084" s="720">
        <v>177.54</v>
      </c>
    </row>
    <row r="1085" spans="1:14" ht="15">
      <c r="A1085" s="705"/>
      <c r="B1085" s="705"/>
      <c r="C1085" s="719">
        <v>41546</v>
      </c>
      <c r="D1085" s="717">
        <v>11132</v>
      </c>
      <c r="E1085" s="720">
        <v>10470.540000000001</v>
      </c>
      <c r="F1085" s="720">
        <v>17807.189999999999</v>
      </c>
      <c r="G1085" s="720">
        <v>14986.34</v>
      </c>
      <c r="H1085" s="720">
        <v>10825.63</v>
      </c>
      <c r="I1085" s="720">
        <v>8884.99</v>
      </c>
      <c r="J1085" s="736">
        <v>112.35</v>
      </c>
      <c r="K1085" s="720">
        <v>1435.71</v>
      </c>
      <c r="L1085" s="720">
        <v>355.8</v>
      </c>
      <c r="M1085" s="720">
        <v>3485.63</v>
      </c>
      <c r="N1085" s="720">
        <v>177.54</v>
      </c>
    </row>
    <row r="1086" spans="1:14" ht="15">
      <c r="A1086" s="705"/>
      <c r="B1086" s="705"/>
      <c r="C1086" s="719">
        <v>41547</v>
      </c>
      <c r="D1086" s="717">
        <v>11132</v>
      </c>
      <c r="E1086" s="720">
        <v>10470.540000000001</v>
      </c>
      <c r="F1086" s="720">
        <v>17807.189999999999</v>
      </c>
      <c r="G1086" s="720">
        <v>14986.34</v>
      </c>
      <c r="H1086" s="720">
        <v>10825.63</v>
      </c>
      <c r="I1086" s="720">
        <v>8884.99</v>
      </c>
      <c r="J1086" s="736">
        <v>112.35</v>
      </c>
      <c r="K1086" s="720">
        <v>1435.71</v>
      </c>
      <c r="L1086" s="720">
        <v>355.8</v>
      </c>
      <c r="M1086" s="720">
        <v>3485.63</v>
      </c>
      <c r="N1086" s="720">
        <v>177.54</v>
      </c>
    </row>
    <row r="1087" spans="1:14" ht="15">
      <c r="A1087" s="705"/>
      <c r="B1087" s="705"/>
      <c r="C1087" s="719">
        <v>41548</v>
      </c>
      <c r="D1087" s="717">
        <v>11132</v>
      </c>
      <c r="E1087" s="720">
        <v>10470.540000000001</v>
      </c>
      <c r="F1087" s="720">
        <v>17807.189999999999</v>
      </c>
      <c r="G1087" s="720">
        <v>14986.34</v>
      </c>
      <c r="H1087" s="720">
        <v>10825.63</v>
      </c>
      <c r="I1087" s="720">
        <v>8884.99</v>
      </c>
      <c r="J1087" s="736">
        <v>112.35</v>
      </c>
      <c r="K1087" s="720">
        <v>1435.71</v>
      </c>
      <c r="L1087" s="720">
        <v>355.8</v>
      </c>
      <c r="M1087" s="720">
        <v>3485.63</v>
      </c>
      <c r="N1087" s="720">
        <v>177.54</v>
      </c>
    </row>
    <row r="1088" spans="1:14" ht="15">
      <c r="A1088" s="705"/>
      <c r="B1088" s="705"/>
      <c r="C1088" s="719">
        <v>41549</v>
      </c>
      <c r="D1088" s="717">
        <v>11378</v>
      </c>
      <c r="E1088" s="720">
        <v>10635.63</v>
      </c>
      <c r="F1088" s="720">
        <v>18295.68</v>
      </c>
      <c r="G1088" s="720">
        <v>15362.18</v>
      </c>
      <c r="H1088" s="720">
        <v>11038.75</v>
      </c>
      <c r="I1088" s="720">
        <v>9064.6299999999992</v>
      </c>
      <c r="J1088" s="726">
        <v>115.47</v>
      </c>
      <c r="K1088" s="720">
        <v>1467.26</v>
      </c>
      <c r="L1088" s="720">
        <v>363.61</v>
      </c>
      <c r="M1088" s="720">
        <v>3525.56</v>
      </c>
      <c r="N1088" s="720">
        <v>182.19</v>
      </c>
    </row>
    <row r="1089" spans="1:14" ht="15">
      <c r="A1089" s="705"/>
      <c r="B1089" s="705"/>
      <c r="C1089" s="719">
        <v>41550</v>
      </c>
      <c r="D1089" s="717">
        <v>11378</v>
      </c>
      <c r="E1089" s="720">
        <v>10635.63</v>
      </c>
      <c r="F1089" s="720">
        <v>18295.68</v>
      </c>
      <c r="G1089" s="720">
        <v>15362.18</v>
      </c>
      <c r="H1089" s="720">
        <v>11038.75</v>
      </c>
      <c r="I1089" s="720">
        <v>9064.6299999999992</v>
      </c>
      <c r="J1089" s="726">
        <v>115.47</v>
      </c>
      <c r="K1089" s="720">
        <v>1467.26</v>
      </c>
      <c r="L1089" s="720">
        <v>363.61</v>
      </c>
      <c r="M1089" s="720">
        <v>3525.56</v>
      </c>
      <c r="N1089" s="720">
        <v>182.19</v>
      </c>
    </row>
    <row r="1090" spans="1:14" ht="15">
      <c r="A1090" s="705"/>
      <c r="B1090" s="705"/>
      <c r="C1090" s="719">
        <v>41551</v>
      </c>
      <c r="D1090" s="717">
        <v>11378</v>
      </c>
      <c r="E1090" s="720">
        <v>10635.63</v>
      </c>
      <c r="F1090" s="720">
        <v>18295.68</v>
      </c>
      <c r="G1090" s="720">
        <v>15362.18</v>
      </c>
      <c r="H1090" s="720">
        <v>11038.75</v>
      </c>
      <c r="I1090" s="720">
        <v>9064.6299999999992</v>
      </c>
      <c r="J1090" s="726">
        <v>115.47</v>
      </c>
      <c r="K1090" s="720">
        <v>1467.26</v>
      </c>
      <c r="L1090" s="720">
        <v>363.61</v>
      </c>
      <c r="M1090" s="720">
        <v>3525.56</v>
      </c>
      <c r="N1090" s="720">
        <v>182.19</v>
      </c>
    </row>
    <row r="1091" spans="1:14" ht="15">
      <c r="A1091" s="705"/>
      <c r="B1091" s="705"/>
      <c r="C1091" s="719">
        <v>41552</v>
      </c>
      <c r="D1091" s="717">
        <v>11378</v>
      </c>
      <c r="E1091" s="720">
        <v>10635.63</v>
      </c>
      <c r="F1091" s="720">
        <v>18295.68</v>
      </c>
      <c r="G1091" s="720">
        <v>15362.18</v>
      </c>
      <c r="H1091" s="720">
        <v>11038.75</v>
      </c>
      <c r="I1091" s="720">
        <v>9064.6299999999992</v>
      </c>
      <c r="J1091" s="726">
        <v>115.47</v>
      </c>
      <c r="K1091" s="720">
        <v>1467.26</v>
      </c>
      <c r="L1091" s="720">
        <v>363.61</v>
      </c>
      <c r="M1091" s="720">
        <v>3525.56</v>
      </c>
      <c r="N1091" s="720">
        <v>182.19</v>
      </c>
    </row>
    <row r="1092" spans="1:14" ht="15">
      <c r="A1092" s="705"/>
      <c r="B1092" s="705"/>
      <c r="C1092" s="719">
        <v>41553</v>
      </c>
      <c r="D1092" s="717">
        <v>11378</v>
      </c>
      <c r="E1092" s="720">
        <v>10635.63</v>
      </c>
      <c r="F1092" s="720">
        <v>18295.68</v>
      </c>
      <c r="G1092" s="720">
        <v>15362.18</v>
      </c>
      <c r="H1092" s="720">
        <v>11038.75</v>
      </c>
      <c r="I1092" s="720">
        <v>9064.6299999999992</v>
      </c>
      <c r="J1092" s="726">
        <v>115.47</v>
      </c>
      <c r="K1092" s="720">
        <v>1467.26</v>
      </c>
      <c r="L1092" s="720">
        <v>363.61</v>
      </c>
      <c r="M1092" s="720">
        <v>3525.56</v>
      </c>
      <c r="N1092" s="720">
        <v>182.19</v>
      </c>
    </row>
    <row r="1093" spans="1:14" ht="15">
      <c r="A1093" s="705"/>
      <c r="B1093" s="705"/>
      <c r="C1093" s="719">
        <v>41554</v>
      </c>
      <c r="D1093" s="717">
        <v>11378</v>
      </c>
      <c r="E1093" s="720">
        <v>10635.63</v>
      </c>
      <c r="F1093" s="720">
        <v>18295.68</v>
      </c>
      <c r="G1093" s="720">
        <v>15362.18</v>
      </c>
      <c r="H1093" s="720">
        <v>11038.75</v>
      </c>
      <c r="I1093" s="720">
        <v>9064.6299999999992</v>
      </c>
      <c r="J1093" s="726">
        <v>115.47</v>
      </c>
      <c r="K1093" s="720">
        <v>1467.26</v>
      </c>
      <c r="L1093" s="720">
        <v>363.61</v>
      </c>
      <c r="M1093" s="720">
        <v>3525.56</v>
      </c>
      <c r="N1093" s="720">
        <v>182.19</v>
      </c>
    </row>
    <row r="1094" spans="1:14" ht="15">
      <c r="A1094" s="705"/>
      <c r="B1094" s="705"/>
      <c r="C1094" s="719">
        <v>41555</v>
      </c>
      <c r="D1094" s="717">
        <v>11378</v>
      </c>
      <c r="E1094" s="720">
        <v>10635.63</v>
      </c>
      <c r="F1094" s="720">
        <v>18295.68</v>
      </c>
      <c r="G1094" s="720">
        <v>15362.18</v>
      </c>
      <c r="H1094" s="720">
        <v>11038.75</v>
      </c>
      <c r="I1094" s="720">
        <v>9064.6299999999992</v>
      </c>
      <c r="J1094" s="726">
        <v>115.47</v>
      </c>
      <c r="K1094" s="720">
        <v>1467.26</v>
      </c>
      <c r="L1094" s="720">
        <v>363.61</v>
      </c>
      <c r="M1094" s="720">
        <v>3525.56</v>
      </c>
      <c r="N1094" s="720">
        <v>182.19</v>
      </c>
    </row>
    <row r="1095" spans="1:14" ht="15">
      <c r="A1095" s="705"/>
      <c r="B1095" s="705"/>
      <c r="C1095" s="719">
        <v>41556</v>
      </c>
      <c r="D1095" s="717">
        <v>11366</v>
      </c>
      <c r="E1095" s="720">
        <v>10688.29</v>
      </c>
      <c r="F1095" s="720">
        <v>18329.34</v>
      </c>
      <c r="G1095" s="720">
        <v>15424.85</v>
      </c>
      <c r="H1095" s="720">
        <v>11016.42</v>
      </c>
      <c r="I1095" s="720">
        <v>9101.0400000000009</v>
      </c>
      <c r="J1095" s="726">
        <v>116.61</v>
      </c>
      <c r="K1095" s="720">
        <v>1465.65</v>
      </c>
      <c r="L1095" s="720">
        <v>363.42</v>
      </c>
      <c r="M1095" s="720">
        <v>3545.62</v>
      </c>
      <c r="N1095" s="720">
        <v>183.66</v>
      </c>
    </row>
    <row r="1096" spans="1:14" ht="15">
      <c r="A1096" s="705"/>
      <c r="B1096" s="705"/>
      <c r="C1096" s="719">
        <v>41557</v>
      </c>
      <c r="D1096" s="717">
        <v>11366</v>
      </c>
      <c r="E1096" s="720">
        <v>10688.29</v>
      </c>
      <c r="F1096" s="720">
        <v>18329.34</v>
      </c>
      <c r="G1096" s="720">
        <v>15424.85</v>
      </c>
      <c r="H1096" s="720">
        <v>11016.42</v>
      </c>
      <c r="I1096" s="720">
        <v>9101.0400000000009</v>
      </c>
      <c r="J1096" s="726">
        <v>116.61</v>
      </c>
      <c r="K1096" s="720">
        <v>1465.65</v>
      </c>
      <c r="L1096" s="720">
        <v>363.42</v>
      </c>
      <c r="M1096" s="720">
        <v>3545.62</v>
      </c>
      <c r="N1096" s="720">
        <v>183.66</v>
      </c>
    </row>
    <row r="1097" spans="1:14" ht="15">
      <c r="A1097" s="705"/>
      <c r="B1097" s="705"/>
      <c r="C1097" s="719">
        <v>41558</v>
      </c>
      <c r="D1097" s="717">
        <v>11366</v>
      </c>
      <c r="E1097" s="720">
        <v>10688.29</v>
      </c>
      <c r="F1097" s="720">
        <v>18329.34</v>
      </c>
      <c r="G1097" s="720">
        <v>15424.85</v>
      </c>
      <c r="H1097" s="720">
        <v>11016.42</v>
      </c>
      <c r="I1097" s="720">
        <v>9101.0400000000009</v>
      </c>
      <c r="J1097" s="726">
        <v>116.61</v>
      </c>
      <c r="K1097" s="720">
        <v>1465.65</v>
      </c>
      <c r="L1097" s="720">
        <v>363.42</v>
      </c>
      <c r="M1097" s="720">
        <v>3545.62</v>
      </c>
      <c r="N1097" s="720">
        <v>183.66</v>
      </c>
    </row>
    <row r="1098" spans="1:14" ht="15">
      <c r="A1098" s="705"/>
      <c r="B1098" s="705"/>
      <c r="C1098" s="719">
        <v>41559</v>
      </c>
      <c r="D1098" s="717">
        <v>11366</v>
      </c>
      <c r="E1098" s="720">
        <v>10688.29</v>
      </c>
      <c r="F1098" s="720">
        <v>18329.34</v>
      </c>
      <c r="G1098" s="720">
        <v>15424.85</v>
      </c>
      <c r="H1098" s="720">
        <v>11016.42</v>
      </c>
      <c r="I1098" s="720">
        <v>9101.0400000000009</v>
      </c>
      <c r="J1098" s="726">
        <v>116.61</v>
      </c>
      <c r="K1098" s="720">
        <v>1465.65</v>
      </c>
      <c r="L1098" s="720">
        <v>363.42</v>
      </c>
      <c r="M1098" s="720">
        <v>3545.62</v>
      </c>
      <c r="N1098" s="720">
        <v>183.66</v>
      </c>
    </row>
    <row r="1099" spans="1:14" ht="15">
      <c r="A1099" s="705"/>
      <c r="B1099" s="705"/>
      <c r="C1099" s="719">
        <v>41560</v>
      </c>
      <c r="D1099" s="717">
        <v>11366</v>
      </c>
      <c r="E1099" s="720">
        <v>10688.29</v>
      </c>
      <c r="F1099" s="720">
        <v>18329.34</v>
      </c>
      <c r="G1099" s="720">
        <v>15424.85</v>
      </c>
      <c r="H1099" s="720">
        <v>11016.42</v>
      </c>
      <c r="I1099" s="720">
        <v>9101.0400000000009</v>
      </c>
      <c r="J1099" s="726">
        <v>116.61</v>
      </c>
      <c r="K1099" s="720">
        <v>1465.65</v>
      </c>
      <c r="L1099" s="720">
        <v>363.42</v>
      </c>
      <c r="M1099" s="720">
        <v>3545.62</v>
      </c>
      <c r="N1099" s="720">
        <v>183.66</v>
      </c>
    </row>
    <row r="1100" spans="1:14" ht="15">
      <c r="A1100" s="705"/>
      <c r="B1100" s="705"/>
      <c r="C1100" s="719">
        <v>41561</v>
      </c>
      <c r="D1100" s="717">
        <v>11366</v>
      </c>
      <c r="E1100" s="720">
        <v>10688.29</v>
      </c>
      <c r="F1100" s="720">
        <v>18329.34</v>
      </c>
      <c r="G1100" s="720">
        <v>15424.85</v>
      </c>
      <c r="H1100" s="720">
        <v>11016.42</v>
      </c>
      <c r="I1100" s="720">
        <v>9101.0400000000009</v>
      </c>
      <c r="J1100" s="726">
        <v>116.61</v>
      </c>
      <c r="K1100" s="720">
        <v>1465.65</v>
      </c>
      <c r="L1100" s="720">
        <v>363.42</v>
      </c>
      <c r="M1100" s="720">
        <v>3545.62</v>
      </c>
      <c r="N1100" s="720">
        <v>183.66</v>
      </c>
    </row>
    <row r="1101" spans="1:14" ht="15">
      <c r="A1101" s="705"/>
      <c r="B1101" s="705"/>
      <c r="C1101" s="719">
        <v>41562</v>
      </c>
      <c r="D1101" s="717">
        <v>11366</v>
      </c>
      <c r="E1101" s="720">
        <v>10688.29</v>
      </c>
      <c r="F1101" s="720">
        <v>18329.34</v>
      </c>
      <c r="G1101" s="720">
        <v>15424.85</v>
      </c>
      <c r="H1101" s="720">
        <v>11016.42</v>
      </c>
      <c r="I1101" s="720">
        <v>9101.0400000000009</v>
      </c>
      <c r="J1101" s="726">
        <v>116.61</v>
      </c>
      <c r="K1101" s="720">
        <v>1465.65</v>
      </c>
      <c r="L1101" s="720">
        <v>363.42</v>
      </c>
      <c r="M1101" s="720">
        <v>3545.62</v>
      </c>
      <c r="N1101" s="720">
        <v>183.66</v>
      </c>
    </row>
    <row r="1102" spans="1:14" ht="15">
      <c r="A1102" s="705"/>
      <c r="B1102" s="705"/>
      <c r="C1102" s="719">
        <v>41563</v>
      </c>
      <c r="D1102" s="717">
        <v>11366</v>
      </c>
      <c r="E1102" s="720">
        <v>10688.29</v>
      </c>
      <c r="F1102" s="720">
        <v>18329.34</v>
      </c>
      <c r="G1102" s="720">
        <v>15424.85</v>
      </c>
      <c r="H1102" s="720">
        <v>11016.42</v>
      </c>
      <c r="I1102" s="720">
        <v>9101.0400000000009</v>
      </c>
      <c r="J1102" s="726">
        <v>116.61</v>
      </c>
      <c r="K1102" s="720">
        <v>1465.65</v>
      </c>
      <c r="L1102" s="720">
        <v>363.42</v>
      </c>
      <c r="M1102" s="720">
        <v>3545.62</v>
      </c>
      <c r="N1102" s="720">
        <v>183.66</v>
      </c>
    </row>
    <row r="1103" spans="1:14" ht="15">
      <c r="A1103" s="705"/>
      <c r="B1103" s="705"/>
      <c r="C1103" s="719">
        <v>41564</v>
      </c>
      <c r="D1103" s="717">
        <v>11366</v>
      </c>
      <c r="E1103" s="720">
        <v>10688.29</v>
      </c>
      <c r="F1103" s="720">
        <v>18329.34</v>
      </c>
      <c r="G1103" s="720">
        <v>15424.85</v>
      </c>
      <c r="H1103" s="720">
        <v>11016.42</v>
      </c>
      <c r="I1103" s="720">
        <v>9101.0400000000009</v>
      </c>
      <c r="J1103" s="726">
        <v>116.61</v>
      </c>
      <c r="K1103" s="720">
        <v>1465.65</v>
      </c>
      <c r="L1103" s="720">
        <v>363.42</v>
      </c>
      <c r="M1103" s="720">
        <v>3545.62</v>
      </c>
      <c r="N1103" s="720">
        <v>183.66</v>
      </c>
    </row>
    <row r="1104" spans="1:14" ht="15">
      <c r="A1104" s="705"/>
      <c r="B1104" s="705"/>
      <c r="C1104" s="719">
        <v>41565</v>
      </c>
      <c r="D1104" s="717">
        <v>11366</v>
      </c>
      <c r="E1104" s="720">
        <v>10688.29</v>
      </c>
      <c r="F1104" s="720">
        <v>18329.34</v>
      </c>
      <c r="G1104" s="720">
        <v>15424.85</v>
      </c>
      <c r="H1104" s="720">
        <v>11016.42</v>
      </c>
      <c r="I1104" s="720">
        <v>9101.0400000000009</v>
      </c>
      <c r="J1104" s="726">
        <v>116.61</v>
      </c>
      <c r="K1104" s="720">
        <v>1465.65</v>
      </c>
      <c r="L1104" s="720">
        <v>363.42</v>
      </c>
      <c r="M1104" s="720">
        <v>3545.62</v>
      </c>
      <c r="N1104" s="720">
        <v>183.66</v>
      </c>
    </row>
    <row r="1105" spans="1:14" ht="15">
      <c r="A1105" s="705"/>
      <c r="B1105" s="705"/>
      <c r="C1105" s="719">
        <v>41566</v>
      </c>
      <c r="D1105" s="717">
        <v>11366</v>
      </c>
      <c r="E1105" s="720">
        <v>10688.29</v>
      </c>
      <c r="F1105" s="720">
        <v>18329.34</v>
      </c>
      <c r="G1105" s="720">
        <v>15424.85</v>
      </c>
      <c r="H1105" s="720">
        <v>11016.42</v>
      </c>
      <c r="I1105" s="720">
        <v>9101.0400000000009</v>
      </c>
      <c r="J1105" s="726">
        <v>116.61</v>
      </c>
      <c r="K1105" s="720">
        <v>1465.65</v>
      </c>
      <c r="L1105" s="720">
        <v>363.42</v>
      </c>
      <c r="M1105" s="720">
        <v>3545.62</v>
      </c>
      <c r="N1105" s="720">
        <v>183.66</v>
      </c>
    </row>
    <row r="1106" spans="1:14" ht="15">
      <c r="A1106" s="705"/>
      <c r="B1106" s="705"/>
      <c r="C1106" s="719">
        <v>41567</v>
      </c>
      <c r="D1106" s="717">
        <v>11366</v>
      </c>
      <c r="E1106" s="720">
        <v>10688.29</v>
      </c>
      <c r="F1106" s="720">
        <v>18329.34</v>
      </c>
      <c r="G1106" s="720">
        <v>15424.85</v>
      </c>
      <c r="H1106" s="720">
        <v>11016.42</v>
      </c>
      <c r="I1106" s="720">
        <v>9101.0400000000009</v>
      </c>
      <c r="J1106" s="726">
        <v>116.61</v>
      </c>
      <c r="K1106" s="720">
        <v>1465.65</v>
      </c>
      <c r="L1106" s="720">
        <v>363.42</v>
      </c>
      <c r="M1106" s="720">
        <v>3545.62</v>
      </c>
      <c r="N1106" s="720">
        <v>183.66</v>
      </c>
    </row>
    <row r="1107" spans="1:14" ht="15">
      <c r="A1107" s="705"/>
      <c r="B1107" s="705"/>
      <c r="C1107" s="719">
        <v>41568</v>
      </c>
      <c r="D1107" s="717">
        <v>11366</v>
      </c>
      <c r="E1107" s="720">
        <v>10688.29</v>
      </c>
      <c r="F1107" s="720">
        <v>18329.34</v>
      </c>
      <c r="G1107" s="720">
        <v>15424.85</v>
      </c>
      <c r="H1107" s="720">
        <v>11016.42</v>
      </c>
      <c r="I1107" s="720">
        <v>9101.0400000000009</v>
      </c>
      <c r="J1107" s="726">
        <v>116.61</v>
      </c>
      <c r="K1107" s="720">
        <v>1465.65</v>
      </c>
      <c r="L1107" s="720">
        <v>363.42</v>
      </c>
      <c r="M1107" s="720">
        <v>3545.62</v>
      </c>
      <c r="N1107" s="720">
        <v>183.66</v>
      </c>
    </row>
    <row r="1108" spans="1:14" ht="15">
      <c r="A1108" s="705"/>
      <c r="B1108" s="705"/>
      <c r="C1108" s="719">
        <v>41569</v>
      </c>
      <c r="D1108" s="717">
        <v>11366</v>
      </c>
      <c r="E1108" s="720">
        <v>10688.29</v>
      </c>
      <c r="F1108" s="720">
        <v>18329.34</v>
      </c>
      <c r="G1108" s="720">
        <v>15424.85</v>
      </c>
      <c r="H1108" s="720">
        <v>11016.42</v>
      </c>
      <c r="I1108" s="720">
        <v>9101.0400000000009</v>
      </c>
      <c r="J1108" s="726">
        <v>116.61</v>
      </c>
      <c r="K1108" s="720">
        <v>1465.65</v>
      </c>
      <c r="L1108" s="720">
        <v>363.42</v>
      </c>
      <c r="M1108" s="720">
        <v>3545.62</v>
      </c>
      <c r="N1108" s="720">
        <v>183.66</v>
      </c>
    </row>
    <row r="1109" spans="1:14" ht="15">
      <c r="A1109" s="705"/>
      <c r="B1109" s="705"/>
      <c r="C1109" s="719">
        <v>41570</v>
      </c>
      <c r="D1109" s="717">
        <v>11099</v>
      </c>
      <c r="E1109" s="720">
        <v>10665.81</v>
      </c>
      <c r="F1109" s="720">
        <v>17855.45</v>
      </c>
      <c r="G1109" s="720">
        <v>15114.86</v>
      </c>
      <c r="H1109" s="720">
        <v>10758.66</v>
      </c>
      <c r="I1109" s="720">
        <v>8940.07</v>
      </c>
      <c r="J1109" s="726">
        <v>113.12</v>
      </c>
      <c r="K1109" s="720">
        <v>1431.29</v>
      </c>
      <c r="L1109" s="720">
        <v>356.4</v>
      </c>
      <c r="M1109" s="720">
        <v>3511.22</v>
      </c>
      <c r="N1109" s="720">
        <v>180.62</v>
      </c>
    </row>
    <row r="1110" spans="1:14" ht="15">
      <c r="A1110" s="705"/>
      <c r="B1110" s="705"/>
      <c r="C1110" s="719">
        <v>41571</v>
      </c>
      <c r="D1110" s="717">
        <v>11099</v>
      </c>
      <c r="E1110" s="720">
        <v>10665.81</v>
      </c>
      <c r="F1110" s="720">
        <v>17855.45</v>
      </c>
      <c r="G1110" s="720">
        <v>15114.86</v>
      </c>
      <c r="H1110" s="720">
        <v>10758.66</v>
      </c>
      <c r="I1110" s="720">
        <v>8940.07</v>
      </c>
      <c r="J1110" s="726">
        <v>113.12</v>
      </c>
      <c r="K1110" s="720">
        <v>1431.29</v>
      </c>
      <c r="L1110" s="720">
        <v>356.4</v>
      </c>
      <c r="M1110" s="720">
        <v>3511.22</v>
      </c>
      <c r="N1110" s="720">
        <v>180.62</v>
      </c>
    </row>
    <row r="1111" spans="1:14" ht="15">
      <c r="A1111" s="705"/>
      <c r="B1111" s="705"/>
      <c r="C1111" s="719">
        <v>41572</v>
      </c>
      <c r="D1111" s="717">
        <v>11099</v>
      </c>
      <c r="E1111" s="720">
        <v>10665.81</v>
      </c>
      <c r="F1111" s="720">
        <v>17855.45</v>
      </c>
      <c r="G1111" s="720">
        <v>15114.86</v>
      </c>
      <c r="H1111" s="720">
        <v>10758.66</v>
      </c>
      <c r="I1111" s="720">
        <v>8940.07</v>
      </c>
      <c r="J1111" s="726">
        <v>113.12</v>
      </c>
      <c r="K1111" s="720">
        <v>1431.29</v>
      </c>
      <c r="L1111" s="720">
        <v>356.4</v>
      </c>
      <c r="M1111" s="720">
        <v>3511.22</v>
      </c>
      <c r="N1111" s="720">
        <v>180.62</v>
      </c>
    </row>
    <row r="1112" spans="1:14" ht="15">
      <c r="A1112" s="705"/>
      <c r="B1112" s="705"/>
      <c r="C1112" s="719">
        <v>41573</v>
      </c>
      <c r="D1112" s="717">
        <v>11099</v>
      </c>
      <c r="E1112" s="720">
        <v>10665.81</v>
      </c>
      <c r="F1112" s="720">
        <v>17855.45</v>
      </c>
      <c r="G1112" s="720">
        <v>15114.86</v>
      </c>
      <c r="H1112" s="720">
        <v>10758.66</v>
      </c>
      <c r="I1112" s="720">
        <v>8940.07</v>
      </c>
      <c r="J1112" s="726">
        <v>113.12</v>
      </c>
      <c r="K1112" s="720">
        <v>1431.29</v>
      </c>
      <c r="L1112" s="720">
        <v>356.4</v>
      </c>
      <c r="M1112" s="720">
        <v>3511.22</v>
      </c>
      <c r="N1112" s="720">
        <v>180.62</v>
      </c>
    </row>
    <row r="1113" spans="1:14" ht="15">
      <c r="A1113" s="705"/>
      <c r="B1113" s="705"/>
      <c r="C1113" s="719">
        <v>41574</v>
      </c>
      <c r="D1113" s="717">
        <v>11099</v>
      </c>
      <c r="E1113" s="720">
        <v>10665.81</v>
      </c>
      <c r="F1113" s="720">
        <v>17855.45</v>
      </c>
      <c r="G1113" s="720">
        <v>15114.86</v>
      </c>
      <c r="H1113" s="720">
        <v>10758.66</v>
      </c>
      <c r="I1113" s="720">
        <v>8940.07</v>
      </c>
      <c r="J1113" s="726">
        <v>113.12</v>
      </c>
      <c r="K1113" s="720">
        <v>1431.29</v>
      </c>
      <c r="L1113" s="720">
        <v>356.4</v>
      </c>
      <c r="M1113" s="720">
        <v>3511.22</v>
      </c>
      <c r="N1113" s="720">
        <v>180.62</v>
      </c>
    </row>
    <row r="1114" spans="1:14" ht="15">
      <c r="A1114" s="705"/>
      <c r="B1114" s="705"/>
      <c r="C1114" s="719">
        <v>41575</v>
      </c>
      <c r="D1114" s="717">
        <v>11099</v>
      </c>
      <c r="E1114" s="720">
        <v>10665.81</v>
      </c>
      <c r="F1114" s="720">
        <v>17855.45</v>
      </c>
      <c r="G1114" s="720">
        <v>15114.86</v>
      </c>
      <c r="H1114" s="720">
        <v>10758.66</v>
      </c>
      <c r="I1114" s="720">
        <v>8940.07</v>
      </c>
      <c r="J1114" s="726">
        <v>113.12</v>
      </c>
      <c r="K1114" s="720">
        <v>1431.29</v>
      </c>
      <c r="L1114" s="720">
        <v>356.4</v>
      </c>
      <c r="M1114" s="720">
        <v>3511.22</v>
      </c>
      <c r="N1114" s="720">
        <v>180.62</v>
      </c>
    </row>
    <row r="1115" spans="1:14" ht="15">
      <c r="A1115" s="705"/>
      <c r="B1115" s="705"/>
      <c r="C1115" s="719">
        <v>41576</v>
      </c>
      <c r="D1115" s="717">
        <v>11099</v>
      </c>
      <c r="E1115" s="720">
        <v>10665.81</v>
      </c>
      <c r="F1115" s="720">
        <v>17855.45</v>
      </c>
      <c r="G1115" s="720">
        <v>15114.86</v>
      </c>
      <c r="H1115" s="720">
        <v>10758.66</v>
      </c>
      <c r="I1115" s="720">
        <v>8940.07</v>
      </c>
      <c r="J1115" s="726">
        <v>113.12</v>
      </c>
      <c r="K1115" s="720">
        <v>1431.29</v>
      </c>
      <c r="L1115" s="720">
        <v>356.4</v>
      </c>
      <c r="M1115" s="720">
        <v>3511.22</v>
      </c>
      <c r="N1115" s="720">
        <v>180.62</v>
      </c>
    </row>
    <row r="1116" spans="1:14" ht="15">
      <c r="A1116" s="705"/>
      <c r="B1116" s="705"/>
      <c r="C1116" s="719">
        <v>41577</v>
      </c>
      <c r="D1116" s="717">
        <v>11078</v>
      </c>
      <c r="E1116" s="720">
        <v>10667.29</v>
      </c>
      <c r="F1116" s="720">
        <v>17935.3</v>
      </c>
      <c r="G1116" s="720">
        <v>15281.11</v>
      </c>
      <c r="H1116" s="720">
        <v>10656.25</v>
      </c>
      <c r="I1116" s="720">
        <v>8956.3700000000008</v>
      </c>
      <c r="J1116" s="726">
        <v>113.56</v>
      </c>
      <c r="K1116" s="720">
        <v>1428.73</v>
      </c>
      <c r="L1116" s="720">
        <v>356.28</v>
      </c>
      <c r="M1116" s="720">
        <v>3507.48</v>
      </c>
      <c r="N1116" s="720">
        <v>180</v>
      </c>
    </row>
    <row r="1117" spans="1:14" ht="15">
      <c r="A1117" s="705"/>
      <c r="B1117" s="705"/>
      <c r="C1117" s="719">
        <v>41578</v>
      </c>
      <c r="D1117" s="717">
        <v>11078</v>
      </c>
      <c r="E1117" s="720">
        <v>10667.29</v>
      </c>
      <c r="F1117" s="720">
        <v>17935.3</v>
      </c>
      <c r="G1117" s="720">
        <v>15281.11</v>
      </c>
      <c r="H1117" s="720">
        <v>10656.25</v>
      </c>
      <c r="I1117" s="720">
        <v>8956.3700000000008</v>
      </c>
      <c r="J1117" s="726">
        <v>113.56</v>
      </c>
      <c r="K1117" s="720">
        <v>1428.73</v>
      </c>
      <c r="L1117" s="720">
        <v>356.28</v>
      </c>
      <c r="M1117" s="720">
        <v>3507.48</v>
      </c>
      <c r="N1117" s="720">
        <v>180</v>
      </c>
    </row>
    <row r="1118" spans="1:14" ht="15">
      <c r="A1118" s="705"/>
      <c r="B1118" s="705"/>
      <c r="C1118" s="719">
        <v>41579</v>
      </c>
      <c r="D1118" s="717">
        <v>11078</v>
      </c>
      <c r="E1118" s="720">
        <v>10667.29</v>
      </c>
      <c r="F1118" s="720">
        <v>17935.3</v>
      </c>
      <c r="G1118" s="720">
        <v>15281.11</v>
      </c>
      <c r="H1118" s="720">
        <v>10656.25</v>
      </c>
      <c r="I1118" s="720">
        <v>8956.3700000000008</v>
      </c>
      <c r="J1118" s="726">
        <v>113.56</v>
      </c>
      <c r="K1118" s="720">
        <v>1428.73</v>
      </c>
      <c r="L1118" s="720">
        <v>356.28</v>
      </c>
      <c r="M1118" s="720">
        <v>3507.48</v>
      </c>
      <c r="N1118" s="720">
        <v>180</v>
      </c>
    </row>
    <row r="1119" spans="1:14" ht="15">
      <c r="A1119" s="705"/>
      <c r="B1119" s="705"/>
      <c r="C1119" s="719">
        <v>41580</v>
      </c>
      <c r="D1119" s="717">
        <v>11078</v>
      </c>
      <c r="E1119" s="720">
        <v>10667.29</v>
      </c>
      <c r="F1119" s="720">
        <v>17935.3</v>
      </c>
      <c r="G1119" s="720">
        <v>15281.11</v>
      </c>
      <c r="H1119" s="720">
        <v>10656.25</v>
      </c>
      <c r="I1119" s="720">
        <v>8956.3700000000008</v>
      </c>
      <c r="J1119" s="726">
        <v>113.56</v>
      </c>
      <c r="K1119" s="720">
        <v>1428.73</v>
      </c>
      <c r="L1119" s="720">
        <v>356.28</v>
      </c>
      <c r="M1119" s="720">
        <v>3507.48</v>
      </c>
      <c r="N1119" s="720">
        <v>180</v>
      </c>
    </row>
    <row r="1120" spans="1:14" ht="15">
      <c r="A1120" s="705"/>
      <c r="B1120" s="705"/>
      <c r="C1120" s="719">
        <v>41581</v>
      </c>
      <c r="D1120" s="717">
        <v>11078</v>
      </c>
      <c r="E1120" s="720">
        <v>10667.29</v>
      </c>
      <c r="F1120" s="720">
        <v>17935.3</v>
      </c>
      <c r="G1120" s="720">
        <v>15281.11</v>
      </c>
      <c r="H1120" s="720">
        <v>10656.25</v>
      </c>
      <c r="I1120" s="720">
        <v>8956.3700000000008</v>
      </c>
      <c r="J1120" s="726">
        <v>113.56</v>
      </c>
      <c r="K1120" s="720">
        <v>1428.73</v>
      </c>
      <c r="L1120" s="720">
        <v>356.28</v>
      </c>
      <c r="M1120" s="720">
        <v>3507.48</v>
      </c>
      <c r="N1120" s="720">
        <v>180</v>
      </c>
    </row>
    <row r="1121" spans="1:14" ht="15">
      <c r="A1121" s="705"/>
      <c r="B1121" s="705"/>
      <c r="C1121" s="719">
        <v>41582</v>
      </c>
      <c r="D1121" s="717">
        <v>11078</v>
      </c>
      <c r="E1121" s="720">
        <v>10667.29</v>
      </c>
      <c r="F1121" s="720">
        <v>17935.3</v>
      </c>
      <c r="G1121" s="720">
        <v>15281.11</v>
      </c>
      <c r="H1121" s="720">
        <v>10656.25</v>
      </c>
      <c r="I1121" s="720">
        <v>8956.3700000000008</v>
      </c>
      <c r="J1121" s="726">
        <v>113.56</v>
      </c>
      <c r="K1121" s="720">
        <v>1428.73</v>
      </c>
      <c r="L1121" s="720">
        <v>356.28</v>
      </c>
      <c r="M1121" s="720">
        <v>3507.48</v>
      </c>
      <c r="N1121" s="720">
        <v>180</v>
      </c>
    </row>
    <row r="1122" spans="1:14" ht="15">
      <c r="A1122" s="705"/>
      <c r="B1122" s="705"/>
      <c r="C1122" s="719">
        <v>41583</v>
      </c>
      <c r="D1122" s="717">
        <v>11078</v>
      </c>
      <c r="E1122" s="720">
        <v>10667.29</v>
      </c>
      <c r="F1122" s="720">
        <v>17935.3</v>
      </c>
      <c r="G1122" s="720">
        <v>15281.11</v>
      </c>
      <c r="H1122" s="720">
        <v>10656.25</v>
      </c>
      <c r="I1122" s="720">
        <v>8956.3700000000008</v>
      </c>
      <c r="J1122" s="726">
        <v>113.56</v>
      </c>
      <c r="K1122" s="720">
        <v>1428.73</v>
      </c>
      <c r="L1122" s="720">
        <v>356.28</v>
      </c>
      <c r="M1122" s="720">
        <v>3507.48</v>
      </c>
      <c r="N1122" s="720">
        <v>180</v>
      </c>
    </row>
    <row r="1123" spans="1:14" ht="15">
      <c r="A1123" s="705"/>
      <c r="B1123" s="705"/>
      <c r="C1123" s="719">
        <v>41584</v>
      </c>
      <c r="D1123" s="717">
        <v>11116</v>
      </c>
      <c r="E1123" s="720">
        <v>10587.64</v>
      </c>
      <c r="F1123" s="720">
        <v>17880.68</v>
      </c>
      <c r="G1123" s="720">
        <v>15295.9</v>
      </c>
      <c r="H1123" s="720">
        <v>10623.12</v>
      </c>
      <c r="I1123" s="720">
        <v>8974.89</v>
      </c>
      <c r="J1123" s="726">
        <v>113.38</v>
      </c>
      <c r="K1123" s="720">
        <v>1433.61</v>
      </c>
      <c r="L1123" s="720">
        <v>357.84</v>
      </c>
      <c r="M1123" s="720">
        <v>3531.68</v>
      </c>
      <c r="N1123" s="720">
        <v>181.07</v>
      </c>
    </row>
    <row r="1124" spans="1:14" ht="15">
      <c r="A1124" s="705"/>
      <c r="B1124" s="705"/>
      <c r="C1124" s="719">
        <v>41585</v>
      </c>
      <c r="D1124" s="717">
        <v>11116</v>
      </c>
      <c r="E1124" s="720">
        <v>10587.64</v>
      </c>
      <c r="F1124" s="720">
        <v>17880.68</v>
      </c>
      <c r="G1124" s="720">
        <v>15295.9</v>
      </c>
      <c r="H1124" s="720">
        <v>10623.12</v>
      </c>
      <c r="I1124" s="720">
        <v>8974.89</v>
      </c>
      <c r="J1124" s="726">
        <v>113.38</v>
      </c>
      <c r="K1124" s="720">
        <v>1433.61</v>
      </c>
      <c r="L1124" s="720">
        <v>357.84</v>
      </c>
      <c r="M1124" s="720">
        <v>3531.68</v>
      </c>
      <c r="N1124" s="720">
        <v>181.07</v>
      </c>
    </row>
    <row r="1125" spans="1:14" ht="15">
      <c r="A1125" s="705"/>
      <c r="B1125" s="705"/>
      <c r="C1125" s="719">
        <v>41586</v>
      </c>
      <c r="D1125" s="717">
        <v>11116</v>
      </c>
      <c r="E1125" s="720">
        <v>10587.64</v>
      </c>
      <c r="F1125" s="720">
        <v>17880.68</v>
      </c>
      <c r="G1125" s="720">
        <v>15295.9</v>
      </c>
      <c r="H1125" s="720">
        <v>10623.12</v>
      </c>
      <c r="I1125" s="720">
        <v>8974.89</v>
      </c>
      <c r="J1125" s="726">
        <v>113.38</v>
      </c>
      <c r="K1125" s="720">
        <v>1433.61</v>
      </c>
      <c r="L1125" s="720">
        <v>357.84</v>
      </c>
      <c r="M1125" s="720">
        <v>3531.68</v>
      </c>
      <c r="N1125" s="720">
        <v>181.07</v>
      </c>
    </row>
    <row r="1126" spans="1:14" ht="15">
      <c r="A1126" s="705"/>
      <c r="B1126" s="705"/>
      <c r="C1126" s="719">
        <v>41587</v>
      </c>
      <c r="D1126" s="717">
        <v>11116</v>
      </c>
      <c r="E1126" s="720">
        <v>10587.64</v>
      </c>
      <c r="F1126" s="720">
        <v>17880.68</v>
      </c>
      <c r="G1126" s="720">
        <v>15295.9</v>
      </c>
      <c r="H1126" s="720">
        <v>10623.12</v>
      </c>
      <c r="I1126" s="720">
        <v>8974.89</v>
      </c>
      <c r="J1126" s="726">
        <v>113.38</v>
      </c>
      <c r="K1126" s="720">
        <v>1433.61</v>
      </c>
      <c r="L1126" s="720">
        <v>357.84</v>
      </c>
      <c r="M1126" s="720">
        <v>3531.68</v>
      </c>
      <c r="N1126" s="720">
        <v>181.07</v>
      </c>
    </row>
    <row r="1127" spans="1:14" ht="15">
      <c r="A1127" s="705"/>
      <c r="B1127" s="705"/>
      <c r="C1127" s="719">
        <v>41588</v>
      </c>
      <c r="D1127" s="717">
        <v>11116</v>
      </c>
      <c r="E1127" s="720">
        <v>10587.64</v>
      </c>
      <c r="F1127" s="720">
        <v>17880.68</v>
      </c>
      <c r="G1127" s="720">
        <v>15295.9</v>
      </c>
      <c r="H1127" s="720">
        <v>10623.12</v>
      </c>
      <c r="I1127" s="720">
        <v>8974.89</v>
      </c>
      <c r="J1127" s="726">
        <v>113.38</v>
      </c>
      <c r="K1127" s="720">
        <v>1433.61</v>
      </c>
      <c r="L1127" s="720">
        <v>357.84</v>
      </c>
      <c r="M1127" s="720">
        <v>3531.68</v>
      </c>
      <c r="N1127" s="720">
        <v>181.07</v>
      </c>
    </row>
    <row r="1128" spans="1:14" ht="15">
      <c r="A1128" s="705"/>
      <c r="B1128" s="705"/>
      <c r="C1128" s="719">
        <v>41589</v>
      </c>
      <c r="D1128" s="717">
        <v>11116</v>
      </c>
      <c r="E1128" s="720">
        <v>10587.64</v>
      </c>
      <c r="F1128" s="720">
        <v>17880.68</v>
      </c>
      <c r="G1128" s="720">
        <v>15295.9</v>
      </c>
      <c r="H1128" s="720">
        <v>10623.12</v>
      </c>
      <c r="I1128" s="720">
        <v>8974.89</v>
      </c>
      <c r="J1128" s="726">
        <v>113.38</v>
      </c>
      <c r="K1128" s="720">
        <v>1433.61</v>
      </c>
      <c r="L1128" s="720">
        <v>357.84</v>
      </c>
      <c r="M1128" s="720">
        <v>3531.68</v>
      </c>
      <c r="N1128" s="720">
        <v>181.07</v>
      </c>
    </row>
    <row r="1129" spans="1:14" ht="15">
      <c r="A1129" s="705"/>
      <c r="B1129" s="705"/>
      <c r="C1129" s="719">
        <v>41590</v>
      </c>
      <c r="D1129" s="717">
        <v>11116</v>
      </c>
      <c r="E1129" s="720">
        <v>10587.64</v>
      </c>
      <c r="F1129" s="720">
        <v>17880.68</v>
      </c>
      <c r="G1129" s="720">
        <v>15295.9</v>
      </c>
      <c r="H1129" s="720">
        <v>10623.12</v>
      </c>
      <c r="I1129" s="720">
        <v>8974.89</v>
      </c>
      <c r="J1129" s="726">
        <v>113.38</v>
      </c>
      <c r="K1129" s="720">
        <v>1433.61</v>
      </c>
      <c r="L1129" s="720">
        <v>357.84</v>
      </c>
      <c r="M1129" s="720">
        <v>3531.68</v>
      </c>
      <c r="N1129" s="720">
        <v>181.07</v>
      </c>
    </row>
    <row r="1130" spans="1:14" ht="15">
      <c r="A1130" s="705"/>
      <c r="B1130" s="705"/>
      <c r="C1130" s="719">
        <v>41591</v>
      </c>
      <c r="D1130" s="717">
        <v>11427</v>
      </c>
      <c r="E1130" s="720">
        <v>10798.96</v>
      </c>
      <c r="F1130" s="720">
        <v>18340.68</v>
      </c>
      <c r="G1130" s="720">
        <v>15341.45</v>
      </c>
      <c r="H1130" s="720">
        <v>10926.09</v>
      </c>
      <c r="I1130" s="720">
        <v>9179.83</v>
      </c>
      <c r="J1130" s="726">
        <v>115.81</v>
      </c>
      <c r="K1130" s="720">
        <v>1474.06</v>
      </c>
      <c r="L1130" s="720">
        <v>363.91</v>
      </c>
      <c r="M1130" s="720">
        <v>3589.58</v>
      </c>
      <c r="N1130" s="720">
        <v>183.62</v>
      </c>
    </row>
    <row r="1131" spans="1:14" ht="15">
      <c r="A1131" s="705"/>
      <c r="B1131" s="705"/>
      <c r="C1131" s="719">
        <v>41592</v>
      </c>
      <c r="D1131" s="717">
        <v>11427</v>
      </c>
      <c r="E1131" s="720">
        <v>10798.96</v>
      </c>
      <c r="F1131" s="720">
        <v>18340.68</v>
      </c>
      <c r="G1131" s="720">
        <v>15341.45</v>
      </c>
      <c r="H1131" s="720">
        <v>10926.09</v>
      </c>
      <c r="I1131" s="720">
        <v>9179.83</v>
      </c>
      <c r="J1131" s="726">
        <v>115.81</v>
      </c>
      <c r="K1131" s="720">
        <v>1474.06</v>
      </c>
      <c r="L1131" s="720">
        <v>363.91</v>
      </c>
      <c r="M1131" s="720">
        <v>3589.58</v>
      </c>
      <c r="N1131" s="720">
        <v>183.62</v>
      </c>
    </row>
    <row r="1132" spans="1:14" ht="15">
      <c r="A1132" s="705"/>
      <c r="B1132" s="705"/>
      <c r="C1132" s="719">
        <v>41593</v>
      </c>
      <c r="D1132" s="717">
        <v>11427</v>
      </c>
      <c r="E1132" s="720">
        <v>10798.96</v>
      </c>
      <c r="F1132" s="720">
        <v>18340.68</v>
      </c>
      <c r="G1132" s="720">
        <v>15341.45</v>
      </c>
      <c r="H1132" s="720">
        <v>10926.09</v>
      </c>
      <c r="I1132" s="720">
        <v>9179.83</v>
      </c>
      <c r="J1132" s="726">
        <v>115.81</v>
      </c>
      <c r="K1132" s="720">
        <v>1474.06</v>
      </c>
      <c r="L1132" s="720">
        <v>363.91</v>
      </c>
      <c r="M1132" s="720">
        <v>3589.58</v>
      </c>
      <c r="N1132" s="720">
        <v>183.62</v>
      </c>
    </row>
    <row r="1133" spans="1:14" ht="15">
      <c r="A1133" s="705"/>
      <c r="B1133" s="705"/>
      <c r="C1133" s="719">
        <v>41594</v>
      </c>
      <c r="D1133" s="717">
        <v>11427</v>
      </c>
      <c r="E1133" s="720">
        <v>10798.96</v>
      </c>
      <c r="F1133" s="720">
        <v>18340.68</v>
      </c>
      <c r="G1133" s="720">
        <v>15341.45</v>
      </c>
      <c r="H1133" s="720">
        <v>10926.09</v>
      </c>
      <c r="I1133" s="720">
        <v>9179.83</v>
      </c>
      <c r="J1133" s="726">
        <v>115.81</v>
      </c>
      <c r="K1133" s="720">
        <v>1474.06</v>
      </c>
      <c r="L1133" s="720">
        <v>363.91</v>
      </c>
      <c r="M1133" s="720">
        <v>3589.58</v>
      </c>
      <c r="N1133" s="720">
        <v>183.62</v>
      </c>
    </row>
    <row r="1134" spans="1:14" ht="15">
      <c r="A1134" s="705"/>
      <c r="B1134" s="705"/>
      <c r="C1134" s="719">
        <v>41595</v>
      </c>
      <c r="D1134" s="717">
        <v>11427</v>
      </c>
      <c r="E1134" s="720">
        <v>10798.96</v>
      </c>
      <c r="F1134" s="720">
        <v>18340.68</v>
      </c>
      <c r="G1134" s="720">
        <v>15341.45</v>
      </c>
      <c r="H1134" s="720">
        <v>10926.09</v>
      </c>
      <c r="I1134" s="720">
        <v>9179.83</v>
      </c>
      <c r="J1134" s="726">
        <v>115.81</v>
      </c>
      <c r="K1134" s="720">
        <v>1474.06</v>
      </c>
      <c r="L1134" s="720">
        <v>363.91</v>
      </c>
      <c r="M1134" s="720">
        <v>3589.58</v>
      </c>
      <c r="N1134" s="720">
        <v>183.62</v>
      </c>
    </row>
    <row r="1135" spans="1:14" ht="15">
      <c r="A1135" s="705"/>
      <c r="B1135" s="705"/>
      <c r="C1135" s="719">
        <v>41596</v>
      </c>
      <c r="D1135" s="717">
        <v>11427</v>
      </c>
      <c r="E1135" s="720">
        <v>10798.96</v>
      </c>
      <c r="F1135" s="720">
        <v>18340.68</v>
      </c>
      <c r="G1135" s="720">
        <v>15341.45</v>
      </c>
      <c r="H1135" s="720">
        <v>10926.09</v>
      </c>
      <c r="I1135" s="720">
        <v>9179.83</v>
      </c>
      <c r="J1135" s="726">
        <v>115.81</v>
      </c>
      <c r="K1135" s="720">
        <v>1474.06</v>
      </c>
      <c r="L1135" s="720">
        <v>363.91</v>
      </c>
      <c r="M1135" s="720">
        <v>3589.58</v>
      </c>
      <c r="N1135" s="720">
        <v>183.62</v>
      </c>
    </row>
    <row r="1136" spans="1:14" ht="15">
      <c r="A1136" s="705"/>
      <c r="B1136" s="705"/>
      <c r="C1136" s="719">
        <v>41597</v>
      </c>
      <c r="D1136" s="717">
        <v>11427</v>
      </c>
      <c r="E1136" s="720">
        <v>10798.96</v>
      </c>
      <c r="F1136" s="720">
        <v>18340.68</v>
      </c>
      <c r="G1136" s="720">
        <v>15341.45</v>
      </c>
      <c r="H1136" s="720">
        <v>10926.09</v>
      </c>
      <c r="I1136" s="720">
        <v>9179.83</v>
      </c>
      <c r="J1136" s="726">
        <v>115.81</v>
      </c>
      <c r="K1136" s="720">
        <v>1474.06</v>
      </c>
      <c r="L1136" s="720">
        <v>363.91</v>
      </c>
      <c r="M1136" s="720">
        <v>3589.58</v>
      </c>
      <c r="N1136" s="720">
        <v>183.62</v>
      </c>
    </row>
    <row r="1137" spans="1:14" ht="15">
      <c r="A1137" s="705"/>
      <c r="B1137" s="705"/>
      <c r="C1137" s="719">
        <v>41598</v>
      </c>
      <c r="D1137" s="703">
        <v>11569</v>
      </c>
      <c r="E1137" s="720">
        <v>10814.56</v>
      </c>
      <c r="F1137" s="720">
        <v>18572.919999999998</v>
      </c>
      <c r="G1137" s="720">
        <v>15587.99</v>
      </c>
      <c r="H1137" s="720">
        <v>11062.6</v>
      </c>
      <c r="I1137" s="720">
        <v>9273.58</v>
      </c>
      <c r="J1137" s="708">
        <v>115.86</v>
      </c>
      <c r="K1137" s="720">
        <v>1492.08</v>
      </c>
      <c r="L1137" s="720">
        <v>366.4</v>
      </c>
      <c r="M1137" s="720">
        <v>3610.11</v>
      </c>
      <c r="N1137" s="720">
        <v>182.91</v>
      </c>
    </row>
    <row r="1138" spans="1:14" ht="15">
      <c r="A1138" s="705"/>
      <c r="B1138" s="705"/>
      <c r="C1138" s="719">
        <v>41599</v>
      </c>
      <c r="D1138" s="703">
        <v>11569</v>
      </c>
      <c r="E1138" s="720">
        <v>10814.56</v>
      </c>
      <c r="F1138" s="720">
        <v>18572.919999999998</v>
      </c>
      <c r="G1138" s="720">
        <v>15587.99</v>
      </c>
      <c r="H1138" s="720">
        <v>11062.6</v>
      </c>
      <c r="I1138" s="720">
        <v>9273.58</v>
      </c>
      <c r="J1138" s="708">
        <v>115.86</v>
      </c>
      <c r="K1138" s="720">
        <v>1492.08</v>
      </c>
      <c r="L1138" s="720">
        <v>366.4</v>
      </c>
      <c r="M1138" s="720">
        <v>3610.11</v>
      </c>
      <c r="N1138" s="720">
        <v>182.91</v>
      </c>
    </row>
    <row r="1139" spans="1:14" ht="15">
      <c r="A1139" s="705"/>
      <c r="B1139" s="705"/>
      <c r="C1139" s="719">
        <v>41600</v>
      </c>
      <c r="D1139" s="703">
        <v>11569</v>
      </c>
      <c r="E1139" s="720">
        <v>10814.56</v>
      </c>
      <c r="F1139" s="720">
        <v>18572.919999999998</v>
      </c>
      <c r="G1139" s="720">
        <v>15587.99</v>
      </c>
      <c r="H1139" s="720">
        <v>11062.6</v>
      </c>
      <c r="I1139" s="720">
        <v>9273.58</v>
      </c>
      <c r="J1139" s="708">
        <v>115.86</v>
      </c>
      <c r="K1139" s="720">
        <v>1492.08</v>
      </c>
      <c r="L1139" s="720">
        <v>366.4</v>
      </c>
      <c r="M1139" s="720">
        <v>3610.11</v>
      </c>
      <c r="N1139" s="720">
        <v>182.91</v>
      </c>
    </row>
    <row r="1140" spans="1:14" ht="15">
      <c r="A1140" s="705"/>
      <c r="B1140" s="705"/>
      <c r="C1140" s="719">
        <v>41601</v>
      </c>
      <c r="D1140" s="703">
        <v>11569</v>
      </c>
      <c r="E1140" s="720">
        <v>10814.56</v>
      </c>
      <c r="F1140" s="720">
        <v>18572.919999999998</v>
      </c>
      <c r="G1140" s="720">
        <v>15587.99</v>
      </c>
      <c r="H1140" s="720">
        <v>11062.6</v>
      </c>
      <c r="I1140" s="720">
        <v>9273.58</v>
      </c>
      <c r="J1140" s="708">
        <v>115.86</v>
      </c>
      <c r="K1140" s="720">
        <v>1492.08</v>
      </c>
      <c r="L1140" s="720">
        <v>366.4</v>
      </c>
      <c r="M1140" s="720">
        <v>3610.11</v>
      </c>
      <c r="N1140" s="720">
        <v>182.91</v>
      </c>
    </row>
    <row r="1141" spans="1:14" ht="15">
      <c r="A1141" s="705"/>
      <c r="B1141" s="705"/>
      <c r="C1141" s="719">
        <v>41602</v>
      </c>
      <c r="D1141" s="703">
        <v>11569</v>
      </c>
      <c r="E1141" s="720">
        <v>10814.56</v>
      </c>
      <c r="F1141" s="720">
        <v>18572.919999999998</v>
      </c>
      <c r="G1141" s="720">
        <v>15587.99</v>
      </c>
      <c r="H1141" s="720">
        <v>11062.6</v>
      </c>
      <c r="I1141" s="720">
        <v>9273.58</v>
      </c>
      <c r="J1141" s="708">
        <v>115.86</v>
      </c>
      <c r="K1141" s="720">
        <v>1492.08</v>
      </c>
      <c r="L1141" s="720">
        <v>366.4</v>
      </c>
      <c r="M1141" s="720">
        <v>3610.11</v>
      </c>
      <c r="N1141" s="720">
        <v>182.91</v>
      </c>
    </row>
    <row r="1142" spans="1:14" ht="15">
      <c r="A1142" s="705"/>
      <c r="B1142" s="705"/>
      <c r="C1142" s="719">
        <v>41603</v>
      </c>
      <c r="D1142" s="703">
        <v>11569</v>
      </c>
      <c r="E1142" s="720">
        <v>10814.56</v>
      </c>
      <c r="F1142" s="720">
        <v>18572.919999999998</v>
      </c>
      <c r="G1142" s="720">
        <v>15587.99</v>
      </c>
      <c r="H1142" s="720">
        <v>11062.6</v>
      </c>
      <c r="I1142" s="720">
        <v>9273.58</v>
      </c>
      <c r="J1142" s="708">
        <v>115.86</v>
      </c>
      <c r="K1142" s="720">
        <v>1492.08</v>
      </c>
      <c r="L1142" s="720">
        <v>366.4</v>
      </c>
      <c r="M1142" s="720">
        <v>3610.11</v>
      </c>
      <c r="N1142" s="720">
        <v>182.91</v>
      </c>
    </row>
    <row r="1143" spans="1:14" ht="15">
      <c r="A1143" s="705"/>
      <c r="B1143" s="705"/>
      <c r="C1143" s="719">
        <v>41604</v>
      </c>
      <c r="D1143" s="703">
        <v>11569</v>
      </c>
      <c r="E1143" s="720">
        <v>10814.56</v>
      </c>
      <c r="F1143" s="720">
        <v>18572.919999999998</v>
      </c>
      <c r="G1143" s="720">
        <v>15587.99</v>
      </c>
      <c r="H1143" s="720">
        <v>11062.6</v>
      </c>
      <c r="I1143" s="720">
        <v>9273.58</v>
      </c>
      <c r="J1143" s="708">
        <v>115.86</v>
      </c>
      <c r="K1143" s="720">
        <v>1492.08</v>
      </c>
      <c r="L1143" s="720">
        <v>366.4</v>
      </c>
      <c r="M1143" s="720">
        <v>3610.11</v>
      </c>
      <c r="N1143" s="720">
        <v>182.91</v>
      </c>
    </row>
    <row r="1144" spans="1:14" ht="15">
      <c r="A1144" s="705"/>
      <c r="B1144" s="705"/>
      <c r="C1144" s="719">
        <v>41605</v>
      </c>
      <c r="D1144" s="703">
        <v>11678</v>
      </c>
      <c r="E1144" s="720">
        <v>10825.37</v>
      </c>
      <c r="F1144" s="720">
        <v>18890.150000000001</v>
      </c>
      <c r="G1144" s="720">
        <v>15779.71</v>
      </c>
      <c r="H1144" s="720">
        <v>11121.52</v>
      </c>
      <c r="I1144" s="720">
        <v>9355.1</v>
      </c>
      <c r="J1144" s="708">
        <v>115.79</v>
      </c>
      <c r="K1144" s="720">
        <v>1506.33</v>
      </c>
      <c r="L1144" s="720">
        <v>367.42</v>
      </c>
      <c r="M1144" s="720">
        <v>3649</v>
      </c>
      <c r="N1144" s="720">
        <v>186.28</v>
      </c>
    </row>
    <row r="1145" spans="1:14" ht="15">
      <c r="A1145" s="705"/>
      <c r="B1145" s="705"/>
      <c r="C1145" s="719">
        <v>41606</v>
      </c>
      <c r="D1145" s="703">
        <v>11678</v>
      </c>
      <c r="E1145" s="720">
        <v>10825.37</v>
      </c>
      <c r="F1145" s="720">
        <v>18890.150000000001</v>
      </c>
      <c r="G1145" s="720">
        <v>15779.71</v>
      </c>
      <c r="H1145" s="720">
        <v>11121.52</v>
      </c>
      <c r="I1145" s="720">
        <v>9355.1</v>
      </c>
      <c r="J1145" s="708">
        <v>115.79</v>
      </c>
      <c r="K1145" s="720">
        <v>1506.33</v>
      </c>
      <c r="L1145" s="720">
        <v>367.42</v>
      </c>
      <c r="M1145" s="720">
        <v>3649</v>
      </c>
      <c r="N1145" s="720">
        <v>186.28</v>
      </c>
    </row>
    <row r="1146" spans="1:14" ht="15">
      <c r="A1146" s="705"/>
      <c r="B1146" s="705"/>
      <c r="C1146" s="719">
        <v>41607</v>
      </c>
      <c r="D1146" s="703">
        <v>11678</v>
      </c>
      <c r="E1146" s="720">
        <v>10825.37</v>
      </c>
      <c r="F1146" s="720">
        <v>18890.150000000001</v>
      </c>
      <c r="G1146" s="720">
        <v>15779.71</v>
      </c>
      <c r="H1146" s="720">
        <v>11121.52</v>
      </c>
      <c r="I1146" s="720">
        <v>9355.1</v>
      </c>
      <c r="J1146" s="708">
        <v>115.79</v>
      </c>
      <c r="K1146" s="720">
        <v>1506.33</v>
      </c>
      <c r="L1146" s="720">
        <v>367.42</v>
      </c>
      <c r="M1146" s="720">
        <v>3649</v>
      </c>
      <c r="N1146" s="720">
        <v>186.28</v>
      </c>
    </row>
    <row r="1147" spans="1:14" ht="15">
      <c r="A1147" s="705"/>
      <c r="B1147" s="705"/>
      <c r="C1147" s="719">
        <v>41608</v>
      </c>
      <c r="D1147" s="703">
        <v>11678</v>
      </c>
      <c r="E1147" s="720">
        <v>10825.37</v>
      </c>
      <c r="F1147" s="720">
        <v>18890.150000000001</v>
      </c>
      <c r="G1147" s="720">
        <v>15779.71</v>
      </c>
      <c r="H1147" s="720">
        <v>11121.52</v>
      </c>
      <c r="I1147" s="720">
        <v>9355.1</v>
      </c>
      <c r="J1147" s="708">
        <v>115.79</v>
      </c>
      <c r="K1147" s="720">
        <v>1506.33</v>
      </c>
      <c r="L1147" s="720">
        <v>367.42</v>
      </c>
      <c r="M1147" s="720">
        <v>3649</v>
      </c>
      <c r="N1147" s="720">
        <v>186.28</v>
      </c>
    </row>
    <row r="1148" spans="1:14" ht="15">
      <c r="A1148" s="705"/>
      <c r="B1148" s="705"/>
      <c r="C1148" s="719">
        <v>41609</v>
      </c>
      <c r="D1148" s="703">
        <v>11678</v>
      </c>
      <c r="E1148" s="720">
        <v>10825.37</v>
      </c>
      <c r="F1148" s="720">
        <v>18890.150000000001</v>
      </c>
      <c r="G1148" s="720">
        <v>15779.71</v>
      </c>
      <c r="H1148" s="720">
        <v>11121.52</v>
      </c>
      <c r="I1148" s="720">
        <v>9355.1</v>
      </c>
      <c r="J1148" s="708">
        <v>115.79</v>
      </c>
      <c r="K1148" s="720">
        <v>1506.33</v>
      </c>
      <c r="L1148" s="720">
        <v>367.42</v>
      </c>
      <c r="M1148" s="720">
        <v>3649</v>
      </c>
      <c r="N1148" s="720">
        <v>186.28</v>
      </c>
    </row>
    <row r="1149" spans="1:14" ht="15">
      <c r="A1149" s="705"/>
      <c r="B1149" s="705"/>
      <c r="C1149" s="719">
        <v>41610</v>
      </c>
      <c r="D1149" s="703">
        <v>11678</v>
      </c>
      <c r="E1149" s="720">
        <v>10825.37</v>
      </c>
      <c r="F1149" s="720">
        <v>18890.150000000001</v>
      </c>
      <c r="G1149" s="720">
        <v>15779.71</v>
      </c>
      <c r="H1149" s="720">
        <v>11121.52</v>
      </c>
      <c r="I1149" s="720">
        <v>9355.1</v>
      </c>
      <c r="J1149" s="708">
        <v>115.79</v>
      </c>
      <c r="K1149" s="720">
        <v>1506.33</v>
      </c>
      <c r="L1149" s="720">
        <v>367.42</v>
      </c>
      <c r="M1149" s="720">
        <v>3649</v>
      </c>
      <c r="N1149" s="720">
        <v>186.28</v>
      </c>
    </row>
    <row r="1150" spans="1:14" ht="15">
      <c r="A1150" s="705"/>
      <c r="B1150" s="705"/>
      <c r="C1150" s="719">
        <v>41611</v>
      </c>
      <c r="D1150" s="703">
        <v>11678</v>
      </c>
      <c r="E1150" s="720">
        <v>10825.37</v>
      </c>
      <c r="F1150" s="720">
        <v>18890.150000000001</v>
      </c>
      <c r="G1150" s="720">
        <v>15779.71</v>
      </c>
      <c r="H1150" s="720">
        <v>11121.52</v>
      </c>
      <c r="I1150" s="720">
        <v>9355.1</v>
      </c>
      <c r="J1150" s="708">
        <v>115.79</v>
      </c>
      <c r="K1150" s="720">
        <v>1506.33</v>
      </c>
      <c r="L1150" s="720">
        <v>367.42</v>
      </c>
      <c r="M1150" s="720">
        <v>3649</v>
      </c>
      <c r="N1150" s="720">
        <v>186.28</v>
      </c>
    </row>
    <row r="1151" spans="1:14" ht="15">
      <c r="A1151" s="705"/>
      <c r="B1151" s="705"/>
      <c r="C1151" s="719">
        <v>41612</v>
      </c>
      <c r="D1151" s="703">
        <v>11916</v>
      </c>
      <c r="E1151" s="720">
        <v>10861.78</v>
      </c>
      <c r="F1151" s="720">
        <v>19457.46</v>
      </c>
      <c r="G1151" s="720">
        <v>16194.73</v>
      </c>
      <c r="H1151" s="720">
        <v>11251.96</v>
      </c>
      <c r="I1151" s="720">
        <v>9499.35</v>
      </c>
      <c r="J1151" s="708">
        <v>116.69</v>
      </c>
      <c r="K1151" s="720">
        <v>1536.96</v>
      </c>
      <c r="L1151" s="720">
        <v>370.96</v>
      </c>
      <c r="M1151" s="720">
        <v>3693.75</v>
      </c>
      <c r="N1151" s="720">
        <v>191.01</v>
      </c>
    </row>
    <row r="1152" spans="1:14" ht="15">
      <c r="A1152" s="705"/>
      <c r="B1152" s="705"/>
      <c r="C1152" s="719">
        <v>41613</v>
      </c>
      <c r="D1152" s="703">
        <v>11916</v>
      </c>
      <c r="E1152" s="720">
        <v>10861.78</v>
      </c>
      <c r="F1152" s="720">
        <v>19457.46</v>
      </c>
      <c r="G1152" s="720">
        <v>16194.73</v>
      </c>
      <c r="H1152" s="720">
        <v>11251.96</v>
      </c>
      <c r="I1152" s="720">
        <v>9499.35</v>
      </c>
      <c r="J1152" s="708">
        <v>116.69</v>
      </c>
      <c r="K1152" s="720">
        <v>1536.96</v>
      </c>
      <c r="L1152" s="720">
        <v>370.96</v>
      </c>
      <c r="M1152" s="720">
        <v>3693.75</v>
      </c>
      <c r="N1152" s="720">
        <v>191.01</v>
      </c>
    </row>
    <row r="1153" spans="1:14" ht="15">
      <c r="A1153" s="705"/>
      <c r="B1153" s="705"/>
      <c r="C1153" s="719">
        <v>41614</v>
      </c>
      <c r="D1153" s="703">
        <v>11916</v>
      </c>
      <c r="E1153" s="720">
        <v>10861.78</v>
      </c>
      <c r="F1153" s="720">
        <v>19457.46</v>
      </c>
      <c r="G1153" s="720">
        <v>16194.73</v>
      </c>
      <c r="H1153" s="720">
        <v>11251.96</v>
      </c>
      <c r="I1153" s="720">
        <v>9499.35</v>
      </c>
      <c r="J1153" s="708">
        <v>116.69</v>
      </c>
      <c r="K1153" s="720">
        <v>1536.96</v>
      </c>
      <c r="L1153" s="720">
        <v>370.96</v>
      </c>
      <c r="M1153" s="720">
        <v>3693.75</v>
      </c>
      <c r="N1153" s="720">
        <v>191.01</v>
      </c>
    </row>
    <row r="1154" spans="1:14" ht="15">
      <c r="A1154" s="705"/>
      <c r="B1154" s="705"/>
      <c r="C1154" s="719">
        <v>41615</v>
      </c>
      <c r="D1154" s="703">
        <v>11916</v>
      </c>
      <c r="E1154" s="720">
        <v>10861.78</v>
      </c>
      <c r="F1154" s="720">
        <v>19457.46</v>
      </c>
      <c r="G1154" s="720">
        <v>16194.73</v>
      </c>
      <c r="H1154" s="720">
        <v>11251.96</v>
      </c>
      <c r="I1154" s="720">
        <v>9499.35</v>
      </c>
      <c r="J1154" s="708">
        <v>116.69</v>
      </c>
      <c r="K1154" s="720">
        <v>1536.96</v>
      </c>
      <c r="L1154" s="720">
        <v>370.96</v>
      </c>
      <c r="M1154" s="720">
        <v>3693.75</v>
      </c>
      <c r="N1154" s="720">
        <v>191.01</v>
      </c>
    </row>
    <row r="1155" spans="1:14" ht="15">
      <c r="A1155" s="705"/>
      <c r="B1155" s="705"/>
      <c r="C1155" s="719">
        <v>41616</v>
      </c>
      <c r="D1155" s="703">
        <v>11916</v>
      </c>
      <c r="E1155" s="720">
        <v>10861.78</v>
      </c>
      <c r="F1155" s="720">
        <v>19457.46</v>
      </c>
      <c r="G1155" s="720">
        <v>16194.73</v>
      </c>
      <c r="H1155" s="720">
        <v>11251.96</v>
      </c>
      <c r="I1155" s="720">
        <v>9499.35</v>
      </c>
      <c r="J1155" s="708">
        <v>116.69</v>
      </c>
      <c r="K1155" s="720">
        <v>1536.96</v>
      </c>
      <c r="L1155" s="720">
        <v>370.96</v>
      </c>
      <c r="M1155" s="720">
        <v>3693.75</v>
      </c>
      <c r="N1155" s="720">
        <v>191.01</v>
      </c>
    </row>
    <row r="1156" spans="1:14" ht="15">
      <c r="A1156" s="705"/>
      <c r="B1156" s="705"/>
      <c r="C1156" s="719">
        <v>41617</v>
      </c>
      <c r="D1156" s="703">
        <v>11916</v>
      </c>
      <c r="E1156" s="720">
        <v>10861.78</v>
      </c>
      <c r="F1156" s="720">
        <v>19457.46</v>
      </c>
      <c r="G1156" s="720">
        <v>16194.73</v>
      </c>
      <c r="H1156" s="720">
        <v>11251.96</v>
      </c>
      <c r="I1156" s="720">
        <v>9499.35</v>
      </c>
      <c r="J1156" s="708">
        <v>116.69</v>
      </c>
      <c r="K1156" s="720">
        <v>1536.96</v>
      </c>
      <c r="L1156" s="720">
        <v>370.96</v>
      </c>
      <c r="M1156" s="720">
        <v>3693.75</v>
      </c>
      <c r="N1156" s="720">
        <v>191.01</v>
      </c>
    </row>
    <row r="1157" spans="1:14" ht="15">
      <c r="A1157" s="705"/>
      <c r="B1157" s="705"/>
      <c r="C1157" s="719">
        <v>41618</v>
      </c>
      <c r="D1157" s="703">
        <v>11916</v>
      </c>
      <c r="E1157" s="720">
        <v>10861.78</v>
      </c>
      <c r="F1157" s="720">
        <v>19457.46</v>
      </c>
      <c r="G1157" s="720">
        <v>16194.73</v>
      </c>
      <c r="H1157" s="720">
        <v>11251.96</v>
      </c>
      <c r="I1157" s="720">
        <v>9499.35</v>
      </c>
      <c r="J1157" s="708">
        <v>116.69</v>
      </c>
      <c r="K1157" s="720">
        <v>1536.96</v>
      </c>
      <c r="L1157" s="720">
        <v>370.96</v>
      </c>
      <c r="M1157" s="720">
        <v>3693.75</v>
      </c>
      <c r="N1157" s="720">
        <v>191.01</v>
      </c>
    </row>
    <row r="1158" spans="1:14" ht="15">
      <c r="A1158" s="705"/>
      <c r="B1158" s="705"/>
      <c r="C1158" s="719">
        <v>41619</v>
      </c>
      <c r="D1158" s="703">
        <v>11949</v>
      </c>
      <c r="E1158" s="720">
        <v>10861.76</v>
      </c>
      <c r="F1158" s="720">
        <v>19546.48</v>
      </c>
      <c r="G1158" s="720">
        <v>16313.18</v>
      </c>
      <c r="H1158" s="720">
        <v>11212.6</v>
      </c>
      <c r="I1158" s="720">
        <v>9543</v>
      </c>
      <c r="J1158" s="708">
        <v>116.57</v>
      </c>
      <c r="K1158" s="720">
        <v>1541.05</v>
      </c>
      <c r="L1158" s="720">
        <v>371.06</v>
      </c>
      <c r="M1158" s="720">
        <v>3706.14</v>
      </c>
      <c r="N1158" s="720">
        <v>193.03</v>
      </c>
    </row>
    <row r="1159" spans="1:14" ht="15">
      <c r="A1159" s="705"/>
      <c r="B1159" s="705"/>
      <c r="C1159" s="719">
        <v>41620</v>
      </c>
      <c r="D1159" s="703">
        <v>11949</v>
      </c>
      <c r="E1159" s="720">
        <v>10861.76</v>
      </c>
      <c r="F1159" s="720">
        <v>19546.48</v>
      </c>
      <c r="G1159" s="720">
        <v>16313.18</v>
      </c>
      <c r="H1159" s="720">
        <v>11212.6</v>
      </c>
      <c r="I1159" s="720">
        <v>9543</v>
      </c>
      <c r="J1159" s="708">
        <v>116.57</v>
      </c>
      <c r="K1159" s="720">
        <v>1541.05</v>
      </c>
      <c r="L1159" s="720">
        <v>371.06</v>
      </c>
      <c r="M1159" s="720">
        <v>3706.14</v>
      </c>
      <c r="N1159" s="720">
        <v>193.03</v>
      </c>
    </row>
    <row r="1160" spans="1:14" ht="15">
      <c r="A1160" s="705"/>
      <c r="B1160" s="705"/>
      <c r="C1160" s="719">
        <v>41621</v>
      </c>
      <c r="D1160" s="703">
        <v>11949</v>
      </c>
      <c r="E1160" s="720">
        <v>10861.76</v>
      </c>
      <c r="F1160" s="720">
        <v>19546.48</v>
      </c>
      <c r="G1160" s="720">
        <v>16313.18</v>
      </c>
      <c r="H1160" s="720">
        <v>11212.6</v>
      </c>
      <c r="I1160" s="720">
        <v>9543</v>
      </c>
      <c r="J1160" s="708">
        <v>116.57</v>
      </c>
      <c r="K1160" s="720">
        <v>1541.05</v>
      </c>
      <c r="L1160" s="720">
        <v>371.06</v>
      </c>
      <c r="M1160" s="720">
        <v>3706.14</v>
      </c>
      <c r="N1160" s="720">
        <v>193.03</v>
      </c>
    </row>
    <row r="1161" spans="1:14" ht="15">
      <c r="A1161" s="705"/>
      <c r="B1161" s="705"/>
      <c r="C1161" s="719">
        <v>41622</v>
      </c>
      <c r="D1161" s="703">
        <v>11949</v>
      </c>
      <c r="E1161" s="720">
        <v>10861.76</v>
      </c>
      <c r="F1161" s="720">
        <v>19546.48</v>
      </c>
      <c r="G1161" s="720">
        <v>16313.18</v>
      </c>
      <c r="H1161" s="720">
        <v>11212.6</v>
      </c>
      <c r="I1161" s="720">
        <v>9543</v>
      </c>
      <c r="J1161" s="708">
        <v>116.57</v>
      </c>
      <c r="K1161" s="720">
        <v>1541.05</v>
      </c>
      <c r="L1161" s="720">
        <v>371.06</v>
      </c>
      <c r="M1161" s="720">
        <v>3706.14</v>
      </c>
      <c r="N1161" s="720">
        <v>193.03</v>
      </c>
    </row>
    <row r="1162" spans="1:14" ht="15">
      <c r="A1162" s="705"/>
      <c r="B1162" s="705"/>
      <c r="C1162" s="719">
        <v>41623</v>
      </c>
      <c r="D1162" s="703">
        <v>11949</v>
      </c>
      <c r="E1162" s="720">
        <v>10861.76</v>
      </c>
      <c r="F1162" s="720">
        <v>19546.48</v>
      </c>
      <c r="G1162" s="720">
        <v>16313.18</v>
      </c>
      <c r="H1162" s="720">
        <v>11212.6</v>
      </c>
      <c r="I1162" s="720">
        <v>9543</v>
      </c>
      <c r="J1162" s="708">
        <v>116.57</v>
      </c>
      <c r="K1162" s="720">
        <v>1541.05</v>
      </c>
      <c r="L1162" s="720">
        <v>371.06</v>
      </c>
      <c r="M1162" s="720">
        <v>3706.14</v>
      </c>
      <c r="N1162" s="720">
        <v>193.03</v>
      </c>
    </row>
    <row r="1163" spans="1:14" ht="15">
      <c r="A1163" s="705"/>
      <c r="B1163" s="705"/>
      <c r="C1163" s="719">
        <v>41624</v>
      </c>
      <c r="D1163" s="703">
        <v>11949</v>
      </c>
      <c r="E1163" s="720">
        <v>10861.76</v>
      </c>
      <c r="F1163" s="720">
        <v>19546.48</v>
      </c>
      <c r="G1163" s="720">
        <v>16313.18</v>
      </c>
      <c r="H1163" s="720">
        <v>11212.6</v>
      </c>
      <c r="I1163" s="720">
        <v>9543</v>
      </c>
      <c r="J1163" s="708">
        <v>116.57</v>
      </c>
      <c r="K1163" s="720">
        <v>1541.05</v>
      </c>
      <c r="L1163" s="720">
        <v>371.06</v>
      </c>
      <c r="M1163" s="720">
        <v>3706.14</v>
      </c>
      <c r="N1163" s="720">
        <v>193.03</v>
      </c>
    </row>
    <row r="1164" spans="1:14" ht="15">
      <c r="A1164" s="705"/>
      <c r="B1164" s="705"/>
      <c r="C1164" s="719">
        <v>41625</v>
      </c>
      <c r="D1164" s="703">
        <v>11949</v>
      </c>
      <c r="E1164" s="720">
        <v>10861.76</v>
      </c>
      <c r="F1164" s="720">
        <v>19546.48</v>
      </c>
      <c r="G1164" s="720">
        <v>16313.18</v>
      </c>
      <c r="H1164" s="720">
        <v>11212.6</v>
      </c>
      <c r="I1164" s="720">
        <v>9543</v>
      </c>
      <c r="J1164" s="708">
        <v>116.57</v>
      </c>
      <c r="K1164" s="720">
        <v>1541.05</v>
      </c>
      <c r="L1164" s="720">
        <v>371.06</v>
      </c>
      <c r="M1164" s="720">
        <v>3706.14</v>
      </c>
      <c r="N1164" s="720">
        <v>193.03</v>
      </c>
    </row>
    <row r="1165" spans="1:14" ht="15">
      <c r="A1165" s="705"/>
      <c r="B1165" s="705"/>
      <c r="C1165" s="719">
        <v>41626</v>
      </c>
      <c r="D1165" s="703">
        <v>12032</v>
      </c>
      <c r="E1165" s="720">
        <v>10842.52</v>
      </c>
      <c r="F1165" s="720">
        <v>19674.38</v>
      </c>
      <c r="G1165" s="720">
        <v>16559.740000000002</v>
      </c>
      <c r="H1165" s="720">
        <v>11345.27</v>
      </c>
      <c r="I1165" s="720">
        <v>9601.92</v>
      </c>
      <c r="J1165" s="708">
        <v>116.91</v>
      </c>
      <c r="K1165" s="720">
        <v>1551.67</v>
      </c>
      <c r="L1165" s="720">
        <v>375.12</v>
      </c>
      <c r="M1165" s="720">
        <v>3731.41</v>
      </c>
      <c r="N1165" s="720">
        <v>195.43</v>
      </c>
    </row>
    <row r="1166" spans="1:14" ht="15">
      <c r="A1166" s="705"/>
      <c r="B1166" s="705"/>
      <c r="C1166" s="719">
        <v>41627</v>
      </c>
      <c r="D1166" s="703">
        <v>12032</v>
      </c>
      <c r="E1166" s="720">
        <v>10842.52</v>
      </c>
      <c r="F1166" s="720">
        <v>19674.38</v>
      </c>
      <c r="G1166" s="720">
        <v>16559.740000000002</v>
      </c>
      <c r="H1166" s="720">
        <v>11345.27</v>
      </c>
      <c r="I1166" s="720">
        <v>9601.92</v>
      </c>
      <c r="J1166" s="708">
        <v>116.91</v>
      </c>
      <c r="K1166" s="720">
        <v>1551.67</v>
      </c>
      <c r="L1166" s="720">
        <v>375.12</v>
      </c>
      <c r="M1166" s="720">
        <v>3731.41</v>
      </c>
      <c r="N1166" s="720">
        <v>195.43</v>
      </c>
    </row>
    <row r="1167" spans="1:14" ht="15">
      <c r="A1167" s="705"/>
      <c r="B1167" s="705"/>
      <c r="C1167" s="719">
        <v>41628</v>
      </c>
      <c r="D1167" s="703">
        <v>12032</v>
      </c>
      <c r="E1167" s="720">
        <v>10842.52</v>
      </c>
      <c r="F1167" s="720">
        <v>19674.38</v>
      </c>
      <c r="G1167" s="720">
        <v>16559.740000000002</v>
      </c>
      <c r="H1167" s="720">
        <v>11345.27</v>
      </c>
      <c r="I1167" s="720">
        <v>9601.92</v>
      </c>
      <c r="J1167" s="708">
        <v>116.91</v>
      </c>
      <c r="K1167" s="720">
        <v>1551.67</v>
      </c>
      <c r="L1167" s="720">
        <v>375.12</v>
      </c>
      <c r="M1167" s="720">
        <v>3731.41</v>
      </c>
      <c r="N1167" s="720">
        <v>195.43</v>
      </c>
    </row>
    <row r="1168" spans="1:14" ht="15">
      <c r="A1168" s="705"/>
      <c r="B1168" s="705"/>
      <c r="C1168" s="719">
        <v>41629</v>
      </c>
      <c r="D1168" s="703">
        <v>12032</v>
      </c>
      <c r="E1168" s="720">
        <v>10842.52</v>
      </c>
      <c r="F1168" s="720">
        <v>19674.38</v>
      </c>
      <c r="G1168" s="720">
        <v>16559.740000000002</v>
      </c>
      <c r="H1168" s="720">
        <v>11345.27</v>
      </c>
      <c r="I1168" s="720">
        <v>9601.92</v>
      </c>
      <c r="J1168" s="708">
        <v>116.91</v>
      </c>
      <c r="K1168" s="720">
        <v>1551.67</v>
      </c>
      <c r="L1168" s="720">
        <v>375.12</v>
      </c>
      <c r="M1168" s="720">
        <v>3731.41</v>
      </c>
      <c r="N1168" s="720">
        <v>195.43</v>
      </c>
    </row>
    <row r="1169" spans="1:14" ht="15">
      <c r="A1169" s="705"/>
      <c r="B1169" s="705"/>
      <c r="C1169" s="719">
        <v>41630</v>
      </c>
      <c r="D1169" s="703">
        <v>12032</v>
      </c>
      <c r="E1169" s="720">
        <v>10842.52</v>
      </c>
      <c r="F1169" s="720">
        <v>19674.38</v>
      </c>
      <c r="G1169" s="720">
        <v>16559.740000000002</v>
      </c>
      <c r="H1169" s="720">
        <v>11345.27</v>
      </c>
      <c r="I1169" s="720">
        <v>9601.92</v>
      </c>
      <c r="J1169" s="708">
        <v>116.91</v>
      </c>
      <c r="K1169" s="720">
        <v>1551.67</v>
      </c>
      <c r="L1169" s="720">
        <v>375.12</v>
      </c>
      <c r="M1169" s="720">
        <v>3731.41</v>
      </c>
      <c r="N1169" s="720">
        <v>195.43</v>
      </c>
    </row>
    <row r="1170" spans="1:14" ht="15">
      <c r="A1170" s="705"/>
      <c r="B1170" s="705"/>
      <c r="C1170" s="719">
        <v>41631</v>
      </c>
      <c r="D1170" s="703">
        <v>12032</v>
      </c>
      <c r="E1170" s="720">
        <v>10842.52</v>
      </c>
      <c r="F1170" s="720">
        <v>19674.38</v>
      </c>
      <c r="G1170" s="720">
        <v>16559.740000000002</v>
      </c>
      <c r="H1170" s="720">
        <v>11345.27</v>
      </c>
      <c r="I1170" s="720">
        <v>9601.92</v>
      </c>
      <c r="J1170" s="708">
        <v>116.91</v>
      </c>
      <c r="K1170" s="720">
        <v>1551.67</v>
      </c>
      <c r="L1170" s="720">
        <v>375.12</v>
      </c>
      <c r="M1170" s="720">
        <v>3731.41</v>
      </c>
      <c r="N1170" s="720">
        <v>195.43</v>
      </c>
    </row>
    <row r="1171" spans="1:14" ht="15">
      <c r="A1171" s="705"/>
      <c r="B1171" s="705"/>
      <c r="C1171" s="719">
        <v>41632</v>
      </c>
      <c r="D1171" s="703">
        <v>12032</v>
      </c>
      <c r="E1171" s="720">
        <v>10842.52</v>
      </c>
      <c r="F1171" s="720">
        <v>19674.38</v>
      </c>
      <c r="G1171" s="720">
        <v>16559.740000000002</v>
      </c>
      <c r="H1171" s="720">
        <v>11345.27</v>
      </c>
      <c r="I1171" s="720">
        <v>9601.92</v>
      </c>
      <c r="J1171" s="708">
        <v>116.91</v>
      </c>
      <c r="K1171" s="720">
        <v>1551.67</v>
      </c>
      <c r="L1171" s="720">
        <v>375.12</v>
      </c>
      <c r="M1171" s="720">
        <v>3731.41</v>
      </c>
      <c r="N1171" s="720">
        <v>195.43</v>
      </c>
    </row>
    <row r="1172" spans="1:14" ht="15">
      <c r="A1172" s="705"/>
      <c r="B1172" s="705"/>
      <c r="C1172" s="719">
        <v>41633</v>
      </c>
      <c r="D1172" s="717">
        <v>12194</v>
      </c>
      <c r="E1172" s="720">
        <v>10845.61</v>
      </c>
      <c r="F1172" s="720">
        <v>19928.080000000002</v>
      </c>
      <c r="G1172" s="720">
        <v>16699.080000000002</v>
      </c>
      <c r="H1172" s="720">
        <v>11448.37</v>
      </c>
      <c r="I1172" s="720">
        <v>9649.73</v>
      </c>
      <c r="J1172" s="718">
        <v>117.39</v>
      </c>
      <c r="K1172" s="720">
        <v>1572.6</v>
      </c>
      <c r="L1172" s="720">
        <v>375.82</v>
      </c>
      <c r="M1172" s="720">
        <v>3727.6</v>
      </c>
      <c r="N1172" s="720">
        <v>196.44</v>
      </c>
    </row>
    <row r="1173" spans="1:14" ht="15">
      <c r="A1173" s="705"/>
      <c r="B1173" s="705"/>
      <c r="C1173" s="719">
        <v>41634</v>
      </c>
      <c r="D1173" s="717">
        <v>12194</v>
      </c>
      <c r="E1173" s="720">
        <v>10845.61</v>
      </c>
      <c r="F1173" s="720">
        <v>19928.080000000002</v>
      </c>
      <c r="G1173" s="720">
        <v>16699.080000000002</v>
      </c>
      <c r="H1173" s="720">
        <v>11448.37</v>
      </c>
      <c r="I1173" s="720">
        <v>9649.73</v>
      </c>
      <c r="J1173" s="718">
        <v>117.39</v>
      </c>
      <c r="K1173" s="720">
        <v>1572.6</v>
      </c>
      <c r="L1173" s="720">
        <v>375.82</v>
      </c>
      <c r="M1173" s="720">
        <v>3727.6</v>
      </c>
      <c r="N1173" s="720">
        <v>196.44</v>
      </c>
    </row>
    <row r="1174" spans="1:14" ht="15">
      <c r="A1174" s="705"/>
      <c r="B1174" s="705"/>
      <c r="C1174" s="719">
        <v>41635</v>
      </c>
      <c r="D1174" s="717">
        <v>12194</v>
      </c>
      <c r="E1174" s="720">
        <v>10845.61</v>
      </c>
      <c r="F1174" s="720">
        <v>19928.080000000002</v>
      </c>
      <c r="G1174" s="720">
        <v>16699.080000000002</v>
      </c>
      <c r="H1174" s="720">
        <v>11448.37</v>
      </c>
      <c r="I1174" s="720">
        <v>9649.73</v>
      </c>
      <c r="J1174" s="718">
        <v>117.39</v>
      </c>
      <c r="K1174" s="720">
        <v>1572.6</v>
      </c>
      <c r="L1174" s="720">
        <v>375.82</v>
      </c>
      <c r="M1174" s="720">
        <v>3727.6</v>
      </c>
      <c r="N1174" s="720">
        <v>196.44</v>
      </c>
    </row>
    <row r="1175" spans="1:14" ht="15">
      <c r="A1175" s="705"/>
      <c r="B1175" s="705"/>
      <c r="C1175" s="719">
        <v>41636</v>
      </c>
      <c r="D1175" s="717">
        <v>12194</v>
      </c>
      <c r="E1175" s="720">
        <v>10845.61</v>
      </c>
      <c r="F1175" s="720">
        <v>19928.080000000002</v>
      </c>
      <c r="G1175" s="720">
        <v>16699.080000000002</v>
      </c>
      <c r="H1175" s="720">
        <v>11448.37</v>
      </c>
      <c r="I1175" s="720">
        <v>9649.73</v>
      </c>
      <c r="J1175" s="718">
        <v>117.39</v>
      </c>
      <c r="K1175" s="720">
        <v>1572.6</v>
      </c>
      <c r="L1175" s="720">
        <v>375.82</v>
      </c>
      <c r="M1175" s="720">
        <v>3727.6</v>
      </c>
      <c r="N1175" s="720">
        <v>196.44</v>
      </c>
    </row>
    <row r="1176" spans="1:14" ht="15">
      <c r="A1176" s="705"/>
      <c r="B1176" s="705"/>
      <c r="C1176" s="719">
        <v>41637</v>
      </c>
      <c r="D1176" s="717">
        <v>12194</v>
      </c>
      <c r="E1176" s="720">
        <v>10845.61</v>
      </c>
      <c r="F1176" s="720">
        <v>19928.080000000002</v>
      </c>
      <c r="G1176" s="720">
        <v>16699.080000000002</v>
      </c>
      <c r="H1176" s="720">
        <v>11448.37</v>
      </c>
      <c r="I1176" s="720">
        <v>9649.73</v>
      </c>
      <c r="J1176" s="718">
        <v>117.39</v>
      </c>
      <c r="K1176" s="720">
        <v>1572.6</v>
      </c>
      <c r="L1176" s="720">
        <v>375.82</v>
      </c>
      <c r="M1176" s="720">
        <v>3727.6</v>
      </c>
      <c r="N1176" s="720">
        <v>196.44</v>
      </c>
    </row>
    <row r="1177" spans="1:14" ht="15">
      <c r="A1177" s="705"/>
      <c r="B1177" s="705"/>
      <c r="C1177" s="719">
        <v>41638</v>
      </c>
      <c r="D1177" s="717">
        <v>12194</v>
      </c>
      <c r="E1177" s="720">
        <v>10845.61</v>
      </c>
      <c r="F1177" s="720">
        <v>19928.080000000002</v>
      </c>
      <c r="G1177" s="720">
        <v>16699.080000000002</v>
      </c>
      <c r="H1177" s="720">
        <v>11448.37</v>
      </c>
      <c r="I1177" s="720">
        <v>9649.73</v>
      </c>
      <c r="J1177" s="718">
        <v>117.39</v>
      </c>
      <c r="K1177" s="720">
        <v>1572.6</v>
      </c>
      <c r="L1177" s="720">
        <v>375.82</v>
      </c>
      <c r="M1177" s="720">
        <v>3727.6</v>
      </c>
      <c r="N1177" s="720">
        <v>196.44</v>
      </c>
    </row>
    <row r="1178" spans="1:14" ht="15">
      <c r="A1178" s="705"/>
      <c r="B1178" s="705"/>
      <c r="C1178" s="719">
        <v>41639</v>
      </c>
      <c r="D1178" s="717">
        <v>12194</v>
      </c>
      <c r="E1178" s="720">
        <v>10845.61</v>
      </c>
      <c r="F1178" s="720">
        <v>19928.080000000002</v>
      </c>
      <c r="G1178" s="720">
        <v>16699.080000000002</v>
      </c>
      <c r="H1178" s="720">
        <v>11448.37</v>
      </c>
      <c r="I1178" s="720">
        <v>9649.73</v>
      </c>
      <c r="J1178" s="718">
        <v>117.39</v>
      </c>
      <c r="K1178" s="720">
        <v>1572.6</v>
      </c>
      <c r="L1178" s="720">
        <v>375.82</v>
      </c>
      <c r="M1178" s="720">
        <v>3727.6</v>
      </c>
      <c r="N1178" s="720">
        <v>196.44</v>
      </c>
    </row>
    <row r="1179" spans="1:14" ht="15">
      <c r="A1179" s="705"/>
      <c r="B1179" s="715" t="s">
        <v>609</v>
      </c>
      <c r="C1179" s="722"/>
      <c r="D1179" s="717"/>
      <c r="E1179" s="710"/>
      <c r="F1179" s="705"/>
      <c r="G1179" s="706"/>
      <c r="H1179" s="705"/>
      <c r="I1179" s="705"/>
      <c r="J1179" s="718"/>
      <c r="K1179" s="706"/>
      <c r="L1179" s="705"/>
      <c r="M1179" s="705"/>
      <c r="N1179" s="705"/>
    </row>
    <row r="1180" spans="1:14" ht="15">
      <c r="A1180" s="705"/>
      <c r="B1180" s="705"/>
      <c r="C1180" s="722" t="s">
        <v>681</v>
      </c>
      <c r="D1180" s="717">
        <v>9721.67</v>
      </c>
      <c r="E1180" s="723">
        <v>10128.469999999999</v>
      </c>
      <c r="F1180" s="724">
        <v>15389.22</v>
      </c>
      <c r="G1180" s="706">
        <v>12957.38</v>
      </c>
      <c r="H1180" s="724">
        <v>9744.73</v>
      </c>
      <c r="I1180" s="724">
        <v>7894.09</v>
      </c>
      <c r="J1180" s="717">
        <v>107.81</v>
      </c>
      <c r="K1180" s="725">
        <v>1253.78</v>
      </c>
      <c r="L1180" s="724">
        <v>323.64</v>
      </c>
      <c r="M1180" s="724">
        <v>3171.51</v>
      </c>
      <c r="N1180" s="724">
        <v>179.59</v>
      </c>
    </row>
    <row r="1181" spans="1:14" ht="15">
      <c r="A1181" s="705"/>
      <c r="B1181" s="705"/>
      <c r="C1181" s="722" t="s">
        <v>682</v>
      </c>
      <c r="D1181" s="717">
        <v>9717.5400000000009</v>
      </c>
      <c r="E1181" s="723">
        <v>10094.32</v>
      </c>
      <c r="F1181" s="724">
        <v>15161.32</v>
      </c>
      <c r="G1181" s="706">
        <v>12852.67</v>
      </c>
      <c r="H1181" s="724">
        <v>9659.5300000000007</v>
      </c>
      <c r="I1181" s="724">
        <v>7863.05</v>
      </c>
      <c r="J1181" s="717">
        <v>106.27</v>
      </c>
      <c r="K1181" s="725">
        <v>1252.98</v>
      </c>
      <c r="L1181" s="724">
        <v>325.04000000000002</v>
      </c>
      <c r="M1181" s="724">
        <v>3156.5</v>
      </c>
      <c r="N1181" s="724">
        <v>179.28</v>
      </c>
    </row>
    <row r="1182" spans="1:14" ht="15">
      <c r="A1182" s="705"/>
      <c r="B1182" s="705"/>
      <c r="C1182" s="722" t="s">
        <v>683</v>
      </c>
      <c r="D1182" s="717">
        <v>9719.65</v>
      </c>
      <c r="E1182" s="723">
        <v>10103.32</v>
      </c>
      <c r="F1182" s="724">
        <v>15086.35</v>
      </c>
      <c r="G1182" s="706">
        <v>12798.67</v>
      </c>
      <c r="H1182" s="724">
        <v>9635.4</v>
      </c>
      <c r="I1182" s="724">
        <v>7860.79</v>
      </c>
      <c r="J1182" s="717">
        <v>104.92</v>
      </c>
      <c r="K1182" s="725">
        <v>1252.95</v>
      </c>
      <c r="L1182" s="724">
        <v>327.2</v>
      </c>
      <c r="M1182" s="724">
        <v>3161.9</v>
      </c>
      <c r="N1182" s="724">
        <v>179.18</v>
      </c>
    </row>
    <row r="1183" spans="1:14" ht="15">
      <c r="A1183" s="705"/>
      <c r="B1183" s="705"/>
      <c r="C1183" s="722" t="s">
        <v>684</v>
      </c>
      <c r="D1183" s="717">
        <v>9725.5</v>
      </c>
      <c r="E1183" s="723">
        <v>10031.379999999999</v>
      </c>
      <c r="F1183" s="724">
        <v>15055.53</v>
      </c>
      <c r="G1183" s="706">
        <v>12768.63</v>
      </c>
      <c r="H1183" s="724">
        <v>9621.69</v>
      </c>
      <c r="I1183" s="724">
        <v>7854.82</v>
      </c>
      <c r="J1183" s="717">
        <v>103.14</v>
      </c>
      <c r="K1183" s="725">
        <v>1253.54</v>
      </c>
      <c r="L1183" s="724">
        <v>327.76</v>
      </c>
      <c r="M1183" s="724">
        <v>3177.27</v>
      </c>
      <c r="N1183" s="724">
        <v>179.04</v>
      </c>
    </row>
    <row r="1184" spans="1:14" ht="15">
      <c r="A1184" s="705"/>
      <c r="B1184" s="705"/>
      <c r="C1184" s="722" t="s">
        <v>685</v>
      </c>
      <c r="D1184" s="717">
        <v>9750.27</v>
      </c>
      <c r="E1184" s="723">
        <v>9933.76</v>
      </c>
      <c r="F1184" s="724">
        <v>15089.29</v>
      </c>
      <c r="G1184" s="706">
        <v>12807.75</v>
      </c>
      <c r="H1184" s="724">
        <v>9619.9</v>
      </c>
      <c r="I1184" s="724">
        <v>7854.58</v>
      </c>
      <c r="J1184" s="717">
        <v>102.8</v>
      </c>
      <c r="K1184" s="725">
        <v>1256.6500000000001</v>
      </c>
      <c r="L1184" s="724">
        <v>326.98</v>
      </c>
      <c r="M1184" s="724">
        <v>3175.76</v>
      </c>
      <c r="N1184" s="724">
        <v>177.95</v>
      </c>
    </row>
    <row r="1185" spans="1:14" ht="15">
      <c r="A1185" s="705"/>
      <c r="B1185" s="705"/>
      <c r="C1185" s="722" t="s">
        <v>686</v>
      </c>
      <c r="D1185" s="717">
        <v>9799.68</v>
      </c>
      <c r="E1185" s="723">
        <v>9820.94</v>
      </c>
      <c r="F1185" s="724">
        <v>15121.08</v>
      </c>
      <c r="G1185" s="706">
        <v>12861.68</v>
      </c>
      <c r="H1185" s="724">
        <v>9624.2800000000007</v>
      </c>
      <c r="I1185" s="724">
        <v>7866.71</v>
      </c>
      <c r="J1185" s="717">
        <v>102.51</v>
      </c>
      <c r="K1185" s="725">
        <v>1263.06</v>
      </c>
      <c r="L1185" s="724">
        <v>326.39999999999998</v>
      </c>
      <c r="M1185" s="724">
        <v>3172.52</v>
      </c>
      <c r="N1185" s="724">
        <v>176.41</v>
      </c>
    </row>
    <row r="1186" spans="1:14" ht="15">
      <c r="A1186" s="705"/>
      <c r="B1186" s="705"/>
      <c r="C1186" s="722" t="s">
        <v>687</v>
      </c>
      <c r="D1186" s="737">
        <v>9862.9699999999993</v>
      </c>
      <c r="E1186" s="723">
        <v>9797.5</v>
      </c>
      <c r="F1186" s="724">
        <v>15229.34</v>
      </c>
      <c r="G1186" s="706">
        <v>12963.25</v>
      </c>
      <c r="H1186" s="724">
        <v>9668.69</v>
      </c>
      <c r="I1186" s="724">
        <v>7908.25</v>
      </c>
      <c r="J1186" s="737">
        <v>102.97</v>
      </c>
      <c r="K1186" s="725">
        <v>1271.27</v>
      </c>
      <c r="L1186" s="724">
        <v>327.06</v>
      </c>
      <c r="M1186" s="724">
        <v>3176.1</v>
      </c>
      <c r="N1186" s="724">
        <v>175.79</v>
      </c>
    </row>
    <row r="1187" spans="1:14" ht="15">
      <c r="A1187" s="705"/>
      <c r="B1187" s="705"/>
      <c r="C1187" s="722" t="s">
        <v>688</v>
      </c>
      <c r="D1187" s="737">
        <v>10011.61</v>
      </c>
      <c r="E1187" s="723">
        <v>9857.94</v>
      </c>
      <c r="F1187" s="724">
        <v>15494.42</v>
      </c>
      <c r="G1187" s="706">
        <v>13177.59</v>
      </c>
      <c r="H1187" s="724">
        <v>9792.3799999999992</v>
      </c>
      <c r="I1187" s="724">
        <v>8011.6</v>
      </c>
      <c r="J1187" s="737">
        <v>104.11</v>
      </c>
      <c r="K1187" s="725">
        <v>1290.49</v>
      </c>
      <c r="L1187" s="724">
        <v>329.86</v>
      </c>
      <c r="M1187" s="724">
        <v>3204.76</v>
      </c>
      <c r="N1187" s="724">
        <v>175.58</v>
      </c>
    </row>
    <row r="1188" spans="1:14" ht="15">
      <c r="A1188" s="705"/>
      <c r="B1188" s="705"/>
      <c r="C1188" s="722" t="s">
        <v>689</v>
      </c>
      <c r="D1188" s="737">
        <v>10127.67</v>
      </c>
      <c r="E1188" s="723">
        <v>9934.73</v>
      </c>
      <c r="F1188" s="724">
        <v>15742.95</v>
      </c>
      <c r="G1188" s="706">
        <v>13379.32</v>
      </c>
      <c r="H1188" s="724">
        <v>9894.7800000000007</v>
      </c>
      <c r="I1188" s="724">
        <v>8107.21</v>
      </c>
      <c r="J1188" s="737">
        <v>105.12</v>
      </c>
      <c r="K1188" s="725">
        <v>1305.51</v>
      </c>
      <c r="L1188" s="724">
        <v>332.72</v>
      </c>
      <c r="M1188" s="724">
        <v>3235.02</v>
      </c>
      <c r="N1188" s="724">
        <v>176.16</v>
      </c>
    </row>
    <row r="1189" spans="1:14" ht="15">
      <c r="A1189" s="705"/>
      <c r="B1189" s="705"/>
      <c r="C1189" s="722" t="s">
        <v>690</v>
      </c>
      <c r="D1189" s="737">
        <v>10242.43</v>
      </c>
      <c r="E1189" s="723">
        <v>10006.200000000001</v>
      </c>
      <c r="F1189" s="724">
        <v>15975.83</v>
      </c>
      <c r="G1189" s="706">
        <v>13563.84</v>
      </c>
      <c r="H1189" s="724">
        <v>9985.09</v>
      </c>
      <c r="I1189" s="724">
        <v>8201.8700000000008</v>
      </c>
      <c r="J1189" s="737">
        <v>106</v>
      </c>
      <c r="K1189" s="725">
        <v>1320.38</v>
      </c>
      <c r="L1189" s="724">
        <v>335.43</v>
      </c>
      <c r="M1189" s="724">
        <v>3266.33</v>
      </c>
      <c r="N1189" s="724">
        <v>176.79</v>
      </c>
    </row>
    <row r="1190" spans="1:14" ht="15">
      <c r="A1190" s="705"/>
      <c r="B1190" s="705"/>
      <c r="C1190" s="722" t="s">
        <v>691</v>
      </c>
      <c r="D1190" s="737">
        <v>10384.86</v>
      </c>
      <c r="E1190" s="723">
        <v>10073.94</v>
      </c>
      <c r="F1190" s="724">
        <v>16269.89</v>
      </c>
      <c r="G1190" s="706">
        <v>13794.06</v>
      </c>
      <c r="H1190" s="724">
        <v>10091.44</v>
      </c>
      <c r="I1190" s="724">
        <v>8311.6</v>
      </c>
      <c r="J1190" s="737">
        <v>106.87</v>
      </c>
      <c r="K1190" s="725">
        <v>1338.8</v>
      </c>
      <c r="L1190" s="724">
        <v>338.45</v>
      </c>
      <c r="M1190" s="724">
        <v>3302.2</v>
      </c>
      <c r="N1190" s="724">
        <v>178.17</v>
      </c>
    </row>
    <row r="1191" spans="1:14" ht="15">
      <c r="A1191" s="705"/>
      <c r="B1191" s="705"/>
      <c r="C1191" s="722" t="s">
        <v>692</v>
      </c>
      <c r="D1191" s="737">
        <v>10455.200000000001</v>
      </c>
      <c r="E1191" s="723">
        <v>10057.620000000001</v>
      </c>
      <c r="F1191" s="724">
        <v>16340.13</v>
      </c>
      <c r="G1191" s="706">
        <v>13890.62</v>
      </c>
      <c r="H1191" s="724">
        <v>10119.49</v>
      </c>
      <c r="I1191" s="724">
        <v>8351.2999999999993</v>
      </c>
      <c r="J1191" s="737">
        <v>106.44</v>
      </c>
      <c r="K1191" s="725">
        <v>1347.79</v>
      </c>
      <c r="L1191" s="724">
        <v>340.2</v>
      </c>
      <c r="M1191" s="724">
        <v>3312.69</v>
      </c>
      <c r="N1191" s="724">
        <v>178.07</v>
      </c>
    </row>
    <row r="1192" spans="1:14" ht="15">
      <c r="A1192" s="705"/>
      <c r="B1192" s="705"/>
      <c r="C1192" s="722" t="s">
        <v>693</v>
      </c>
      <c r="D1192" s="737">
        <v>10530.44</v>
      </c>
      <c r="E1192" s="723">
        <v>10061.969999999999</v>
      </c>
      <c r="F1192" s="724">
        <v>16463.21</v>
      </c>
      <c r="G1192" s="706">
        <v>13977.73</v>
      </c>
      <c r="H1192" s="724">
        <v>10167.549999999999</v>
      </c>
      <c r="I1192" s="724">
        <v>8403.25</v>
      </c>
      <c r="J1192" s="737">
        <v>106.66</v>
      </c>
      <c r="K1192" s="725">
        <v>1357.46</v>
      </c>
      <c r="L1192" s="724">
        <v>341.71</v>
      </c>
      <c r="M1192" s="724">
        <v>3330.89</v>
      </c>
      <c r="N1192" s="724">
        <v>177.85</v>
      </c>
    </row>
    <row r="1193" spans="1:14" ht="15">
      <c r="A1193" s="705"/>
      <c r="B1193" s="705"/>
      <c r="C1193" s="722" t="s">
        <v>694</v>
      </c>
      <c r="D1193" s="737">
        <v>10619.32</v>
      </c>
      <c r="E1193" s="723">
        <v>10066.780000000001</v>
      </c>
      <c r="F1193" s="724">
        <v>16659.39</v>
      </c>
      <c r="G1193" s="706">
        <v>14124.82</v>
      </c>
      <c r="H1193" s="724">
        <v>10243.200000000001</v>
      </c>
      <c r="I1193" s="724">
        <v>8469.2000000000007</v>
      </c>
      <c r="J1193" s="737">
        <v>107.08</v>
      </c>
      <c r="K1193" s="725">
        <v>1368.95</v>
      </c>
      <c r="L1193" s="724">
        <v>343.17</v>
      </c>
      <c r="M1193" s="724">
        <v>3353.4</v>
      </c>
      <c r="N1193" s="724">
        <v>177.78</v>
      </c>
    </row>
    <row r="1194" spans="1:14" ht="15">
      <c r="A1194" s="705"/>
      <c r="B1194" s="705"/>
      <c r="C1194" s="722" t="s">
        <v>695</v>
      </c>
      <c r="D1194" s="737">
        <v>10727.55</v>
      </c>
      <c r="E1194" s="723">
        <v>10058.799999999999</v>
      </c>
      <c r="F1194" s="724">
        <v>16879.59</v>
      </c>
      <c r="G1194" s="706">
        <v>14306.84</v>
      </c>
      <c r="H1194" s="724">
        <v>10326.370000000001</v>
      </c>
      <c r="I1194" s="724">
        <v>8543.84</v>
      </c>
      <c r="J1194" s="737">
        <v>107.88</v>
      </c>
      <c r="K1194" s="725">
        <v>1383.02</v>
      </c>
      <c r="L1194" s="724">
        <v>344.25</v>
      </c>
      <c r="M1194" s="724">
        <v>3374.48</v>
      </c>
      <c r="N1194" s="724">
        <v>177.65</v>
      </c>
    </row>
    <row r="1195" spans="1:14" ht="15">
      <c r="A1195" s="705"/>
      <c r="B1195" s="705"/>
      <c r="C1195" s="722" t="s">
        <v>696</v>
      </c>
      <c r="D1195" s="737">
        <v>10902.93</v>
      </c>
      <c r="E1195" s="723">
        <v>10107.379999999999</v>
      </c>
      <c r="F1195" s="724">
        <v>17224.04</v>
      </c>
      <c r="G1195" s="706">
        <v>14599.76</v>
      </c>
      <c r="H1195" s="724">
        <v>10460.530000000001</v>
      </c>
      <c r="I1195" s="724">
        <v>8670.51</v>
      </c>
      <c r="J1195" s="737">
        <v>109.8</v>
      </c>
      <c r="K1195" s="725">
        <v>1405.79</v>
      </c>
      <c r="L1195" s="724">
        <v>346.85</v>
      </c>
      <c r="M1195" s="724">
        <v>3400.36</v>
      </c>
      <c r="N1195" s="724">
        <v>177.48</v>
      </c>
    </row>
    <row r="1196" spans="1:14" ht="15">
      <c r="A1196" s="705"/>
      <c r="B1196" s="705"/>
      <c r="C1196" s="722" t="s">
        <v>697</v>
      </c>
      <c r="D1196" s="737">
        <v>11072.33</v>
      </c>
      <c r="E1196" s="723">
        <v>10225.799999999999</v>
      </c>
      <c r="F1196" s="724">
        <v>17548.88</v>
      </c>
      <c r="G1196" s="706">
        <v>14862.57</v>
      </c>
      <c r="H1196" s="724">
        <v>10602.28</v>
      </c>
      <c r="I1196" s="724">
        <v>8806.7199999999993</v>
      </c>
      <c r="J1196" s="737">
        <v>111.28</v>
      </c>
      <c r="K1196" s="725">
        <v>1427.8</v>
      </c>
      <c r="L1196" s="724">
        <v>350.88</v>
      </c>
      <c r="M1196" s="724">
        <v>3439.19</v>
      </c>
      <c r="N1196" s="724">
        <v>178.4</v>
      </c>
    </row>
    <row r="1197" spans="1:14" ht="15">
      <c r="A1197" s="705"/>
      <c r="B1197" s="705"/>
      <c r="C1197" s="722" t="s">
        <v>698</v>
      </c>
      <c r="D1197" s="737">
        <v>11339.63</v>
      </c>
      <c r="E1197" s="723">
        <v>10486.72</v>
      </c>
      <c r="F1197" s="724">
        <v>18144.27</v>
      </c>
      <c r="G1197" s="706">
        <v>15315.33</v>
      </c>
      <c r="H1197" s="724">
        <v>10853.65</v>
      </c>
      <c r="I1197" s="724">
        <v>9037.48</v>
      </c>
      <c r="J1197" s="737">
        <v>113.97</v>
      </c>
      <c r="K1197" s="725">
        <v>1462.37</v>
      </c>
      <c r="L1197" s="724">
        <v>358.13</v>
      </c>
      <c r="M1197" s="724">
        <v>3513.79</v>
      </c>
      <c r="N1197" s="724">
        <v>181.02</v>
      </c>
    </row>
    <row r="1198" spans="1:14" ht="15">
      <c r="A1198" s="705"/>
      <c r="B1198" s="705"/>
      <c r="C1198" s="722" t="s">
        <v>699</v>
      </c>
      <c r="D1198" s="737">
        <v>11493.88</v>
      </c>
      <c r="E1198" s="723">
        <v>10661.36</v>
      </c>
      <c r="F1198" s="724">
        <v>18481.060000000001</v>
      </c>
      <c r="G1198" s="706">
        <v>15559.53</v>
      </c>
      <c r="H1198" s="724">
        <v>10989.8</v>
      </c>
      <c r="I1198" s="724">
        <v>9168.73</v>
      </c>
      <c r="J1198" s="737">
        <v>115.15</v>
      </c>
      <c r="K1198" s="725">
        <v>1482.31</v>
      </c>
      <c r="L1198" s="724">
        <v>362.68</v>
      </c>
      <c r="M1198" s="724">
        <v>3570.17</v>
      </c>
      <c r="N1198" s="724">
        <v>183.22</v>
      </c>
    </row>
    <row r="1199" spans="1:14" ht="15">
      <c r="A1199" s="705"/>
      <c r="B1199" s="705"/>
      <c r="C1199" s="722" t="s">
        <v>700</v>
      </c>
      <c r="D1199" s="737">
        <v>11566.83</v>
      </c>
      <c r="E1199" s="723">
        <v>10757.94</v>
      </c>
      <c r="F1199" s="724">
        <v>18725.55</v>
      </c>
      <c r="G1199" s="706">
        <v>15746.23</v>
      </c>
      <c r="H1199" s="724">
        <v>11038.47</v>
      </c>
      <c r="I1199" s="724">
        <v>9261.6299999999992</v>
      </c>
      <c r="J1199" s="737">
        <v>115.6</v>
      </c>
      <c r="K1199" s="725">
        <v>1491.77</v>
      </c>
      <c r="L1199" s="724">
        <v>365.69</v>
      </c>
      <c r="M1199" s="724">
        <v>3610.76</v>
      </c>
      <c r="N1199" s="724">
        <v>186.36</v>
      </c>
    </row>
    <row r="1200" spans="1:14" ht="15">
      <c r="A1200" s="705"/>
      <c r="B1200" s="705"/>
      <c r="C1200" s="722" t="s">
        <v>701</v>
      </c>
      <c r="D1200" s="737">
        <v>11735.13</v>
      </c>
      <c r="E1200" s="723">
        <v>10804.78</v>
      </c>
      <c r="F1200" s="724">
        <v>19036.349999999999</v>
      </c>
      <c r="G1200" s="706">
        <v>15971.47</v>
      </c>
      <c r="H1200" s="724">
        <v>11123.94</v>
      </c>
      <c r="I1200" s="724">
        <v>9384.68</v>
      </c>
      <c r="J1200" s="737">
        <v>116.05</v>
      </c>
      <c r="K1200" s="725">
        <v>1513.55</v>
      </c>
      <c r="L1200" s="724">
        <v>368.57</v>
      </c>
      <c r="M1200" s="724">
        <v>3654.91</v>
      </c>
      <c r="N1200" s="724">
        <v>188.72</v>
      </c>
    </row>
    <row r="1201" spans="1:14" ht="15">
      <c r="A1201" s="705"/>
      <c r="B1201" s="715" t="s">
        <v>702</v>
      </c>
      <c r="C1201" s="722"/>
      <c r="D1201" s="717"/>
      <c r="E1201" s="710"/>
      <c r="F1201" s="705"/>
      <c r="G1201" s="706"/>
      <c r="H1201" s="705"/>
      <c r="I1201" s="705"/>
      <c r="J1201" s="718"/>
      <c r="K1201" s="706"/>
      <c r="L1201" s="705"/>
      <c r="M1201" s="705"/>
      <c r="N1201" s="705"/>
    </row>
    <row r="1202" spans="1:14" ht="15">
      <c r="A1202" s="705"/>
      <c r="B1202" s="705"/>
      <c r="C1202" s="727" t="s">
        <v>703</v>
      </c>
      <c r="D1202" s="717">
        <v>9751.7999999999993</v>
      </c>
      <c r="E1202" s="723">
        <v>10220.84</v>
      </c>
      <c r="F1202" s="724">
        <v>15637.8</v>
      </c>
      <c r="G1202" s="725">
        <v>12925.08</v>
      </c>
      <c r="H1202" s="724">
        <v>9839.0400000000009</v>
      </c>
      <c r="I1202" s="724">
        <v>7954.3</v>
      </c>
      <c r="J1202" s="717">
        <v>110.76</v>
      </c>
      <c r="K1202" s="725">
        <v>1257.92</v>
      </c>
      <c r="L1202" s="724">
        <v>322.79000000000002</v>
      </c>
      <c r="M1202" s="724">
        <v>3207.81</v>
      </c>
      <c r="N1202" s="724">
        <v>179.06</v>
      </c>
    </row>
    <row r="1203" spans="1:14" ht="15">
      <c r="A1203" s="705"/>
      <c r="B1203" s="705"/>
      <c r="C1203" s="727" t="s">
        <v>704</v>
      </c>
      <c r="D1203" s="717">
        <v>9684</v>
      </c>
      <c r="E1203" s="723">
        <v>10013.01</v>
      </c>
      <c r="F1203" s="724">
        <v>15078.51</v>
      </c>
      <c r="G1203" s="725">
        <v>12997.75</v>
      </c>
      <c r="H1203" s="724">
        <v>9626.84</v>
      </c>
      <c r="I1203" s="724">
        <v>7818.83</v>
      </c>
      <c r="J1203" s="717">
        <v>104.12</v>
      </c>
      <c r="K1203" s="725">
        <v>1248.6099999999999</v>
      </c>
      <c r="L1203" s="724">
        <v>324.72000000000003</v>
      </c>
      <c r="M1203" s="724">
        <v>3126.14</v>
      </c>
      <c r="N1203" s="724">
        <v>180.25</v>
      </c>
    </row>
    <row r="1204" spans="1:14" ht="15">
      <c r="A1204" s="705"/>
      <c r="B1204" s="705"/>
      <c r="C1204" s="727" t="s">
        <v>705</v>
      </c>
      <c r="D1204" s="717">
        <v>9708.25</v>
      </c>
      <c r="E1204" s="723">
        <v>10017.469999999999</v>
      </c>
      <c r="F1204" s="724">
        <v>14648.55</v>
      </c>
      <c r="G1204" s="725">
        <v>12617.1</v>
      </c>
      <c r="H1204" s="724">
        <v>9467.83</v>
      </c>
      <c r="I1204" s="724">
        <v>7793.21</v>
      </c>
      <c r="J1204" s="717">
        <v>102.8</v>
      </c>
      <c r="K1204" s="725">
        <v>1251.18</v>
      </c>
      <c r="L1204" s="724">
        <v>328.17</v>
      </c>
      <c r="M1204" s="724">
        <v>3122.71</v>
      </c>
      <c r="N1204" s="724">
        <v>178.58</v>
      </c>
    </row>
    <row r="1205" spans="1:14" ht="15">
      <c r="A1205" s="705"/>
      <c r="B1205" s="705"/>
      <c r="C1205" s="727" t="s">
        <v>706</v>
      </c>
      <c r="D1205" s="717">
        <v>9726.5</v>
      </c>
      <c r="E1205" s="723">
        <v>10132.6</v>
      </c>
      <c r="F1205" s="724">
        <v>14842.7</v>
      </c>
      <c r="G1205" s="725">
        <v>12623.14</v>
      </c>
      <c r="H1205" s="724">
        <v>9557</v>
      </c>
      <c r="I1205" s="724">
        <v>7853.44</v>
      </c>
      <c r="J1205" s="717">
        <v>100.53</v>
      </c>
      <c r="K1205" s="725">
        <v>1252.8599999999999</v>
      </c>
      <c r="L1205" s="724">
        <v>334.22</v>
      </c>
      <c r="M1205" s="724">
        <v>3179.45</v>
      </c>
      <c r="N1205" s="724">
        <v>178.85</v>
      </c>
    </row>
    <row r="1206" spans="1:14" ht="15">
      <c r="A1206" s="705"/>
      <c r="B1206" s="705"/>
      <c r="C1206" s="727" t="s">
        <v>707</v>
      </c>
      <c r="D1206" s="717">
        <v>9745.4</v>
      </c>
      <c r="E1206" s="723">
        <v>9786.76</v>
      </c>
      <c r="F1206" s="724">
        <v>14950.72</v>
      </c>
      <c r="G1206" s="725">
        <v>12666.53</v>
      </c>
      <c r="H1206" s="724">
        <v>9575.07</v>
      </c>
      <c r="I1206" s="724">
        <v>7834.52</v>
      </c>
      <c r="J1206" s="717">
        <v>97.11</v>
      </c>
      <c r="K1206" s="725">
        <v>1255.53</v>
      </c>
      <c r="L1206" s="724">
        <v>329.69</v>
      </c>
      <c r="M1206" s="724">
        <v>3229.54</v>
      </c>
      <c r="N1206" s="724">
        <v>178.57</v>
      </c>
    </row>
    <row r="1207" spans="1:14" ht="15">
      <c r="A1207" s="705"/>
      <c r="B1207" s="705"/>
      <c r="C1207" s="727" t="s">
        <v>708</v>
      </c>
      <c r="D1207" s="717">
        <v>9886.5</v>
      </c>
      <c r="E1207" s="723">
        <v>9396.84</v>
      </c>
      <c r="F1207" s="724">
        <v>15274.97</v>
      </c>
      <c r="G1207" s="724">
        <v>13022.9</v>
      </c>
      <c r="H1207" s="724">
        <v>9610.07</v>
      </c>
      <c r="I1207" s="738">
        <v>7853.25</v>
      </c>
      <c r="J1207" s="717">
        <v>100.92</v>
      </c>
      <c r="K1207" s="724">
        <v>1273.74</v>
      </c>
      <c r="L1207" s="724">
        <v>322.69</v>
      </c>
      <c r="M1207" s="724">
        <v>3167.42</v>
      </c>
      <c r="N1207" s="724">
        <v>171.95</v>
      </c>
    </row>
    <row r="1208" spans="1:14" ht="15">
      <c r="A1208" s="705"/>
      <c r="B1208" s="705"/>
      <c r="C1208" s="727" t="s">
        <v>709</v>
      </c>
      <c r="D1208" s="717">
        <v>10056.6</v>
      </c>
      <c r="E1208" s="723">
        <v>9234.31</v>
      </c>
      <c r="F1208" s="724">
        <v>15286.4</v>
      </c>
      <c r="G1208" s="724">
        <v>13142.08</v>
      </c>
      <c r="H1208" s="724">
        <v>9647.07</v>
      </c>
      <c r="I1208" s="724">
        <v>7929.81</v>
      </c>
      <c r="J1208" s="717">
        <v>101.02</v>
      </c>
      <c r="K1208" s="724">
        <v>1296.43</v>
      </c>
      <c r="L1208" s="724">
        <v>323.33999999999997</v>
      </c>
      <c r="M1208" s="724">
        <v>3155.7</v>
      </c>
      <c r="N1208" s="724">
        <v>168.45</v>
      </c>
    </row>
    <row r="1209" spans="1:14" ht="15">
      <c r="A1209" s="705"/>
      <c r="B1209" s="705"/>
      <c r="C1209" s="727" t="s">
        <v>710</v>
      </c>
      <c r="D1209" s="717">
        <v>10517</v>
      </c>
      <c r="E1209" s="723">
        <v>9555.2999999999993</v>
      </c>
      <c r="F1209" s="724">
        <v>16348.07</v>
      </c>
      <c r="G1209" s="724">
        <v>14012.9</v>
      </c>
      <c r="H1209" s="724">
        <v>10127.5</v>
      </c>
      <c r="I1209" s="724">
        <v>8337.4500000000007</v>
      </c>
      <c r="J1209" s="717">
        <v>107.71</v>
      </c>
      <c r="K1209" s="724">
        <v>1356.05</v>
      </c>
      <c r="L1209" s="724">
        <v>333.88</v>
      </c>
      <c r="M1209" s="724">
        <v>3213.09</v>
      </c>
      <c r="N1209" s="724">
        <v>169.32</v>
      </c>
    </row>
    <row r="1210" spans="1:14" ht="15">
      <c r="A1210" s="705"/>
      <c r="B1210" s="705"/>
      <c r="C1210" s="727" t="s">
        <v>711</v>
      </c>
      <c r="D1210" s="717">
        <v>11275</v>
      </c>
      <c r="E1210" s="723">
        <v>10371.64</v>
      </c>
      <c r="F1210" s="724">
        <v>17747.59</v>
      </c>
      <c r="G1210" s="724">
        <v>14999.44</v>
      </c>
      <c r="H1210" s="724">
        <v>10843.81</v>
      </c>
      <c r="I1210" s="724">
        <v>8890.06</v>
      </c>
      <c r="J1210" s="739">
        <v>113.81</v>
      </c>
      <c r="K1210" s="724">
        <v>1453.9</v>
      </c>
      <c r="L1210" s="724">
        <v>353.65</v>
      </c>
      <c r="M1210" s="724">
        <v>3448.39</v>
      </c>
      <c r="N1210" s="724">
        <v>173.81</v>
      </c>
    </row>
    <row r="1211" spans="1:14" ht="15">
      <c r="A1211" s="705"/>
      <c r="B1211" s="705"/>
      <c r="C1211" s="727" t="s">
        <v>712</v>
      </c>
      <c r="D1211" s="717">
        <v>11230.25</v>
      </c>
      <c r="E1211" s="723">
        <v>10664.26</v>
      </c>
      <c r="F1211" s="724">
        <v>18103.939999999999</v>
      </c>
      <c r="G1211" s="724">
        <v>15295.75</v>
      </c>
      <c r="H1211" s="724">
        <v>10867.52</v>
      </c>
      <c r="I1211" s="724">
        <v>9015.5300000000007</v>
      </c>
      <c r="J1211" s="717">
        <v>114.69</v>
      </c>
      <c r="K1211" s="724">
        <v>1448.23</v>
      </c>
      <c r="L1211" s="724">
        <v>359.93</v>
      </c>
      <c r="M1211" s="724">
        <v>3522.47</v>
      </c>
      <c r="N1211" s="724">
        <v>181.62</v>
      </c>
    </row>
    <row r="1212" spans="1:14" ht="15">
      <c r="A1212" s="705"/>
      <c r="B1212" s="705"/>
      <c r="C1212" s="727" t="s">
        <v>713</v>
      </c>
      <c r="D1212" s="717">
        <v>11447.5</v>
      </c>
      <c r="E1212" s="723">
        <v>10756.63</v>
      </c>
      <c r="F1212" s="724">
        <v>18421.11</v>
      </c>
      <c r="G1212" s="724">
        <v>15501.26</v>
      </c>
      <c r="H1212" s="724">
        <v>10933.33</v>
      </c>
      <c r="I1212" s="724">
        <v>9195.85</v>
      </c>
      <c r="J1212" s="737">
        <v>115.21</v>
      </c>
      <c r="K1212" s="724">
        <v>1476.52</v>
      </c>
      <c r="L1212" s="724">
        <v>363.89</v>
      </c>
      <c r="M1212" s="724">
        <v>3595.09</v>
      </c>
      <c r="N1212" s="724">
        <v>183.47</v>
      </c>
    </row>
    <row r="1213" spans="1:14" ht="15">
      <c r="A1213" s="705"/>
      <c r="B1213" s="705"/>
      <c r="C1213" s="727" t="s">
        <v>714</v>
      </c>
      <c r="D1213" s="717">
        <v>12022.75</v>
      </c>
      <c r="E1213" s="723">
        <v>10852.92</v>
      </c>
      <c r="F1213" s="724">
        <v>19651.599999999999</v>
      </c>
      <c r="G1213" s="724">
        <v>16441.68</v>
      </c>
      <c r="H1213" s="724">
        <v>11314.55</v>
      </c>
      <c r="I1213" s="724">
        <v>9573.5</v>
      </c>
      <c r="J1213" s="717">
        <v>116.89</v>
      </c>
      <c r="K1213" s="724">
        <v>1550.57</v>
      </c>
      <c r="L1213" s="724">
        <v>373.24</v>
      </c>
      <c r="M1213" s="724">
        <v>3714.73</v>
      </c>
      <c r="N1213" s="724">
        <v>193.98</v>
      </c>
    </row>
    <row r="1214" spans="1:14" ht="15">
      <c r="A1214" s="705"/>
      <c r="B1214" s="705"/>
      <c r="C1214" s="740"/>
      <c r="D1214" s="717"/>
      <c r="E1214" s="710"/>
      <c r="F1214" s="705"/>
      <c r="G1214" s="705"/>
      <c r="H1214" s="705"/>
      <c r="I1214" s="705"/>
      <c r="J1214" s="718"/>
      <c r="K1214" s="705"/>
      <c r="L1214" s="705"/>
      <c r="M1214" s="705"/>
      <c r="N1214" s="705"/>
    </row>
    <row r="1215" spans="1:14" ht="15">
      <c r="A1215" s="715" t="s">
        <v>715</v>
      </c>
      <c r="B1215" s="705"/>
      <c r="C1215" s="719"/>
      <c r="D1215" s="717"/>
      <c r="E1215" s="710"/>
      <c r="F1215" s="705"/>
      <c r="G1215" s="705"/>
      <c r="H1215" s="705"/>
      <c r="I1215" s="705"/>
      <c r="J1215" s="718"/>
      <c r="K1215" s="705"/>
      <c r="L1215" s="705"/>
      <c r="M1215" s="705"/>
      <c r="N1215" s="705"/>
    </row>
    <row r="1216" spans="1:14" ht="15">
      <c r="A1216" s="705"/>
      <c r="B1216" s="715" t="s">
        <v>645</v>
      </c>
      <c r="C1216" s="719"/>
      <c r="D1216" s="717"/>
      <c r="E1216" s="710"/>
      <c r="F1216" s="705"/>
      <c r="G1216" s="705"/>
      <c r="H1216" s="705"/>
      <c r="I1216" s="705"/>
      <c r="J1216" s="718"/>
      <c r="K1216" s="705"/>
      <c r="L1216" s="705"/>
      <c r="M1216" s="705"/>
      <c r="N1216" s="705"/>
    </row>
    <row r="1217" spans="1:14" ht="15">
      <c r="A1217" s="705"/>
      <c r="B1217" s="705"/>
      <c r="C1217" s="719">
        <v>41640</v>
      </c>
      <c r="D1217" s="717">
        <v>12225</v>
      </c>
      <c r="E1217" s="720">
        <v>10867.6</v>
      </c>
      <c r="F1217" s="720">
        <v>20056.080000000002</v>
      </c>
      <c r="G1217" s="720">
        <v>16763.599999999999</v>
      </c>
      <c r="H1217" s="720">
        <v>11470.41</v>
      </c>
      <c r="I1217" s="720">
        <v>9640.42</v>
      </c>
      <c r="J1217" s="726">
        <v>116.64</v>
      </c>
      <c r="K1217" s="720">
        <v>1576.33</v>
      </c>
      <c r="L1217" s="720">
        <v>372.58</v>
      </c>
      <c r="M1217" s="720">
        <v>3711.79</v>
      </c>
      <c r="N1217" s="720">
        <v>197.37</v>
      </c>
    </row>
    <row r="1218" spans="1:14" ht="15">
      <c r="A1218" s="705"/>
      <c r="B1218" s="705"/>
      <c r="C1218" s="719">
        <v>41641</v>
      </c>
      <c r="D1218" s="717">
        <v>12225</v>
      </c>
      <c r="E1218" s="720">
        <v>10867.6</v>
      </c>
      <c r="F1218" s="720">
        <v>20056.080000000002</v>
      </c>
      <c r="G1218" s="720">
        <v>16763.599999999999</v>
      </c>
      <c r="H1218" s="720">
        <v>11470.41</v>
      </c>
      <c r="I1218" s="720">
        <v>9640.42</v>
      </c>
      <c r="J1218" s="726">
        <v>116.64</v>
      </c>
      <c r="K1218" s="720">
        <v>1576.33</v>
      </c>
      <c r="L1218" s="720">
        <v>372.58</v>
      </c>
      <c r="M1218" s="720">
        <v>3711.79</v>
      </c>
      <c r="N1218" s="720">
        <v>197.37</v>
      </c>
    </row>
    <row r="1219" spans="1:14" ht="15">
      <c r="A1219" s="705"/>
      <c r="B1219" s="705"/>
      <c r="C1219" s="719">
        <v>41642</v>
      </c>
      <c r="D1219" s="717">
        <v>12225</v>
      </c>
      <c r="E1219" s="720">
        <v>10867.6</v>
      </c>
      <c r="F1219" s="720">
        <v>20056.080000000002</v>
      </c>
      <c r="G1219" s="720">
        <v>16763.599999999999</v>
      </c>
      <c r="H1219" s="720">
        <v>11470.41</v>
      </c>
      <c r="I1219" s="720">
        <v>9640.42</v>
      </c>
      <c r="J1219" s="726">
        <v>116.64</v>
      </c>
      <c r="K1219" s="720">
        <v>1576.33</v>
      </c>
      <c r="L1219" s="720">
        <v>372.58</v>
      </c>
      <c r="M1219" s="720">
        <v>3711.79</v>
      </c>
      <c r="N1219" s="720">
        <v>197.37</v>
      </c>
    </row>
    <row r="1220" spans="1:14" ht="15">
      <c r="A1220" s="705"/>
      <c r="B1220" s="705"/>
      <c r="C1220" s="719">
        <v>41643</v>
      </c>
      <c r="D1220" s="717">
        <v>12225</v>
      </c>
      <c r="E1220" s="720">
        <v>10867.6</v>
      </c>
      <c r="F1220" s="720">
        <v>20056.080000000002</v>
      </c>
      <c r="G1220" s="720">
        <v>16763.599999999999</v>
      </c>
      <c r="H1220" s="720">
        <v>11470.41</v>
      </c>
      <c r="I1220" s="720">
        <v>9640.42</v>
      </c>
      <c r="J1220" s="726">
        <v>116.64</v>
      </c>
      <c r="K1220" s="720">
        <v>1576.33</v>
      </c>
      <c r="L1220" s="720">
        <v>372.58</v>
      </c>
      <c r="M1220" s="720">
        <v>3711.79</v>
      </c>
      <c r="N1220" s="720">
        <v>197.37</v>
      </c>
    </row>
    <row r="1221" spans="1:14" ht="15">
      <c r="A1221" s="705"/>
      <c r="B1221" s="705"/>
      <c r="C1221" s="719">
        <v>41644</v>
      </c>
      <c r="D1221" s="717">
        <v>12225</v>
      </c>
      <c r="E1221" s="720">
        <v>10867.6</v>
      </c>
      <c r="F1221" s="720">
        <v>20056.080000000002</v>
      </c>
      <c r="G1221" s="720">
        <v>16763.599999999999</v>
      </c>
      <c r="H1221" s="720">
        <v>11470.41</v>
      </c>
      <c r="I1221" s="720">
        <v>9640.42</v>
      </c>
      <c r="J1221" s="726">
        <v>116.64</v>
      </c>
      <c r="K1221" s="720">
        <v>1576.33</v>
      </c>
      <c r="L1221" s="720">
        <v>372.58</v>
      </c>
      <c r="M1221" s="720">
        <v>3711.79</v>
      </c>
      <c r="N1221" s="720">
        <v>197.37</v>
      </c>
    </row>
    <row r="1222" spans="1:14" ht="15">
      <c r="A1222" s="705"/>
      <c r="B1222" s="705"/>
      <c r="C1222" s="719">
        <v>41645</v>
      </c>
      <c r="D1222" s="717">
        <v>12225</v>
      </c>
      <c r="E1222" s="720">
        <v>10867.6</v>
      </c>
      <c r="F1222" s="720">
        <v>20056.080000000002</v>
      </c>
      <c r="G1222" s="720">
        <v>16763.599999999999</v>
      </c>
      <c r="H1222" s="720">
        <v>11470.41</v>
      </c>
      <c r="I1222" s="720">
        <v>9640.42</v>
      </c>
      <c r="J1222" s="726">
        <v>116.64</v>
      </c>
      <c r="K1222" s="720">
        <v>1576.33</v>
      </c>
      <c r="L1222" s="720">
        <v>372.58</v>
      </c>
      <c r="M1222" s="720">
        <v>3711.79</v>
      </c>
      <c r="N1222" s="720">
        <v>197.37</v>
      </c>
    </row>
    <row r="1223" spans="1:14" ht="15">
      <c r="A1223" s="705"/>
      <c r="B1223" s="705"/>
      <c r="C1223" s="719">
        <v>41646</v>
      </c>
      <c r="D1223" s="717">
        <v>12225</v>
      </c>
      <c r="E1223" s="720">
        <v>10867.6</v>
      </c>
      <c r="F1223" s="720">
        <v>20056.080000000002</v>
      </c>
      <c r="G1223" s="720">
        <v>16763.599999999999</v>
      </c>
      <c r="H1223" s="720">
        <v>11470.41</v>
      </c>
      <c r="I1223" s="720">
        <v>9640.42</v>
      </c>
      <c r="J1223" s="726">
        <v>116.64</v>
      </c>
      <c r="K1223" s="720">
        <v>1576.33</v>
      </c>
      <c r="L1223" s="720">
        <v>372.58</v>
      </c>
      <c r="M1223" s="720">
        <v>3711.79</v>
      </c>
      <c r="N1223" s="720">
        <v>197.37</v>
      </c>
    </row>
    <row r="1224" spans="1:14" ht="15">
      <c r="A1224" s="705"/>
      <c r="B1224" s="705"/>
      <c r="C1224" s="719">
        <v>41647</v>
      </c>
      <c r="D1224" s="717">
        <v>12176</v>
      </c>
      <c r="E1224" s="720">
        <v>10874.43</v>
      </c>
      <c r="F1224" s="720">
        <v>20028.939999999999</v>
      </c>
      <c r="G1224" s="720">
        <v>16626.62</v>
      </c>
      <c r="H1224" s="720">
        <v>11428.1</v>
      </c>
      <c r="I1224" s="720">
        <v>9610.92</v>
      </c>
      <c r="J1224" s="726">
        <v>116.29</v>
      </c>
      <c r="K1224" s="720">
        <v>1570.17</v>
      </c>
      <c r="L1224" s="720">
        <v>369.21</v>
      </c>
      <c r="M1224" s="720">
        <v>3706.26</v>
      </c>
      <c r="N1224" s="720">
        <v>195.87</v>
      </c>
    </row>
    <row r="1225" spans="1:14" ht="15">
      <c r="A1225" s="705"/>
      <c r="B1225" s="705"/>
      <c r="C1225" s="719">
        <v>41648</v>
      </c>
      <c r="D1225" s="717">
        <v>12176</v>
      </c>
      <c r="E1225" s="720">
        <v>10874.43</v>
      </c>
      <c r="F1225" s="720">
        <v>20028.939999999999</v>
      </c>
      <c r="G1225" s="720">
        <v>16626.62</v>
      </c>
      <c r="H1225" s="720">
        <v>11428.1</v>
      </c>
      <c r="I1225" s="720">
        <v>9610.92</v>
      </c>
      <c r="J1225" s="726">
        <v>116.29</v>
      </c>
      <c r="K1225" s="720">
        <v>1570.17</v>
      </c>
      <c r="L1225" s="720">
        <v>369.21</v>
      </c>
      <c r="M1225" s="720">
        <v>3706.26</v>
      </c>
      <c r="N1225" s="720">
        <v>195.87</v>
      </c>
    </row>
    <row r="1226" spans="1:14" ht="15">
      <c r="A1226" s="705"/>
      <c r="B1226" s="705"/>
      <c r="C1226" s="719">
        <v>41649</v>
      </c>
      <c r="D1226" s="717">
        <v>12176</v>
      </c>
      <c r="E1226" s="720">
        <v>10874.43</v>
      </c>
      <c r="F1226" s="720">
        <v>20028.939999999999</v>
      </c>
      <c r="G1226" s="720">
        <v>16626.62</v>
      </c>
      <c r="H1226" s="720">
        <v>11428.1</v>
      </c>
      <c r="I1226" s="720">
        <v>9610.92</v>
      </c>
      <c r="J1226" s="726">
        <v>116.29</v>
      </c>
      <c r="K1226" s="720">
        <v>1570.17</v>
      </c>
      <c r="L1226" s="720">
        <v>369.21</v>
      </c>
      <c r="M1226" s="720">
        <v>3706.26</v>
      </c>
      <c r="N1226" s="720">
        <v>195.87</v>
      </c>
    </row>
    <row r="1227" spans="1:14" ht="15">
      <c r="A1227" s="705"/>
      <c r="B1227" s="705"/>
      <c r="C1227" s="719">
        <v>41650</v>
      </c>
      <c r="D1227" s="717">
        <v>12176</v>
      </c>
      <c r="E1227" s="720">
        <v>10874.43</v>
      </c>
      <c r="F1227" s="720">
        <v>20028.939999999999</v>
      </c>
      <c r="G1227" s="720">
        <v>16626.62</v>
      </c>
      <c r="H1227" s="720">
        <v>11428.1</v>
      </c>
      <c r="I1227" s="720">
        <v>9610.92</v>
      </c>
      <c r="J1227" s="726">
        <v>116.29</v>
      </c>
      <c r="K1227" s="720">
        <v>1570.17</v>
      </c>
      <c r="L1227" s="720">
        <v>369.21</v>
      </c>
      <c r="M1227" s="720">
        <v>3706.26</v>
      </c>
      <c r="N1227" s="720">
        <v>195.87</v>
      </c>
    </row>
    <row r="1228" spans="1:14" ht="15">
      <c r="A1228" s="705"/>
      <c r="B1228" s="705"/>
      <c r="C1228" s="719">
        <v>41651</v>
      </c>
      <c r="D1228" s="717">
        <v>12176</v>
      </c>
      <c r="E1228" s="720">
        <v>10874.43</v>
      </c>
      <c r="F1228" s="720">
        <v>20028.939999999999</v>
      </c>
      <c r="G1228" s="720">
        <v>16626.62</v>
      </c>
      <c r="H1228" s="720">
        <v>11428.1</v>
      </c>
      <c r="I1228" s="720">
        <v>9610.92</v>
      </c>
      <c r="J1228" s="726">
        <v>116.29</v>
      </c>
      <c r="K1228" s="720">
        <v>1570.17</v>
      </c>
      <c r="L1228" s="720">
        <v>369.21</v>
      </c>
      <c r="M1228" s="720">
        <v>3706.26</v>
      </c>
      <c r="N1228" s="720">
        <v>195.87</v>
      </c>
    </row>
    <row r="1229" spans="1:14" ht="15">
      <c r="A1229" s="705"/>
      <c r="B1229" s="705"/>
      <c r="C1229" s="719">
        <v>41652</v>
      </c>
      <c r="D1229" s="717">
        <v>12176</v>
      </c>
      <c r="E1229" s="720">
        <v>10874.43</v>
      </c>
      <c r="F1229" s="720">
        <v>20028.939999999999</v>
      </c>
      <c r="G1229" s="720">
        <v>16626.62</v>
      </c>
      <c r="H1229" s="720">
        <v>11428.1</v>
      </c>
      <c r="I1229" s="720">
        <v>9610.92</v>
      </c>
      <c r="J1229" s="726">
        <v>116.29</v>
      </c>
      <c r="K1229" s="720">
        <v>1570.17</v>
      </c>
      <c r="L1229" s="720">
        <v>369.21</v>
      </c>
      <c r="M1229" s="720">
        <v>3706.26</v>
      </c>
      <c r="N1229" s="720">
        <v>195.87</v>
      </c>
    </row>
    <row r="1230" spans="1:14" ht="15">
      <c r="A1230" s="705"/>
      <c r="B1230" s="705"/>
      <c r="C1230" s="719">
        <v>41653</v>
      </c>
      <c r="D1230" s="717">
        <v>12176</v>
      </c>
      <c r="E1230" s="720">
        <v>10874.43</v>
      </c>
      <c r="F1230" s="720">
        <v>20028.939999999999</v>
      </c>
      <c r="G1230" s="720">
        <v>16626.62</v>
      </c>
      <c r="H1230" s="720">
        <v>11428.1</v>
      </c>
      <c r="I1230" s="720">
        <v>9610.92</v>
      </c>
      <c r="J1230" s="726">
        <v>116.29</v>
      </c>
      <c r="K1230" s="720">
        <v>1570.17</v>
      </c>
      <c r="L1230" s="720">
        <v>369.21</v>
      </c>
      <c r="M1230" s="720">
        <v>3706.26</v>
      </c>
      <c r="N1230" s="720">
        <v>195.87</v>
      </c>
    </row>
    <row r="1231" spans="1:14" ht="15">
      <c r="A1231" s="705"/>
      <c r="B1231" s="705"/>
      <c r="C1231" s="719">
        <v>41654</v>
      </c>
      <c r="D1231" s="717">
        <v>12206</v>
      </c>
      <c r="E1231" s="720">
        <v>10892.83</v>
      </c>
      <c r="F1231" s="720">
        <v>20048.59</v>
      </c>
      <c r="G1231" s="720">
        <v>16604.71</v>
      </c>
      <c r="H1231" s="720">
        <v>11360.62</v>
      </c>
      <c r="I1231" s="720">
        <v>9608.74</v>
      </c>
      <c r="J1231" s="726">
        <v>116.58</v>
      </c>
      <c r="K1231" s="720">
        <v>1574.03</v>
      </c>
      <c r="L1231" s="720">
        <v>369.27</v>
      </c>
      <c r="M1231" s="720">
        <v>3718.48</v>
      </c>
      <c r="N1231" s="720">
        <v>196.27</v>
      </c>
    </row>
    <row r="1232" spans="1:14" ht="15">
      <c r="A1232" s="705"/>
      <c r="B1232" s="705"/>
      <c r="C1232" s="719">
        <v>41655</v>
      </c>
      <c r="D1232" s="717">
        <v>12206</v>
      </c>
      <c r="E1232" s="720">
        <v>10892.83</v>
      </c>
      <c r="F1232" s="720">
        <v>20048.59</v>
      </c>
      <c r="G1232" s="720">
        <v>16604.71</v>
      </c>
      <c r="H1232" s="720">
        <v>11360.62</v>
      </c>
      <c r="I1232" s="720">
        <v>9608.74</v>
      </c>
      <c r="J1232" s="726">
        <v>116.58</v>
      </c>
      <c r="K1232" s="720">
        <v>1574.03</v>
      </c>
      <c r="L1232" s="720">
        <v>369.27</v>
      </c>
      <c r="M1232" s="720">
        <v>3718.48</v>
      </c>
      <c r="N1232" s="720">
        <v>196.27</v>
      </c>
    </row>
    <row r="1233" spans="1:14" ht="15">
      <c r="A1233" s="705"/>
      <c r="B1233" s="705"/>
      <c r="C1233" s="719">
        <v>41656</v>
      </c>
      <c r="D1233" s="717">
        <v>12206</v>
      </c>
      <c r="E1233" s="720">
        <v>10892.83</v>
      </c>
      <c r="F1233" s="720">
        <v>20048.59</v>
      </c>
      <c r="G1233" s="720">
        <v>16604.71</v>
      </c>
      <c r="H1233" s="720">
        <v>11360.62</v>
      </c>
      <c r="I1233" s="720">
        <v>9608.74</v>
      </c>
      <c r="J1233" s="726">
        <v>116.58</v>
      </c>
      <c r="K1233" s="720">
        <v>1574.03</v>
      </c>
      <c r="L1233" s="720">
        <v>369.27</v>
      </c>
      <c r="M1233" s="720">
        <v>3718.48</v>
      </c>
      <c r="N1233" s="720">
        <v>196.27</v>
      </c>
    </row>
    <row r="1234" spans="1:14" ht="15">
      <c r="A1234" s="705"/>
      <c r="B1234" s="705"/>
      <c r="C1234" s="719">
        <v>41657</v>
      </c>
      <c r="D1234" s="717">
        <v>12206</v>
      </c>
      <c r="E1234" s="720">
        <v>10892.83</v>
      </c>
      <c r="F1234" s="720">
        <v>20048.59</v>
      </c>
      <c r="G1234" s="720">
        <v>16604.71</v>
      </c>
      <c r="H1234" s="720">
        <v>11360.62</v>
      </c>
      <c r="I1234" s="720">
        <v>9608.74</v>
      </c>
      <c r="J1234" s="726">
        <v>116.58</v>
      </c>
      <c r="K1234" s="720">
        <v>1574.03</v>
      </c>
      <c r="L1234" s="720">
        <v>369.27</v>
      </c>
      <c r="M1234" s="720">
        <v>3718.48</v>
      </c>
      <c r="N1234" s="720">
        <v>196.27</v>
      </c>
    </row>
    <row r="1235" spans="1:14" ht="15">
      <c r="A1235" s="705"/>
      <c r="B1235" s="705"/>
      <c r="C1235" s="719">
        <v>41658</v>
      </c>
      <c r="D1235" s="717">
        <v>12206</v>
      </c>
      <c r="E1235" s="720">
        <v>10892.83</v>
      </c>
      <c r="F1235" s="720">
        <v>20048.59</v>
      </c>
      <c r="G1235" s="720">
        <v>16604.71</v>
      </c>
      <c r="H1235" s="720">
        <v>11360.62</v>
      </c>
      <c r="I1235" s="720">
        <v>9608.74</v>
      </c>
      <c r="J1235" s="726">
        <v>116.58</v>
      </c>
      <c r="K1235" s="720">
        <v>1574.03</v>
      </c>
      <c r="L1235" s="720">
        <v>369.27</v>
      </c>
      <c r="M1235" s="720">
        <v>3718.48</v>
      </c>
      <c r="N1235" s="720">
        <v>196.27</v>
      </c>
    </row>
    <row r="1236" spans="1:14" ht="15">
      <c r="A1236" s="705"/>
      <c r="B1236" s="705"/>
      <c r="C1236" s="719">
        <v>41659</v>
      </c>
      <c r="D1236" s="717">
        <v>12206</v>
      </c>
      <c r="E1236" s="720">
        <v>10892.83</v>
      </c>
      <c r="F1236" s="720">
        <v>20048.59</v>
      </c>
      <c r="G1236" s="720">
        <v>16604.71</v>
      </c>
      <c r="H1236" s="720">
        <v>11360.62</v>
      </c>
      <c r="I1236" s="720">
        <v>9608.74</v>
      </c>
      <c r="J1236" s="726">
        <v>116.58</v>
      </c>
      <c r="K1236" s="720">
        <v>1574.03</v>
      </c>
      <c r="L1236" s="720">
        <v>369.27</v>
      </c>
      <c r="M1236" s="720">
        <v>3718.48</v>
      </c>
      <c r="N1236" s="720">
        <v>196.27</v>
      </c>
    </row>
    <row r="1237" spans="1:14" ht="15">
      <c r="A1237" s="705"/>
      <c r="B1237" s="705"/>
      <c r="C1237" s="719">
        <v>41660</v>
      </c>
      <c r="D1237" s="717">
        <v>12206</v>
      </c>
      <c r="E1237" s="720">
        <v>10892.83</v>
      </c>
      <c r="F1237" s="720">
        <v>20048.59</v>
      </c>
      <c r="G1237" s="720">
        <v>16604.71</v>
      </c>
      <c r="H1237" s="720">
        <v>11360.62</v>
      </c>
      <c r="I1237" s="720">
        <v>9608.74</v>
      </c>
      <c r="J1237" s="726">
        <v>116.58</v>
      </c>
      <c r="K1237" s="720">
        <v>1574.03</v>
      </c>
      <c r="L1237" s="720">
        <v>369.27</v>
      </c>
      <c r="M1237" s="720">
        <v>3718.48</v>
      </c>
      <c r="N1237" s="720">
        <v>196.27</v>
      </c>
    </row>
    <row r="1238" spans="1:14" ht="15">
      <c r="A1238" s="705"/>
      <c r="B1238" s="705"/>
      <c r="C1238" s="719">
        <v>41661</v>
      </c>
      <c r="D1238" s="717">
        <v>12102</v>
      </c>
      <c r="E1238" s="720">
        <v>10714.67</v>
      </c>
      <c r="F1238" s="720">
        <v>19843.310000000001</v>
      </c>
      <c r="G1238" s="720">
        <v>16444.73</v>
      </c>
      <c r="H1238" s="720">
        <v>11061.9</v>
      </c>
      <c r="I1238" s="720">
        <v>9505.24</v>
      </c>
      <c r="J1238" s="726">
        <v>116.08</v>
      </c>
      <c r="K1238" s="720">
        <v>1560.49</v>
      </c>
      <c r="L1238" s="720">
        <v>368.71</v>
      </c>
      <c r="M1238" s="720">
        <v>3677.46</v>
      </c>
      <c r="N1238" s="720">
        <v>196.62</v>
      </c>
    </row>
    <row r="1239" spans="1:14" ht="15">
      <c r="A1239" s="705"/>
      <c r="B1239" s="705"/>
      <c r="C1239" s="719">
        <v>41662</v>
      </c>
      <c r="D1239" s="717">
        <v>12102</v>
      </c>
      <c r="E1239" s="720">
        <v>10714.67</v>
      </c>
      <c r="F1239" s="720">
        <v>19843.310000000001</v>
      </c>
      <c r="G1239" s="720">
        <v>16444.73</v>
      </c>
      <c r="H1239" s="720">
        <v>11061.9</v>
      </c>
      <c r="I1239" s="720">
        <v>9505.24</v>
      </c>
      <c r="J1239" s="726">
        <v>116.08</v>
      </c>
      <c r="K1239" s="720">
        <v>1560.49</v>
      </c>
      <c r="L1239" s="720">
        <v>368.71</v>
      </c>
      <c r="M1239" s="720">
        <v>3677.46</v>
      </c>
      <c r="N1239" s="720">
        <v>196.62</v>
      </c>
    </row>
    <row r="1240" spans="1:14" ht="15">
      <c r="A1240" s="705"/>
      <c r="B1240" s="705"/>
      <c r="C1240" s="719">
        <v>41663</v>
      </c>
      <c r="D1240" s="717">
        <v>12102</v>
      </c>
      <c r="E1240" s="720">
        <v>10714.67</v>
      </c>
      <c r="F1240" s="720">
        <v>19843.310000000001</v>
      </c>
      <c r="G1240" s="720">
        <v>16444.73</v>
      </c>
      <c r="H1240" s="720">
        <v>11061.9</v>
      </c>
      <c r="I1240" s="720">
        <v>9505.24</v>
      </c>
      <c r="J1240" s="726">
        <v>116.08</v>
      </c>
      <c r="K1240" s="720">
        <v>1560.49</v>
      </c>
      <c r="L1240" s="720">
        <v>368.71</v>
      </c>
      <c r="M1240" s="720">
        <v>3677.46</v>
      </c>
      <c r="N1240" s="720">
        <v>196.62</v>
      </c>
    </row>
    <row r="1241" spans="1:14" ht="15">
      <c r="A1241" s="705"/>
      <c r="B1241" s="705"/>
      <c r="C1241" s="719">
        <v>41664</v>
      </c>
      <c r="D1241" s="717">
        <v>12102</v>
      </c>
      <c r="E1241" s="720">
        <v>10714.67</v>
      </c>
      <c r="F1241" s="720">
        <v>19843.310000000001</v>
      </c>
      <c r="G1241" s="720">
        <v>16444.73</v>
      </c>
      <c r="H1241" s="720">
        <v>11061.9</v>
      </c>
      <c r="I1241" s="720">
        <v>9505.24</v>
      </c>
      <c r="J1241" s="726">
        <v>116.08</v>
      </c>
      <c r="K1241" s="720">
        <v>1560.49</v>
      </c>
      <c r="L1241" s="720">
        <v>368.71</v>
      </c>
      <c r="M1241" s="720">
        <v>3677.46</v>
      </c>
      <c r="N1241" s="720">
        <v>196.62</v>
      </c>
    </row>
    <row r="1242" spans="1:14" ht="15">
      <c r="A1242" s="705"/>
      <c r="B1242" s="705"/>
      <c r="C1242" s="719">
        <v>41665</v>
      </c>
      <c r="D1242" s="717">
        <v>12102</v>
      </c>
      <c r="E1242" s="720">
        <v>10714.67</v>
      </c>
      <c r="F1242" s="720">
        <v>19843.310000000001</v>
      </c>
      <c r="G1242" s="720">
        <v>16444.73</v>
      </c>
      <c r="H1242" s="720">
        <v>11061.9</v>
      </c>
      <c r="I1242" s="720">
        <v>9505.24</v>
      </c>
      <c r="J1242" s="726">
        <v>116.08</v>
      </c>
      <c r="K1242" s="720">
        <v>1560.49</v>
      </c>
      <c r="L1242" s="720">
        <v>368.71</v>
      </c>
      <c r="M1242" s="720">
        <v>3677.46</v>
      </c>
      <c r="N1242" s="720">
        <v>196.62</v>
      </c>
    </row>
    <row r="1243" spans="1:14" ht="15">
      <c r="A1243" s="705"/>
      <c r="B1243" s="705"/>
      <c r="C1243" s="719">
        <v>41666</v>
      </c>
      <c r="D1243" s="717">
        <v>12102</v>
      </c>
      <c r="E1243" s="720">
        <v>10714.67</v>
      </c>
      <c r="F1243" s="720">
        <v>19843.310000000001</v>
      </c>
      <c r="G1243" s="720">
        <v>16444.73</v>
      </c>
      <c r="H1243" s="720">
        <v>11061.9</v>
      </c>
      <c r="I1243" s="720">
        <v>9505.24</v>
      </c>
      <c r="J1243" s="726">
        <v>116.08</v>
      </c>
      <c r="K1243" s="720">
        <v>1560.49</v>
      </c>
      <c r="L1243" s="720">
        <v>368.71</v>
      </c>
      <c r="M1243" s="720">
        <v>3677.46</v>
      </c>
      <c r="N1243" s="720">
        <v>196.62</v>
      </c>
    </row>
    <row r="1244" spans="1:14" ht="15">
      <c r="A1244" s="705"/>
      <c r="B1244" s="705"/>
      <c r="C1244" s="719">
        <v>41667</v>
      </c>
      <c r="D1244" s="717">
        <v>12102</v>
      </c>
      <c r="E1244" s="720">
        <v>10714.67</v>
      </c>
      <c r="F1244" s="720">
        <v>19843.310000000001</v>
      </c>
      <c r="G1244" s="720">
        <v>16444.73</v>
      </c>
      <c r="H1244" s="720">
        <v>11061.9</v>
      </c>
      <c r="I1244" s="720">
        <v>9505.24</v>
      </c>
      <c r="J1244" s="726">
        <v>116.08</v>
      </c>
      <c r="K1244" s="720">
        <v>1560.49</v>
      </c>
      <c r="L1244" s="720">
        <v>368.71</v>
      </c>
      <c r="M1244" s="720">
        <v>3677.46</v>
      </c>
      <c r="N1244" s="720">
        <v>196.62</v>
      </c>
    </row>
    <row r="1245" spans="1:14" ht="15">
      <c r="A1245" s="705"/>
      <c r="B1245" s="705"/>
      <c r="C1245" s="719">
        <v>41668</v>
      </c>
      <c r="D1245" s="717">
        <v>12168</v>
      </c>
      <c r="E1245" s="720">
        <v>10661.49</v>
      </c>
      <c r="F1245" s="720">
        <v>20118.64</v>
      </c>
      <c r="G1245" s="720">
        <v>16589.310000000001</v>
      </c>
      <c r="H1245" s="720">
        <v>10998.86</v>
      </c>
      <c r="I1245" s="720">
        <v>9517.69</v>
      </c>
      <c r="J1245" s="726">
        <v>117.74</v>
      </c>
      <c r="K1245" s="720">
        <v>1568.03</v>
      </c>
      <c r="L1245" s="720">
        <v>369.87</v>
      </c>
      <c r="M1245" s="720">
        <v>3652.24</v>
      </c>
      <c r="N1245" s="720">
        <v>195.99</v>
      </c>
    </row>
    <row r="1246" spans="1:14" ht="15">
      <c r="A1246" s="705"/>
      <c r="B1246" s="705"/>
      <c r="C1246" s="719">
        <v>41669</v>
      </c>
      <c r="D1246" s="717">
        <v>12168</v>
      </c>
      <c r="E1246" s="720">
        <v>10661.49</v>
      </c>
      <c r="F1246" s="720">
        <v>20118.64</v>
      </c>
      <c r="G1246" s="720">
        <v>16589.310000000001</v>
      </c>
      <c r="H1246" s="720">
        <v>10998.86</v>
      </c>
      <c r="I1246" s="720">
        <v>9517.69</v>
      </c>
      <c r="J1246" s="726">
        <v>117.74</v>
      </c>
      <c r="K1246" s="720">
        <v>1568.03</v>
      </c>
      <c r="L1246" s="720">
        <v>369.87</v>
      </c>
      <c r="M1246" s="720">
        <v>3652.24</v>
      </c>
      <c r="N1246" s="720">
        <v>195.99</v>
      </c>
    </row>
    <row r="1247" spans="1:14" ht="15">
      <c r="A1247" s="705"/>
      <c r="B1247" s="705"/>
      <c r="C1247" s="719">
        <v>41670</v>
      </c>
      <c r="D1247" s="717">
        <v>12168</v>
      </c>
      <c r="E1247" s="720">
        <v>10661.49</v>
      </c>
      <c r="F1247" s="720">
        <v>20118.64</v>
      </c>
      <c r="G1247" s="720">
        <v>16589.310000000001</v>
      </c>
      <c r="H1247" s="720">
        <v>10998.86</v>
      </c>
      <c r="I1247" s="720">
        <v>9517.69</v>
      </c>
      <c r="J1247" s="726">
        <v>117.74</v>
      </c>
      <c r="K1247" s="720">
        <v>1568.03</v>
      </c>
      <c r="L1247" s="720">
        <v>369.87</v>
      </c>
      <c r="M1247" s="720">
        <v>3652.24</v>
      </c>
      <c r="N1247" s="720">
        <v>195.99</v>
      </c>
    </row>
    <row r="1248" spans="1:14" ht="15">
      <c r="A1248" s="705"/>
      <c r="B1248" s="705"/>
      <c r="C1248" s="719">
        <v>41671</v>
      </c>
      <c r="D1248" s="717">
        <v>12168</v>
      </c>
      <c r="E1248" s="720">
        <v>10661.49</v>
      </c>
      <c r="F1248" s="720">
        <v>20118.64</v>
      </c>
      <c r="G1248" s="720">
        <v>16589.310000000001</v>
      </c>
      <c r="H1248" s="720">
        <v>10998.86</v>
      </c>
      <c r="I1248" s="720">
        <v>9517.69</v>
      </c>
      <c r="J1248" s="726">
        <v>117.74</v>
      </c>
      <c r="K1248" s="720">
        <v>1568.03</v>
      </c>
      <c r="L1248" s="720">
        <v>369.87</v>
      </c>
      <c r="M1248" s="720">
        <v>3652.24</v>
      </c>
      <c r="N1248" s="720">
        <v>195.99</v>
      </c>
    </row>
    <row r="1249" spans="1:14" ht="15">
      <c r="A1249" s="705"/>
      <c r="B1249" s="705"/>
      <c r="C1249" s="719">
        <v>41672</v>
      </c>
      <c r="D1249" s="717">
        <v>12168</v>
      </c>
      <c r="E1249" s="720">
        <v>10661.49</v>
      </c>
      <c r="F1249" s="720">
        <v>20118.64</v>
      </c>
      <c r="G1249" s="720">
        <v>16589.310000000001</v>
      </c>
      <c r="H1249" s="720">
        <v>10998.86</v>
      </c>
      <c r="I1249" s="720">
        <v>9517.69</v>
      </c>
      <c r="J1249" s="726">
        <v>117.74</v>
      </c>
      <c r="K1249" s="720">
        <v>1568.03</v>
      </c>
      <c r="L1249" s="720">
        <v>369.87</v>
      </c>
      <c r="M1249" s="720">
        <v>3652.24</v>
      </c>
      <c r="N1249" s="720">
        <v>195.99</v>
      </c>
    </row>
    <row r="1250" spans="1:14" ht="15">
      <c r="A1250" s="705"/>
      <c r="B1250" s="705"/>
      <c r="C1250" s="719">
        <v>41673</v>
      </c>
      <c r="D1250" s="717">
        <v>12168</v>
      </c>
      <c r="E1250" s="720">
        <v>10661.49</v>
      </c>
      <c r="F1250" s="720">
        <v>20118.64</v>
      </c>
      <c r="G1250" s="720">
        <v>16589.310000000001</v>
      </c>
      <c r="H1250" s="720">
        <v>10998.86</v>
      </c>
      <c r="I1250" s="720">
        <v>9517.69</v>
      </c>
      <c r="J1250" s="726">
        <v>117.74</v>
      </c>
      <c r="K1250" s="720">
        <v>1568.03</v>
      </c>
      <c r="L1250" s="720">
        <v>369.87</v>
      </c>
      <c r="M1250" s="720">
        <v>3652.24</v>
      </c>
      <c r="N1250" s="720">
        <v>195.99</v>
      </c>
    </row>
    <row r="1251" spans="1:14" ht="15">
      <c r="A1251" s="705"/>
      <c r="B1251" s="705"/>
      <c r="C1251" s="719">
        <v>41674</v>
      </c>
      <c r="D1251" s="717">
        <v>12168</v>
      </c>
      <c r="E1251" s="720">
        <v>10661.49</v>
      </c>
      <c r="F1251" s="720">
        <v>20118.64</v>
      </c>
      <c r="G1251" s="720">
        <v>16589.310000000001</v>
      </c>
      <c r="H1251" s="720">
        <v>10998.86</v>
      </c>
      <c r="I1251" s="720">
        <v>9517.69</v>
      </c>
      <c r="J1251" s="726">
        <v>117.74</v>
      </c>
      <c r="K1251" s="720">
        <v>1568.03</v>
      </c>
      <c r="L1251" s="720">
        <v>369.87</v>
      </c>
      <c r="M1251" s="720">
        <v>3652.24</v>
      </c>
      <c r="N1251" s="720">
        <v>195.99</v>
      </c>
    </row>
    <row r="1252" spans="1:14" ht="15">
      <c r="A1252" s="705"/>
      <c r="B1252" s="705"/>
      <c r="C1252" s="719">
        <v>41675</v>
      </c>
      <c r="D1252" s="717">
        <v>12203</v>
      </c>
      <c r="E1252" s="720">
        <v>10693.29</v>
      </c>
      <c r="F1252" s="720">
        <v>20130.95</v>
      </c>
      <c r="G1252" s="720">
        <v>16560.740000000002</v>
      </c>
      <c r="H1252" s="720">
        <v>10948.27</v>
      </c>
      <c r="I1252" s="720">
        <v>9559.64</v>
      </c>
      <c r="J1252" s="726">
        <v>119.07</v>
      </c>
      <c r="K1252" s="720">
        <v>1571.43</v>
      </c>
      <c r="L1252" s="720">
        <v>370.26</v>
      </c>
      <c r="M1252" s="720">
        <v>3651.39</v>
      </c>
      <c r="N1252" s="720">
        <v>195.12</v>
      </c>
    </row>
    <row r="1253" spans="1:14" ht="15">
      <c r="A1253" s="705"/>
      <c r="B1253" s="705"/>
      <c r="C1253" s="719">
        <v>41676</v>
      </c>
      <c r="D1253" s="717">
        <v>12203</v>
      </c>
      <c r="E1253" s="720">
        <v>10693.29</v>
      </c>
      <c r="F1253" s="720">
        <v>20130.95</v>
      </c>
      <c r="G1253" s="720">
        <v>16560.740000000002</v>
      </c>
      <c r="H1253" s="720">
        <v>10948.27</v>
      </c>
      <c r="I1253" s="720">
        <v>9559.64</v>
      </c>
      <c r="J1253" s="726">
        <v>119.07</v>
      </c>
      <c r="K1253" s="720">
        <v>1571.43</v>
      </c>
      <c r="L1253" s="720">
        <v>370.26</v>
      </c>
      <c r="M1253" s="720">
        <v>3651.39</v>
      </c>
      <c r="N1253" s="720">
        <v>195.12</v>
      </c>
    </row>
    <row r="1254" spans="1:14" ht="15">
      <c r="A1254" s="705"/>
      <c r="B1254" s="705"/>
      <c r="C1254" s="719">
        <v>41677</v>
      </c>
      <c r="D1254" s="717">
        <v>12203</v>
      </c>
      <c r="E1254" s="720">
        <v>10693.29</v>
      </c>
      <c r="F1254" s="720">
        <v>20130.95</v>
      </c>
      <c r="G1254" s="720">
        <v>16560.740000000002</v>
      </c>
      <c r="H1254" s="720">
        <v>10948.27</v>
      </c>
      <c r="I1254" s="720">
        <v>9559.64</v>
      </c>
      <c r="J1254" s="726">
        <v>119.07</v>
      </c>
      <c r="K1254" s="720">
        <v>1571.43</v>
      </c>
      <c r="L1254" s="720">
        <v>370.26</v>
      </c>
      <c r="M1254" s="720">
        <v>3651.39</v>
      </c>
      <c r="N1254" s="720">
        <v>195.12</v>
      </c>
    </row>
    <row r="1255" spans="1:14" ht="15">
      <c r="A1255" s="705"/>
      <c r="B1255" s="705"/>
      <c r="C1255" s="719">
        <v>41678</v>
      </c>
      <c r="D1255" s="717">
        <v>12203</v>
      </c>
      <c r="E1255" s="720">
        <v>10693.29</v>
      </c>
      <c r="F1255" s="720">
        <v>20130.95</v>
      </c>
      <c r="G1255" s="720">
        <v>16560.740000000002</v>
      </c>
      <c r="H1255" s="720">
        <v>10948.27</v>
      </c>
      <c r="I1255" s="720">
        <v>9559.64</v>
      </c>
      <c r="J1255" s="726">
        <v>119.07</v>
      </c>
      <c r="K1255" s="720">
        <v>1571.43</v>
      </c>
      <c r="L1255" s="720">
        <v>370.26</v>
      </c>
      <c r="M1255" s="720">
        <v>3651.39</v>
      </c>
      <c r="N1255" s="720">
        <v>195.12</v>
      </c>
    </row>
    <row r="1256" spans="1:14" ht="15">
      <c r="A1256" s="705"/>
      <c r="B1256" s="705"/>
      <c r="C1256" s="719">
        <v>41679</v>
      </c>
      <c r="D1256" s="717">
        <v>12203</v>
      </c>
      <c r="E1256" s="720">
        <v>10693.29</v>
      </c>
      <c r="F1256" s="720">
        <v>20130.95</v>
      </c>
      <c r="G1256" s="720">
        <v>16560.740000000002</v>
      </c>
      <c r="H1256" s="720">
        <v>10948.27</v>
      </c>
      <c r="I1256" s="720">
        <v>9559.64</v>
      </c>
      <c r="J1256" s="726">
        <v>119.07</v>
      </c>
      <c r="K1256" s="720">
        <v>1571.43</v>
      </c>
      <c r="L1256" s="720">
        <v>370.26</v>
      </c>
      <c r="M1256" s="720">
        <v>3651.39</v>
      </c>
      <c r="N1256" s="720">
        <v>195.12</v>
      </c>
    </row>
    <row r="1257" spans="1:14" ht="15">
      <c r="A1257" s="705"/>
      <c r="B1257" s="705"/>
      <c r="C1257" s="719">
        <v>41680</v>
      </c>
      <c r="D1257" s="717">
        <v>12203</v>
      </c>
      <c r="E1257" s="720">
        <v>10693.29</v>
      </c>
      <c r="F1257" s="720">
        <v>20130.95</v>
      </c>
      <c r="G1257" s="720">
        <v>16560.740000000002</v>
      </c>
      <c r="H1257" s="720">
        <v>10948.27</v>
      </c>
      <c r="I1257" s="720">
        <v>9559.64</v>
      </c>
      <c r="J1257" s="726">
        <v>119.07</v>
      </c>
      <c r="K1257" s="720">
        <v>1571.43</v>
      </c>
      <c r="L1257" s="720">
        <v>370.26</v>
      </c>
      <c r="M1257" s="720">
        <v>3651.39</v>
      </c>
      <c r="N1257" s="720">
        <v>195.12</v>
      </c>
    </row>
    <row r="1258" spans="1:14" ht="15">
      <c r="A1258" s="705"/>
      <c r="B1258" s="705"/>
      <c r="C1258" s="719">
        <v>41681</v>
      </c>
      <c r="D1258" s="717">
        <v>12203</v>
      </c>
      <c r="E1258" s="720">
        <v>10693.29</v>
      </c>
      <c r="F1258" s="720">
        <v>20130.95</v>
      </c>
      <c r="G1258" s="720">
        <v>16560.740000000002</v>
      </c>
      <c r="H1258" s="720">
        <v>10948.27</v>
      </c>
      <c r="I1258" s="720">
        <v>9559.64</v>
      </c>
      <c r="J1258" s="726">
        <v>119.07</v>
      </c>
      <c r="K1258" s="720">
        <v>1571.43</v>
      </c>
      <c r="L1258" s="720">
        <v>370.26</v>
      </c>
      <c r="M1258" s="720">
        <v>3651.39</v>
      </c>
      <c r="N1258" s="720">
        <v>195.12</v>
      </c>
    </row>
    <row r="1259" spans="1:14" ht="15">
      <c r="A1259" s="705"/>
      <c r="B1259" s="705"/>
      <c r="C1259" s="719">
        <v>41682</v>
      </c>
      <c r="D1259" s="717">
        <v>12184</v>
      </c>
      <c r="E1259" s="720">
        <v>10892.69</v>
      </c>
      <c r="F1259" s="720">
        <v>19927.41</v>
      </c>
      <c r="G1259" s="720">
        <v>16545.79</v>
      </c>
      <c r="H1259" s="720">
        <v>11016.93</v>
      </c>
      <c r="I1259" s="720">
        <v>9606.5400000000009</v>
      </c>
      <c r="J1259" s="726">
        <v>119.48</v>
      </c>
      <c r="K1259" s="720">
        <v>1570.01</v>
      </c>
      <c r="L1259" s="720">
        <v>371.67</v>
      </c>
      <c r="M1259" s="720">
        <v>3663.08</v>
      </c>
      <c r="N1259" s="720">
        <v>195.1</v>
      </c>
    </row>
    <row r="1260" spans="1:14" ht="15">
      <c r="A1260" s="705"/>
      <c r="B1260" s="705"/>
      <c r="C1260" s="719">
        <v>41683</v>
      </c>
      <c r="D1260" s="717">
        <v>12184</v>
      </c>
      <c r="E1260" s="720">
        <v>10892.69</v>
      </c>
      <c r="F1260" s="720">
        <v>19927.41</v>
      </c>
      <c r="G1260" s="720">
        <v>16545.79</v>
      </c>
      <c r="H1260" s="720">
        <v>11016.93</v>
      </c>
      <c r="I1260" s="720">
        <v>9606.5400000000009</v>
      </c>
      <c r="J1260" s="726">
        <v>119.48</v>
      </c>
      <c r="K1260" s="720">
        <v>1570.01</v>
      </c>
      <c r="L1260" s="720">
        <v>371.67</v>
      </c>
      <c r="M1260" s="720">
        <v>3663.08</v>
      </c>
      <c r="N1260" s="720">
        <v>195.1</v>
      </c>
    </row>
    <row r="1261" spans="1:14" ht="15">
      <c r="A1261" s="705"/>
      <c r="B1261" s="705"/>
      <c r="C1261" s="719">
        <v>41684</v>
      </c>
      <c r="D1261" s="717">
        <v>12184</v>
      </c>
      <c r="E1261" s="720">
        <v>10892.69</v>
      </c>
      <c r="F1261" s="720">
        <v>19927.41</v>
      </c>
      <c r="G1261" s="720">
        <v>16545.79</v>
      </c>
      <c r="H1261" s="720">
        <v>11016.93</v>
      </c>
      <c r="I1261" s="720">
        <v>9606.5400000000009</v>
      </c>
      <c r="J1261" s="726">
        <v>119.48</v>
      </c>
      <c r="K1261" s="720">
        <v>1570.01</v>
      </c>
      <c r="L1261" s="720">
        <v>371.67</v>
      </c>
      <c r="M1261" s="720">
        <v>3663.08</v>
      </c>
      <c r="N1261" s="720">
        <v>195.1</v>
      </c>
    </row>
    <row r="1262" spans="1:14" ht="15">
      <c r="A1262" s="705"/>
      <c r="B1262" s="705"/>
      <c r="C1262" s="719">
        <v>41685</v>
      </c>
      <c r="D1262" s="717">
        <v>12184</v>
      </c>
      <c r="E1262" s="720">
        <v>10892.69</v>
      </c>
      <c r="F1262" s="720">
        <v>19927.41</v>
      </c>
      <c r="G1262" s="720">
        <v>16545.79</v>
      </c>
      <c r="H1262" s="720">
        <v>11016.93</v>
      </c>
      <c r="I1262" s="720">
        <v>9606.5400000000009</v>
      </c>
      <c r="J1262" s="726">
        <v>119.48</v>
      </c>
      <c r="K1262" s="720">
        <v>1570.01</v>
      </c>
      <c r="L1262" s="720">
        <v>371.67</v>
      </c>
      <c r="M1262" s="720">
        <v>3663.08</v>
      </c>
      <c r="N1262" s="720">
        <v>195.1</v>
      </c>
    </row>
    <row r="1263" spans="1:14" ht="15">
      <c r="A1263" s="705"/>
      <c r="B1263" s="705"/>
      <c r="C1263" s="719">
        <v>41686</v>
      </c>
      <c r="D1263" s="717">
        <v>12184</v>
      </c>
      <c r="E1263" s="720">
        <v>10892.69</v>
      </c>
      <c r="F1263" s="720">
        <v>19927.41</v>
      </c>
      <c r="G1263" s="720">
        <v>16545.79</v>
      </c>
      <c r="H1263" s="720">
        <v>11016.93</v>
      </c>
      <c r="I1263" s="720">
        <v>9606.5400000000009</v>
      </c>
      <c r="J1263" s="726">
        <v>119.48</v>
      </c>
      <c r="K1263" s="720">
        <v>1570.01</v>
      </c>
      <c r="L1263" s="720">
        <v>371.67</v>
      </c>
      <c r="M1263" s="720">
        <v>3663.08</v>
      </c>
      <c r="N1263" s="720">
        <v>195.1</v>
      </c>
    </row>
    <row r="1264" spans="1:14" ht="15">
      <c r="A1264" s="705"/>
      <c r="B1264" s="705"/>
      <c r="C1264" s="719">
        <v>41687</v>
      </c>
      <c r="D1264" s="717">
        <v>12184</v>
      </c>
      <c r="E1264" s="720">
        <v>10892.69</v>
      </c>
      <c r="F1264" s="720">
        <v>19927.41</v>
      </c>
      <c r="G1264" s="720">
        <v>16545.79</v>
      </c>
      <c r="H1264" s="720">
        <v>11016.93</v>
      </c>
      <c r="I1264" s="720">
        <v>9606.5400000000009</v>
      </c>
      <c r="J1264" s="726">
        <v>119.48</v>
      </c>
      <c r="K1264" s="720">
        <v>1570.01</v>
      </c>
      <c r="L1264" s="720">
        <v>371.67</v>
      </c>
      <c r="M1264" s="720">
        <v>3663.08</v>
      </c>
      <c r="N1264" s="720">
        <v>195.1</v>
      </c>
    </row>
    <row r="1265" spans="1:14" ht="15">
      <c r="A1265" s="705"/>
      <c r="B1265" s="705"/>
      <c r="C1265" s="719">
        <v>41688</v>
      </c>
      <c r="D1265" s="717">
        <v>12184</v>
      </c>
      <c r="E1265" s="720">
        <v>10892.69</v>
      </c>
      <c r="F1265" s="720">
        <v>19927.41</v>
      </c>
      <c r="G1265" s="720">
        <v>16545.79</v>
      </c>
      <c r="H1265" s="720">
        <v>11016.93</v>
      </c>
      <c r="I1265" s="720">
        <v>9606.5400000000009</v>
      </c>
      <c r="J1265" s="726">
        <v>119.48</v>
      </c>
      <c r="K1265" s="720">
        <v>1570.01</v>
      </c>
      <c r="L1265" s="720">
        <v>371.67</v>
      </c>
      <c r="M1265" s="720">
        <v>3663.08</v>
      </c>
      <c r="N1265" s="720">
        <v>195.1</v>
      </c>
    </row>
    <row r="1266" spans="1:14" ht="15">
      <c r="A1266" s="705"/>
      <c r="B1266" s="705"/>
      <c r="C1266" s="719">
        <v>41689</v>
      </c>
      <c r="D1266" s="717">
        <v>11950</v>
      </c>
      <c r="E1266" s="720">
        <v>10786.55</v>
      </c>
      <c r="F1266" s="720">
        <v>19897.47</v>
      </c>
      <c r="G1266" s="720">
        <v>16327.76</v>
      </c>
      <c r="H1266" s="720">
        <v>10876.69</v>
      </c>
      <c r="I1266" s="720">
        <v>9458.4500000000007</v>
      </c>
      <c r="J1266" s="726">
        <v>116.99</v>
      </c>
      <c r="K1266" s="720">
        <v>1540.73</v>
      </c>
      <c r="L1266" s="720">
        <v>367.6</v>
      </c>
      <c r="M1266" s="720">
        <v>3604.02</v>
      </c>
      <c r="N1266" s="720">
        <v>192.2</v>
      </c>
    </row>
    <row r="1267" spans="1:14" ht="15">
      <c r="A1267" s="705"/>
      <c r="B1267" s="705"/>
      <c r="C1267" s="719">
        <v>41690</v>
      </c>
      <c r="D1267" s="717">
        <v>11950</v>
      </c>
      <c r="E1267" s="720">
        <v>10786.55</v>
      </c>
      <c r="F1267" s="720">
        <v>19897.47</v>
      </c>
      <c r="G1267" s="720">
        <v>16327.76</v>
      </c>
      <c r="H1267" s="720">
        <v>10876.69</v>
      </c>
      <c r="I1267" s="720">
        <v>9458.4500000000007</v>
      </c>
      <c r="J1267" s="726">
        <v>116.99</v>
      </c>
      <c r="K1267" s="720">
        <v>1540.73</v>
      </c>
      <c r="L1267" s="720">
        <v>367.6</v>
      </c>
      <c r="M1267" s="720">
        <v>3604.02</v>
      </c>
      <c r="N1267" s="720">
        <v>192.2</v>
      </c>
    </row>
    <row r="1268" spans="1:14" ht="15">
      <c r="A1268" s="705"/>
      <c r="B1268" s="705"/>
      <c r="C1268" s="719">
        <v>41691</v>
      </c>
      <c r="D1268" s="717">
        <v>11950</v>
      </c>
      <c r="E1268" s="720">
        <v>10786.55</v>
      </c>
      <c r="F1268" s="720">
        <v>19897.47</v>
      </c>
      <c r="G1268" s="720">
        <v>16327.76</v>
      </c>
      <c r="H1268" s="720">
        <v>10876.69</v>
      </c>
      <c r="I1268" s="720">
        <v>9458.4500000000007</v>
      </c>
      <c r="J1268" s="726">
        <v>116.99</v>
      </c>
      <c r="K1268" s="720">
        <v>1540.73</v>
      </c>
      <c r="L1268" s="720">
        <v>367.6</v>
      </c>
      <c r="M1268" s="720">
        <v>3604.02</v>
      </c>
      <c r="N1268" s="720">
        <v>192.2</v>
      </c>
    </row>
    <row r="1269" spans="1:14" ht="15">
      <c r="A1269" s="705"/>
      <c r="B1269" s="705"/>
      <c r="C1269" s="719">
        <v>41692</v>
      </c>
      <c r="D1269" s="717">
        <v>11950</v>
      </c>
      <c r="E1269" s="720">
        <v>10786.55</v>
      </c>
      <c r="F1269" s="720">
        <v>19897.47</v>
      </c>
      <c r="G1269" s="720">
        <v>16327.76</v>
      </c>
      <c r="H1269" s="720">
        <v>10876.69</v>
      </c>
      <c r="I1269" s="720">
        <v>9458.4500000000007</v>
      </c>
      <c r="J1269" s="726">
        <v>116.99</v>
      </c>
      <c r="K1269" s="720">
        <v>1540.73</v>
      </c>
      <c r="L1269" s="720">
        <v>367.6</v>
      </c>
      <c r="M1269" s="720">
        <v>3604.02</v>
      </c>
      <c r="N1269" s="720">
        <v>192.2</v>
      </c>
    </row>
    <row r="1270" spans="1:14" ht="15">
      <c r="A1270" s="705"/>
      <c r="B1270" s="705"/>
      <c r="C1270" s="719">
        <v>41693</v>
      </c>
      <c r="D1270" s="717">
        <v>11950</v>
      </c>
      <c r="E1270" s="720">
        <v>10786.55</v>
      </c>
      <c r="F1270" s="720">
        <v>19897.47</v>
      </c>
      <c r="G1270" s="720">
        <v>16327.76</v>
      </c>
      <c r="H1270" s="720">
        <v>10876.69</v>
      </c>
      <c r="I1270" s="720">
        <v>9458.4500000000007</v>
      </c>
      <c r="J1270" s="726">
        <v>116.99</v>
      </c>
      <c r="K1270" s="720">
        <v>1540.73</v>
      </c>
      <c r="L1270" s="720">
        <v>367.6</v>
      </c>
      <c r="M1270" s="720">
        <v>3604.02</v>
      </c>
      <c r="N1270" s="720">
        <v>192.2</v>
      </c>
    </row>
    <row r="1271" spans="1:14" ht="15">
      <c r="A1271" s="705"/>
      <c r="B1271" s="705"/>
      <c r="C1271" s="719">
        <v>41694</v>
      </c>
      <c r="D1271" s="717">
        <v>11950</v>
      </c>
      <c r="E1271" s="720">
        <v>10786.55</v>
      </c>
      <c r="F1271" s="720">
        <v>19897.47</v>
      </c>
      <c r="G1271" s="720">
        <v>16327.76</v>
      </c>
      <c r="H1271" s="720">
        <v>10876.69</v>
      </c>
      <c r="I1271" s="720">
        <v>9458.4500000000007</v>
      </c>
      <c r="J1271" s="726">
        <v>116.99</v>
      </c>
      <c r="K1271" s="720">
        <v>1540.73</v>
      </c>
      <c r="L1271" s="720">
        <v>367.6</v>
      </c>
      <c r="M1271" s="720">
        <v>3604.02</v>
      </c>
      <c r="N1271" s="720">
        <v>192.2</v>
      </c>
    </row>
    <row r="1272" spans="1:14" ht="15">
      <c r="A1272" s="705"/>
      <c r="B1272" s="705"/>
      <c r="C1272" s="719">
        <v>41695</v>
      </c>
      <c r="D1272" s="717">
        <v>11950</v>
      </c>
      <c r="E1272" s="720">
        <v>10786.55</v>
      </c>
      <c r="F1272" s="720">
        <v>19897.47</v>
      </c>
      <c r="G1272" s="720">
        <v>16327.76</v>
      </c>
      <c r="H1272" s="720">
        <v>10876.69</v>
      </c>
      <c r="I1272" s="720">
        <v>9458.4500000000007</v>
      </c>
      <c r="J1272" s="726">
        <v>116.99</v>
      </c>
      <c r="K1272" s="720">
        <v>1540.73</v>
      </c>
      <c r="L1272" s="720">
        <v>367.6</v>
      </c>
      <c r="M1272" s="720">
        <v>3604.02</v>
      </c>
      <c r="N1272" s="720">
        <v>192.2</v>
      </c>
    </row>
    <row r="1273" spans="1:14" ht="15">
      <c r="A1273" s="705"/>
      <c r="B1273" s="705"/>
      <c r="C1273" s="719">
        <v>41696</v>
      </c>
      <c r="D1273" s="717">
        <v>11793</v>
      </c>
      <c r="E1273" s="720">
        <v>10608.75</v>
      </c>
      <c r="F1273" s="720">
        <v>19640.3</v>
      </c>
      <c r="G1273" s="720">
        <v>16191.08</v>
      </c>
      <c r="H1273" s="720">
        <v>10687.49</v>
      </c>
      <c r="I1273" s="720">
        <v>9323.7099999999991</v>
      </c>
      <c r="J1273" s="726">
        <v>115.27</v>
      </c>
      <c r="K1273" s="720">
        <v>1520.58</v>
      </c>
      <c r="L1273" s="720">
        <v>362.41</v>
      </c>
      <c r="M1273" s="720">
        <v>3572.75</v>
      </c>
      <c r="N1273" s="720">
        <v>189.62</v>
      </c>
    </row>
    <row r="1274" spans="1:14" ht="15">
      <c r="A1274" s="705"/>
      <c r="B1274" s="705"/>
      <c r="C1274" s="719">
        <v>41697</v>
      </c>
      <c r="D1274" s="717">
        <v>11793</v>
      </c>
      <c r="E1274" s="720">
        <v>10608.75</v>
      </c>
      <c r="F1274" s="720">
        <v>19640.3</v>
      </c>
      <c r="G1274" s="720">
        <v>16191.08</v>
      </c>
      <c r="H1274" s="720">
        <v>10687.49</v>
      </c>
      <c r="I1274" s="720">
        <v>9323.7099999999991</v>
      </c>
      <c r="J1274" s="726">
        <v>115.27</v>
      </c>
      <c r="K1274" s="720">
        <v>1520.58</v>
      </c>
      <c r="L1274" s="720">
        <v>362.41</v>
      </c>
      <c r="M1274" s="720">
        <v>3572.75</v>
      </c>
      <c r="N1274" s="720">
        <v>189.62</v>
      </c>
    </row>
    <row r="1275" spans="1:14" ht="15">
      <c r="A1275" s="705"/>
      <c r="B1275" s="705"/>
      <c r="C1275" s="719">
        <v>41698</v>
      </c>
      <c r="D1275" s="717">
        <v>11793</v>
      </c>
      <c r="E1275" s="720">
        <v>10608.75</v>
      </c>
      <c r="F1275" s="720">
        <v>19640.3</v>
      </c>
      <c r="G1275" s="720">
        <v>16191.08</v>
      </c>
      <c r="H1275" s="720">
        <v>10687.49</v>
      </c>
      <c r="I1275" s="720">
        <v>9323.7099999999991</v>
      </c>
      <c r="J1275" s="726">
        <v>115.27</v>
      </c>
      <c r="K1275" s="720">
        <v>1520.58</v>
      </c>
      <c r="L1275" s="720">
        <v>362.41</v>
      </c>
      <c r="M1275" s="720">
        <v>3572.75</v>
      </c>
      <c r="N1275" s="720">
        <v>189.62</v>
      </c>
    </row>
    <row r="1276" spans="1:14" ht="15">
      <c r="A1276" s="705"/>
      <c r="B1276" s="705"/>
      <c r="C1276" s="719">
        <v>41699</v>
      </c>
      <c r="D1276" s="717">
        <v>11793</v>
      </c>
      <c r="E1276" s="720">
        <v>10608.75</v>
      </c>
      <c r="F1276" s="720">
        <v>19640.3</v>
      </c>
      <c r="G1276" s="720">
        <v>16191.08</v>
      </c>
      <c r="H1276" s="720">
        <v>10687.49</v>
      </c>
      <c r="I1276" s="720">
        <v>9323.7099999999991</v>
      </c>
      <c r="J1276" s="726">
        <v>115.27</v>
      </c>
      <c r="K1276" s="720">
        <v>1520.58</v>
      </c>
      <c r="L1276" s="720">
        <v>362.41</v>
      </c>
      <c r="M1276" s="720">
        <v>3572.75</v>
      </c>
      <c r="N1276" s="720">
        <v>189.62</v>
      </c>
    </row>
    <row r="1277" spans="1:14" ht="15">
      <c r="A1277" s="705"/>
      <c r="B1277" s="705"/>
      <c r="C1277" s="719">
        <v>41700</v>
      </c>
      <c r="D1277" s="717">
        <v>11793</v>
      </c>
      <c r="E1277" s="720">
        <v>10608.75</v>
      </c>
      <c r="F1277" s="720">
        <v>19640.3</v>
      </c>
      <c r="G1277" s="720">
        <v>16191.08</v>
      </c>
      <c r="H1277" s="720">
        <v>10687.49</v>
      </c>
      <c r="I1277" s="720">
        <v>9323.7099999999991</v>
      </c>
      <c r="J1277" s="726">
        <v>115.27</v>
      </c>
      <c r="K1277" s="720">
        <v>1520.58</v>
      </c>
      <c r="L1277" s="720">
        <v>362.41</v>
      </c>
      <c r="M1277" s="720">
        <v>3572.75</v>
      </c>
      <c r="N1277" s="720">
        <v>189.62</v>
      </c>
    </row>
    <row r="1278" spans="1:14" ht="15">
      <c r="A1278" s="705"/>
      <c r="B1278" s="705"/>
      <c r="C1278" s="719">
        <v>41701</v>
      </c>
      <c r="D1278" s="717">
        <v>11793</v>
      </c>
      <c r="E1278" s="720">
        <v>10608.75</v>
      </c>
      <c r="F1278" s="720">
        <v>19640.3</v>
      </c>
      <c r="G1278" s="720">
        <v>16191.08</v>
      </c>
      <c r="H1278" s="720">
        <v>10687.49</v>
      </c>
      <c r="I1278" s="720">
        <v>9323.7099999999991</v>
      </c>
      <c r="J1278" s="726">
        <v>115.27</v>
      </c>
      <c r="K1278" s="720">
        <v>1520.58</v>
      </c>
      <c r="L1278" s="720">
        <v>362.41</v>
      </c>
      <c r="M1278" s="720">
        <v>3572.75</v>
      </c>
      <c r="N1278" s="720">
        <v>189.62</v>
      </c>
    </row>
    <row r="1279" spans="1:14" ht="15">
      <c r="A1279" s="705"/>
      <c r="B1279" s="705"/>
      <c r="C1279" s="719">
        <v>41702</v>
      </c>
      <c r="D1279" s="717">
        <v>11793</v>
      </c>
      <c r="E1279" s="720">
        <v>10608.75</v>
      </c>
      <c r="F1279" s="720">
        <v>19640.3</v>
      </c>
      <c r="G1279" s="720">
        <v>16191.08</v>
      </c>
      <c r="H1279" s="720">
        <v>10687.49</v>
      </c>
      <c r="I1279" s="720">
        <v>9323.7099999999991</v>
      </c>
      <c r="J1279" s="726">
        <v>115.27</v>
      </c>
      <c r="K1279" s="720">
        <v>1520.58</v>
      </c>
      <c r="L1279" s="720">
        <v>362.41</v>
      </c>
      <c r="M1279" s="720">
        <v>3572.75</v>
      </c>
      <c r="N1279" s="720">
        <v>189.62</v>
      </c>
    </row>
    <row r="1280" spans="1:14" ht="15">
      <c r="A1280" s="705"/>
      <c r="B1280" s="705"/>
      <c r="C1280" s="719">
        <v>41703</v>
      </c>
      <c r="D1280" s="717">
        <v>11633</v>
      </c>
      <c r="E1280" s="720">
        <v>10420.77</v>
      </c>
      <c r="F1280" s="720">
        <v>19433.32</v>
      </c>
      <c r="G1280" s="720">
        <v>15987.8</v>
      </c>
      <c r="H1280" s="720">
        <v>10488.71</v>
      </c>
      <c r="I1280" s="720">
        <v>9188.89</v>
      </c>
      <c r="J1280" s="726">
        <v>114.06</v>
      </c>
      <c r="K1280" s="720">
        <v>1498.85</v>
      </c>
      <c r="L1280" s="720">
        <v>357.15</v>
      </c>
      <c r="M1280" s="720">
        <v>3549.1</v>
      </c>
      <c r="N1280" s="720">
        <v>187.92</v>
      </c>
    </row>
    <row r="1281" spans="1:14" ht="15">
      <c r="A1281" s="705"/>
      <c r="B1281" s="705"/>
      <c r="C1281" s="719">
        <v>41704</v>
      </c>
      <c r="D1281" s="717">
        <v>11633</v>
      </c>
      <c r="E1281" s="720">
        <v>10420.77</v>
      </c>
      <c r="F1281" s="720">
        <v>19433.32</v>
      </c>
      <c r="G1281" s="720">
        <v>15987.8</v>
      </c>
      <c r="H1281" s="720">
        <v>10488.71</v>
      </c>
      <c r="I1281" s="720">
        <v>9188.89</v>
      </c>
      <c r="J1281" s="726">
        <v>114.06</v>
      </c>
      <c r="K1281" s="720">
        <v>1498.85</v>
      </c>
      <c r="L1281" s="720">
        <v>357.15</v>
      </c>
      <c r="M1281" s="720">
        <v>3549.1</v>
      </c>
      <c r="N1281" s="720">
        <v>187.92</v>
      </c>
    </row>
    <row r="1282" spans="1:14" ht="15">
      <c r="A1282" s="705"/>
      <c r="B1282" s="705"/>
      <c r="C1282" s="719">
        <v>41705</v>
      </c>
      <c r="D1282" s="717">
        <v>11633</v>
      </c>
      <c r="E1282" s="720">
        <v>10420.77</v>
      </c>
      <c r="F1282" s="720">
        <v>19433.32</v>
      </c>
      <c r="G1282" s="720">
        <v>15987.8</v>
      </c>
      <c r="H1282" s="720">
        <v>10488.71</v>
      </c>
      <c r="I1282" s="720">
        <v>9188.89</v>
      </c>
      <c r="J1282" s="726">
        <v>114.06</v>
      </c>
      <c r="K1282" s="720">
        <v>1498.85</v>
      </c>
      <c r="L1282" s="720">
        <v>357.15</v>
      </c>
      <c r="M1282" s="720">
        <v>3549.1</v>
      </c>
      <c r="N1282" s="720">
        <v>187.92</v>
      </c>
    </row>
    <row r="1283" spans="1:14" ht="15">
      <c r="A1283" s="705"/>
      <c r="B1283" s="705"/>
      <c r="C1283" s="719">
        <v>41706</v>
      </c>
      <c r="D1283" s="717">
        <v>11633</v>
      </c>
      <c r="E1283" s="720">
        <v>10420.77</v>
      </c>
      <c r="F1283" s="720">
        <v>19433.32</v>
      </c>
      <c r="G1283" s="720">
        <v>15987.8</v>
      </c>
      <c r="H1283" s="720">
        <v>10488.71</v>
      </c>
      <c r="I1283" s="720">
        <v>9188.89</v>
      </c>
      <c r="J1283" s="726">
        <v>114.06</v>
      </c>
      <c r="K1283" s="720">
        <v>1498.85</v>
      </c>
      <c r="L1283" s="720">
        <v>357.15</v>
      </c>
      <c r="M1283" s="720">
        <v>3549.1</v>
      </c>
      <c r="N1283" s="720">
        <v>187.92</v>
      </c>
    </row>
    <row r="1284" spans="1:14" ht="15">
      <c r="A1284" s="705"/>
      <c r="B1284" s="705"/>
      <c r="C1284" s="719">
        <v>41707</v>
      </c>
      <c r="D1284" s="717">
        <v>11633</v>
      </c>
      <c r="E1284" s="720">
        <v>10420.77</v>
      </c>
      <c r="F1284" s="720">
        <v>19433.32</v>
      </c>
      <c r="G1284" s="720">
        <v>15987.8</v>
      </c>
      <c r="H1284" s="720">
        <v>10488.71</v>
      </c>
      <c r="I1284" s="720">
        <v>9188.89</v>
      </c>
      <c r="J1284" s="726">
        <v>114.06</v>
      </c>
      <c r="K1284" s="720">
        <v>1498.85</v>
      </c>
      <c r="L1284" s="720">
        <v>357.15</v>
      </c>
      <c r="M1284" s="720">
        <v>3549.1</v>
      </c>
      <c r="N1284" s="720">
        <v>187.92</v>
      </c>
    </row>
    <row r="1285" spans="1:14" ht="15">
      <c r="A1285" s="705"/>
      <c r="B1285" s="705"/>
      <c r="C1285" s="719">
        <v>41708</v>
      </c>
      <c r="D1285" s="717">
        <v>11633</v>
      </c>
      <c r="E1285" s="720">
        <v>10420.77</v>
      </c>
      <c r="F1285" s="720">
        <v>19433.32</v>
      </c>
      <c r="G1285" s="720">
        <v>15987.8</v>
      </c>
      <c r="H1285" s="720">
        <v>10488.71</v>
      </c>
      <c r="I1285" s="720">
        <v>9188.89</v>
      </c>
      <c r="J1285" s="726">
        <v>114.06</v>
      </c>
      <c r="K1285" s="720">
        <v>1498.85</v>
      </c>
      <c r="L1285" s="720">
        <v>357.15</v>
      </c>
      <c r="M1285" s="720">
        <v>3549.1</v>
      </c>
      <c r="N1285" s="720">
        <v>187.92</v>
      </c>
    </row>
    <row r="1286" spans="1:14" ht="15">
      <c r="A1286" s="705"/>
      <c r="B1286" s="705"/>
      <c r="C1286" s="719">
        <v>41709</v>
      </c>
      <c r="D1286" s="717">
        <v>11633</v>
      </c>
      <c r="E1286" s="720">
        <v>10420.77</v>
      </c>
      <c r="F1286" s="720">
        <v>19433.32</v>
      </c>
      <c r="G1286" s="720">
        <v>15987.8</v>
      </c>
      <c r="H1286" s="720">
        <v>10488.71</v>
      </c>
      <c r="I1286" s="720">
        <v>9188.89</v>
      </c>
      <c r="J1286" s="726">
        <v>114.06</v>
      </c>
      <c r="K1286" s="720">
        <v>1498.85</v>
      </c>
      <c r="L1286" s="720">
        <v>357.15</v>
      </c>
      <c r="M1286" s="720">
        <v>3549.1</v>
      </c>
      <c r="N1286" s="720">
        <v>187.92</v>
      </c>
    </row>
    <row r="1287" spans="1:14" ht="15">
      <c r="A1287" s="705"/>
      <c r="B1287" s="705"/>
      <c r="C1287" s="719">
        <v>41710</v>
      </c>
      <c r="D1287" s="717">
        <v>11510</v>
      </c>
      <c r="E1287" s="720">
        <v>10387.92</v>
      </c>
      <c r="F1287" s="720">
        <v>19237.73</v>
      </c>
      <c r="G1287" s="720">
        <v>15905.07</v>
      </c>
      <c r="H1287" s="720">
        <v>10404.26</v>
      </c>
      <c r="I1287" s="720">
        <v>9075.3799999999992</v>
      </c>
      <c r="J1287" s="726">
        <v>111.98</v>
      </c>
      <c r="K1287" s="720">
        <v>1482.99</v>
      </c>
      <c r="L1287" s="720">
        <v>356.13</v>
      </c>
      <c r="M1287" s="720">
        <v>3521.03</v>
      </c>
      <c r="N1287" s="720">
        <v>187.29</v>
      </c>
    </row>
    <row r="1288" spans="1:14" ht="15">
      <c r="A1288" s="705"/>
      <c r="B1288" s="705"/>
      <c r="C1288" s="719">
        <v>41711</v>
      </c>
      <c r="D1288" s="717">
        <v>11510</v>
      </c>
      <c r="E1288" s="720">
        <v>10387.92</v>
      </c>
      <c r="F1288" s="720">
        <v>19237.73</v>
      </c>
      <c r="G1288" s="720">
        <v>15905.07</v>
      </c>
      <c r="H1288" s="720">
        <v>10404.26</v>
      </c>
      <c r="I1288" s="720">
        <v>9075.3799999999992</v>
      </c>
      <c r="J1288" s="726">
        <v>111.98</v>
      </c>
      <c r="K1288" s="720">
        <v>1482.99</v>
      </c>
      <c r="L1288" s="720">
        <v>356.13</v>
      </c>
      <c r="M1288" s="720">
        <v>3521.03</v>
      </c>
      <c r="N1288" s="720">
        <v>187.29</v>
      </c>
    </row>
    <row r="1289" spans="1:14" ht="15">
      <c r="A1289" s="705"/>
      <c r="B1289" s="705"/>
      <c r="C1289" s="719">
        <v>41712</v>
      </c>
      <c r="D1289" s="717">
        <v>11510</v>
      </c>
      <c r="E1289" s="720">
        <v>10387.92</v>
      </c>
      <c r="F1289" s="720">
        <v>19237.73</v>
      </c>
      <c r="G1289" s="720">
        <v>15905.07</v>
      </c>
      <c r="H1289" s="720">
        <v>10404.26</v>
      </c>
      <c r="I1289" s="720">
        <v>9075.3799999999992</v>
      </c>
      <c r="J1289" s="726">
        <v>111.98</v>
      </c>
      <c r="K1289" s="720">
        <v>1482.99</v>
      </c>
      <c r="L1289" s="720">
        <v>356.13</v>
      </c>
      <c r="M1289" s="720">
        <v>3521.03</v>
      </c>
      <c r="N1289" s="720">
        <v>187.29</v>
      </c>
    </row>
    <row r="1290" spans="1:14" ht="15">
      <c r="A1290" s="705"/>
      <c r="B1290" s="705"/>
      <c r="C1290" s="719">
        <v>41713</v>
      </c>
      <c r="D1290" s="717">
        <v>11510</v>
      </c>
      <c r="E1290" s="720">
        <v>10387.92</v>
      </c>
      <c r="F1290" s="720">
        <v>19237.73</v>
      </c>
      <c r="G1290" s="720">
        <v>15905.07</v>
      </c>
      <c r="H1290" s="720">
        <v>10404.26</v>
      </c>
      <c r="I1290" s="720">
        <v>9075.3799999999992</v>
      </c>
      <c r="J1290" s="726">
        <v>111.98</v>
      </c>
      <c r="K1290" s="720">
        <v>1482.99</v>
      </c>
      <c r="L1290" s="720">
        <v>356.13</v>
      </c>
      <c r="M1290" s="720">
        <v>3521.03</v>
      </c>
      <c r="N1290" s="720">
        <v>187.29</v>
      </c>
    </row>
    <row r="1291" spans="1:14" ht="15">
      <c r="A1291" s="705"/>
      <c r="B1291" s="705"/>
      <c r="C1291" s="719">
        <v>41714</v>
      </c>
      <c r="D1291" s="717">
        <v>11510</v>
      </c>
      <c r="E1291" s="720">
        <v>10387.92</v>
      </c>
      <c r="F1291" s="720">
        <v>19237.73</v>
      </c>
      <c r="G1291" s="720">
        <v>15905.07</v>
      </c>
      <c r="H1291" s="720">
        <v>10404.26</v>
      </c>
      <c r="I1291" s="720">
        <v>9075.3799999999992</v>
      </c>
      <c r="J1291" s="726">
        <v>111.98</v>
      </c>
      <c r="K1291" s="720">
        <v>1482.99</v>
      </c>
      <c r="L1291" s="720">
        <v>356.13</v>
      </c>
      <c r="M1291" s="720">
        <v>3521.03</v>
      </c>
      <c r="N1291" s="720">
        <v>187.29</v>
      </c>
    </row>
    <row r="1292" spans="1:14" ht="15">
      <c r="A1292" s="705"/>
      <c r="B1292" s="705"/>
      <c r="C1292" s="719">
        <v>41715</v>
      </c>
      <c r="D1292" s="717">
        <v>11510</v>
      </c>
      <c r="E1292" s="720">
        <v>10387.92</v>
      </c>
      <c r="F1292" s="720">
        <v>19237.73</v>
      </c>
      <c r="G1292" s="720">
        <v>15905.07</v>
      </c>
      <c r="H1292" s="720">
        <v>10404.26</v>
      </c>
      <c r="I1292" s="720">
        <v>9075.3799999999992</v>
      </c>
      <c r="J1292" s="726">
        <v>111.98</v>
      </c>
      <c r="K1292" s="720">
        <v>1482.99</v>
      </c>
      <c r="L1292" s="720">
        <v>356.13</v>
      </c>
      <c r="M1292" s="720">
        <v>3521.03</v>
      </c>
      <c r="N1292" s="720">
        <v>187.29</v>
      </c>
    </row>
    <row r="1293" spans="1:14" ht="15">
      <c r="A1293" s="705"/>
      <c r="B1293" s="705"/>
      <c r="C1293" s="719">
        <v>41716</v>
      </c>
      <c r="D1293" s="717">
        <v>11510</v>
      </c>
      <c r="E1293" s="720">
        <v>10387.92</v>
      </c>
      <c r="F1293" s="720">
        <v>19237.73</v>
      </c>
      <c r="G1293" s="720">
        <v>15905.07</v>
      </c>
      <c r="H1293" s="720">
        <v>10404.26</v>
      </c>
      <c r="I1293" s="720">
        <v>9075.3799999999992</v>
      </c>
      <c r="J1293" s="726">
        <v>111.98</v>
      </c>
      <c r="K1293" s="720">
        <v>1482.99</v>
      </c>
      <c r="L1293" s="720">
        <v>356.13</v>
      </c>
      <c r="M1293" s="720">
        <v>3521.03</v>
      </c>
      <c r="N1293" s="720">
        <v>187.29</v>
      </c>
    </row>
    <row r="1294" spans="1:14" ht="15">
      <c r="A1294" s="705"/>
      <c r="B1294" s="705"/>
      <c r="C1294" s="719">
        <v>41717</v>
      </c>
      <c r="D1294" s="717">
        <v>11393</v>
      </c>
      <c r="E1294" s="720">
        <v>10271.02</v>
      </c>
      <c r="F1294" s="720">
        <v>18946.64</v>
      </c>
      <c r="G1294" s="720">
        <v>15830.56</v>
      </c>
      <c r="H1294" s="720">
        <v>10260.370000000001</v>
      </c>
      <c r="I1294" s="720">
        <v>8996.11</v>
      </c>
      <c r="J1294" s="726">
        <v>111.4</v>
      </c>
      <c r="K1294" s="720">
        <v>1467.14</v>
      </c>
      <c r="L1294" s="720">
        <v>352.31</v>
      </c>
      <c r="M1294" s="720">
        <v>3472.62</v>
      </c>
      <c r="N1294" s="720">
        <v>186.35</v>
      </c>
    </row>
    <row r="1295" spans="1:14" ht="15">
      <c r="A1295" s="705"/>
      <c r="B1295" s="705"/>
      <c r="C1295" s="719">
        <v>41718</v>
      </c>
      <c r="D1295" s="717">
        <v>11393</v>
      </c>
      <c r="E1295" s="720">
        <v>10271.02</v>
      </c>
      <c r="F1295" s="720">
        <v>18946.64</v>
      </c>
      <c r="G1295" s="720">
        <v>15830.56</v>
      </c>
      <c r="H1295" s="720">
        <v>10260.370000000001</v>
      </c>
      <c r="I1295" s="720">
        <v>8996.11</v>
      </c>
      <c r="J1295" s="726">
        <v>111.4</v>
      </c>
      <c r="K1295" s="720">
        <v>1467.14</v>
      </c>
      <c r="L1295" s="720">
        <v>352.31</v>
      </c>
      <c r="M1295" s="720">
        <v>3472.62</v>
      </c>
      <c r="N1295" s="720">
        <v>186.35</v>
      </c>
    </row>
    <row r="1296" spans="1:14" ht="15">
      <c r="A1296" s="705"/>
      <c r="B1296" s="705"/>
      <c r="C1296" s="719">
        <v>41719</v>
      </c>
      <c r="D1296" s="717">
        <v>11393</v>
      </c>
      <c r="E1296" s="720">
        <v>10271.02</v>
      </c>
      <c r="F1296" s="720">
        <v>18946.64</v>
      </c>
      <c r="G1296" s="720">
        <v>15830.56</v>
      </c>
      <c r="H1296" s="720">
        <v>10260.370000000001</v>
      </c>
      <c r="I1296" s="720">
        <v>8996.11</v>
      </c>
      <c r="J1296" s="726">
        <v>111.4</v>
      </c>
      <c r="K1296" s="720">
        <v>1467.14</v>
      </c>
      <c r="L1296" s="720">
        <v>352.31</v>
      </c>
      <c r="M1296" s="720">
        <v>3472.62</v>
      </c>
      <c r="N1296" s="720">
        <v>186.35</v>
      </c>
    </row>
    <row r="1297" spans="1:14" ht="15">
      <c r="A1297" s="705"/>
      <c r="B1297" s="705"/>
      <c r="C1297" s="719">
        <v>41720</v>
      </c>
      <c r="D1297" s="717">
        <v>11393</v>
      </c>
      <c r="E1297" s="720">
        <v>10271.02</v>
      </c>
      <c r="F1297" s="720">
        <v>18946.64</v>
      </c>
      <c r="G1297" s="720">
        <v>15830.56</v>
      </c>
      <c r="H1297" s="720">
        <v>10260.370000000001</v>
      </c>
      <c r="I1297" s="720">
        <v>8996.11</v>
      </c>
      <c r="J1297" s="726">
        <v>111.4</v>
      </c>
      <c r="K1297" s="720">
        <v>1467.14</v>
      </c>
      <c r="L1297" s="720">
        <v>352.31</v>
      </c>
      <c r="M1297" s="720">
        <v>3472.62</v>
      </c>
      <c r="N1297" s="720">
        <v>186.35</v>
      </c>
    </row>
    <row r="1298" spans="1:14" ht="15">
      <c r="A1298" s="705"/>
      <c r="B1298" s="705"/>
      <c r="C1298" s="719">
        <v>41721</v>
      </c>
      <c r="D1298" s="717">
        <v>11393</v>
      </c>
      <c r="E1298" s="720">
        <v>10271.02</v>
      </c>
      <c r="F1298" s="720">
        <v>18946.64</v>
      </c>
      <c r="G1298" s="720">
        <v>15830.56</v>
      </c>
      <c r="H1298" s="720">
        <v>10260.370000000001</v>
      </c>
      <c r="I1298" s="720">
        <v>8996.11</v>
      </c>
      <c r="J1298" s="726">
        <v>111.4</v>
      </c>
      <c r="K1298" s="720">
        <v>1467.14</v>
      </c>
      <c r="L1298" s="720">
        <v>352.31</v>
      </c>
      <c r="M1298" s="720">
        <v>3472.62</v>
      </c>
      <c r="N1298" s="720">
        <v>186.35</v>
      </c>
    </row>
    <row r="1299" spans="1:14" ht="15">
      <c r="A1299" s="705"/>
      <c r="B1299" s="705"/>
      <c r="C1299" s="719">
        <v>41722</v>
      </c>
      <c r="D1299" s="717">
        <v>11393</v>
      </c>
      <c r="E1299" s="720">
        <v>10271.02</v>
      </c>
      <c r="F1299" s="720">
        <v>18946.64</v>
      </c>
      <c r="G1299" s="720">
        <v>15830.56</v>
      </c>
      <c r="H1299" s="720">
        <v>10260.370000000001</v>
      </c>
      <c r="I1299" s="720">
        <v>8996.11</v>
      </c>
      <c r="J1299" s="726">
        <v>111.4</v>
      </c>
      <c r="K1299" s="720">
        <v>1467.14</v>
      </c>
      <c r="L1299" s="720">
        <v>352.31</v>
      </c>
      <c r="M1299" s="720">
        <v>3472.62</v>
      </c>
      <c r="N1299" s="720">
        <v>186.35</v>
      </c>
    </row>
    <row r="1300" spans="1:14" ht="15">
      <c r="A1300" s="705"/>
      <c r="B1300" s="705"/>
      <c r="C1300" s="719">
        <v>41723</v>
      </c>
      <c r="D1300" s="717">
        <v>11393</v>
      </c>
      <c r="E1300" s="720">
        <v>10271.02</v>
      </c>
      <c r="F1300" s="720">
        <v>18946.64</v>
      </c>
      <c r="G1300" s="720">
        <v>15830.56</v>
      </c>
      <c r="H1300" s="720">
        <v>10260.370000000001</v>
      </c>
      <c r="I1300" s="720">
        <v>8996.11</v>
      </c>
      <c r="J1300" s="726">
        <v>111.4</v>
      </c>
      <c r="K1300" s="720">
        <v>1467.14</v>
      </c>
      <c r="L1300" s="720">
        <v>352.31</v>
      </c>
      <c r="M1300" s="720">
        <v>3472.62</v>
      </c>
      <c r="N1300" s="720">
        <v>186.35</v>
      </c>
    </row>
    <row r="1301" spans="1:14" ht="15">
      <c r="A1301" s="705"/>
      <c r="B1301" s="705"/>
      <c r="C1301" s="719">
        <v>41724</v>
      </c>
      <c r="D1301" s="717">
        <v>11381</v>
      </c>
      <c r="E1301" s="720">
        <v>10325.299999999999</v>
      </c>
      <c r="F1301" s="720">
        <v>18830.55</v>
      </c>
      <c r="G1301" s="720">
        <v>15746.98</v>
      </c>
      <c r="H1301" s="720">
        <v>10168.51</v>
      </c>
      <c r="I1301" s="720">
        <v>8949.86</v>
      </c>
      <c r="J1301" s="726">
        <v>111.57</v>
      </c>
      <c r="K1301" s="720">
        <v>1466.2</v>
      </c>
      <c r="L1301" s="720">
        <v>352.2</v>
      </c>
      <c r="M1301" s="720">
        <v>3455.87</v>
      </c>
      <c r="N1301" s="720">
        <v>186.26</v>
      </c>
    </row>
    <row r="1302" spans="1:14" ht="15">
      <c r="A1302" s="705"/>
      <c r="B1302" s="705"/>
      <c r="C1302" s="719">
        <v>41725</v>
      </c>
      <c r="D1302" s="717">
        <v>11381</v>
      </c>
      <c r="E1302" s="720">
        <v>10325.299999999999</v>
      </c>
      <c r="F1302" s="720">
        <v>18830.55</v>
      </c>
      <c r="G1302" s="720">
        <v>15746.98</v>
      </c>
      <c r="H1302" s="720">
        <v>10168.51</v>
      </c>
      <c r="I1302" s="720">
        <v>8949.86</v>
      </c>
      <c r="J1302" s="726">
        <v>111.57</v>
      </c>
      <c r="K1302" s="720">
        <v>1466.2</v>
      </c>
      <c r="L1302" s="720">
        <v>352.2</v>
      </c>
      <c r="M1302" s="720">
        <v>3455.87</v>
      </c>
      <c r="N1302" s="720">
        <v>186.26</v>
      </c>
    </row>
    <row r="1303" spans="1:14" ht="15">
      <c r="A1303" s="705"/>
      <c r="B1303" s="705"/>
      <c r="C1303" s="719">
        <v>41726</v>
      </c>
      <c r="D1303" s="717">
        <v>11381</v>
      </c>
      <c r="E1303" s="720">
        <v>10325.299999999999</v>
      </c>
      <c r="F1303" s="720">
        <v>18830.55</v>
      </c>
      <c r="G1303" s="720">
        <v>15746.98</v>
      </c>
      <c r="H1303" s="720">
        <v>10168.51</v>
      </c>
      <c r="I1303" s="720">
        <v>8949.86</v>
      </c>
      <c r="J1303" s="726">
        <v>111.57</v>
      </c>
      <c r="K1303" s="720">
        <v>1466.2</v>
      </c>
      <c r="L1303" s="720">
        <v>352.2</v>
      </c>
      <c r="M1303" s="720">
        <v>3455.87</v>
      </c>
      <c r="N1303" s="720">
        <v>186.26</v>
      </c>
    </row>
    <row r="1304" spans="1:14" ht="15">
      <c r="A1304" s="705"/>
      <c r="B1304" s="705"/>
      <c r="C1304" s="719">
        <v>41727</v>
      </c>
      <c r="D1304" s="717">
        <v>11381</v>
      </c>
      <c r="E1304" s="720">
        <v>10325.299999999999</v>
      </c>
      <c r="F1304" s="720">
        <v>18830.55</v>
      </c>
      <c r="G1304" s="720">
        <v>15746.98</v>
      </c>
      <c r="H1304" s="720">
        <v>10168.51</v>
      </c>
      <c r="I1304" s="720">
        <v>8949.86</v>
      </c>
      <c r="J1304" s="726">
        <v>111.57</v>
      </c>
      <c r="K1304" s="720">
        <v>1466.2</v>
      </c>
      <c r="L1304" s="720">
        <v>352.2</v>
      </c>
      <c r="M1304" s="720">
        <v>3455.87</v>
      </c>
      <c r="N1304" s="720">
        <v>186.26</v>
      </c>
    </row>
    <row r="1305" spans="1:14" ht="15">
      <c r="A1305" s="705"/>
      <c r="B1305" s="705"/>
      <c r="C1305" s="719">
        <v>41728</v>
      </c>
      <c r="D1305" s="717">
        <v>11381</v>
      </c>
      <c r="E1305" s="720">
        <v>10325.299999999999</v>
      </c>
      <c r="F1305" s="720">
        <v>18830.55</v>
      </c>
      <c r="G1305" s="720">
        <v>15746.98</v>
      </c>
      <c r="H1305" s="720">
        <v>10168.51</v>
      </c>
      <c r="I1305" s="720">
        <v>8949.86</v>
      </c>
      <c r="J1305" s="726">
        <v>111.57</v>
      </c>
      <c r="K1305" s="720">
        <v>1466.2</v>
      </c>
      <c r="L1305" s="720">
        <v>352.2</v>
      </c>
      <c r="M1305" s="720">
        <v>3455.87</v>
      </c>
      <c r="N1305" s="720">
        <v>186.26</v>
      </c>
    </row>
    <row r="1306" spans="1:14" ht="15">
      <c r="A1306" s="705"/>
      <c r="B1306" s="705"/>
      <c r="C1306" s="719">
        <v>41729</v>
      </c>
      <c r="D1306" s="717">
        <v>11381</v>
      </c>
      <c r="E1306" s="720">
        <v>10325.299999999999</v>
      </c>
      <c r="F1306" s="720">
        <v>18830.55</v>
      </c>
      <c r="G1306" s="720">
        <v>15746.98</v>
      </c>
      <c r="H1306" s="720">
        <v>10168.51</v>
      </c>
      <c r="I1306" s="720">
        <v>8949.86</v>
      </c>
      <c r="J1306" s="726">
        <v>111.57</v>
      </c>
      <c r="K1306" s="720">
        <v>1466.2</v>
      </c>
      <c r="L1306" s="720">
        <v>352.2</v>
      </c>
      <c r="M1306" s="720">
        <v>3455.87</v>
      </c>
      <c r="N1306" s="720">
        <v>186.26</v>
      </c>
    </row>
    <row r="1307" spans="1:14" ht="15">
      <c r="A1307" s="705"/>
      <c r="B1307" s="705"/>
      <c r="C1307" s="719">
        <v>41730</v>
      </c>
      <c r="D1307" s="717">
        <v>11381</v>
      </c>
      <c r="E1307" s="720">
        <v>10325.299999999999</v>
      </c>
      <c r="F1307" s="720">
        <v>18830.55</v>
      </c>
      <c r="G1307" s="720">
        <v>15746.98</v>
      </c>
      <c r="H1307" s="720">
        <v>10168.51</v>
      </c>
      <c r="I1307" s="720">
        <v>8949.86</v>
      </c>
      <c r="J1307" s="726">
        <v>111.57</v>
      </c>
      <c r="K1307" s="720">
        <v>1466.2</v>
      </c>
      <c r="L1307" s="720">
        <v>352.2</v>
      </c>
      <c r="M1307" s="720">
        <v>3455.87</v>
      </c>
      <c r="N1307" s="720">
        <v>186.26</v>
      </c>
    </row>
    <row r="1308" spans="1:14" ht="15">
      <c r="A1308" s="705"/>
      <c r="B1308" s="705"/>
      <c r="C1308" s="719">
        <v>41731</v>
      </c>
      <c r="D1308" s="717">
        <v>11400</v>
      </c>
      <c r="E1308" s="720">
        <v>10498.89</v>
      </c>
      <c r="F1308" s="720">
        <v>18885.97</v>
      </c>
      <c r="G1308" s="720">
        <v>15709.47</v>
      </c>
      <c r="H1308" s="720">
        <v>10267.879999999999</v>
      </c>
      <c r="I1308" s="720">
        <v>9000.69</v>
      </c>
      <c r="J1308" s="726">
        <v>111.53</v>
      </c>
      <c r="K1308" s="720">
        <v>1469.42</v>
      </c>
      <c r="L1308" s="720">
        <v>350.53</v>
      </c>
      <c r="M1308" s="720">
        <v>3461.02</v>
      </c>
      <c r="N1308" s="720">
        <v>188.92</v>
      </c>
    </row>
    <row r="1309" spans="1:14" ht="15">
      <c r="A1309" s="705"/>
      <c r="B1309" s="705"/>
      <c r="C1309" s="719">
        <v>41732</v>
      </c>
      <c r="D1309" s="717">
        <v>11400</v>
      </c>
      <c r="E1309" s="720">
        <v>10498.89</v>
      </c>
      <c r="F1309" s="720">
        <v>18885.97</v>
      </c>
      <c r="G1309" s="720">
        <v>15709.47</v>
      </c>
      <c r="H1309" s="720">
        <v>10267.879999999999</v>
      </c>
      <c r="I1309" s="720">
        <v>9000.69</v>
      </c>
      <c r="J1309" s="726">
        <v>111.53</v>
      </c>
      <c r="K1309" s="720">
        <v>1469.42</v>
      </c>
      <c r="L1309" s="720">
        <v>350.53</v>
      </c>
      <c r="M1309" s="720">
        <v>3461.02</v>
      </c>
      <c r="N1309" s="720">
        <v>188.92</v>
      </c>
    </row>
    <row r="1310" spans="1:14" ht="15">
      <c r="A1310" s="705"/>
      <c r="B1310" s="705"/>
      <c r="C1310" s="719">
        <v>41733</v>
      </c>
      <c r="D1310" s="717">
        <v>11400</v>
      </c>
      <c r="E1310" s="720">
        <v>10498.89</v>
      </c>
      <c r="F1310" s="720">
        <v>18885.97</v>
      </c>
      <c r="G1310" s="720">
        <v>15709.47</v>
      </c>
      <c r="H1310" s="720">
        <v>10267.879999999999</v>
      </c>
      <c r="I1310" s="720">
        <v>9000.69</v>
      </c>
      <c r="J1310" s="726">
        <v>111.53</v>
      </c>
      <c r="K1310" s="720">
        <v>1469.42</v>
      </c>
      <c r="L1310" s="720">
        <v>350.53</v>
      </c>
      <c r="M1310" s="720">
        <v>3461.02</v>
      </c>
      <c r="N1310" s="720">
        <v>188.92</v>
      </c>
    </row>
    <row r="1311" spans="1:14" ht="15">
      <c r="A1311" s="705"/>
      <c r="B1311" s="705"/>
      <c r="C1311" s="719">
        <v>41734</v>
      </c>
      <c r="D1311" s="717">
        <v>11400</v>
      </c>
      <c r="E1311" s="720">
        <v>10498.89</v>
      </c>
      <c r="F1311" s="720">
        <v>18885.97</v>
      </c>
      <c r="G1311" s="720">
        <v>15709.47</v>
      </c>
      <c r="H1311" s="720">
        <v>10267.879999999999</v>
      </c>
      <c r="I1311" s="720">
        <v>9000.69</v>
      </c>
      <c r="J1311" s="726">
        <v>111.53</v>
      </c>
      <c r="K1311" s="720">
        <v>1469.42</v>
      </c>
      <c r="L1311" s="720">
        <v>350.53</v>
      </c>
      <c r="M1311" s="720">
        <v>3461.02</v>
      </c>
      <c r="N1311" s="720">
        <v>188.92</v>
      </c>
    </row>
    <row r="1312" spans="1:14" ht="15">
      <c r="A1312" s="705"/>
      <c r="B1312" s="705"/>
      <c r="C1312" s="719">
        <v>41735</v>
      </c>
      <c r="D1312" s="717">
        <v>11400</v>
      </c>
      <c r="E1312" s="720">
        <v>10498.89</v>
      </c>
      <c r="F1312" s="720">
        <v>18885.97</v>
      </c>
      <c r="G1312" s="720">
        <v>15709.47</v>
      </c>
      <c r="H1312" s="720">
        <v>10267.879999999999</v>
      </c>
      <c r="I1312" s="720">
        <v>9000.69</v>
      </c>
      <c r="J1312" s="726">
        <v>111.53</v>
      </c>
      <c r="K1312" s="720">
        <v>1469.42</v>
      </c>
      <c r="L1312" s="720">
        <v>350.53</v>
      </c>
      <c r="M1312" s="720">
        <v>3461.02</v>
      </c>
      <c r="N1312" s="720">
        <v>188.92</v>
      </c>
    </row>
    <row r="1313" spans="1:14" ht="15">
      <c r="A1313" s="705"/>
      <c r="B1313" s="705"/>
      <c r="C1313" s="719">
        <v>41736</v>
      </c>
      <c r="D1313" s="717">
        <v>11400</v>
      </c>
      <c r="E1313" s="720">
        <v>10498.89</v>
      </c>
      <c r="F1313" s="720">
        <v>18885.97</v>
      </c>
      <c r="G1313" s="720">
        <v>15709.47</v>
      </c>
      <c r="H1313" s="720">
        <v>10267.879999999999</v>
      </c>
      <c r="I1313" s="720">
        <v>9000.69</v>
      </c>
      <c r="J1313" s="726">
        <v>111.53</v>
      </c>
      <c r="K1313" s="720">
        <v>1469.42</v>
      </c>
      <c r="L1313" s="720">
        <v>350.53</v>
      </c>
      <c r="M1313" s="720">
        <v>3461.02</v>
      </c>
      <c r="N1313" s="720">
        <v>188.92</v>
      </c>
    </row>
    <row r="1314" spans="1:14" ht="15">
      <c r="A1314" s="705"/>
      <c r="B1314" s="705"/>
      <c r="C1314" s="719">
        <v>41737</v>
      </c>
      <c r="D1314" s="717">
        <v>11400</v>
      </c>
      <c r="E1314" s="720">
        <v>10498.89</v>
      </c>
      <c r="F1314" s="720">
        <v>18885.97</v>
      </c>
      <c r="G1314" s="720">
        <v>15709.47</v>
      </c>
      <c r="H1314" s="720">
        <v>10267.879999999999</v>
      </c>
      <c r="I1314" s="720">
        <v>9000.69</v>
      </c>
      <c r="J1314" s="726">
        <v>111.53</v>
      </c>
      <c r="K1314" s="720">
        <v>1469.42</v>
      </c>
      <c r="L1314" s="720">
        <v>350.53</v>
      </c>
      <c r="M1314" s="720">
        <v>3461.02</v>
      </c>
      <c r="N1314" s="720">
        <v>188.92</v>
      </c>
    </row>
    <row r="1315" spans="1:14" ht="15">
      <c r="A1315" s="705"/>
      <c r="B1315" s="705"/>
      <c r="C1315" s="719">
        <v>41738</v>
      </c>
      <c r="D1315" s="717">
        <v>11313</v>
      </c>
      <c r="E1315" s="720">
        <v>10471.98</v>
      </c>
      <c r="F1315" s="720">
        <v>18782.599999999999</v>
      </c>
      <c r="G1315" s="720">
        <v>15541.79</v>
      </c>
      <c r="H1315" s="720">
        <v>10274</v>
      </c>
      <c r="I1315" s="720">
        <v>8973.0499999999993</v>
      </c>
      <c r="J1315" s="726">
        <v>109.24</v>
      </c>
      <c r="K1315" s="720">
        <v>1458.39</v>
      </c>
      <c r="L1315" s="720">
        <v>348.69</v>
      </c>
      <c r="M1315" s="720">
        <v>3457.47</v>
      </c>
      <c r="N1315" s="720">
        <v>188.38</v>
      </c>
    </row>
    <row r="1316" spans="1:14" ht="15">
      <c r="A1316" s="705"/>
      <c r="B1316" s="705"/>
      <c r="C1316" s="719">
        <v>41739</v>
      </c>
      <c r="D1316" s="717">
        <v>11313</v>
      </c>
      <c r="E1316" s="720">
        <v>10471.98</v>
      </c>
      <c r="F1316" s="720">
        <v>18782.599999999999</v>
      </c>
      <c r="G1316" s="720">
        <v>15541.79</v>
      </c>
      <c r="H1316" s="720">
        <v>10274</v>
      </c>
      <c r="I1316" s="720">
        <v>8973.0499999999993</v>
      </c>
      <c r="J1316" s="726">
        <v>109.24</v>
      </c>
      <c r="K1316" s="720">
        <v>1458.39</v>
      </c>
      <c r="L1316" s="720">
        <v>348.69</v>
      </c>
      <c r="M1316" s="720">
        <v>3457.47</v>
      </c>
      <c r="N1316" s="720">
        <v>188.38</v>
      </c>
    </row>
    <row r="1317" spans="1:14" ht="15">
      <c r="A1317" s="705"/>
      <c r="B1317" s="705"/>
      <c r="C1317" s="719">
        <v>41740</v>
      </c>
      <c r="D1317" s="717">
        <v>11313</v>
      </c>
      <c r="E1317" s="720">
        <v>10471.98</v>
      </c>
      <c r="F1317" s="720">
        <v>18782.599999999999</v>
      </c>
      <c r="G1317" s="720">
        <v>15541.79</v>
      </c>
      <c r="H1317" s="720">
        <v>10274</v>
      </c>
      <c r="I1317" s="720">
        <v>8973.0499999999993</v>
      </c>
      <c r="J1317" s="726">
        <v>109.24</v>
      </c>
      <c r="K1317" s="720">
        <v>1458.39</v>
      </c>
      <c r="L1317" s="720">
        <v>348.69</v>
      </c>
      <c r="M1317" s="720">
        <v>3457.47</v>
      </c>
      <c r="N1317" s="720">
        <v>188.38</v>
      </c>
    </row>
    <row r="1318" spans="1:14" ht="15">
      <c r="A1318" s="705"/>
      <c r="B1318" s="705"/>
      <c r="C1318" s="719">
        <v>41741</v>
      </c>
      <c r="D1318" s="717">
        <v>11313</v>
      </c>
      <c r="E1318" s="720">
        <v>10471.98</v>
      </c>
      <c r="F1318" s="720">
        <v>18782.599999999999</v>
      </c>
      <c r="G1318" s="720">
        <v>15541.79</v>
      </c>
      <c r="H1318" s="720">
        <v>10274</v>
      </c>
      <c r="I1318" s="720">
        <v>8973.0499999999993</v>
      </c>
      <c r="J1318" s="726">
        <v>109.24</v>
      </c>
      <c r="K1318" s="720">
        <v>1458.39</v>
      </c>
      <c r="L1318" s="720">
        <v>348.69</v>
      </c>
      <c r="M1318" s="720">
        <v>3457.47</v>
      </c>
      <c r="N1318" s="720">
        <v>188.38</v>
      </c>
    </row>
    <row r="1319" spans="1:14" ht="15">
      <c r="A1319" s="705"/>
      <c r="B1319" s="705"/>
      <c r="C1319" s="719">
        <v>41742</v>
      </c>
      <c r="D1319" s="717">
        <v>11313</v>
      </c>
      <c r="E1319" s="720">
        <v>10471.98</v>
      </c>
      <c r="F1319" s="720">
        <v>18782.599999999999</v>
      </c>
      <c r="G1319" s="720">
        <v>15541.79</v>
      </c>
      <c r="H1319" s="720">
        <v>10274</v>
      </c>
      <c r="I1319" s="720">
        <v>8973.0499999999993</v>
      </c>
      <c r="J1319" s="726">
        <v>109.24</v>
      </c>
      <c r="K1319" s="720">
        <v>1458.39</v>
      </c>
      <c r="L1319" s="720">
        <v>348.69</v>
      </c>
      <c r="M1319" s="720">
        <v>3457.47</v>
      </c>
      <c r="N1319" s="720">
        <v>188.38</v>
      </c>
    </row>
    <row r="1320" spans="1:14" ht="15">
      <c r="A1320" s="705"/>
      <c r="B1320" s="705"/>
      <c r="C1320" s="719">
        <v>41743</v>
      </c>
      <c r="D1320" s="717">
        <v>11313</v>
      </c>
      <c r="E1320" s="720">
        <v>10471.98</v>
      </c>
      <c r="F1320" s="720">
        <v>18782.599999999999</v>
      </c>
      <c r="G1320" s="720">
        <v>15541.79</v>
      </c>
      <c r="H1320" s="720">
        <v>10274</v>
      </c>
      <c r="I1320" s="720">
        <v>8973.0499999999993</v>
      </c>
      <c r="J1320" s="726">
        <v>109.24</v>
      </c>
      <c r="K1320" s="720">
        <v>1458.39</v>
      </c>
      <c r="L1320" s="720">
        <v>348.69</v>
      </c>
      <c r="M1320" s="720">
        <v>3457.47</v>
      </c>
      <c r="N1320" s="720">
        <v>188.38</v>
      </c>
    </row>
    <row r="1321" spans="1:14" ht="15">
      <c r="A1321" s="705"/>
      <c r="B1321" s="705"/>
      <c r="C1321" s="719">
        <v>41744</v>
      </c>
      <c r="D1321" s="717">
        <v>11313</v>
      </c>
      <c r="E1321" s="720">
        <v>10471.98</v>
      </c>
      <c r="F1321" s="720">
        <v>18782.599999999999</v>
      </c>
      <c r="G1321" s="720">
        <v>15541.79</v>
      </c>
      <c r="H1321" s="720">
        <v>10274</v>
      </c>
      <c r="I1321" s="720">
        <v>8973.0499999999993</v>
      </c>
      <c r="J1321" s="726">
        <v>109.24</v>
      </c>
      <c r="K1321" s="720">
        <v>1458.39</v>
      </c>
      <c r="L1321" s="720">
        <v>348.69</v>
      </c>
      <c r="M1321" s="720">
        <v>3457.47</v>
      </c>
      <c r="N1321" s="720">
        <v>188.38</v>
      </c>
    </row>
    <row r="1322" spans="1:14" ht="15">
      <c r="A1322" s="705"/>
      <c r="B1322" s="705"/>
      <c r="C1322" s="719">
        <v>41745</v>
      </c>
      <c r="D1322" s="717">
        <v>11378</v>
      </c>
      <c r="E1322" s="720">
        <v>10677.12</v>
      </c>
      <c r="F1322" s="720">
        <v>19047.91</v>
      </c>
      <c r="G1322" s="720">
        <v>15740.33</v>
      </c>
      <c r="H1322" s="720">
        <v>10396.75</v>
      </c>
      <c r="I1322" s="720">
        <v>9098.91</v>
      </c>
      <c r="J1322" s="726">
        <v>111.68</v>
      </c>
      <c r="K1322" s="720">
        <v>1467.49</v>
      </c>
      <c r="L1322" s="720">
        <v>352.52</v>
      </c>
      <c r="M1322" s="720">
        <v>3517.68</v>
      </c>
      <c r="N1322" s="720">
        <v>189.23</v>
      </c>
    </row>
    <row r="1323" spans="1:14" ht="15">
      <c r="A1323" s="705"/>
      <c r="B1323" s="705"/>
      <c r="C1323" s="719">
        <v>41746</v>
      </c>
      <c r="D1323" s="717">
        <v>11378</v>
      </c>
      <c r="E1323" s="720">
        <v>10677.12</v>
      </c>
      <c r="F1323" s="720">
        <v>19047.91</v>
      </c>
      <c r="G1323" s="720">
        <v>15740.33</v>
      </c>
      <c r="H1323" s="720">
        <v>10396.75</v>
      </c>
      <c r="I1323" s="720">
        <v>9098.91</v>
      </c>
      <c r="J1323" s="726">
        <v>111.68</v>
      </c>
      <c r="K1323" s="720">
        <v>1467.49</v>
      </c>
      <c r="L1323" s="720">
        <v>352.52</v>
      </c>
      <c r="M1323" s="720">
        <v>3517.68</v>
      </c>
      <c r="N1323" s="720">
        <v>189.23</v>
      </c>
    </row>
    <row r="1324" spans="1:14" ht="15">
      <c r="A1324" s="705"/>
      <c r="B1324" s="705"/>
      <c r="C1324" s="719">
        <v>41747</v>
      </c>
      <c r="D1324" s="717">
        <v>11378</v>
      </c>
      <c r="E1324" s="720">
        <v>10677.12</v>
      </c>
      <c r="F1324" s="720">
        <v>19047.91</v>
      </c>
      <c r="G1324" s="720">
        <v>15740.33</v>
      </c>
      <c r="H1324" s="720">
        <v>10396.75</v>
      </c>
      <c r="I1324" s="720">
        <v>9098.91</v>
      </c>
      <c r="J1324" s="726">
        <v>111.68</v>
      </c>
      <c r="K1324" s="720">
        <v>1467.49</v>
      </c>
      <c r="L1324" s="720">
        <v>352.52</v>
      </c>
      <c r="M1324" s="720">
        <v>3517.68</v>
      </c>
      <c r="N1324" s="720">
        <v>189.23</v>
      </c>
    </row>
    <row r="1325" spans="1:14" ht="15">
      <c r="A1325" s="705"/>
      <c r="B1325" s="705"/>
      <c r="C1325" s="719">
        <v>41748</v>
      </c>
      <c r="D1325" s="717">
        <v>11378</v>
      </c>
      <c r="E1325" s="720">
        <v>10677.12</v>
      </c>
      <c r="F1325" s="720">
        <v>19047.91</v>
      </c>
      <c r="G1325" s="720">
        <v>15740.33</v>
      </c>
      <c r="H1325" s="720">
        <v>10396.75</v>
      </c>
      <c r="I1325" s="720">
        <v>9098.91</v>
      </c>
      <c r="J1325" s="726">
        <v>111.68</v>
      </c>
      <c r="K1325" s="720">
        <v>1467.49</v>
      </c>
      <c r="L1325" s="720">
        <v>352.52</v>
      </c>
      <c r="M1325" s="720">
        <v>3517.68</v>
      </c>
      <c r="N1325" s="720">
        <v>189.23</v>
      </c>
    </row>
    <row r="1326" spans="1:14" ht="15">
      <c r="A1326" s="705"/>
      <c r="B1326" s="705"/>
      <c r="C1326" s="719">
        <v>41749</v>
      </c>
      <c r="D1326" s="717">
        <v>11378</v>
      </c>
      <c r="E1326" s="720">
        <v>10677.12</v>
      </c>
      <c r="F1326" s="720">
        <v>19047.91</v>
      </c>
      <c r="G1326" s="720">
        <v>15740.33</v>
      </c>
      <c r="H1326" s="720">
        <v>10396.75</v>
      </c>
      <c r="I1326" s="720">
        <v>9098.91</v>
      </c>
      <c r="J1326" s="726">
        <v>111.68</v>
      </c>
      <c r="K1326" s="720">
        <v>1467.49</v>
      </c>
      <c r="L1326" s="720">
        <v>352.52</v>
      </c>
      <c r="M1326" s="720">
        <v>3517.68</v>
      </c>
      <c r="N1326" s="720">
        <v>189.23</v>
      </c>
    </row>
    <row r="1327" spans="1:14" ht="15">
      <c r="A1327" s="705"/>
      <c r="B1327" s="705"/>
      <c r="C1327" s="719">
        <v>41750</v>
      </c>
      <c r="D1327" s="717">
        <v>11378</v>
      </c>
      <c r="E1327" s="720">
        <v>10677.12</v>
      </c>
      <c r="F1327" s="720">
        <v>19047.91</v>
      </c>
      <c r="G1327" s="720">
        <v>15740.33</v>
      </c>
      <c r="H1327" s="720">
        <v>10396.75</v>
      </c>
      <c r="I1327" s="720">
        <v>9098.91</v>
      </c>
      <c r="J1327" s="726">
        <v>111.68</v>
      </c>
      <c r="K1327" s="720">
        <v>1467.49</v>
      </c>
      <c r="L1327" s="720">
        <v>352.52</v>
      </c>
      <c r="M1327" s="720">
        <v>3517.68</v>
      </c>
      <c r="N1327" s="720">
        <v>189.23</v>
      </c>
    </row>
    <row r="1328" spans="1:14" ht="15">
      <c r="A1328" s="705"/>
      <c r="B1328" s="705"/>
      <c r="C1328" s="719">
        <v>41751</v>
      </c>
      <c r="D1328" s="717">
        <v>11378</v>
      </c>
      <c r="E1328" s="720">
        <v>10677.12</v>
      </c>
      <c r="F1328" s="720">
        <v>19047.91</v>
      </c>
      <c r="G1328" s="720">
        <v>15740.33</v>
      </c>
      <c r="H1328" s="720">
        <v>10396.75</v>
      </c>
      <c r="I1328" s="720">
        <v>9098.91</v>
      </c>
      <c r="J1328" s="726">
        <v>111.68</v>
      </c>
      <c r="K1328" s="720">
        <v>1467.49</v>
      </c>
      <c r="L1328" s="720">
        <v>352.52</v>
      </c>
      <c r="M1328" s="720">
        <v>3517.68</v>
      </c>
      <c r="N1328" s="720">
        <v>189.23</v>
      </c>
    </row>
    <row r="1329" spans="1:14" ht="15">
      <c r="A1329" s="705"/>
      <c r="B1329" s="705"/>
      <c r="C1329" s="719">
        <v>41752</v>
      </c>
      <c r="D1329" s="717">
        <v>11430</v>
      </c>
      <c r="E1329" s="720">
        <v>10680.19</v>
      </c>
      <c r="F1329" s="720">
        <v>19180.91</v>
      </c>
      <c r="G1329" s="720">
        <v>15788.94</v>
      </c>
      <c r="H1329" s="720">
        <v>10383.549999999999</v>
      </c>
      <c r="I1329" s="720">
        <v>9128.23</v>
      </c>
      <c r="J1329" s="726">
        <v>111.71</v>
      </c>
      <c r="K1329" s="720">
        <v>1474.03</v>
      </c>
      <c r="L1329" s="720">
        <v>354.68</v>
      </c>
      <c r="M1329" s="720">
        <v>3526.04</v>
      </c>
      <c r="N1329" s="720">
        <v>189.54</v>
      </c>
    </row>
    <row r="1330" spans="1:14" ht="15">
      <c r="A1330" s="705"/>
      <c r="B1330" s="705"/>
      <c r="C1330" s="719">
        <v>41753</v>
      </c>
      <c r="D1330" s="717">
        <v>11430</v>
      </c>
      <c r="E1330" s="720">
        <v>10680.19</v>
      </c>
      <c r="F1330" s="720">
        <v>19180.91</v>
      </c>
      <c r="G1330" s="720">
        <v>15788.94</v>
      </c>
      <c r="H1330" s="720">
        <v>10383.549999999999</v>
      </c>
      <c r="I1330" s="720">
        <v>9128.23</v>
      </c>
      <c r="J1330" s="726">
        <v>111.71</v>
      </c>
      <c r="K1330" s="720">
        <v>1474.03</v>
      </c>
      <c r="L1330" s="720">
        <v>354.68</v>
      </c>
      <c r="M1330" s="720">
        <v>3526.04</v>
      </c>
      <c r="N1330" s="720">
        <v>189.54</v>
      </c>
    </row>
    <row r="1331" spans="1:14" ht="15">
      <c r="A1331" s="705"/>
      <c r="B1331" s="705"/>
      <c r="C1331" s="719">
        <v>41754</v>
      </c>
      <c r="D1331" s="717">
        <v>11430</v>
      </c>
      <c r="E1331" s="720">
        <v>10680.19</v>
      </c>
      <c r="F1331" s="720">
        <v>19180.91</v>
      </c>
      <c r="G1331" s="720">
        <v>15788.94</v>
      </c>
      <c r="H1331" s="720">
        <v>10383.549999999999</v>
      </c>
      <c r="I1331" s="720">
        <v>9128.23</v>
      </c>
      <c r="J1331" s="726">
        <v>111.71</v>
      </c>
      <c r="K1331" s="720">
        <v>1474.03</v>
      </c>
      <c r="L1331" s="720">
        <v>354.68</v>
      </c>
      <c r="M1331" s="720">
        <v>3526.04</v>
      </c>
      <c r="N1331" s="720">
        <v>189.54</v>
      </c>
    </row>
    <row r="1332" spans="1:14" ht="15">
      <c r="A1332" s="705"/>
      <c r="B1332" s="705"/>
      <c r="C1332" s="719">
        <v>41755</v>
      </c>
      <c r="D1332" s="717">
        <v>11430</v>
      </c>
      <c r="E1332" s="720">
        <v>10680.19</v>
      </c>
      <c r="F1332" s="720">
        <v>19180.91</v>
      </c>
      <c r="G1332" s="720">
        <v>15788.94</v>
      </c>
      <c r="H1332" s="720">
        <v>10383.549999999999</v>
      </c>
      <c r="I1332" s="720">
        <v>9128.23</v>
      </c>
      <c r="J1332" s="726">
        <v>111.71</v>
      </c>
      <c r="K1332" s="720">
        <v>1474.03</v>
      </c>
      <c r="L1332" s="720">
        <v>354.68</v>
      </c>
      <c r="M1332" s="720">
        <v>3526.04</v>
      </c>
      <c r="N1332" s="720">
        <v>189.54</v>
      </c>
    </row>
    <row r="1333" spans="1:14" ht="15">
      <c r="A1333" s="705"/>
      <c r="B1333" s="705"/>
      <c r="C1333" s="719">
        <v>41756</v>
      </c>
      <c r="D1333" s="717">
        <v>11430</v>
      </c>
      <c r="E1333" s="720">
        <v>10680.19</v>
      </c>
      <c r="F1333" s="720">
        <v>19180.91</v>
      </c>
      <c r="G1333" s="720">
        <v>15788.94</v>
      </c>
      <c r="H1333" s="720">
        <v>10383.549999999999</v>
      </c>
      <c r="I1333" s="720">
        <v>9128.23</v>
      </c>
      <c r="J1333" s="726">
        <v>111.71</v>
      </c>
      <c r="K1333" s="720">
        <v>1474.03</v>
      </c>
      <c r="L1333" s="720">
        <v>354.68</v>
      </c>
      <c r="M1333" s="720">
        <v>3526.04</v>
      </c>
      <c r="N1333" s="720">
        <v>189.54</v>
      </c>
    </row>
    <row r="1334" spans="1:14" ht="15">
      <c r="A1334" s="705"/>
      <c r="B1334" s="705"/>
      <c r="C1334" s="719">
        <v>41757</v>
      </c>
      <c r="D1334" s="717">
        <v>11430</v>
      </c>
      <c r="E1334" s="720">
        <v>10680.19</v>
      </c>
      <c r="F1334" s="720">
        <v>19180.91</v>
      </c>
      <c r="G1334" s="720">
        <v>15788.94</v>
      </c>
      <c r="H1334" s="720">
        <v>10383.549999999999</v>
      </c>
      <c r="I1334" s="720">
        <v>9128.23</v>
      </c>
      <c r="J1334" s="726">
        <v>111.71</v>
      </c>
      <c r="K1334" s="720">
        <v>1474.03</v>
      </c>
      <c r="L1334" s="720">
        <v>354.68</v>
      </c>
      <c r="M1334" s="720">
        <v>3526.04</v>
      </c>
      <c r="N1334" s="720">
        <v>189.54</v>
      </c>
    </row>
    <row r="1335" spans="1:14" ht="15">
      <c r="A1335" s="705"/>
      <c r="B1335" s="705"/>
      <c r="C1335" s="719">
        <v>41758</v>
      </c>
      <c r="D1335" s="717">
        <v>11430</v>
      </c>
      <c r="E1335" s="720">
        <v>10680.19</v>
      </c>
      <c r="F1335" s="720">
        <v>19180.91</v>
      </c>
      <c r="G1335" s="720">
        <v>15788.94</v>
      </c>
      <c r="H1335" s="720">
        <v>10383.549999999999</v>
      </c>
      <c r="I1335" s="720">
        <v>9128.23</v>
      </c>
      <c r="J1335" s="726">
        <v>111.71</v>
      </c>
      <c r="K1335" s="720">
        <v>1474.03</v>
      </c>
      <c r="L1335" s="720">
        <v>354.68</v>
      </c>
      <c r="M1335" s="720">
        <v>3526.04</v>
      </c>
      <c r="N1335" s="720">
        <v>189.54</v>
      </c>
    </row>
    <row r="1336" spans="1:14" ht="15">
      <c r="A1336" s="705"/>
      <c r="B1336" s="705"/>
      <c r="C1336" s="719">
        <v>41759</v>
      </c>
      <c r="D1336" s="717">
        <v>11579</v>
      </c>
      <c r="E1336" s="720">
        <v>10764.48</v>
      </c>
      <c r="F1336" s="720">
        <v>19451.38</v>
      </c>
      <c r="G1336" s="720">
        <v>16003.85</v>
      </c>
      <c r="H1336" s="720">
        <v>10496.44</v>
      </c>
      <c r="I1336" s="720">
        <v>9213.76</v>
      </c>
      <c r="J1336" s="726">
        <v>113.12</v>
      </c>
      <c r="K1336" s="720">
        <v>1493.36</v>
      </c>
      <c r="L1336" s="720">
        <v>358.35</v>
      </c>
      <c r="M1336" s="720">
        <v>3542.27</v>
      </c>
      <c r="N1336" s="720">
        <v>190.35</v>
      </c>
    </row>
    <row r="1337" spans="1:14" ht="15">
      <c r="A1337" s="705"/>
      <c r="B1337" s="705"/>
      <c r="C1337" s="719">
        <v>41760</v>
      </c>
      <c r="D1337" s="717">
        <v>11579</v>
      </c>
      <c r="E1337" s="720">
        <v>10764.48</v>
      </c>
      <c r="F1337" s="720">
        <v>19451.38</v>
      </c>
      <c r="G1337" s="720">
        <v>16003.85</v>
      </c>
      <c r="H1337" s="720">
        <v>10496.44</v>
      </c>
      <c r="I1337" s="720">
        <v>9213.76</v>
      </c>
      <c r="J1337" s="726">
        <v>113.12</v>
      </c>
      <c r="K1337" s="720">
        <v>1493.36</v>
      </c>
      <c r="L1337" s="720">
        <v>358.35</v>
      </c>
      <c r="M1337" s="720">
        <v>3542.27</v>
      </c>
      <c r="N1337" s="720">
        <v>190.35</v>
      </c>
    </row>
    <row r="1338" spans="1:14" ht="15">
      <c r="A1338" s="705"/>
      <c r="B1338" s="705"/>
      <c r="C1338" s="719">
        <v>41761</v>
      </c>
      <c r="D1338" s="717">
        <v>11579</v>
      </c>
      <c r="E1338" s="720">
        <v>10764.48</v>
      </c>
      <c r="F1338" s="720">
        <v>19451.38</v>
      </c>
      <c r="G1338" s="720">
        <v>16003.85</v>
      </c>
      <c r="H1338" s="720">
        <v>10496.44</v>
      </c>
      <c r="I1338" s="720">
        <v>9213.76</v>
      </c>
      <c r="J1338" s="726">
        <v>113.12</v>
      </c>
      <c r="K1338" s="720">
        <v>1493.36</v>
      </c>
      <c r="L1338" s="720">
        <v>358.35</v>
      </c>
      <c r="M1338" s="720">
        <v>3542.27</v>
      </c>
      <c r="N1338" s="720">
        <v>190.35</v>
      </c>
    </row>
    <row r="1339" spans="1:14" ht="15">
      <c r="A1339" s="705"/>
      <c r="B1339" s="705"/>
      <c r="C1339" s="719">
        <v>41762</v>
      </c>
      <c r="D1339" s="717">
        <v>11579</v>
      </c>
      <c r="E1339" s="720">
        <v>10764.48</v>
      </c>
      <c r="F1339" s="720">
        <v>19451.38</v>
      </c>
      <c r="G1339" s="720">
        <v>16003.85</v>
      </c>
      <c r="H1339" s="720">
        <v>10496.44</v>
      </c>
      <c r="I1339" s="720">
        <v>9213.76</v>
      </c>
      <c r="J1339" s="726">
        <v>113.12</v>
      </c>
      <c r="K1339" s="720">
        <v>1493.36</v>
      </c>
      <c r="L1339" s="720">
        <v>358.35</v>
      </c>
      <c r="M1339" s="720">
        <v>3542.27</v>
      </c>
      <c r="N1339" s="720">
        <v>190.35</v>
      </c>
    </row>
    <row r="1340" spans="1:14" ht="15">
      <c r="A1340" s="705"/>
      <c r="B1340" s="705"/>
      <c r="C1340" s="719">
        <v>41763</v>
      </c>
      <c r="D1340" s="717">
        <v>11579</v>
      </c>
      <c r="E1340" s="720">
        <v>10764.48</v>
      </c>
      <c r="F1340" s="720">
        <v>19451.38</v>
      </c>
      <c r="G1340" s="720">
        <v>16003.85</v>
      </c>
      <c r="H1340" s="720">
        <v>10496.44</v>
      </c>
      <c r="I1340" s="720">
        <v>9213.76</v>
      </c>
      <c r="J1340" s="726">
        <v>113.12</v>
      </c>
      <c r="K1340" s="720">
        <v>1493.36</v>
      </c>
      <c r="L1340" s="720">
        <v>358.35</v>
      </c>
      <c r="M1340" s="720">
        <v>3542.27</v>
      </c>
      <c r="N1340" s="720">
        <v>190.35</v>
      </c>
    </row>
    <row r="1341" spans="1:14" ht="15">
      <c r="A1341" s="705"/>
      <c r="B1341" s="705"/>
      <c r="C1341" s="719">
        <v>41764</v>
      </c>
      <c r="D1341" s="717">
        <v>11579</v>
      </c>
      <c r="E1341" s="720">
        <v>10764.48</v>
      </c>
      <c r="F1341" s="720">
        <v>19451.38</v>
      </c>
      <c r="G1341" s="720">
        <v>16003.85</v>
      </c>
      <c r="H1341" s="720">
        <v>10496.44</v>
      </c>
      <c r="I1341" s="720">
        <v>9213.76</v>
      </c>
      <c r="J1341" s="726">
        <v>113.12</v>
      </c>
      <c r="K1341" s="720">
        <v>1493.36</v>
      </c>
      <c r="L1341" s="720">
        <v>358.35</v>
      </c>
      <c r="M1341" s="720">
        <v>3542.27</v>
      </c>
      <c r="N1341" s="720">
        <v>190.35</v>
      </c>
    </row>
    <row r="1342" spans="1:14" ht="15">
      <c r="A1342" s="705"/>
      <c r="B1342" s="705"/>
      <c r="C1342" s="719">
        <v>41765</v>
      </c>
      <c r="D1342" s="717">
        <v>11579</v>
      </c>
      <c r="E1342" s="720">
        <v>10764.48</v>
      </c>
      <c r="F1342" s="720">
        <v>19451.38</v>
      </c>
      <c r="G1342" s="720">
        <v>16003.85</v>
      </c>
      <c r="H1342" s="720">
        <v>10496.44</v>
      </c>
      <c r="I1342" s="720">
        <v>9213.76</v>
      </c>
      <c r="J1342" s="726">
        <v>113.12</v>
      </c>
      <c r="K1342" s="720">
        <v>1493.36</v>
      </c>
      <c r="L1342" s="720">
        <v>358.35</v>
      </c>
      <c r="M1342" s="720">
        <v>3542.27</v>
      </c>
      <c r="N1342" s="720">
        <v>190.35</v>
      </c>
    </row>
    <row r="1343" spans="1:14" ht="15">
      <c r="A1343" s="705"/>
      <c r="B1343" s="705"/>
      <c r="C1343" s="719">
        <v>41766</v>
      </c>
      <c r="D1343" s="717">
        <v>11558</v>
      </c>
      <c r="E1343" s="720">
        <v>10717.5</v>
      </c>
      <c r="F1343" s="720">
        <v>19483.32</v>
      </c>
      <c r="G1343" s="720">
        <v>16010.6</v>
      </c>
      <c r="H1343" s="720">
        <v>10536.39</v>
      </c>
      <c r="I1343" s="720">
        <v>9213.23</v>
      </c>
      <c r="J1343" s="726">
        <v>112.86</v>
      </c>
      <c r="K1343" s="720">
        <v>1490.79</v>
      </c>
      <c r="L1343" s="720">
        <v>357.55</v>
      </c>
      <c r="M1343" s="720">
        <v>3541.38</v>
      </c>
      <c r="N1343" s="720">
        <v>191.35</v>
      </c>
    </row>
    <row r="1344" spans="1:14" ht="15">
      <c r="A1344" s="705"/>
      <c r="B1344" s="705"/>
      <c r="C1344" s="719">
        <v>41767</v>
      </c>
      <c r="D1344" s="717">
        <v>11558</v>
      </c>
      <c r="E1344" s="720">
        <v>10717.5</v>
      </c>
      <c r="F1344" s="720">
        <v>19483.32</v>
      </c>
      <c r="G1344" s="720">
        <v>16010.6</v>
      </c>
      <c r="H1344" s="720">
        <v>10536.39</v>
      </c>
      <c r="I1344" s="720">
        <v>9213.23</v>
      </c>
      <c r="J1344" s="726">
        <v>112.86</v>
      </c>
      <c r="K1344" s="720">
        <v>1490.79</v>
      </c>
      <c r="L1344" s="720">
        <v>357.55</v>
      </c>
      <c r="M1344" s="720">
        <v>3541.38</v>
      </c>
      <c r="N1344" s="720">
        <v>191.35</v>
      </c>
    </row>
    <row r="1345" spans="1:14" ht="15">
      <c r="A1345" s="705"/>
      <c r="B1345" s="705"/>
      <c r="C1345" s="719">
        <v>41768</v>
      </c>
      <c r="D1345" s="717">
        <v>11558</v>
      </c>
      <c r="E1345" s="720">
        <v>10717.5</v>
      </c>
      <c r="F1345" s="720">
        <v>19483.32</v>
      </c>
      <c r="G1345" s="720">
        <v>16010.6</v>
      </c>
      <c r="H1345" s="720">
        <v>10536.39</v>
      </c>
      <c r="I1345" s="720">
        <v>9213.23</v>
      </c>
      <c r="J1345" s="726">
        <v>112.86</v>
      </c>
      <c r="K1345" s="720">
        <v>1490.79</v>
      </c>
      <c r="L1345" s="720">
        <v>357.55</v>
      </c>
      <c r="M1345" s="720">
        <v>3541.38</v>
      </c>
      <c r="N1345" s="720">
        <v>191.35</v>
      </c>
    </row>
    <row r="1346" spans="1:14" ht="15">
      <c r="A1346" s="705"/>
      <c r="B1346" s="705"/>
      <c r="C1346" s="719">
        <v>41769</v>
      </c>
      <c r="D1346" s="717">
        <v>11558</v>
      </c>
      <c r="E1346" s="720">
        <v>10717.5</v>
      </c>
      <c r="F1346" s="720">
        <v>19483.32</v>
      </c>
      <c r="G1346" s="720">
        <v>16010.6</v>
      </c>
      <c r="H1346" s="720">
        <v>10536.39</v>
      </c>
      <c r="I1346" s="720">
        <v>9213.23</v>
      </c>
      <c r="J1346" s="726">
        <v>112.86</v>
      </c>
      <c r="K1346" s="720">
        <v>1490.79</v>
      </c>
      <c r="L1346" s="720">
        <v>357.55</v>
      </c>
      <c r="M1346" s="720">
        <v>3541.38</v>
      </c>
      <c r="N1346" s="720">
        <v>191.35</v>
      </c>
    </row>
    <row r="1347" spans="1:14" ht="15">
      <c r="A1347" s="705"/>
      <c r="B1347" s="705"/>
      <c r="C1347" s="719">
        <v>41770</v>
      </c>
      <c r="D1347" s="717">
        <v>11558</v>
      </c>
      <c r="E1347" s="720">
        <v>10717.5</v>
      </c>
      <c r="F1347" s="720">
        <v>19483.32</v>
      </c>
      <c r="G1347" s="720">
        <v>16010.6</v>
      </c>
      <c r="H1347" s="720">
        <v>10536.39</v>
      </c>
      <c r="I1347" s="720">
        <v>9213.23</v>
      </c>
      <c r="J1347" s="726">
        <v>112.86</v>
      </c>
      <c r="K1347" s="720">
        <v>1490.79</v>
      </c>
      <c r="L1347" s="720">
        <v>357.55</v>
      </c>
      <c r="M1347" s="720">
        <v>3541.38</v>
      </c>
      <c r="N1347" s="720">
        <v>191.35</v>
      </c>
    </row>
    <row r="1348" spans="1:14" ht="15">
      <c r="A1348" s="705"/>
      <c r="B1348" s="705"/>
      <c r="C1348" s="719">
        <v>41771</v>
      </c>
      <c r="D1348" s="717">
        <v>11558</v>
      </c>
      <c r="E1348" s="720">
        <v>10717.5</v>
      </c>
      <c r="F1348" s="720">
        <v>19483.32</v>
      </c>
      <c r="G1348" s="720">
        <v>16010.6</v>
      </c>
      <c r="H1348" s="720">
        <v>10536.39</v>
      </c>
      <c r="I1348" s="720">
        <v>9213.23</v>
      </c>
      <c r="J1348" s="726">
        <v>112.86</v>
      </c>
      <c r="K1348" s="720">
        <v>1490.79</v>
      </c>
      <c r="L1348" s="720">
        <v>357.55</v>
      </c>
      <c r="M1348" s="720">
        <v>3541.38</v>
      </c>
      <c r="N1348" s="720">
        <v>191.35</v>
      </c>
    </row>
    <row r="1349" spans="1:14" ht="15">
      <c r="A1349" s="705"/>
      <c r="B1349" s="705"/>
      <c r="C1349" s="719">
        <v>41772</v>
      </c>
      <c r="D1349" s="717">
        <v>11558</v>
      </c>
      <c r="E1349" s="720">
        <v>10717.5</v>
      </c>
      <c r="F1349" s="720">
        <v>19483.32</v>
      </c>
      <c r="G1349" s="720">
        <v>16010.6</v>
      </c>
      <c r="H1349" s="720">
        <v>10536.39</v>
      </c>
      <c r="I1349" s="720">
        <v>9213.23</v>
      </c>
      <c r="J1349" s="726">
        <v>112.86</v>
      </c>
      <c r="K1349" s="720">
        <v>1490.79</v>
      </c>
      <c r="L1349" s="720">
        <v>357.55</v>
      </c>
      <c r="M1349" s="720">
        <v>3541.38</v>
      </c>
      <c r="N1349" s="720">
        <v>191.35</v>
      </c>
    </row>
    <row r="1350" spans="1:14" ht="15">
      <c r="A1350" s="705"/>
      <c r="B1350" s="705"/>
      <c r="C1350" s="719">
        <v>41773</v>
      </c>
      <c r="D1350" s="717">
        <v>11544</v>
      </c>
      <c r="E1350" s="720">
        <v>10798.81</v>
      </c>
      <c r="F1350" s="720">
        <v>19522.54</v>
      </c>
      <c r="G1350" s="720">
        <v>15974.5</v>
      </c>
      <c r="H1350" s="720">
        <v>10605.25</v>
      </c>
      <c r="I1350" s="720">
        <v>9245.5300000000007</v>
      </c>
      <c r="J1350" s="726">
        <v>113.38</v>
      </c>
      <c r="K1350" s="720">
        <v>1489.12</v>
      </c>
      <c r="L1350" s="720">
        <v>355.22</v>
      </c>
      <c r="M1350" s="720">
        <v>3561.81</v>
      </c>
      <c r="N1350" s="720">
        <v>192.14</v>
      </c>
    </row>
    <row r="1351" spans="1:14" ht="15">
      <c r="A1351" s="705"/>
      <c r="B1351" s="705"/>
      <c r="C1351" s="719">
        <v>41774</v>
      </c>
      <c r="D1351" s="717">
        <v>11544</v>
      </c>
      <c r="E1351" s="720">
        <v>10798.81</v>
      </c>
      <c r="F1351" s="720">
        <v>19522.54</v>
      </c>
      <c r="G1351" s="720">
        <v>15974.5</v>
      </c>
      <c r="H1351" s="720">
        <v>10605.25</v>
      </c>
      <c r="I1351" s="720">
        <v>9245.5300000000007</v>
      </c>
      <c r="J1351" s="726">
        <v>113.38</v>
      </c>
      <c r="K1351" s="720">
        <v>1489.12</v>
      </c>
      <c r="L1351" s="720">
        <v>355.22</v>
      </c>
      <c r="M1351" s="720">
        <v>3561.81</v>
      </c>
      <c r="N1351" s="720">
        <v>192.14</v>
      </c>
    </row>
    <row r="1352" spans="1:14" ht="15">
      <c r="A1352" s="705"/>
      <c r="B1352" s="705"/>
      <c r="C1352" s="719">
        <v>41775</v>
      </c>
      <c r="D1352" s="717">
        <v>11544</v>
      </c>
      <c r="E1352" s="720">
        <v>10798.81</v>
      </c>
      <c r="F1352" s="720">
        <v>19522.54</v>
      </c>
      <c r="G1352" s="720">
        <v>15974.5</v>
      </c>
      <c r="H1352" s="720">
        <v>10605.25</v>
      </c>
      <c r="I1352" s="720">
        <v>9245.5300000000007</v>
      </c>
      <c r="J1352" s="726">
        <v>113.38</v>
      </c>
      <c r="K1352" s="720">
        <v>1489.12</v>
      </c>
      <c r="L1352" s="720">
        <v>355.22</v>
      </c>
      <c r="M1352" s="720">
        <v>3561.81</v>
      </c>
      <c r="N1352" s="720">
        <v>192.14</v>
      </c>
    </row>
    <row r="1353" spans="1:14" ht="15">
      <c r="A1353" s="705"/>
      <c r="B1353" s="705"/>
      <c r="C1353" s="719">
        <v>41776</v>
      </c>
      <c r="D1353" s="717">
        <v>11544</v>
      </c>
      <c r="E1353" s="720">
        <v>10798.81</v>
      </c>
      <c r="F1353" s="720">
        <v>19522.54</v>
      </c>
      <c r="G1353" s="720">
        <v>15974.5</v>
      </c>
      <c r="H1353" s="720">
        <v>10605.25</v>
      </c>
      <c r="I1353" s="720">
        <v>9245.5300000000007</v>
      </c>
      <c r="J1353" s="726">
        <v>113.38</v>
      </c>
      <c r="K1353" s="720">
        <v>1489.12</v>
      </c>
      <c r="L1353" s="720">
        <v>355.22</v>
      </c>
      <c r="M1353" s="720">
        <v>3561.81</v>
      </c>
      <c r="N1353" s="720">
        <v>192.14</v>
      </c>
    </row>
    <row r="1354" spans="1:14" ht="15">
      <c r="A1354" s="705"/>
      <c r="B1354" s="705"/>
      <c r="C1354" s="719">
        <v>41777</v>
      </c>
      <c r="D1354" s="717">
        <v>11544</v>
      </c>
      <c r="E1354" s="720">
        <v>10798.81</v>
      </c>
      <c r="F1354" s="720">
        <v>19522.54</v>
      </c>
      <c r="G1354" s="720">
        <v>15974.5</v>
      </c>
      <c r="H1354" s="720">
        <v>10605.25</v>
      </c>
      <c r="I1354" s="720">
        <v>9245.5300000000007</v>
      </c>
      <c r="J1354" s="726">
        <v>113.38</v>
      </c>
      <c r="K1354" s="720">
        <v>1489.12</v>
      </c>
      <c r="L1354" s="720">
        <v>355.22</v>
      </c>
      <c r="M1354" s="720">
        <v>3561.81</v>
      </c>
      <c r="N1354" s="720">
        <v>192.14</v>
      </c>
    </row>
    <row r="1355" spans="1:14" ht="15">
      <c r="A1355" s="705"/>
      <c r="B1355" s="705"/>
      <c r="C1355" s="719">
        <v>41778</v>
      </c>
      <c r="D1355" s="717">
        <v>11544</v>
      </c>
      <c r="E1355" s="720">
        <v>10798.81</v>
      </c>
      <c r="F1355" s="720">
        <v>19522.54</v>
      </c>
      <c r="G1355" s="720">
        <v>15974.5</v>
      </c>
      <c r="H1355" s="720">
        <v>10605.25</v>
      </c>
      <c r="I1355" s="720">
        <v>9245.5300000000007</v>
      </c>
      <c r="J1355" s="726">
        <v>113.38</v>
      </c>
      <c r="K1355" s="720">
        <v>1489.12</v>
      </c>
      <c r="L1355" s="720">
        <v>355.22</v>
      </c>
      <c r="M1355" s="720">
        <v>3561.81</v>
      </c>
      <c r="N1355" s="720">
        <v>192.14</v>
      </c>
    </row>
    <row r="1356" spans="1:14" ht="15">
      <c r="A1356" s="705"/>
      <c r="B1356" s="705"/>
      <c r="C1356" s="719">
        <v>41779</v>
      </c>
      <c r="D1356" s="717">
        <v>11544</v>
      </c>
      <c r="E1356" s="720">
        <v>10798.81</v>
      </c>
      <c r="F1356" s="720">
        <v>19522.54</v>
      </c>
      <c r="G1356" s="720">
        <v>15974.5</v>
      </c>
      <c r="H1356" s="720">
        <v>10605.25</v>
      </c>
      <c r="I1356" s="720">
        <v>9245.5300000000007</v>
      </c>
      <c r="J1356" s="726">
        <v>113.38</v>
      </c>
      <c r="K1356" s="720">
        <v>1489.12</v>
      </c>
      <c r="L1356" s="720">
        <v>355.22</v>
      </c>
      <c r="M1356" s="720">
        <v>3561.81</v>
      </c>
      <c r="N1356" s="720">
        <v>192.14</v>
      </c>
    </row>
    <row r="1357" spans="1:14" ht="15">
      <c r="A1357" s="705"/>
      <c r="B1357" s="705"/>
      <c r="C1357" s="719">
        <v>41780</v>
      </c>
      <c r="D1357" s="717">
        <v>11466</v>
      </c>
      <c r="E1357" s="720">
        <v>10735.62</v>
      </c>
      <c r="F1357" s="720">
        <v>19267.93</v>
      </c>
      <c r="G1357" s="720">
        <v>15714.38</v>
      </c>
      <c r="H1357" s="720">
        <v>10538.6</v>
      </c>
      <c r="I1357" s="720">
        <v>9162.1</v>
      </c>
      <c r="J1357" s="726">
        <v>112.68</v>
      </c>
      <c r="K1357" s="720">
        <v>1479.11</v>
      </c>
      <c r="L1357" s="720">
        <v>352.72</v>
      </c>
      <c r="M1357" s="720">
        <v>3553.56</v>
      </c>
      <c r="N1357" s="720">
        <v>193.53</v>
      </c>
    </row>
    <row r="1358" spans="1:14" ht="15">
      <c r="A1358" s="705"/>
      <c r="B1358" s="705"/>
      <c r="C1358" s="719">
        <v>41781</v>
      </c>
      <c r="D1358" s="717">
        <v>11466</v>
      </c>
      <c r="E1358" s="720">
        <v>10735.62</v>
      </c>
      <c r="F1358" s="720">
        <v>19267.93</v>
      </c>
      <c r="G1358" s="720">
        <v>15714.38</v>
      </c>
      <c r="H1358" s="720">
        <v>10538.6</v>
      </c>
      <c r="I1358" s="720">
        <v>9162.1</v>
      </c>
      <c r="J1358" s="726">
        <v>112.68</v>
      </c>
      <c r="K1358" s="720">
        <v>1479.11</v>
      </c>
      <c r="L1358" s="720">
        <v>352.72</v>
      </c>
      <c r="M1358" s="720">
        <v>3553.56</v>
      </c>
      <c r="N1358" s="720">
        <v>193.53</v>
      </c>
    </row>
    <row r="1359" spans="1:14" ht="15">
      <c r="A1359" s="705"/>
      <c r="B1359" s="705"/>
      <c r="C1359" s="719">
        <v>41782</v>
      </c>
      <c r="D1359" s="717">
        <v>11466</v>
      </c>
      <c r="E1359" s="720">
        <v>10735.62</v>
      </c>
      <c r="F1359" s="720">
        <v>19267.93</v>
      </c>
      <c r="G1359" s="720">
        <v>15714.38</v>
      </c>
      <c r="H1359" s="720">
        <v>10538.6</v>
      </c>
      <c r="I1359" s="720">
        <v>9162.1</v>
      </c>
      <c r="J1359" s="726">
        <v>112.68</v>
      </c>
      <c r="K1359" s="720">
        <v>1479.11</v>
      </c>
      <c r="L1359" s="720">
        <v>352.72</v>
      </c>
      <c r="M1359" s="720">
        <v>3553.56</v>
      </c>
      <c r="N1359" s="720">
        <v>193.53</v>
      </c>
    </row>
    <row r="1360" spans="1:14" ht="15">
      <c r="A1360" s="705"/>
      <c r="B1360" s="705"/>
      <c r="C1360" s="719">
        <v>41783</v>
      </c>
      <c r="D1360" s="717">
        <v>11466</v>
      </c>
      <c r="E1360" s="720">
        <v>10735.62</v>
      </c>
      <c r="F1360" s="720">
        <v>19267.93</v>
      </c>
      <c r="G1360" s="720">
        <v>15714.38</v>
      </c>
      <c r="H1360" s="720">
        <v>10538.6</v>
      </c>
      <c r="I1360" s="720">
        <v>9162.1</v>
      </c>
      <c r="J1360" s="726">
        <v>112.68</v>
      </c>
      <c r="K1360" s="720">
        <v>1479.11</v>
      </c>
      <c r="L1360" s="720">
        <v>352.72</v>
      </c>
      <c r="M1360" s="720">
        <v>3553.56</v>
      </c>
      <c r="N1360" s="720">
        <v>193.53</v>
      </c>
    </row>
    <row r="1361" spans="1:14" ht="15">
      <c r="A1361" s="705"/>
      <c r="B1361" s="705"/>
      <c r="C1361" s="719">
        <v>41784</v>
      </c>
      <c r="D1361" s="717">
        <v>11466</v>
      </c>
      <c r="E1361" s="720">
        <v>10735.62</v>
      </c>
      <c r="F1361" s="720">
        <v>19267.93</v>
      </c>
      <c r="G1361" s="720">
        <v>15714.38</v>
      </c>
      <c r="H1361" s="720">
        <v>10538.6</v>
      </c>
      <c r="I1361" s="720">
        <v>9162.1</v>
      </c>
      <c r="J1361" s="726">
        <v>112.68</v>
      </c>
      <c r="K1361" s="720">
        <v>1479.11</v>
      </c>
      <c r="L1361" s="720">
        <v>352.72</v>
      </c>
      <c r="M1361" s="720">
        <v>3553.56</v>
      </c>
      <c r="N1361" s="720">
        <v>193.53</v>
      </c>
    </row>
    <row r="1362" spans="1:14" ht="15">
      <c r="A1362" s="705"/>
      <c r="B1362" s="705"/>
      <c r="C1362" s="719">
        <v>41785</v>
      </c>
      <c r="D1362" s="717">
        <v>11466</v>
      </c>
      <c r="E1362" s="720">
        <v>10735.62</v>
      </c>
      <c r="F1362" s="720">
        <v>19267.93</v>
      </c>
      <c r="G1362" s="720">
        <v>15714.38</v>
      </c>
      <c r="H1362" s="720">
        <v>10538.6</v>
      </c>
      <c r="I1362" s="720">
        <v>9162.1</v>
      </c>
      <c r="J1362" s="726">
        <v>112.68</v>
      </c>
      <c r="K1362" s="720">
        <v>1479.11</v>
      </c>
      <c r="L1362" s="720">
        <v>352.72</v>
      </c>
      <c r="M1362" s="720">
        <v>3553.56</v>
      </c>
      <c r="N1362" s="720">
        <v>193.53</v>
      </c>
    </row>
    <row r="1363" spans="1:14" ht="15">
      <c r="A1363" s="705"/>
      <c r="B1363" s="705"/>
      <c r="C1363" s="719">
        <v>41786</v>
      </c>
      <c r="D1363" s="717">
        <v>11466</v>
      </c>
      <c r="E1363" s="720">
        <v>10735.62</v>
      </c>
      <c r="F1363" s="720">
        <v>19267.93</v>
      </c>
      <c r="G1363" s="720">
        <v>15714.38</v>
      </c>
      <c r="H1363" s="720">
        <v>10538.6</v>
      </c>
      <c r="I1363" s="720">
        <v>9162.1</v>
      </c>
      <c r="J1363" s="726">
        <v>112.68</v>
      </c>
      <c r="K1363" s="720">
        <v>1479.11</v>
      </c>
      <c r="L1363" s="720">
        <v>352.72</v>
      </c>
      <c r="M1363" s="720">
        <v>3553.56</v>
      </c>
      <c r="N1363" s="720">
        <v>193.53</v>
      </c>
    </row>
    <row r="1364" spans="1:14" ht="15">
      <c r="A1364" s="705"/>
      <c r="B1364" s="705"/>
      <c r="C1364" s="719">
        <v>41787</v>
      </c>
      <c r="D1364" s="717">
        <v>11513</v>
      </c>
      <c r="E1364" s="720">
        <v>10655.33</v>
      </c>
      <c r="F1364" s="720">
        <v>19400.22</v>
      </c>
      <c r="G1364" s="720">
        <v>15744.91</v>
      </c>
      <c r="H1364" s="720">
        <v>10564.53</v>
      </c>
      <c r="I1364" s="720">
        <v>9197.58</v>
      </c>
      <c r="J1364" s="726">
        <v>113.35</v>
      </c>
      <c r="K1364" s="720">
        <v>1484.93</v>
      </c>
      <c r="L1364" s="720">
        <v>353.92</v>
      </c>
      <c r="M1364" s="720">
        <v>3581.9</v>
      </c>
      <c r="N1364" s="720">
        <v>196.52</v>
      </c>
    </row>
    <row r="1365" spans="1:14" ht="15">
      <c r="A1365" s="705"/>
      <c r="B1365" s="705"/>
      <c r="C1365" s="719">
        <v>41788</v>
      </c>
      <c r="D1365" s="717">
        <v>11513</v>
      </c>
      <c r="E1365" s="720">
        <v>10655.33</v>
      </c>
      <c r="F1365" s="720">
        <v>19400.22</v>
      </c>
      <c r="G1365" s="720">
        <v>15744.91</v>
      </c>
      <c r="H1365" s="720">
        <v>10564.53</v>
      </c>
      <c r="I1365" s="720">
        <v>9197.58</v>
      </c>
      <c r="J1365" s="726">
        <v>113.35</v>
      </c>
      <c r="K1365" s="720">
        <v>1484.93</v>
      </c>
      <c r="L1365" s="720">
        <v>353.92</v>
      </c>
      <c r="M1365" s="720">
        <v>3581.9</v>
      </c>
      <c r="N1365" s="720">
        <v>196.52</v>
      </c>
    </row>
    <row r="1366" spans="1:14" ht="15">
      <c r="A1366" s="705"/>
      <c r="B1366" s="705"/>
      <c r="C1366" s="719">
        <v>41789</v>
      </c>
      <c r="D1366" s="717">
        <v>11513</v>
      </c>
      <c r="E1366" s="720">
        <v>10655.33</v>
      </c>
      <c r="F1366" s="720">
        <v>19400.22</v>
      </c>
      <c r="G1366" s="720">
        <v>15744.91</v>
      </c>
      <c r="H1366" s="720">
        <v>10564.53</v>
      </c>
      <c r="I1366" s="720">
        <v>9197.58</v>
      </c>
      <c r="J1366" s="726">
        <v>113.35</v>
      </c>
      <c r="K1366" s="720">
        <v>1484.93</v>
      </c>
      <c r="L1366" s="720">
        <v>353.92</v>
      </c>
      <c r="M1366" s="720">
        <v>3581.9</v>
      </c>
      <c r="N1366" s="720">
        <v>196.52</v>
      </c>
    </row>
    <row r="1367" spans="1:14" ht="15">
      <c r="A1367" s="705"/>
      <c r="B1367" s="705"/>
      <c r="C1367" s="719">
        <v>41790</v>
      </c>
      <c r="D1367" s="717">
        <v>11513</v>
      </c>
      <c r="E1367" s="720">
        <v>10655.33</v>
      </c>
      <c r="F1367" s="720">
        <v>19400.22</v>
      </c>
      <c r="G1367" s="720">
        <v>15744.91</v>
      </c>
      <c r="H1367" s="720">
        <v>10564.53</v>
      </c>
      <c r="I1367" s="720">
        <v>9197.58</v>
      </c>
      <c r="J1367" s="726">
        <v>113.35</v>
      </c>
      <c r="K1367" s="720">
        <v>1484.93</v>
      </c>
      <c r="L1367" s="720">
        <v>353.92</v>
      </c>
      <c r="M1367" s="720">
        <v>3581.9</v>
      </c>
      <c r="N1367" s="720">
        <v>196.52</v>
      </c>
    </row>
    <row r="1368" spans="1:14" ht="15">
      <c r="A1368" s="705"/>
      <c r="B1368" s="705"/>
      <c r="C1368" s="719">
        <v>41791</v>
      </c>
      <c r="D1368" s="717">
        <v>11513</v>
      </c>
      <c r="E1368" s="720">
        <v>10655.33</v>
      </c>
      <c r="F1368" s="720">
        <v>19400.22</v>
      </c>
      <c r="G1368" s="720">
        <v>15744.91</v>
      </c>
      <c r="H1368" s="720">
        <v>10564.53</v>
      </c>
      <c r="I1368" s="720">
        <v>9197.58</v>
      </c>
      <c r="J1368" s="726">
        <v>113.35</v>
      </c>
      <c r="K1368" s="720">
        <v>1484.93</v>
      </c>
      <c r="L1368" s="720">
        <v>353.92</v>
      </c>
      <c r="M1368" s="720">
        <v>3581.9</v>
      </c>
      <c r="N1368" s="720">
        <v>196.52</v>
      </c>
    </row>
    <row r="1369" spans="1:14" ht="15">
      <c r="A1369" s="705"/>
      <c r="B1369" s="705"/>
      <c r="C1369" s="719">
        <v>41792</v>
      </c>
      <c r="D1369" s="717">
        <v>11513</v>
      </c>
      <c r="E1369" s="720">
        <v>10655.33</v>
      </c>
      <c r="F1369" s="720">
        <v>19400.22</v>
      </c>
      <c r="G1369" s="720">
        <v>15744.91</v>
      </c>
      <c r="H1369" s="720">
        <v>10564.53</v>
      </c>
      <c r="I1369" s="720">
        <v>9197.58</v>
      </c>
      <c r="J1369" s="726">
        <v>113.35</v>
      </c>
      <c r="K1369" s="720">
        <v>1484.93</v>
      </c>
      <c r="L1369" s="720">
        <v>353.92</v>
      </c>
      <c r="M1369" s="720">
        <v>3581.9</v>
      </c>
      <c r="N1369" s="720">
        <v>196.52</v>
      </c>
    </row>
    <row r="1370" spans="1:14" ht="15">
      <c r="A1370" s="705"/>
      <c r="B1370" s="705"/>
      <c r="C1370" s="719">
        <v>41793</v>
      </c>
      <c r="D1370" s="717">
        <v>11513</v>
      </c>
      <c r="E1370" s="720">
        <v>10655.33</v>
      </c>
      <c r="F1370" s="720">
        <v>19400.22</v>
      </c>
      <c r="G1370" s="720">
        <v>15744.91</v>
      </c>
      <c r="H1370" s="720">
        <v>10564.53</v>
      </c>
      <c r="I1370" s="720">
        <v>9197.58</v>
      </c>
      <c r="J1370" s="726">
        <v>113.35</v>
      </c>
      <c r="K1370" s="720">
        <v>1484.93</v>
      </c>
      <c r="L1370" s="720">
        <v>353.92</v>
      </c>
      <c r="M1370" s="720">
        <v>3581.9</v>
      </c>
      <c r="N1370" s="720">
        <v>196.52</v>
      </c>
    </row>
    <row r="1371" spans="1:14" ht="15">
      <c r="A1371" s="705"/>
      <c r="B1371" s="705"/>
      <c r="C1371" s="719">
        <v>41794</v>
      </c>
      <c r="D1371" s="717">
        <v>11683</v>
      </c>
      <c r="E1371" s="720">
        <v>10845.56</v>
      </c>
      <c r="F1371" s="720">
        <v>19568.09</v>
      </c>
      <c r="G1371" s="720">
        <v>15908.97</v>
      </c>
      <c r="H1371" s="720">
        <v>10764.77</v>
      </c>
      <c r="I1371" s="720">
        <v>9306.35</v>
      </c>
      <c r="J1371" s="726">
        <v>114.69</v>
      </c>
      <c r="K1371" s="720">
        <v>1506.88</v>
      </c>
      <c r="L1371" s="720">
        <v>356.58</v>
      </c>
      <c r="M1371" s="720">
        <v>3630.7</v>
      </c>
      <c r="N1371" s="720">
        <v>197.93</v>
      </c>
    </row>
    <row r="1372" spans="1:14" ht="15">
      <c r="A1372" s="705"/>
      <c r="B1372" s="705"/>
      <c r="C1372" s="719">
        <v>41795</v>
      </c>
      <c r="D1372" s="717">
        <v>11683</v>
      </c>
      <c r="E1372" s="720">
        <v>10845.56</v>
      </c>
      <c r="F1372" s="720">
        <v>19568.09</v>
      </c>
      <c r="G1372" s="720">
        <v>15908.97</v>
      </c>
      <c r="H1372" s="720">
        <v>10764.77</v>
      </c>
      <c r="I1372" s="720">
        <v>9306.35</v>
      </c>
      <c r="J1372" s="726">
        <v>114.69</v>
      </c>
      <c r="K1372" s="720">
        <v>1506.88</v>
      </c>
      <c r="L1372" s="720">
        <v>356.58</v>
      </c>
      <c r="M1372" s="720">
        <v>3630.7</v>
      </c>
      <c r="N1372" s="720">
        <v>197.93</v>
      </c>
    </row>
    <row r="1373" spans="1:14" ht="15">
      <c r="A1373" s="705"/>
      <c r="B1373" s="705"/>
      <c r="C1373" s="719">
        <v>41796</v>
      </c>
      <c r="D1373" s="717">
        <v>11683</v>
      </c>
      <c r="E1373" s="720">
        <v>10845.56</v>
      </c>
      <c r="F1373" s="720">
        <v>19568.09</v>
      </c>
      <c r="G1373" s="720">
        <v>15908.97</v>
      </c>
      <c r="H1373" s="720">
        <v>10764.77</v>
      </c>
      <c r="I1373" s="720">
        <v>9306.35</v>
      </c>
      <c r="J1373" s="726">
        <v>114.69</v>
      </c>
      <c r="K1373" s="720">
        <v>1506.88</v>
      </c>
      <c r="L1373" s="720">
        <v>356.58</v>
      </c>
      <c r="M1373" s="720">
        <v>3630.7</v>
      </c>
      <c r="N1373" s="720">
        <v>197.93</v>
      </c>
    </row>
    <row r="1374" spans="1:14" ht="15">
      <c r="A1374" s="705"/>
      <c r="B1374" s="705"/>
      <c r="C1374" s="719">
        <v>41797</v>
      </c>
      <c r="D1374" s="717">
        <v>11683</v>
      </c>
      <c r="E1374" s="720">
        <v>10845.56</v>
      </c>
      <c r="F1374" s="720">
        <v>19568.09</v>
      </c>
      <c r="G1374" s="720">
        <v>15908.97</v>
      </c>
      <c r="H1374" s="720">
        <v>10764.77</v>
      </c>
      <c r="I1374" s="720">
        <v>9306.35</v>
      </c>
      <c r="J1374" s="726">
        <v>114.69</v>
      </c>
      <c r="K1374" s="720">
        <v>1506.88</v>
      </c>
      <c r="L1374" s="720">
        <v>356.58</v>
      </c>
      <c r="M1374" s="720">
        <v>3630.7</v>
      </c>
      <c r="N1374" s="720">
        <v>197.93</v>
      </c>
    </row>
    <row r="1375" spans="1:14" ht="15">
      <c r="A1375" s="705"/>
      <c r="B1375" s="705"/>
      <c r="C1375" s="719">
        <v>41798</v>
      </c>
      <c r="D1375" s="717">
        <v>11683</v>
      </c>
      <c r="E1375" s="720">
        <v>10845.56</v>
      </c>
      <c r="F1375" s="720">
        <v>19568.09</v>
      </c>
      <c r="G1375" s="720">
        <v>15908.97</v>
      </c>
      <c r="H1375" s="720">
        <v>10764.77</v>
      </c>
      <c r="I1375" s="720">
        <v>9306.35</v>
      </c>
      <c r="J1375" s="726">
        <v>114.69</v>
      </c>
      <c r="K1375" s="720">
        <v>1506.88</v>
      </c>
      <c r="L1375" s="720">
        <v>356.58</v>
      </c>
      <c r="M1375" s="720">
        <v>3630.7</v>
      </c>
      <c r="N1375" s="720">
        <v>197.93</v>
      </c>
    </row>
    <row r="1376" spans="1:14" ht="15">
      <c r="A1376" s="705"/>
      <c r="B1376" s="705"/>
      <c r="C1376" s="719">
        <v>41799</v>
      </c>
      <c r="D1376" s="717">
        <v>11683</v>
      </c>
      <c r="E1376" s="720">
        <v>10845.56</v>
      </c>
      <c r="F1376" s="720">
        <v>19568.09</v>
      </c>
      <c r="G1376" s="720">
        <v>15908.97</v>
      </c>
      <c r="H1376" s="720">
        <v>10764.77</v>
      </c>
      <c r="I1376" s="720">
        <v>9306.35</v>
      </c>
      <c r="J1376" s="726">
        <v>114.69</v>
      </c>
      <c r="K1376" s="720">
        <v>1506.88</v>
      </c>
      <c r="L1376" s="720">
        <v>356.58</v>
      </c>
      <c r="M1376" s="720">
        <v>3630.7</v>
      </c>
      <c r="N1376" s="720">
        <v>197.93</v>
      </c>
    </row>
    <row r="1377" spans="1:14" ht="15">
      <c r="A1377" s="705"/>
      <c r="B1377" s="705"/>
      <c r="C1377" s="719">
        <v>41800</v>
      </c>
      <c r="D1377" s="717">
        <v>11683</v>
      </c>
      <c r="E1377" s="720">
        <v>10845.56</v>
      </c>
      <c r="F1377" s="720">
        <v>19568.09</v>
      </c>
      <c r="G1377" s="720">
        <v>15908.97</v>
      </c>
      <c r="H1377" s="720">
        <v>10764.77</v>
      </c>
      <c r="I1377" s="720">
        <v>9306.35</v>
      </c>
      <c r="J1377" s="726">
        <v>114.69</v>
      </c>
      <c r="K1377" s="720">
        <v>1506.88</v>
      </c>
      <c r="L1377" s="720">
        <v>356.58</v>
      </c>
      <c r="M1377" s="720">
        <v>3630.7</v>
      </c>
      <c r="N1377" s="720">
        <v>197.93</v>
      </c>
    </row>
    <row r="1378" spans="1:14" ht="15">
      <c r="A1378" s="705"/>
      <c r="B1378" s="705"/>
      <c r="C1378" s="719">
        <v>41801</v>
      </c>
      <c r="D1378" s="717">
        <v>11841</v>
      </c>
      <c r="E1378" s="720">
        <v>11026.78</v>
      </c>
      <c r="F1378" s="720">
        <v>19870.93</v>
      </c>
      <c r="G1378" s="720">
        <v>16143.88</v>
      </c>
      <c r="H1378" s="720">
        <v>10835.53</v>
      </c>
      <c r="I1378" s="720">
        <v>9443.15</v>
      </c>
      <c r="J1378" s="726">
        <v>115.46</v>
      </c>
      <c r="K1378" s="720">
        <v>1527.24</v>
      </c>
      <c r="L1378" s="720">
        <v>363.51</v>
      </c>
      <c r="M1378" s="720">
        <v>3675.67</v>
      </c>
      <c r="N1378" s="720">
        <v>199.63</v>
      </c>
    </row>
    <row r="1379" spans="1:14" ht="15">
      <c r="A1379" s="705"/>
      <c r="B1379" s="705"/>
      <c r="C1379" s="719">
        <v>41802</v>
      </c>
      <c r="D1379" s="717">
        <v>11841</v>
      </c>
      <c r="E1379" s="720">
        <v>11026.78</v>
      </c>
      <c r="F1379" s="720">
        <v>19870.93</v>
      </c>
      <c r="G1379" s="720">
        <v>16143.88</v>
      </c>
      <c r="H1379" s="720">
        <v>10835.53</v>
      </c>
      <c r="I1379" s="720">
        <v>9443.15</v>
      </c>
      <c r="J1379" s="726">
        <v>115.46</v>
      </c>
      <c r="K1379" s="720">
        <v>1527.24</v>
      </c>
      <c r="L1379" s="720">
        <v>363.51</v>
      </c>
      <c r="M1379" s="720">
        <v>3675.67</v>
      </c>
      <c r="N1379" s="720">
        <v>199.63</v>
      </c>
    </row>
    <row r="1380" spans="1:14" ht="15">
      <c r="A1380" s="705"/>
      <c r="B1380" s="705"/>
      <c r="C1380" s="719">
        <v>41803</v>
      </c>
      <c r="D1380" s="717">
        <v>11841</v>
      </c>
      <c r="E1380" s="720">
        <v>11026.78</v>
      </c>
      <c r="F1380" s="720">
        <v>19870.93</v>
      </c>
      <c r="G1380" s="720">
        <v>16143.88</v>
      </c>
      <c r="H1380" s="720">
        <v>10835.53</v>
      </c>
      <c r="I1380" s="720">
        <v>9443.15</v>
      </c>
      <c r="J1380" s="726">
        <v>115.46</v>
      </c>
      <c r="K1380" s="720">
        <v>1527.24</v>
      </c>
      <c r="L1380" s="720">
        <v>363.51</v>
      </c>
      <c r="M1380" s="720">
        <v>3675.67</v>
      </c>
      <c r="N1380" s="720">
        <v>199.63</v>
      </c>
    </row>
    <row r="1381" spans="1:14" ht="15">
      <c r="A1381" s="705"/>
      <c r="B1381" s="705"/>
      <c r="C1381" s="719">
        <v>41804</v>
      </c>
      <c r="D1381" s="717">
        <v>11841</v>
      </c>
      <c r="E1381" s="720">
        <v>11026.78</v>
      </c>
      <c r="F1381" s="720">
        <v>19870.93</v>
      </c>
      <c r="G1381" s="720">
        <v>16143.88</v>
      </c>
      <c r="H1381" s="720">
        <v>10835.53</v>
      </c>
      <c r="I1381" s="720">
        <v>9443.15</v>
      </c>
      <c r="J1381" s="726">
        <v>115.46</v>
      </c>
      <c r="K1381" s="720">
        <v>1527.24</v>
      </c>
      <c r="L1381" s="720">
        <v>363.51</v>
      </c>
      <c r="M1381" s="720">
        <v>3675.67</v>
      </c>
      <c r="N1381" s="720">
        <v>199.63</v>
      </c>
    </row>
    <row r="1382" spans="1:14" ht="15">
      <c r="A1382" s="705"/>
      <c r="B1382" s="705"/>
      <c r="C1382" s="719">
        <v>41805</v>
      </c>
      <c r="D1382" s="717">
        <v>11841</v>
      </c>
      <c r="E1382" s="720">
        <v>11026.78</v>
      </c>
      <c r="F1382" s="720">
        <v>19870.93</v>
      </c>
      <c r="G1382" s="720">
        <v>16143.88</v>
      </c>
      <c r="H1382" s="720">
        <v>10835.53</v>
      </c>
      <c r="I1382" s="720">
        <v>9443.15</v>
      </c>
      <c r="J1382" s="726">
        <v>115.46</v>
      </c>
      <c r="K1382" s="720">
        <v>1527.24</v>
      </c>
      <c r="L1382" s="720">
        <v>363.51</v>
      </c>
      <c r="M1382" s="720">
        <v>3675.67</v>
      </c>
      <c r="N1382" s="720">
        <v>199.63</v>
      </c>
    </row>
    <row r="1383" spans="1:14" ht="15">
      <c r="A1383" s="705"/>
      <c r="B1383" s="705"/>
      <c r="C1383" s="719">
        <v>41806</v>
      </c>
      <c r="D1383" s="717">
        <v>11841</v>
      </c>
      <c r="E1383" s="720">
        <v>11026.78</v>
      </c>
      <c r="F1383" s="720">
        <v>19870.93</v>
      </c>
      <c r="G1383" s="720">
        <v>16143.88</v>
      </c>
      <c r="H1383" s="720">
        <v>10835.53</v>
      </c>
      <c r="I1383" s="720">
        <v>9443.15</v>
      </c>
      <c r="J1383" s="726">
        <v>115.46</v>
      </c>
      <c r="K1383" s="720">
        <v>1527.24</v>
      </c>
      <c r="L1383" s="720">
        <v>363.51</v>
      </c>
      <c r="M1383" s="720">
        <v>3675.67</v>
      </c>
      <c r="N1383" s="720">
        <v>199.63</v>
      </c>
    </row>
    <row r="1384" spans="1:14" ht="15">
      <c r="A1384" s="705"/>
      <c r="B1384" s="705"/>
      <c r="C1384" s="719">
        <v>41807</v>
      </c>
      <c r="D1384" s="717">
        <v>11841</v>
      </c>
      <c r="E1384" s="720">
        <v>11026.78</v>
      </c>
      <c r="F1384" s="720">
        <v>19870.93</v>
      </c>
      <c r="G1384" s="720">
        <v>16143.88</v>
      </c>
      <c r="H1384" s="720">
        <v>10835.53</v>
      </c>
      <c r="I1384" s="720">
        <v>9443.15</v>
      </c>
      <c r="J1384" s="726">
        <v>115.46</v>
      </c>
      <c r="K1384" s="720">
        <v>1527.24</v>
      </c>
      <c r="L1384" s="720">
        <v>363.51</v>
      </c>
      <c r="M1384" s="720">
        <v>3675.67</v>
      </c>
      <c r="N1384" s="720">
        <v>199.63</v>
      </c>
    </row>
    <row r="1385" spans="1:14" ht="15">
      <c r="A1385" s="705"/>
      <c r="B1385" s="705"/>
      <c r="C1385" s="719">
        <v>41808</v>
      </c>
      <c r="D1385" s="717">
        <v>11806</v>
      </c>
      <c r="E1385" s="720">
        <v>11091.46</v>
      </c>
      <c r="F1385" s="720">
        <v>19932.37</v>
      </c>
      <c r="G1385" s="720">
        <v>15986.37</v>
      </c>
      <c r="H1385" s="720">
        <v>10863.55</v>
      </c>
      <c r="I1385" s="720">
        <v>9443.56</v>
      </c>
      <c r="J1385" s="726">
        <v>115.73</v>
      </c>
      <c r="K1385" s="720">
        <v>1522.94</v>
      </c>
      <c r="L1385" s="720">
        <v>364</v>
      </c>
      <c r="M1385" s="720">
        <v>3673.63</v>
      </c>
      <c r="N1385" s="720">
        <v>198.74</v>
      </c>
    </row>
    <row r="1386" spans="1:14" ht="15">
      <c r="A1386" s="705"/>
      <c r="B1386" s="705"/>
      <c r="C1386" s="719">
        <v>41809</v>
      </c>
      <c r="D1386" s="717">
        <v>11806</v>
      </c>
      <c r="E1386" s="720">
        <v>11091.46</v>
      </c>
      <c r="F1386" s="720">
        <v>19932.37</v>
      </c>
      <c r="G1386" s="720">
        <v>15986.37</v>
      </c>
      <c r="H1386" s="720">
        <v>10863.55</v>
      </c>
      <c r="I1386" s="720">
        <v>9443.56</v>
      </c>
      <c r="J1386" s="726">
        <v>115.73</v>
      </c>
      <c r="K1386" s="720">
        <v>1522.94</v>
      </c>
      <c r="L1386" s="720">
        <v>364</v>
      </c>
      <c r="M1386" s="720">
        <v>3673.63</v>
      </c>
      <c r="N1386" s="720">
        <v>198.74</v>
      </c>
    </row>
    <row r="1387" spans="1:14" ht="15">
      <c r="A1387" s="705"/>
      <c r="B1387" s="705"/>
      <c r="C1387" s="719">
        <v>41810</v>
      </c>
      <c r="D1387" s="717">
        <v>11806</v>
      </c>
      <c r="E1387" s="720">
        <v>11091.46</v>
      </c>
      <c r="F1387" s="720">
        <v>19932.37</v>
      </c>
      <c r="G1387" s="720">
        <v>15986.37</v>
      </c>
      <c r="H1387" s="720">
        <v>10863.55</v>
      </c>
      <c r="I1387" s="720">
        <v>9443.56</v>
      </c>
      <c r="J1387" s="726">
        <v>115.73</v>
      </c>
      <c r="K1387" s="720">
        <v>1522.94</v>
      </c>
      <c r="L1387" s="720">
        <v>364</v>
      </c>
      <c r="M1387" s="720">
        <v>3673.63</v>
      </c>
      <c r="N1387" s="720">
        <v>198.74</v>
      </c>
    </row>
    <row r="1388" spans="1:14" ht="15">
      <c r="A1388" s="705"/>
      <c r="B1388" s="705"/>
      <c r="C1388" s="719">
        <v>41811</v>
      </c>
      <c r="D1388" s="717">
        <v>11806</v>
      </c>
      <c r="E1388" s="720">
        <v>11091.46</v>
      </c>
      <c r="F1388" s="720">
        <v>19932.37</v>
      </c>
      <c r="G1388" s="720">
        <v>15986.37</v>
      </c>
      <c r="H1388" s="720">
        <v>10863.55</v>
      </c>
      <c r="I1388" s="720">
        <v>9443.56</v>
      </c>
      <c r="J1388" s="726">
        <v>115.73</v>
      </c>
      <c r="K1388" s="720">
        <v>1522.94</v>
      </c>
      <c r="L1388" s="720">
        <v>364</v>
      </c>
      <c r="M1388" s="720">
        <v>3673.63</v>
      </c>
      <c r="N1388" s="720">
        <v>198.74</v>
      </c>
    </row>
    <row r="1389" spans="1:14" ht="15">
      <c r="A1389" s="705"/>
      <c r="B1389" s="705"/>
      <c r="C1389" s="719">
        <v>41812</v>
      </c>
      <c r="D1389" s="717">
        <v>11806</v>
      </c>
      <c r="E1389" s="720">
        <v>11091.46</v>
      </c>
      <c r="F1389" s="720">
        <v>19932.37</v>
      </c>
      <c r="G1389" s="720">
        <v>15986.37</v>
      </c>
      <c r="H1389" s="720">
        <v>10863.55</v>
      </c>
      <c r="I1389" s="720">
        <v>9443.56</v>
      </c>
      <c r="J1389" s="726">
        <v>115.73</v>
      </c>
      <c r="K1389" s="720">
        <v>1522.94</v>
      </c>
      <c r="L1389" s="720">
        <v>364</v>
      </c>
      <c r="M1389" s="720">
        <v>3673.63</v>
      </c>
      <c r="N1389" s="720">
        <v>198.74</v>
      </c>
    </row>
    <row r="1390" spans="1:14" ht="15">
      <c r="A1390" s="705"/>
      <c r="B1390" s="705"/>
      <c r="C1390" s="719">
        <v>41813</v>
      </c>
      <c r="D1390" s="717">
        <v>11806</v>
      </c>
      <c r="E1390" s="720">
        <v>11091.46</v>
      </c>
      <c r="F1390" s="720">
        <v>19932.37</v>
      </c>
      <c r="G1390" s="720">
        <v>15986.37</v>
      </c>
      <c r="H1390" s="720">
        <v>10863.55</v>
      </c>
      <c r="I1390" s="720">
        <v>9443.56</v>
      </c>
      <c r="J1390" s="726">
        <v>115.73</v>
      </c>
      <c r="K1390" s="720">
        <v>1522.94</v>
      </c>
      <c r="L1390" s="720">
        <v>364</v>
      </c>
      <c r="M1390" s="720">
        <v>3673.63</v>
      </c>
      <c r="N1390" s="720">
        <v>198.74</v>
      </c>
    </row>
    <row r="1391" spans="1:14" ht="15">
      <c r="A1391" s="705"/>
      <c r="B1391" s="705"/>
      <c r="C1391" s="719">
        <v>41814</v>
      </c>
      <c r="D1391" s="717">
        <v>11806</v>
      </c>
      <c r="E1391" s="720">
        <v>11091.46</v>
      </c>
      <c r="F1391" s="720">
        <v>19932.37</v>
      </c>
      <c r="G1391" s="720">
        <v>15986.37</v>
      </c>
      <c r="H1391" s="720">
        <v>10863.55</v>
      </c>
      <c r="I1391" s="720">
        <v>9443.56</v>
      </c>
      <c r="J1391" s="726">
        <v>115.73</v>
      </c>
      <c r="K1391" s="720">
        <v>1522.94</v>
      </c>
      <c r="L1391" s="720">
        <v>364</v>
      </c>
      <c r="M1391" s="720">
        <v>3673.63</v>
      </c>
      <c r="N1391" s="720">
        <v>198.74</v>
      </c>
    </row>
    <row r="1392" spans="1:14" ht="15">
      <c r="A1392" s="705"/>
      <c r="B1392" s="705"/>
      <c r="C1392" s="719">
        <v>41815</v>
      </c>
      <c r="D1392" s="717">
        <v>11955</v>
      </c>
      <c r="E1392" s="720">
        <v>11227.38</v>
      </c>
      <c r="F1392" s="720">
        <v>20330.75</v>
      </c>
      <c r="G1392" s="720">
        <v>16245.04</v>
      </c>
      <c r="H1392" s="720">
        <v>11065.02</v>
      </c>
      <c r="I1392" s="720">
        <v>9563.82</v>
      </c>
      <c r="J1392" s="726">
        <v>117.17</v>
      </c>
      <c r="K1392" s="720">
        <v>1542.23</v>
      </c>
      <c r="L1392" s="720">
        <v>368.28</v>
      </c>
      <c r="M1392" s="720">
        <v>3710.41</v>
      </c>
      <c r="N1392" s="720">
        <v>198.66</v>
      </c>
    </row>
    <row r="1393" spans="1:14" ht="15">
      <c r="A1393" s="705"/>
      <c r="B1393" s="705"/>
      <c r="C1393" s="719">
        <v>41816</v>
      </c>
      <c r="D1393" s="717">
        <v>11955</v>
      </c>
      <c r="E1393" s="720">
        <v>11227.38</v>
      </c>
      <c r="F1393" s="720">
        <v>20330.75</v>
      </c>
      <c r="G1393" s="720">
        <v>16245.04</v>
      </c>
      <c r="H1393" s="720">
        <v>11065.02</v>
      </c>
      <c r="I1393" s="720">
        <v>9563.82</v>
      </c>
      <c r="J1393" s="726">
        <v>117.17</v>
      </c>
      <c r="K1393" s="720">
        <v>1542.23</v>
      </c>
      <c r="L1393" s="720">
        <v>368.28</v>
      </c>
      <c r="M1393" s="720">
        <v>3710.41</v>
      </c>
      <c r="N1393" s="720">
        <v>198.66</v>
      </c>
    </row>
    <row r="1394" spans="1:14" ht="15">
      <c r="A1394" s="705"/>
      <c r="B1394" s="705"/>
      <c r="C1394" s="719">
        <v>41817</v>
      </c>
      <c r="D1394" s="717">
        <v>11955</v>
      </c>
      <c r="E1394" s="720">
        <v>11227.38</v>
      </c>
      <c r="F1394" s="720">
        <v>20330.75</v>
      </c>
      <c r="G1394" s="720">
        <v>16245.04</v>
      </c>
      <c r="H1394" s="720">
        <v>11065.02</v>
      </c>
      <c r="I1394" s="720">
        <v>9563.82</v>
      </c>
      <c r="J1394" s="726">
        <v>117.17</v>
      </c>
      <c r="K1394" s="720">
        <v>1542.23</v>
      </c>
      <c r="L1394" s="720">
        <v>368.28</v>
      </c>
      <c r="M1394" s="720">
        <v>3710.41</v>
      </c>
      <c r="N1394" s="720">
        <v>198.66</v>
      </c>
    </row>
    <row r="1395" spans="1:14" ht="15">
      <c r="A1395" s="705"/>
      <c r="B1395" s="705"/>
      <c r="C1395" s="719">
        <v>41818</v>
      </c>
      <c r="D1395" s="717">
        <v>11955</v>
      </c>
      <c r="E1395" s="720">
        <v>11227.38</v>
      </c>
      <c r="F1395" s="720">
        <v>20330.75</v>
      </c>
      <c r="G1395" s="720">
        <v>16245.04</v>
      </c>
      <c r="H1395" s="720">
        <v>11065.02</v>
      </c>
      <c r="I1395" s="720">
        <v>9563.82</v>
      </c>
      <c r="J1395" s="726">
        <v>117.17</v>
      </c>
      <c r="K1395" s="720">
        <v>1542.23</v>
      </c>
      <c r="L1395" s="720">
        <v>368.28</v>
      </c>
      <c r="M1395" s="720">
        <v>3710.41</v>
      </c>
      <c r="N1395" s="720">
        <v>198.66</v>
      </c>
    </row>
    <row r="1396" spans="1:14" ht="15">
      <c r="A1396" s="705"/>
      <c r="B1396" s="705"/>
      <c r="C1396" s="719">
        <v>41819</v>
      </c>
      <c r="D1396" s="717">
        <v>11955</v>
      </c>
      <c r="E1396" s="720">
        <v>11227.38</v>
      </c>
      <c r="F1396" s="720">
        <v>20330.75</v>
      </c>
      <c r="G1396" s="720">
        <v>16245.04</v>
      </c>
      <c r="H1396" s="720">
        <v>11065.02</v>
      </c>
      <c r="I1396" s="720">
        <v>9563.82</v>
      </c>
      <c r="J1396" s="726">
        <v>117.17</v>
      </c>
      <c r="K1396" s="720">
        <v>1542.23</v>
      </c>
      <c r="L1396" s="720">
        <v>368.28</v>
      </c>
      <c r="M1396" s="720">
        <v>3710.41</v>
      </c>
      <c r="N1396" s="720">
        <v>198.66</v>
      </c>
    </row>
    <row r="1397" spans="1:14" ht="15">
      <c r="A1397" s="705"/>
      <c r="B1397" s="705"/>
      <c r="C1397" s="719">
        <v>41820</v>
      </c>
      <c r="D1397" s="717">
        <v>11955</v>
      </c>
      <c r="E1397" s="720">
        <v>11227.38</v>
      </c>
      <c r="F1397" s="720">
        <v>20330.75</v>
      </c>
      <c r="G1397" s="720">
        <v>16245.04</v>
      </c>
      <c r="H1397" s="720">
        <v>11065.02</v>
      </c>
      <c r="I1397" s="720">
        <v>9563.82</v>
      </c>
      <c r="J1397" s="726">
        <v>117.17</v>
      </c>
      <c r="K1397" s="720">
        <v>1542.23</v>
      </c>
      <c r="L1397" s="720">
        <v>368.28</v>
      </c>
      <c r="M1397" s="720">
        <v>3710.41</v>
      </c>
      <c r="N1397" s="720">
        <v>198.66</v>
      </c>
    </row>
    <row r="1398" spans="1:14" ht="15">
      <c r="A1398" s="705"/>
      <c r="B1398" s="705"/>
      <c r="C1398" s="719">
        <v>41821</v>
      </c>
      <c r="D1398" s="717">
        <v>11955</v>
      </c>
      <c r="E1398" s="720">
        <v>11227.38</v>
      </c>
      <c r="F1398" s="720">
        <v>20330.75</v>
      </c>
      <c r="G1398" s="720">
        <v>16245.04</v>
      </c>
      <c r="H1398" s="720">
        <v>11065.02</v>
      </c>
      <c r="I1398" s="720">
        <v>9563.82</v>
      </c>
      <c r="J1398" s="726">
        <v>117.17</v>
      </c>
      <c r="K1398" s="720">
        <v>1542.23</v>
      </c>
      <c r="L1398" s="720">
        <v>368.28</v>
      </c>
      <c r="M1398" s="720">
        <v>3710.41</v>
      </c>
      <c r="N1398" s="720">
        <v>198.66</v>
      </c>
    </row>
    <row r="1399" spans="1:14" ht="15">
      <c r="A1399" s="705"/>
      <c r="B1399" s="705"/>
      <c r="C1399" s="719">
        <v>41822</v>
      </c>
      <c r="D1399" s="717">
        <v>12020</v>
      </c>
      <c r="E1399" s="720">
        <v>11305.98</v>
      </c>
      <c r="F1399" s="720">
        <v>20446.580000000002</v>
      </c>
      <c r="G1399" s="720">
        <v>16379.77</v>
      </c>
      <c r="H1399" s="720">
        <v>11234.58</v>
      </c>
      <c r="I1399" s="720">
        <v>9619.98</v>
      </c>
      <c r="J1399" s="726">
        <v>118.23</v>
      </c>
      <c r="K1399" s="720">
        <v>1550.57</v>
      </c>
      <c r="L1399" s="720">
        <v>370.3</v>
      </c>
      <c r="M1399" s="720">
        <v>3737.2</v>
      </c>
      <c r="N1399" s="720">
        <v>199.92</v>
      </c>
    </row>
    <row r="1400" spans="1:14" ht="15">
      <c r="A1400" s="705"/>
      <c r="B1400" s="705"/>
      <c r="C1400" s="719">
        <v>41823</v>
      </c>
      <c r="D1400" s="717">
        <v>12020</v>
      </c>
      <c r="E1400" s="720">
        <v>11305.98</v>
      </c>
      <c r="F1400" s="720">
        <v>20446.580000000002</v>
      </c>
      <c r="G1400" s="720">
        <v>16379.77</v>
      </c>
      <c r="H1400" s="720">
        <v>11234.58</v>
      </c>
      <c r="I1400" s="720">
        <v>9619.98</v>
      </c>
      <c r="J1400" s="726">
        <v>118.23</v>
      </c>
      <c r="K1400" s="720">
        <v>1550.57</v>
      </c>
      <c r="L1400" s="720">
        <v>370.3</v>
      </c>
      <c r="M1400" s="720">
        <v>3737.2</v>
      </c>
      <c r="N1400" s="720">
        <v>199.92</v>
      </c>
    </row>
    <row r="1401" spans="1:14" ht="15">
      <c r="A1401" s="705"/>
      <c r="B1401" s="705"/>
      <c r="C1401" s="719">
        <v>41824</v>
      </c>
      <c r="D1401" s="717">
        <v>12020</v>
      </c>
      <c r="E1401" s="720">
        <v>11305.98</v>
      </c>
      <c r="F1401" s="720">
        <v>20446.580000000002</v>
      </c>
      <c r="G1401" s="720">
        <v>16379.77</v>
      </c>
      <c r="H1401" s="720">
        <v>11234.58</v>
      </c>
      <c r="I1401" s="720">
        <v>9619.98</v>
      </c>
      <c r="J1401" s="726">
        <v>118.23</v>
      </c>
      <c r="K1401" s="720">
        <v>1550.57</v>
      </c>
      <c r="L1401" s="720">
        <v>370.3</v>
      </c>
      <c r="M1401" s="720">
        <v>3737.2</v>
      </c>
      <c r="N1401" s="720">
        <v>199.92</v>
      </c>
    </row>
    <row r="1402" spans="1:14" ht="15">
      <c r="A1402" s="705"/>
      <c r="B1402" s="705"/>
      <c r="C1402" s="719">
        <v>41825</v>
      </c>
      <c r="D1402" s="717">
        <v>12020</v>
      </c>
      <c r="E1402" s="720">
        <v>11305.98</v>
      </c>
      <c r="F1402" s="720">
        <v>20446.580000000002</v>
      </c>
      <c r="G1402" s="720">
        <v>16379.77</v>
      </c>
      <c r="H1402" s="720">
        <v>11234.58</v>
      </c>
      <c r="I1402" s="720">
        <v>9619.98</v>
      </c>
      <c r="J1402" s="726">
        <v>118.23</v>
      </c>
      <c r="K1402" s="720">
        <v>1550.57</v>
      </c>
      <c r="L1402" s="720">
        <v>370.3</v>
      </c>
      <c r="M1402" s="720">
        <v>3737.2</v>
      </c>
      <c r="N1402" s="720">
        <v>199.92</v>
      </c>
    </row>
    <row r="1403" spans="1:14" ht="15">
      <c r="A1403" s="705"/>
      <c r="B1403" s="705"/>
      <c r="C1403" s="719">
        <v>41826</v>
      </c>
      <c r="D1403" s="717">
        <v>12020</v>
      </c>
      <c r="E1403" s="720">
        <v>11305.98</v>
      </c>
      <c r="F1403" s="720">
        <v>20446.580000000002</v>
      </c>
      <c r="G1403" s="720">
        <v>16379.77</v>
      </c>
      <c r="H1403" s="720">
        <v>11234.58</v>
      </c>
      <c r="I1403" s="720">
        <v>9619.98</v>
      </c>
      <c r="J1403" s="726">
        <v>118.23</v>
      </c>
      <c r="K1403" s="720">
        <v>1550.57</v>
      </c>
      <c r="L1403" s="720">
        <v>370.3</v>
      </c>
      <c r="M1403" s="720">
        <v>3737.2</v>
      </c>
      <c r="N1403" s="720">
        <v>199.92</v>
      </c>
    </row>
    <row r="1404" spans="1:14" ht="15">
      <c r="A1404" s="705"/>
      <c r="B1404" s="705"/>
      <c r="C1404" s="719">
        <v>41827</v>
      </c>
      <c r="D1404" s="717">
        <v>12020</v>
      </c>
      <c r="E1404" s="720">
        <v>11305.98</v>
      </c>
      <c r="F1404" s="720">
        <v>20446.580000000002</v>
      </c>
      <c r="G1404" s="720">
        <v>16379.77</v>
      </c>
      <c r="H1404" s="720">
        <v>11234.58</v>
      </c>
      <c r="I1404" s="720">
        <v>9619.98</v>
      </c>
      <c r="J1404" s="726">
        <v>118.23</v>
      </c>
      <c r="K1404" s="720">
        <v>1550.57</v>
      </c>
      <c r="L1404" s="720">
        <v>370.3</v>
      </c>
      <c r="M1404" s="720">
        <v>3737.2</v>
      </c>
      <c r="N1404" s="720">
        <v>199.92</v>
      </c>
    </row>
    <row r="1405" spans="1:14" ht="15">
      <c r="A1405" s="705"/>
      <c r="B1405" s="705"/>
      <c r="C1405" s="719">
        <v>41828</v>
      </c>
      <c r="D1405" s="717">
        <v>12020</v>
      </c>
      <c r="E1405" s="720">
        <v>11305.98</v>
      </c>
      <c r="F1405" s="720">
        <v>20446.580000000002</v>
      </c>
      <c r="G1405" s="720">
        <v>16379.77</v>
      </c>
      <c r="H1405" s="720">
        <v>11234.58</v>
      </c>
      <c r="I1405" s="720">
        <v>9619.98</v>
      </c>
      <c r="J1405" s="726">
        <v>118.23</v>
      </c>
      <c r="K1405" s="720">
        <v>1550.57</v>
      </c>
      <c r="L1405" s="720">
        <v>370.3</v>
      </c>
      <c r="M1405" s="720">
        <v>3737.2</v>
      </c>
      <c r="N1405" s="720">
        <v>199.92</v>
      </c>
    </row>
    <row r="1406" spans="1:14" ht="15">
      <c r="A1406" s="705"/>
      <c r="B1406" s="705"/>
      <c r="C1406" s="719">
        <v>41829</v>
      </c>
      <c r="D1406" s="717">
        <v>11869</v>
      </c>
      <c r="E1406" s="720">
        <v>11157.29</v>
      </c>
      <c r="F1406" s="720">
        <v>20359.66</v>
      </c>
      <c r="G1406" s="720">
        <v>16171.13</v>
      </c>
      <c r="H1406" s="720">
        <v>11144.9</v>
      </c>
      <c r="I1406" s="720">
        <v>9520.2999999999993</v>
      </c>
      <c r="J1406" s="726">
        <v>116.42</v>
      </c>
      <c r="K1406" s="720">
        <v>1531.36</v>
      </c>
      <c r="L1406" s="720">
        <v>366.47</v>
      </c>
      <c r="M1406" s="720">
        <v>3713.41</v>
      </c>
      <c r="N1406" s="720">
        <v>198.43</v>
      </c>
    </row>
    <row r="1407" spans="1:14" ht="15">
      <c r="A1407" s="705"/>
      <c r="B1407" s="705"/>
      <c r="C1407" s="719">
        <v>41830</v>
      </c>
      <c r="D1407" s="717">
        <v>11869</v>
      </c>
      <c r="E1407" s="720">
        <v>11157.29</v>
      </c>
      <c r="F1407" s="720">
        <v>20359.66</v>
      </c>
      <c r="G1407" s="720">
        <v>16171.13</v>
      </c>
      <c r="H1407" s="720">
        <v>11144.9</v>
      </c>
      <c r="I1407" s="720">
        <v>9520.2999999999993</v>
      </c>
      <c r="J1407" s="726">
        <v>116.42</v>
      </c>
      <c r="K1407" s="720">
        <v>1531.36</v>
      </c>
      <c r="L1407" s="720">
        <v>366.47</v>
      </c>
      <c r="M1407" s="720">
        <v>3713.41</v>
      </c>
      <c r="N1407" s="720">
        <v>198.43</v>
      </c>
    </row>
    <row r="1408" spans="1:14" ht="15">
      <c r="A1408" s="705"/>
      <c r="B1408" s="705"/>
      <c r="C1408" s="719">
        <v>41831</v>
      </c>
      <c r="D1408" s="717">
        <v>11869</v>
      </c>
      <c r="E1408" s="720">
        <v>11157.29</v>
      </c>
      <c r="F1408" s="720">
        <v>20359.66</v>
      </c>
      <c r="G1408" s="720">
        <v>16171.13</v>
      </c>
      <c r="H1408" s="720">
        <v>11144.9</v>
      </c>
      <c r="I1408" s="720">
        <v>9520.2999999999993</v>
      </c>
      <c r="J1408" s="726">
        <v>116.42</v>
      </c>
      <c r="K1408" s="720">
        <v>1531.36</v>
      </c>
      <c r="L1408" s="720">
        <v>366.47</v>
      </c>
      <c r="M1408" s="720">
        <v>3713.41</v>
      </c>
      <c r="N1408" s="720">
        <v>198.43</v>
      </c>
    </row>
    <row r="1409" spans="1:14" ht="15">
      <c r="A1409" s="705"/>
      <c r="B1409" s="705"/>
      <c r="C1409" s="719">
        <v>41832</v>
      </c>
      <c r="D1409" s="717">
        <v>11869</v>
      </c>
      <c r="E1409" s="720">
        <v>11157.29</v>
      </c>
      <c r="F1409" s="720">
        <v>20359.66</v>
      </c>
      <c r="G1409" s="720">
        <v>16171.13</v>
      </c>
      <c r="H1409" s="720">
        <v>11144.9</v>
      </c>
      <c r="I1409" s="720">
        <v>9520.2999999999993</v>
      </c>
      <c r="J1409" s="726">
        <v>116.42</v>
      </c>
      <c r="K1409" s="720">
        <v>1531.36</v>
      </c>
      <c r="L1409" s="720">
        <v>366.47</v>
      </c>
      <c r="M1409" s="720">
        <v>3713.41</v>
      </c>
      <c r="N1409" s="720">
        <v>198.43</v>
      </c>
    </row>
    <row r="1410" spans="1:14" ht="15">
      <c r="A1410" s="705"/>
      <c r="B1410" s="705"/>
      <c r="C1410" s="719">
        <v>41833</v>
      </c>
      <c r="D1410" s="717">
        <v>11869</v>
      </c>
      <c r="E1410" s="720">
        <v>11157.29</v>
      </c>
      <c r="F1410" s="720">
        <v>20359.66</v>
      </c>
      <c r="G1410" s="720">
        <v>16171.13</v>
      </c>
      <c r="H1410" s="720">
        <v>11144.9</v>
      </c>
      <c r="I1410" s="720">
        <v>9520.2999999999993</v>
      </c>
      <c r="J1410" s="726">
        <v>116.42</v>
      </c>
      <c r="K1410" s="720">
        <v>1531.36</v>
      </c>
      <c r="L1410" s="720">
        <v>366.47</v>
      </c>
      <c r="M1410" s="720">
        <v>3713.41</v>
      </c>
      <c r="N1410" s="720">
        <v>198.43</v>
      </c>
    </row>
    <row r="1411" spans="1:14" ht="15">
      <c r="A1411" s="705"/>
      <c r="B1411" s="705"/>
      <c r="C1411" s="719">
        <v>41834</v>
      </c>
      <c r="D1411" s="717">
        <v>11869</v>
      </c>
      <c r="E1411" s="720">
        <v>11157.29</v>
      </c>
      <c r="F1411" s="720">
        <v>20359.66</v>
      </c>
      <c r="G1411" s="720">
        <v>16171.13</v>
      </c>
      <c r="H1411" s="720">
        <v>11144.9</v>
      </c>
      <c r="I1411" s="720">
        <v>9520.2999999999993</v>
      </c>
      <c r="J1411" s="726">
        <v>116.42</v>
      </c>
      <c r="K1411" s="720">
        <v>1531.36</v>
      </c>
      <c r="L1411" s="720">
        <v>366.47</v>
      </c>
      <c r="M1411" s="720">
        <v>3713.41</v>
      </c>
      <c r="N1411" s="720">
        <v>198.43</v>
      </c>
    </row>
    <row r="1412" spans="1:14" ht="15">
      <c r="A1412" s="705"/>
      <c r="B1412" s="705"/>
      <c r="C1412" s="719">
        <v>41835</v>
      </c>
      <c r="D1412" s="717">
        <v>11869</v>
      </c>
      <c r="E1412" s="720">
        <v>11157.29</v>
      </c>
      <c r="F1412" s="720">
        <v>20359.66</v>
      </c>
      <c r="G1412" s="720">
        <v>16171.13</v>
      </c>
      <c r="H1412" s="720">
        <v>11144.9</v>
      </c>
      <c r="I1412" s="720">
        <v>9520.2999999999993</v>
      </c>
      <c r="J1412" s="726">
        <v>116.42</v>
      </c>
      <c r="K1412" s="720">
        <v>1531.36</v>
      </c>
      <c r="L1412" s="720">
        <v>366.47</v>
      </c>
      <c r="M1412" s="720">
        <v>3713.41</v>
      </c>
      <c r="N1412" s="720">
        <v>198.43</v>
      </c>
    </row>
    <row r="1413" spans="1:14" ht="15">
      <c r="A1413" s="705"/>
      <c r="B1413" s="705"/>
      <c r="C1413" s="719">
        <v>41836</v>
      </c>
      <c r="D1413" s="717">
        <v>11601</v>
      </c>
      <c r="E1413" s="720">
        <v>10902.38</v>
      </c>
      <c r="F1413" s="720">
        <v>19872.39</v>
      </c>
      <c r="G1413" s="720">
        <v>15792.58</v>
      </c>
      <c r="H1413" s="720">
        <v>10851.5</v>
      </c>
      <c r="I1413" s="720">
        <v>9341.0300000000007</v>
      </c>
      <c r="J1413" s="726">
        <v>114.35</v>
      </c>
      <c r="K1413" s="720">
        <v>1496.8</v>
      </c>
      <c r="L1413" s="720">
        <v>360.15</v>
      </c>
      <c r="M1413" s="720">
        <v>3650.47</v>
      </c>
      <c r="N1413" s="720">
        <v>193.59</v>
      </c>
    </row>
    <row r="1414" spans="1:14" ht="15">
      <c r="A1414" s="705"/>
      <c r="B1414" s="705"/>
      <c r="C1414" s="719">
        <v>41837</v>
      </c>
      <c r="D1414" s="717">
        <v>11601</v>
      </c>
      <c r="E1414" s="720">
        <v>10902.38</v>
      </c>
      <c r="F1414" s="720">
        <v>19872.39</v>
      </c>
      <c r="G1414" s="720">
        <v>15792.58</v>
      </c>
      <c r="H1414" s="720">
        <v>10851.5</v>
      </c>
      <c r="I1414" s="720">
        <v>9341.0300000000007</v>
      </c>
      <c r="J1414" s="726">
        <v>114.35</v>
      </c>
      <c r="K1414" s="720">
        <v>1496.8</v>
      </c>
      <c r="L1414" s="720">
        <v>360.15</v>
      </c>
      <c r="M1414" s="720">
        <v>3650.47</v>
      </c>
      <c r="N1414" s="720">
        <v>193.59</v>
      </c>
    </row>
    <row r="1415" spans="1:14" ht="15">
      <c r="A1415" s="705"/>
      <c r="B1415" s="705"/>
      <c r="C1415" s="719">
        <v>41838</v>
      </c>
      <c r="D1415" s="717">
        <v>11601</v>
      </c>
      <c r="E1415" s="720">
        <v>10902.38</v>
      </c>
      <c r="F1415" s="720">
        <v>19872.39</v>
      </c>
      <c r="G1415" s="720">
        <v>15792.58</v>
      </c>
      <c r="H1415" s="720">
        <v>10851.5</v>
      </c>
      <c r="I1415" s="720">
        <v>9341.0300000000007</v>
      </c>
      <c r="J1415" s="726">
        <v>114.35</v>
      </c>
      <c r="K1415" s="720">
        <v>1496.8</v>
      </c>
      <c r="L1415" s="720">
        <v>360.15</v>
      </c>
      <c r="M1415" s="720">
        <v>3650.47</v>
      </c>
      <c r="N1415" s="720">
        <v>193.59</v>
      </c>
    </row>
    <row r="1416" spans="1:14" ht="15">
      <c r="A1416" s="705"/>
      <c r="B1416" s="705"/>
      <c r="C1416" s="719">
        <v>41839</v>
      </c>
      <c r="D1416" s="717">
        <v>11601</v>
      </c>
      <c r="E1416" s="720">
        <v>10902.38</v>
      </c>
      <c r="F1416" s="720">
        <v>19872.39</v>
      </c>
      <c r="G1416" s="720">
        <v>15792.58</v>
      </c>
      <c r="H1416" s="720">
        <v>10851.5</v>
      </c>
      <c r="I1416" s="720">
        <v>9341.0300000000007</v>
      </c>
      <c r="J1416" s="726">
        <v>114.35</v>
      </c>
      <c r="K1416" s="720">
        <v>1496.8</v>
      </c>
      <c r="L1416" s="720">
        <v>360.15</v>
      </c>
      <c r="M1416" s="720">
        <v>3650.47</v>
      </c>
      <c r="N1416" s="720">
        <v>193.59</v>
      </c>
    </row>
    <row r="1417" spans="1:14" ht="15">
      <c r="A1417" s="705"/>
      <c r="B1417" s="705"/>
      <c r="C1417" s="719">
        <v>41840</v>
      </c>
      <c r="D1417" s="717">
        <v>11601</v>
      </c>
      <c r="E1417" s="720">
        <v>10902.38</v>
      </c>
      <c r="F1417" s="720">
        <v>19872.39</v>
      </c>
      <c r="G1417" s="720">
        <v>15792.58</v>
      </c>
      <c r="H1417" s="720">
        <v>10851.5</v>
      </c>
      <c r="I1417" s="720">
        <v>9341.0300000000007</v>
      </c>
      <c r="J1417" s="726">
        <v>114.35</v>
      </c>
      <c r="K1417" s="720">
        <v>1496.8</v>
      </c>
      <c r="L1417" s="720">
        <v>360.15</v>
      </c>
      <c r="M1417" s="720">
        <v>3650.47</v>
      </c>
      <c r="N1417" s="720">
        <v>193.59</v>
      </c>
    </row>
    <row r="1418" spans="1:14" ht="15">
      <c r="A1418" s="705"/>
      <c r="B1418" s="705"/>
      <c r="C1418" s="719">
        <v>41841</v>
      </c>
      <c r="D1418" s="717">
        <v>11601</v>
      </c>
      <c r="E1418" s="720">
        <v>10902.38</v>
      </c>
      <c r="F1418" s="720">
        <v>19872.39</v>
      </c>
      <c r="G1418" s="720">
        <v>15792.58</v>
      </c>
      <c r="H1418" s="720">
        <v>10851.5</v>
      </c>
      <c r="I1418" s="720">
        <v>9341.0300000000007</v>
      </c>
      <c r="J1418" s="726">
        <v>114.35</v>
      </c>
      <c r="K1418" s="720">
        <v>1496.8</v>
      </c>
      <c r="L1418" s="720">
        <v>360.15</v>
      </c>
      <c r="M1418" s="720">
        <v>3650.47</v>
      </c>
      <c r="N1418" s="720">
        <v>193.59</v>
      </c>
    </row>
    <row r="1419" spans="1:14" ht="15">
      <c r="A1419" s="705"/>
      <c r="B1419" s="705"/>
      <c r="C1419" s="719">
        <v>41842</v>
      </c>
      <c r="D1419" s="717">
        <v>11601</v>
      </c>
      <c r="E1419" s="720">
        <v>10902.38</v>
      </c>
      <c r="F1419" s="720">
        <v>19872.39</v>
      </c>
      <c r="G1419" s="720">
        <v>15792.58</v>
      </c>
      <c r="H1419" s="720">
        <v>10851.5</v>
      </c>
      <c r="I1419" s="720">
        <v>9341.0300000000007</v>
      </c>
      <c r="J1419" s="726">
        <v>114.35</v>
      </c>
      <c r="K1419" s="720">
        <v>1496.8</v>
      </c>
      <c r="L1419" s="720">
        <v>360.15</v>
      </c>
      <c r="M1419" s="720">
        <v>3650.47</v>
      </c>
      <c r="N1419" s="720">
        <v>193.59</v>
      </c>
    </row>
    <row r="1420" spans="1:14" ht="15">
      <c r="A1420" s="705"/>
      <c r="B1420" s="705"/>
      <c r="C1420" s="719">
        <v>41843</v>
      </c>
      <c r="D1420" s="717">
        <v>11666</v>
      </c>
      <c r="E1420" s="720">
        <v>10934.03</v>
      </c>
      <c r="F1420" s="720">
        <v>19960.32</v>
      </c>
      <c r="G1420" s="720">
        <v>15788.38</v>
      </c>
      <c r="H1420" s="720">
        <v>10854.18</v>
      </c>
      <c r="I1420" s="720">
        <v>9387.89</v>
      </c>
      <c r="J1420" s="726">
        <v>115</v>
      </c>
      <c r="K1420" s="720">
        <v>1505.04</v>
      </c>
      <c r="L1420" s="720">
        <v>362.96</v>
      </c>
      <c r="M1420" s="720">
        <v>3665.03</v>
      </c>
      <c r="N1420" s="720">
        <v>193.83</v>
      </c>
    </row>
    <row r="1421" spans="1:14" ht="15">
      <c r="A1421" s="705"/>
      <c r="B1421" s="705"/>
      <c r="C1421" s="719">
        <v>41844</v>
      </c>
      <c r="D1421" s="717">
        <v>11666</v>
      </c>
      <c r="E1421" s="720">
        <v>10934.03</v>
      </c>
      <c r="F1421" s="720">
        <v>19960.32</v>
      </c>
      <c r="G1421" s="720">
        <v>15788.38</v>
      </c>
      <c r="H1421" s="720">
        <v>10854.18</v>
      </c>
      <c r="I1421" s="720">
        <v>9387.89</v>
      </c>
      <c r="J1421" s="726">
        <v>115</v>
      </c>
      <c r="K1421" s="720">
        <v>1505.04</v>
      </c>
      <c r="L1421" s="720">
        <v>362.96</v>
      </c>
      <c r="M1421" s="720">
        <v>3665.03</v>
      </c>
      <c r="N1421" s="720">
        <v>193.83</v>
      </c>
    </row>
    <row r="1422" spans="1:14" ht="15">
      <c r="A1422" s="705"/>
      <c r="B1422" s="705"/>
      <c r="C1422" s="719">
        <v>41845</v>
      </c>
      <c r="D1422" s="717">
        <v>11666</v>
      </c>
      <c r="E1422" s="720">
        <v>10934.03</v>
      </c>
      <c r="F1422" s="720">
        <v>19960.32</v>
      </c>
      <c r="G1422" s="720">
        <v>15788.38</v>
      </c>
      <c r="H1422" s="720">
        <v>10854.18</v>
      </c>
      <c r="I1422" s="720">
        <v>9387.89</v>
      </c>
      <c r="J1422" s="726">
        <v>115</v>
      </c>
      <c r="K1422" s="720">
        <v>1505.04</v>
      </c>
      <c r="L1422" s="720">
        <v>362.96</v>
      </c>
      <c r="M1422" s="720">
        <v>3665.03</v>
      </c>
      <c r="N1422" s="720">
        <v>193.83</v>
      </c>
    </row>
    <row r="1423" spans="1:14" ht="15">
      <c r="A1423" s="705"/>
      <c r="B1423" s="705"/>
      <c r="C1423" s="719">
        <v>41846</v>
      </c>
      <c r="D1423" s="717">
        <v>11666</v>
      </c>
      <c r="E1423" s="720">
        <v>10934.03</v>
      </c>
      <c r="F1423" s="720">
        <v>19960.32</v>
      </c>
      <c r="G1423" s="720">
        <v>15788.38</v>
      </c>
      <c r="H1423" s="720">
        <v>10854.18</v>
      </c>
      <c r="I1423" s="720">
        <v>9387.89</v>
      </c>
      <c r="J1423" s="726">
        <v>115</v>
      </c>
      <c r="K1423" s="720">
        <v>1505.04</v>
      </c>
      <c r="L1423" s="720">
        <v>362.96</v>
      </c>
      <c r="M1423" s="720">
        <v>3665.03</v>
      </c>
      <c r="N1423" s="720">
        <v>193.83</v>
      </c>
    </row>
    <row r="1424" spans="1:14" ht="15">
      <c r="A1424" s="705"/>
      <c r="B1424" s="705"/>
      <c r="C1424" s="719">
        <v>41847</v>
      </c>
      <c r="D1424" s="717">
        <v>11666</v>
      </c>
      <c r="E1424" s="720">
        <v>10934.03</v>
      </c>
      <c r="F1424" s="720">
        <v>19960.32</v>
      </c>
      <c r="G1424" s="720">
        <v>15788.38</v>
      </c>
      <c r="H1424" s="720">
        <v>10854.18</v>
      </c>
      <c r="I1424" s="720">
        <v>9387.89</v>
      </c>
      <c r="J1424" s="726">
        <v>115</v>
      </c>
      <c r="K1424" s="720">
        <v>1505.04</v>
      </c>
      <c r="L1424" s="720">
        <v>362.96</v>
      </c>
      <c r="M1424" s="720">
        <v>3665.03</v>
      </c>
      <c r="N1424" s="720">
        <v>193.83</v>
      </c>
    </row>
    <row r="1425" spans="1:14" ht="15">
      <c r="A1425" s="705"/>
      <c r="B1425" s="705"/>
      <c r="C1425" s="719">
        <v>41848</v>
      </c>
      <c r="D1425" s="717">
        <v>11666</v>
      </c>
      <c r="E1425" s="720">
        <v>10934.03</v>
      </c>
      <c r="F1425" s="720">
        <v>19960.32</v>
      </c>
      <c r="G1425" s="720">
        <v>15788.38</v>
      </c>
      <c r="H1425" s="720">
        <v>10854.18</v>
      </c>
      <c r="I1425" s="720">
        <v>9387.89</v>
      </c>
      <c r="J1425" s="726">
        <v>115</v>
      </c>
      <c r="K1425" s="720">
        <v>1505.04</v>
      </c>
      <c r="L1425" s="720">
        <v>362.96</v>
      </c>
      <c r="M1425" s="720">
        <v>3665.03</v>
      </c>
      <c r="N1425" s="720">
        <v>193.83</v>
      </c>
    </row>
    <row r="1426" spans="1:14" ht="15">
      <c r="A1426" s="705"/>
      <c r="B1426" s="705"/>
      <c r="C1426" s="719">
        <v>41849</v>
      </c>
      <c r="D1426" s="717">
        <v>11666</v>
      </c>
      <c r="E1426" s="720">
        <v>10934.03</v>
      </c>
      <c r="F1426" s="720">
        <v>19960.32</v>
      </c>
      <c r="G1426" s="720">
        <v>15788.38</v>
      </c>
      <c r="H1426" s="720">
        <v>10854.18</v>
      </c>
      <c r="I1426" s="720">
        <v>9387.89</v>
      </c>
      <c r="J1426" s="726">
        <v>115</v>
      </c>
      <c r="K1426" s="720">
        <v>1505.04</v>
      </c>
      <c r="L1426" s="720">
        <v>362.96</v>
      </c>
      <c r="M1426" s="720">
        <v>3665.03</v>
      </c>
      <c r="N1426" s="720">
        <v>193.83</v>
      </c>
    </row>
    <row r="1427" spans="1:14" ht="15">
      <c r="A1427" s="705"/>
      <c r="B1427" s="705"/>
      <c r="C1427" s="719">
        <v>41850</v>
      </c>
      <c r="D1427" s="717">
        <v>11666</v>
      </c>
      <c r="E1427" s="720">
        <v>10934.03</v>
      </c>
      <c r="F1427" s="720">
        <v>19960.32</v>
      </c>
      <c r="G1427" s="720">
        <v>15788.38</v>
      </c>
      <c r="H1427" s="720">
        <v>10854.18</v>
      </c>
      <c r="I1427" s="720">
        <v>9387.89</v>
      </c>
      <c r="J1427" s="726">
        <v>115</v>
      </c>
      <c r="K1427" s="720">
        <v>1505.04</v>
      </c>
      <c r="L1427" s="720">
        <v>362.96</v>
      </c>
      <c r="M1427" s="720">
        <v>3665.03</v>
      </c>
      <c r="N1427" s="720">
        <v>193.83</v>
      </c>
    </row>
    <row r="1428" spans="1:14" ht="15">
      <c r="A1428" s="705"/>
      <c r="B1428" s="705"/>
      <c r="C1428" s="719">
        <v>41851</v>
      </c>
      <c r="D1428" s="717">
        <v>11666</v>
      </c>
      <c r="E1428" s="720">
        <v>10934.03</v>
      </c>
      <c r="F1428" s="720">
        <v>19960.32</v>
      </c>
      <c r="G1428" s="720">
        <v>15788.38</v>
      </c>
      <c r="H1428" s="720">
        <v>10854.18</v>
      </c>
      <c r="I1428" s="720">
        <v>9387.89</v>
      </c>
      <c r="J1428" s="726">
        <v>115</v>
      </c>
      <c r="K1428" s="720">
        <v>1505.04</v>
      </c>
      <c r="L1428" s="720">
        <v>362.96</v>
      </c>
      <c r="M1428" s="720">
        <v>3665.03</v>
      </c>
      <c r="N1428" s="720">
        <v>193.83</v>
      </c>
    </row>
    <row r="1429" spans="1:14" ht="15">
      <c r="A1429" s="705"/>
      <c r="B1429" s="705"/>
      <c r="C1429" s="719">
        <v>41852</v>
      </c>
      <c r="D1429" s="717">
        <v>11666</v>
      </c>
      <c r="E1429" s="720">
        <v>10934.03</v>
      </c>
      <c r="F1429" s="720">
        <v>19960.32</v>
      </c>
      <c r="G1429" s="720">
        <v>15788.38</v>
      </c>
      <c r="H1429" s="720">
        <v>10854.18</v>
      </c>
      <c r="I1429" s="720">
        <v>9387.89</v>
      </c>
      <c r="J1429" s="726">
        <v>115</v>
      </c>
      <c r="K1429" s="720">
        <v>1505.04</v>
      </c>
      <c r="L1429" s="720">
        <v>362.96</v>
      </c>
      <c r="M1429" s="720">
        <v>3665.03</v>
      </c>
      <c r="N1429" s="720">
        <v>193.83</v>
      </c>
    </row>
    <row r="1430" spans="1:14" ht="15">
      <c r="A1430" s="705"/>
      <c r="B1430" s="705"/>
      <c r="C1430" s="719">
        <v>41853</v>
      </c>
      <c r="D1430" s="717">
        <v>11666</v>
      </c>
      <c r="E1430" s="720">
        <v>10934.03</v>
      </c>
      <c r="F1430" s="720">
        <v>19960.32</v>
      </c>
      <c r="G1430" s="720">
        <v>15788.38</v>
      </c>
      <c r="H1430" s="720">
        <v>10854.18</v>
      </c>
      <c r="I1430" s="720">
        <v>9387.89</v>
      </c>
      <c r="J1430" s="726">
        <v>115</v>
      </c>
      <c r="K1430" s="720">
        <v>1505.04</v>
      </c>
      <c r="L1430" s="720">
        <v>362.96</v>
      </c>
      <c r="M1430" s="720">
        <v>3665.03</v>
      </c>
      <c r="N1430" s="720">
        <v>193.83</v>
      </c>
    </row>
    <row r="1431" spans="1:14" ht="15">
      <c r="A1431" s="705"/>
      <c r="B1431" s="705"/>
      <c r="C1431" s="719">
        <v>41854</v>
      </c>
      <c r="D1431" s="717">
        <v>11666</v>
      </c>
      <c r="E1431" s="720">
        <v>10934.03</v>
      </c>
      <c r="F1431" s="720">
        <v>19960.32</v>
      </c>
      <c r="G1431" s="720">
        <v>15788.38</v>
      </c>
      <c r="H1431" s="720">
        <v>10854.18</v>
      </c>
      <c r="I1431" s="720">
        <v>9387.89</v>
      </c>
      <c r="J1431" s="726">
        <v>115</v>
      </c>
      <c r="K1431" s="720">
        <v>1505.04</v>
      </c>
      <c r="L1431" s="720">
        <v>362.96</v>
      </c>
      <c r="M1431" s="720">
        <v>3665.03</v>
      </c>
      <c r="N1431" s="720">
        <v>193.83</v>
      </c>
    </row>
    <row r="1432" spans="1:14" ht="15">
      <c r="A1432" s="705"/>
      <c r="B1432" s="705"/>
      <c r="C1432" s="719">
        <v>41855</v>
      </c>
      <c r="D1432" s="717">
        <v>11666</v>
      </c>
      <c r="E1432" s="720">
        <v>10934.03</v>
      </c>
      <c r="F1432" s="720">
        <v>19960.32</v>
      </c>
      <c r="G1432" s="720">
        <v>15788.38</v>
      </c>
      <c r="H1432" s="720">
        <v>10854.18</v>
      </c>
      <c r="I1432" s="720">
        <v>9387.89</v>
      </c>
      <c r="J1432" s="726">
        <v>115</v>
      </c>
      <c r="K1432" s="720">
        <v>1505.04</v>
      </c>
      <c r="L1432" s="720">
        <v>362.96</v>
      </c>
      <c r="M1432" s="720">
        <v>3665.03</v>
      </c>
      <c r="N1432" s="720">
        <v>193.83</v>
      </c>
    </row>
    <row r="1433" spans="1:14" ht="15">
      <c r="A1433" s="705"/>
      <c r="B1433" s="705"/>
      <c r="C1433" s="719">
        <v>41856</v>
      </c>
      <c r="D1433" s="717">
        <v>11666</v>
      </c>
      <c r="E1433" s="720">
        <v>10934.03</v>
      </c>
      <c r="F1433" s="720">
        <v>19960.32</v>
      </c>
      <c r="G1433" s="720">
        <v>15788.38</v>
      </c>
      <c r="H1433" s="720">
        <v>10854.18</v>
      </c>
      <c r="I1433" s="720">
        <v>9387.89</v>
      </c>
      <c r="J1433" s="726">
        <v>115</v>
      </c>
      <c r="K1433" s="720">
        <v>1505.04</v>
      </c>
      <c r="L1433" s="720">
        <v>362.96</v>
      </c>
      <c r="M1433" s="720">
        <v>3665.03</v>
      </c>
      <c r="N1433" s="720">
        <v>193.83</v>
      </c>
    </row>
    <row r="1434" spans="1:14" ht="15">
      <c r="A1434" s="705"/>
      <c r="B1434" s="705"/>
      <c r="C1434" s="719">
        <v>41857</v>
      </c>
      <c r="D1434" s="717">
        <v>11711</v>
      </c>
      <c r="E1434" s="720">
        <v>10924.96</v>
      </c>
      <c r="F1434" s="720">
        <v>19766.060000000001</v>
      </c>
      <c r="G1434" s="720">
        <v>15703.75</v>
      </c>
      <c r="H1434" s="720">
        <v>10744.43</v>
      </c>
      <c r="I1434" s="720">
        <v>9402.0499999999993</v>
      </c>
      <c r="J1434" s="726">
        <v>114.15</v>
      </c>
      <c r="K1434" s="720">
        <v>1511.09</v>
      </c>
      <c r="L1434" s="720">
        <v>365.33</v>
      </c>
      <c r="M1434" s="720">
        <v>3667.5</v>
      </c>
      <c r="N1434" s="720">
        <v>193</v>
      </c>
    </row>
    <row r="1435" spans="1:14" ht="15">
      <c r="A1435" s="705"/>
      <c r="B1435" s="705"/>
      <c r="C1435" s="719">
        <v>41858</v>
      </c>
      <c r="D1435" s="717">
        <v>11711</v>
      </c>
      <c r="E1435" s="720">
        <v>10924.96</v>
      </c>
      <c r="F1435" s="720">
        <v>19766.060000000001</v>
      </c>
      <c r="G1435" s="720">
        <v>15703.75</v>
      </c>
      <c r="H1435" s="720">
        <v>10744.43</v>
      </c>
      <c r="I1435" s="720">
        <v>9402.0499999999993</v>
      </c>
      <c r="J1435" s="726">
        <v>114.15</v>
      </c>
      <c r="K1435" s="720">
        <v>1511.09</v>
      </c>
      <c r="L1435" s="720">
        <v>365.33</v>
      </c>
      <c r="M1435" s="720">
        <v>3667.5</v>
      </c>
      <c r="N1435" s="720">
        <v>193</v>
      </c>
    </row>
    <row r="1436" spans="1:14" ht="15">
      <c r="A1436" s="705"/>
      <c r="B1436" s="705"/>
      <c r="C1436" s="719">
        <v>41859</v>
      </c>
      <c r="D1436" s="717">
        <v>11711</v>
      </c>
      <c r="E1436" s="720">
        <v>10924.96</v>
      </c>
      <c r="F1436" s="720">
        <v>19766.060000000001</v>
      </c>
      <c r="G1436" s="720">
        <v>15703.75</v>
      </c>
      <c r="H1436" s="720">
        <v>10744.43</v>
      </c>
      <c r="I1436" s="720">
        <v>9402.0499999999993</v>
      </c>
      <c r="J1436" s="726">
        <v>114.15</v>
      </c>
      <c r="K1436" s="720">
        <v>1511.09</v>
      </c>
      <c r="L1436" s="720">
        <v>365.33</v>
      </c>
      <c r="M1436" s="720">
        <v>3667.5</v>
      </c>
      <c r="N1436" s="720">
        <v>193</v>
      </c>
    </row>
    <row r="1437" spans="1:14" ht="15">
      <c r="A1437" s="705"/>
      <c r="B1437" s="705"/>
      <c r="C1437" s="719">
        <v>41860</v>
      </c>
      <c r="D1437" s="717">
        <v>11711</v>
      </c>
      <c r="E1437" s="720">
        <v>10924.96</v>
      </c>
      <c r="F1437" s="720">
        <v>19766.060000000001</v>
      </c>
      <c r="G1437" s="720">
        <v>15703.75</v>
      </c>
      <c r="H1437" s="720">
        <v>10744.43</v>
      </c>
      <c r="I1437" s="720">
        <v>9402.0499999999993</v>
      </c>
      <c r="J1437" s="726">
        <v>114.15</v>
      </c>
      <c r="K1437" s="720">
        <v>1511.09</v>
      </c>
      <c r="L1437" s="720">
        <v>365.33</v>
      </c>
      <c r="M1437" s="720">
        <v>3667.5</v>
      </c>
      <c r="N1437" s="720">
        <v>193</v>
      </c>
    </row>
    <row r="1438" spans="1:14" ht="15">
      <c r="A1438" s="705"/>
      <c r="B1438" s="705"/>
      <c r="C1438" s="719">
        <v>41861</v>
      </c>
      <c r="D1438" s="717">
        <v>11711</v>
      </c>
      <c r="E1438" s="720">
        <v>10924.96</v>
      </c>
      <c r="F1438" s="720">
        <v>19766.060000000001</v>
      </c>
      <c r="G1438" s="720">
        <v>15703.75</v>
      </c>
      <c r="H1438" s="720">
        <v>10744.43</v>
      </c>
      <c r="I1438" s="720">
        <v>9402.0499999999993</v>
      </c>
      <c r="J1438" s="726">
        <v>114.15</v>
      </c>
      <c r="K1438" s="720">
        <v>1511.09</v>
      </c>
      <c r="L1438" s="720">
        <v>365.33</v>
      </c>
      <c r="M1438" s="720">
        <v>3667.5</v>
      </c>
      <c r="N1438" s="720">
        <v>193</v>
      </c>
    </row>
    <row r="1439" spans="1:14" ht="15">
      <c r="A1439" s="705"/>
      <c r="B1439" s="705"/>
      <c r="C1439" s="719">
        <v>41862</v>
      </c>
      <c r="D1439" s="717">
        <v>11711</v>
      </c>
      <c r="E1439" s="720">
        <v>10924.96</v>
      </c>
      <c r="F1439" s="720">
        <v>19766.060000000001</v>
      </c>
      <c r="G1439" s="720">
        <v>15703.75</v>
      </c>
      <c r="H1439" s="720">
        <v>10744.43</v>
      </c>
      <c r="I1439" s="720">
        <v>9402.0499999999993</v>
      </c>
      <c r="J1439" s="726">
        <v>114.15</v>
      </c>
      <c r="K1439" s="720">
        <v>1511.09</v>
      </c>
      <c r="L1439" s="720">
        <v>365.33</v>
      </c>
      <c r="M1439" s="720">
        <v>3667.5</v>
      </c>
      <c r="N1439" s="720">
        <v>193</v>
      </c>
    </row>
    <row r="1440" spans="1:14" ht="15">
      <c r="A1440" s="705"/>
      <c r="B1440" s="705"/>
      <c r="C1440" s="719">
        <v>41863</v>
      </c>
      <c r="D1440" s="717">
        <v>11711</v>
      </c>
      <c r="E1440" s="720">
        <v>10924.96</v>
      </c>
      <c r="F1440" s="720">
        <v>19766.060000000001</v>
      </c>
      <c r="G1440" s="720">
        <v>15703.75</v>
      </c>
      <c r="H1440" s="720">
        <v>10744.43</v>
      </c>
      <c r="I1440" s="720">
        <v>9402.0499999999993</v>
      </c>
      <c r="J1440" s="726">
        <v>114.15</v>
      </c>
      <c r="K1440" s="720">
        <v>1511.09</v>
      </c>
      <c r="L1440" s="720">
        <v>365.33</v>
      </c>
      <c r="M1440" s="720">
        <v>3667.5</v>
      </c>
      <c r="N1440" s="720">
        <v>193</v>
      </c>
    </row>
    <row r="1441" spans="1:14" ht="15">
      <c r="A1441" s="705"/>
      <c r="B1441" s="705"/>
      <c r="C1441" s="719">
        <v>41864</v>
      </c>
      <c r="D1441" s="717">
        <v>11742</v>
      </c>
      <c r="E1441" s="720">
        <v>10916.64</v>
      </c>
      <c r="F1441" s="720">
        <v>19754.77</v>
      </c>
      <c r="G1441" s="720">
        <v>15718.01</v>
      </c>
      <c r="H1441" s="720">
        <v>10722.92</v>
      </c>
      <c r="I1441" s="720">
        <v>9392.68</v>
      </c>
      <c r="J1441" s="726">
        <v>115.76</v>
      </c>
      <c r="K1441" s="720">
        <v>1514.88</v>
      </c>
      <c r="L1441" s="720">
        <v>364.93</v>
      </c>
      <c r="M1441" s="720">
        <v>3669.04</v>
      </c>
      <c r="N1441" s="720">
        <v>191.98</v>
      </c>
    </row>
    <row r="1442" spans="1:14" ht="15">
      <c r="A1442" s="705"/>
      <c r="B1442" s="705"/>
      <c r="C1442" s="719">
        <v>41865</v>
      </c>
      <c r="D1442" s="717">
        <v>11742</v>
      </c>
      <c r="E1442" s="720">
        <v>10916.64</v>
      </c>
      <c r="F1442" s="720">
        <v>19754.77</v>
      </c>
      <c r="G1442" s="720">
        <v>15718.01</v>
      </c>
      <c r="H1442" s="720">
        <v>10722.92</v>
      </c>
      <c r="I1442" s="720">
        <v>9392.68</v>
      </c>
      <c r="J1442" s="726">
        <v>115.76</v>
      </c>
      <c r="K1442" s="720">
        <v>1514.88</v>
      </c>
      <c r="L1442" s="720">
        <v>364.93</v>
      </c>
      <c r="M1442" s="720">
        <v>3669.04</v>
      </c>
      <c r="N1442" s="720">
        <v>191.98</v>
      </c>
    </row>
    <row r="1443" spans="1:14" ht="15">
      <c r="A1443" s="705"/>
      <c r="B1443" s="705"/>
      <c r="C1443" s="719">
        <v>41866</v>
      </c>
      <c r="D1443" s="717">
        <v>11742</v>
      </c>
      <c r="E1443" s="720">
        <v>10916.64</v>
      </c>
      <c r="F1443" s="720">
        <v>19754.77</v>
      </c>
      <c r="G1443" s="720">
        <v>15718.01</v>
      </c>
      <c r="H1443" s="720">
        <v>10722.92</v>
      </c>
      <c r="I1443" s="720">
        <v>9392.68</v>
      </c>
      <c r="J1443" s="726">
        <v>115.76</v>
      </c>
      <c r="K1443" s="720">
        <v>1514.88</v>
      </c>
      <c r="L1443" s="720">
        <v>364.93</v>
      </c>
      <c r="M1443" s="720">
        <v>3669.04</v>
      </c>
      <c r="N1443" s="720">
        <v>191.98</v>
      </c>
    </row>
    <row r="1444" spans="1:14" ht="15">
      <c r="A1444" s="705"/>
      <c r="B1444" s="705"/>
      <c r="C1444" s="719">
        <v>41867</v>
      </c>
      <c r="D1444" s="717">
        <v>11742</v>
      </c>
      <c r="E1444" s="720">
        <v>10916.64</v>
      </c>
      <c r="F1444" s="720">
        <v>19754.77</v>
      </c>
      <c r="G1444" s="720">
        <v>15718.01</v>
      </c>
      <c r="H1444" s="720">
        <v>10722.92</v>
      </c>
      <c r="I1444" s="720">
        <v>9392.68</v>
      </c>
      <c r="J1444" s="726">
        <v>115.76</v>
      </c>
      <c r="K1444" s="720">
        <v>1514.88</v>
      </c>
      <c r="L1444" s="720">
        <v>364.93</v>
      </c>
      <c r="M1444" s="720">
        <v>3669.04</v>
      </c>
      <c r="N1444" s="720">
        <v>191.98</v>
      </c>
    </row>
    <row r="1445" spans="1:14" ht="15">
      <c r="A1445" s="705"/>
      <c r="B1445" s="705"/>
      <c r="C1445" s="719">
        <v>41868</v>
      </c>
      <c r="D1445" s="717">
        <v>11742</v>
      </c>
      <c r="E1445" s="720">
        <v>10916.64</v>
      </c>
      <c r="F1445" s="720">
        <v>19754.77</v>
      </c>
      <c r="G1445" s="720">
        <v>15718.01</v>
      </c>
      <c r="H1445" s="720">
        <v>10722.92</v>
      </c>
      <c r="I1445" s="720">
        <v>9392.68</v>
      </c>
      <c r="J1445" s="726">
        <v>115.76</v>
      </c>
      <c r="K1445" s="720">
        <v>1514.88</v>
      </c>
      <c r="L1445" s="720">
        <v>364.93</v>
      </c>
      <c r="M1445" s="720">
        <v>3669.04</v>
      </c>
      <c r="N1445" s="720">
        <v>191.98</v>
      </c>
    </row>
    <row r="1446" spans="1:14" ht="15">
      <c r="A1446" s="705"/>
      <c r="B1446" s="705"/>
      <c r="C1446" s="719">
        <v>41869</v>
      </c>
      <c r="D1446" s="717">
        <v>11742</v>
      </c>
      <c r="E1446" s="720">
        <v>10916.64</v>
      </c>
      <c r="F1446" s="720">
        <v>19754.77</v>
      </c>
      <c r="G1446" s="720">
        <v>15718.01</v>
      </c>
      <c r="H1446" s="720">
        <v>10722.92</v>
      </c>
      <c r="I1446" s="720">
        <v>9392.68</v>
      </c>
      <c r="J1446" s="726">
        <v>115.76</v>
      </c>
      <c r="K1446" s="720">
        <v>1514.88</v>
      </c>
      <c r="L1446" s="720">
        <v>364.93</v>
      </c>
      <c r="M1446" s="720">
        <v>3669.04</v>
      </c>
      <c r="N1446" s="720">
        <v>191.98</v>
      </c>
    </row>
    <row r="1447" spans="1:14" ht="15">
      <c r="A1447" s="705"/>
      <c r="B1447" s="705"/>
      <c r="C1447" s="719">
        <v>41870</v>
      </c>
      <c r="D1447" s="717">
        <v>11742</v>
      </c>
      <c r="E1447" s="720">
        <v>10916.64</v>
      </c>
      <c r="F1447" s="720">
        <v>19754.77</v>
      </c>
      <c r="G1447" s="720">
        <v>15718.01</v>
      </c>
      <c r="H1447" s="720">
        <v>10722.92</v>
      </c>
      <c r="I1447" s="720">
        <v>9392.68</v>
      </c>
      <c r="J1447" s="726">
        <v>115.76</v>
      </c>
      <c r="K1447" s="720">
        <v>1514.88</v>
      </c>
      <c r="L1447" s="720">
        <v>364.93</v>
      </c>
      <c r="M1447" s="720">
        <v>3669.04</v>
      </c>
      <c r="N1447" s="720">
        <v>191.98</v>
      </c>
    </row>
    <row r="1448" spans="1:14" ht="15">
      <c r="A1448" s="705"/>
      <c r="B1448" s="705"/>
      <c r="C1448" s="719">
        <v>41871</v>
      </c>
      <c r="D1448" s="717">
        <v>11684</v>
      </c>
      <c r="E1448" s="720">
        <v>10874.07</v>
      </c>
      <c r="F1448" s="720">
        <v>19536.349999999999</v>
      </c>
      <c r="G1448" s="720">
        <v>15631.09</v>
      </c>
      <c r="H1448" s="720">
        <v>10713.57</v>
      </c>
      <c r="I1448" s="720">
        <v>9366.08</v>
      </c>
      <c r="J1448" s="726">
        <v>114.14</v>
      </c>
      <c r="K1448" s="720">
        <v>1507.46</v>
      </c>
      <c r="L1448" s="720">
        <v>365.97</v>
      </c>
      <c r="M1448" s="720">
        <v>3679.88</v>
      </c>
      <c r="N1448" s="720">
        <v>191.45</v>
      </c>
    </row>
    <row r="1449" spans="1:14" ht="15">
      <c r="A1449" s="705"/>
      <c r="B1449" s="705"/>
      <c r="C1449" s="719">
        <v>41872</v>
      </c>
      <c r="D1449" s="717">
        <v>11684</v>
      </c>
      <c r="E1449" s="720">
        <v>10874.07</v>
      </c>
      <c r="F1449" s="720">
        <v>19536.349999999999</v>
      </c>
      <c r="G1449" s="720">
        <v>15631.09</v>
      </c>
      <c r="H1449" s="720">
        <v>10713.57</v>
      </c>
      <c r="I1449" s="720">
        <v>9366.08</v>
      </c>
      <c r="J1449" s="726">
        <v>114.14</v>
      </c>
      <c r="K1449" s="720">
        <v>1507.46</v>
      </c>
      <c r="L1449" s="720">
        <v>365.97</v>
      </c>
      <c r="M1449" s="720">
        <v>3679.88</v>
      </c>
      <c r="N1449" s="720">
        <v>191.45</v>
      </c>
    </row>
    <row r="1450" spans="1:14" ht="15">
      <c r="A1450" s="705"/>
      <c r="B1450" s="705"/>
      <c r="C1450" s="719">
        <v>41873</v>
      </c>
      <c r="D1450" s="717">
        <v>11684</v>
      </c>
      <c r="E1450" s="720">
        <v>10874.07</v>
      </c>
      <c r="F1450" s="720">
        <v>19536.349999999999</v>
      </c>
      <c r="G1450" s="720">
        <v>15631.09</v>
      </c>
      <c r="H1450" s="720">
        <v>10713.57</v>
      </c>
      <c r="I1450" s="720">
        <v>9366.08</v>
      </c>
      <c r="J1450" s="726">
        <v>114.14</v>
      </c>
      <c r="K1450" s="720">
        <v>1507.46</v>
      </c>
      <c r="L1450" s="720">
        <v>365.97</v>
      </c>
      <c r="M1450" s="720">
        <v>3679.88</v>
      </c>
      <c r="N1450" s="720">
        <v>191.45</v>
      </c>
    </row>
    <row r="1451" spans="1:14" ht="15">
      <c r="A1451" s="705"/>
      <c r="B1451" s="705"/>
      <c r="C1451" s="719">
        <v>41874</v>
      </c>
      <c r="D1451" s="717">
        <v>11684</v>
      </c>
      <c r="E1451" s="720">
        <v>10874.07</v>
      </c>
      <c r="F1451" s="720">
        <v>19536.349999999999</v>
      </c>
      <c r="G1451" s="720">
        <v>15631.09</v>
      </c>
      <c r="H1451" s="720">
        <v>10713.57</v>
      </c>
      <c r="I1451" s="720">
        <v>9366.08</v>
      </c>
      <c r="J1451" s="726">
        <v>114.14</v>
      </c>
      <c r="K1451" s="720">
        <v>1507.46</v>
      </c>
      <c r="L1451" s="720">
        <v>365.97</v>
      </c>
      <c r="M1451" s="720">
        <v>3679.88</v>
      </c>
      <c r="N1451" s="720">
        <v>191.45</v>
      </c>
    </row>
    <row r="1452" spans="1:14" ht="15">
      <c r="A1452" s="705"/>
      <c r="B1452" s="705"/>
      <c r="C1452" s="719">
        <v>41875</v>
      </c>
      <c r="D1452" s="717">
        <v>11684</v>
      </c>
      <c r="E1452" s="720">
        <v>10874.07</v>
      </c>
      <c r="F1452" s="720">
        <v>19536.349999999999</v>
      </c>
      <c r="G1452" s="720">
        <v>15631.09</v>
      </c>
      <c r="H1452" s="720">
        <v>10713.57</v>
      </c>
      <c r="I1452" s="720">
        <v>9366.08</v>
      </c>
      <c r="J1452" s="726">
        <v>114.14</v>
      </c>
      <c r="K1452" s="720">
        <v>1507.46</v>
      </c>
      <c r="L1452" s="720">
        <v>365.97</v>
      </c>
      <c r="M1452" s="720">
        <v>3679.88</v>
      </c>
      <c r="N1452" s="720">
        <v>191.45</v>
      </c>
    </row>
    <row r="1453" spans="1:14" ht="15">
      <c r="A1453" s="705"/>
      <c r="B1453" s="705"/>
      <c r="C1453" s="719">
        <v>41876</v>
      </c>
      <c r="D1453" s="717">
        <v>11684</v>
      </c>
      <c r="E1453" s="720">
        <v>10874.07</v>
      </c>
      <c r="F1453" s="720">
        <v>19536.349999999999</v>
      </c>
      <c r="G1453" s="720">
        <v>15631.09</v>
      </c>
      <c r="H1453" s="720">
        <v>10713.57</v>
      </c>
      <c r="I1453" s="720">
        <v>9366.08</v>
      </c>
      <c r="J1453" s="726">
        <v>114.14</v>
      </c>
      <c r="K1453" s="720">
        <v>1507.46</v>
      </c>
      <c r="L1453" s="720">
        <v>365.97</v>
      </c>
      <c r="M1453" s="720">
        <v>3679.88</v>
      </c>
      <c r="N1453" s="720">
        <v>191.45</v>
      </c>
    </row>
    <row r="1454" spans="1:14" ht="15">
      <c r="A1454" s="705"/>
      <c r="B1454" s="705"/>
      <c r="C1454" s="719">
        <v>41877</v>
      </c>
      <c r="D1454" s="717">
        <v>11684</v>
      </c>
      <c r="E1454" s="720">
        <v>10874.07</v>
      </c>
      <c r="F1454" s="720">
        <v>19536.349999999999</v>
      </c>
      <c r="G1454" s="720">
        <v>15631.09</v>
      </c>
      <c r="H1454" s="720">
        <v>10713.57</v>
      </c>
      <c r="I1454" s="720">
        <v>9366.08</v>
      </c>
      <c r="J1454" s="726">
        <v>114.14</v>
      </c>
      <c r="K1454" s="720">
        <v>1507.46</v>
      </c>
      <c r="L1454" s="720">
        <v>365.97</v>
      </c>
      <c r="M1454" s="720">
        <v>3679.88</v>
      </c>
      <c r="N1454" s="720">
        <v>191.45</v>
      </c>
    </row>
    <row r="1455" spans="1:14" ht="15">
      <c r="A1455" s="705"/>
      <c r="B1455" s="705"/>
      <c r="C1455" s="719">
        <v>41878</v>
      </c>
      <c r="D1455" s="735">
        <v>11694</v>
      </c>
      <c r="E1455" s="720">
        <v>10879.77</v>
      </c>
      <c r="F1455" s="720">
        <v>19393.04</v>
      </c>
      <c r="G1455" s="720">
        <v>15506.38</v>
      </c>
      <c r="H1455" s="720">
        <v>10678.32</v>
      </c>
      <c r="I1455" s="720">
        <v>9357.27</v>
      </c>
      <c r="J1455" s="736">
        <v>112.73</v>
      </c>
      <c r="K1455" s="720">
        <v>1508.74</v>
      </c>
      <c r="L1455" s="720">
        <v>365.76</v>
      </c>
      <c r="M1455" s="720">
        <v>3694.81</v>
      </c>
      <c r="N1455" s="720">
        <v>192.92</v>
      </c>
    </row>
    <row r="1456" spans="1:14" ht="15">
      <c r="A1456" s="705"/>
      <c r="B1456" s="705"/>
      <c r="C1456" s="719">
        <v>41879</v>
      </c>
      <c r="D1456" s="735">
        <v>11694</v>
      </c>
      <c r="E1456" s="720">
        <v>10879.77</v>
      </c>
      <c r="F1456" s="720">
        <v>19393.04</v>
      </c>
      <c r="G1456" s="720">
        <v>15506.38</v>
      </c>
      <c r="H1456" s="720">
        <v>10678.32</v>
      </c>
      <c r="I1456" s="720">
        <v>9357.27</v>
      </c>
      <c r="J1456" s="736">
        <v>112.73</v>
      </c>
      <c r="K1456" s="720">
        <v>1508.74</v>
      </c>
      <c r="L1456" s="720">
        <v>365.76</v>
      </c>
      <c r="M1456" s="720">
        <v>3694.81</v>
      </c>
      <c r="N1456" s="720">
        <v>192.92</v>
      </c>
    </row>
    <row r="1457" spans="1:14" ht="15">
      <c r="A1457" s="705"/>
      <c r="B1457" s="705"/>
      <c r="C1457" s="719">
        <v>41880</v>
      </c>
      <c r="D1457" s="735">
        <v>11694</v>
      </c>
      <c r="E1457" s="720">
        <v>10879.77</v>
      </c>
      <c r="F1457" s="720">
        <v>19393.04</v>
      </c>
      <c r="G1457" s="720">
        <v>15506.38</v>
      </c>
      <c r="H1457" s="720">
        <v>10678.32</v>
      </c>
      <c r="I1457" s="720">
        <v>9357.27</v>
      </c>
      <c r="J1457" s="736">
        <v>112.73</v>
      </c>
      <c r="K1457" s="720">
        <v>1508.74</v>
      </c>
      <c r="L1457" s="720">
        <v>365.76</v>
      </c>
      <c r="M1457" s="720">
        <v>3694.81</v>
      </c>
      <c r="N1457" s="720">
        <v>192.92</v>
      </c>
    </row>
    <row r="1458" spans="1:14" ht="15">
      <c r="A1458" s="705"/>
      <c r="B1458" s="705"/>
      <c r="C1458" s="719">
        <v>41881</v>
      </c>
      <c r="D1458" s="735">
        <v>11694</v>
      </c>
      <c r="E1458" s="720">
        <v>10879.77</v>
      </c>
      <c r="F1458" s="720">
        <v>19393.04</v>
      </c>
      <c r="G1458" s="720">
        <v>15506.38</v>
      </c>
      <c r="H1458" s="720">
        <v>10678.32</v>
      </c>
      <c r="I1458" s="720">
        <v>9357.27</v>
      </c>
      <c r="J1458" s="736">
        <v>112.73</v>
      </c>
      <c r="K1458" s="720">
        <v>1508.74</v>
      </c>
      <c r="L1458" s="720">
        <v>365.76</v>
      </c>
      <c r="M1458" s="720">
        <v>3694.81</v>
      </c>
      <c r="N1458" s="720">
        <v>192.92</v>
      </c>
    </row>
    <row r="1459" spans="1:14" ht="15">
      <c r="A1459" s="705"/>
      <c r="B1459" s="705"/>
      <c r="C1459" s="719">
        <v>41882</v>
      </c>
      <c r="D1459" s="735">
        <v>11694</v>
      </c>
      <c r="E1459" s="720">
        <v>10879.77</v>
      </c>
      <c r="F1459" s="720">
        <v>19393.04</v>
      </c>
      <c r="G1459" s="720">
        <v>15506.38</v>
      </c>
      <c r="H1459" s="720">
        <v>10678.32</v>
      </c>
      <c r="I1459" s="720">
        <v>9357.27</v>
      </c>
      <c r="J1459" s="736">
        <v>112.73</v>
      </c>
      <c r="K1459" s="720">
        <v>1508.74</v>
      </c>
      <c r="L1459" s="720">
        <v>365.76</v>
      </c>
      <c r="M1459" s="720">
        <v>3694.81</v>
      </c>
      <c r="N1459" s="720">
        <v>192.92</v>
      </c>
    </row>
    <row r="1460" spans="1:14" ht="15">
      <c r="A1460" s="705"/>
      <c r="B1460" s="705"/>
      <c r="C1460" s="719">
        <v>41883</v>
      </c>
      <c r="D1460" s="735">
        <v>11694</v>
      </c>
      <c r="E1460" s="720">
        <v>10879.77</v>
      </c>
      <c r="F1460" s="720">
        <v>19393.04</v>
      </c>
      <c r="G1460" s="720">
        <v>15506.38</v>
      </c>
      <c r="H1460" s="720">
        <v>10678.32</v>
      </c>
      <c r="I1460" s="720">
        <v>9357.27</v>
      </c>
      <c r="J1460" s="736">
        <v>112.73</v>
      </c>
      <c r="K1460" s="720">
        <v>1508.74</v>
      </c>
      <c r="L1460" s="720">
        <v>365.76</v>
      </c>
      <c r="M1460" s="720">
        <v>3694.81</v>
      </c>
      <c r="N1460" s="720">
        <v>192.92</v>
      </c>
    </row>
    <row r="1461" spans="1:14" ht="15">
      <c r="A1461" s="705"/>
      <c r="B1461" s="705"/>
      <c r="C1461" s="719">
        <v>41884</v>
      </c>
      <c r="D1461" s="735">
        <v>11694</v>
      </c>
      <c r="E1461" s="720">
        <v>10879.77</v>
      </c>
      <c r="F1461" s="720">
        <v>19393.04</v>
      </c>
      <c r="G1461" s="720">
        <v>15506.38</v>
      </c>
      <c r="H1461" s="720">
        <v>10678.32</v>
      </c>
      <c r="I1461" s="720">
        <v>9357.27</v>
      </c>
      <c r="J1461" s="736">
        <v>112.73</v>
      </c>
      <c r="K1461" s="720">
        <v>1508.74</v>
      </c>
      <c r="L1461" s="720">
        <v>365.76</v>
      </c>
      <c r="M1461" s="720">
        <v>3694.81</v>
      </c>
      <c r="N1461" s="720">
        <v>192.92</v>
      </c>
    </row>
    <row r="1462" spans="1:14" ht="15">
      <c r="A1462" s="705"/>
      <c r="B1462" s="705"/>
      <c r="C1462" s="719">
        <v>41885</v>
      </c>
      <c r="D1462" s="717">
        <v>11696</v>
      </c>
      <c r="E1462" s="720">
        <v>10919.62</v>
      </c>
      <c r="F1462" s="720">
        <v>19391.73</v>
      </c>
      <c r="G1462" s="720">
        <v>15392.17</v>
      </c>
      <c r="H1462" s="720">
        <v>10744.86</v>
      </c>
      <c r="I1462" s="720">
        <v>9363.69</v>
      </c>
      <c r="J1462" s="736">
        <v>112.48</v>
      </c>
      <c r="K1462" s="720">
        <v>1509.12</v>
      </c>
      <c r="L1462" s="720">
        <v>366.2</v>
      </c>
      <c r="M1462" s="720">
        <v>3710.71</v>
      </c>
      <c r="N1462" s="720">
        <v>193.4</v>
      </c>
    </row>
    <row r="1463" spans="1:14" ht="15">
      <c r="A1463" s="705"/>
      <c r="B1463" s="705"/>
      <c r="C1463" s="719">
        <v>41886</v>
      </c>
      <c r="D1463" s="717">
        <v>11696</v>
      </c>
      <c r="E1463" s="720">
        <v>10919.62</v>
      </c>
      <c r="F1463" s="720">
        <v>19391.73</v>
      </c>
      <c r="G1463" s="720">
        <v>15392.17</v>
      </c>
      <c r="H1463" s="720">
        <v>10744.86</v>
      </c>
      <c r="I1463" s="720">
        <v>9363.69</v>
      </c>
      <c r="J1463" s="736">
        <v>112.48</v>
      </c>
      <c r="K1463" s="720">
        <v>1509.12</v>
      </c>
      <c r="L1463" s="720">
        <v>366.2</v>
      </c>
      <c r="M1463" s="720">
        <v>3710.71</v>
      </c>
      <c r="N1463" s="720">
        <v>193.4</v>
      </c>
    </row>
    <row r="1464" spans="1:14" ht="15">
      <c r="A1464" s="705"/>
      <c r="B1464" s="705"/>
      <c r="C1464" s="719">
        <v>41887</v>
      </c>
      <c r="D1464" s="717">
        <v>11696</v>
      </c>
      <c r="E1464" s="720">
        <v>10919.62</v>
      </c>
      <c r="F1464" s="720">
        <v>19391.73</v>
      </c>
      <c r="G1464" s="720">
        <v>15392.17</v>
      </c>
      <c r="H1464" s="720">
        <v>10744.86</v>
      </c>
      <c r="I1464" s="720">
        <v>9363.69</v>
      </c>
      <c r="J1464" s="736">
        <v>112.48</v>
      </c>
      <c r="K1464" s="720">
        <v>1509.12</v>
      </c>
      <c r="L1464" s="720">
        <v>366.2</v>
      </c>
      <c r="M1464" s="720">
        <v>3710.71</v>
      </c>
      <c r="N1464" s="720">
        <v>193.4</v>
      </c>
    </row>
    <row r="1465" spans="1:14" ht="15">
      <c r="A1465" s="705"/>
      <c r="B1465" s="705"/>
      <c r="C1465" s="719">
        <v>41888</v>
      </c>
      <c r="D1465" s="717">
        <v>11696</v>
      </c>
      <c r="E1465" s="720">
        <v>10919.62</v>
      </c>
      <c r="F1465" s="720">
        <v>19391.73</v>
      </c>
      <c r="G1465" s="720">
        <v>15392.17</v>
      </c>
      <c r="H1465" s="720">
        <v>10744.86</v>
      </c>
      <c r="I1465" s="720">
        <v>9363.69</v>
      </c>
      <c r="J1465" s="736">
        <v>112.48</v>
      </c>
      <c r="K1465" s="720">
        <v>1509.12</v>
      </c>
      <c r="L1465" s="720">
        <v>366.2</v>
      </c>
      <c r="M1465" s="720">
        <v>3710.71</v>
      </c>
      <c r="N1465" s="720">
        <v>193.4</v>
      </c>
    </row>
    <row r="1466" spans="1:14" ht="15">
      <c r="A1466" s="705"/>
      <c r="B1466" s="705"/>
      <c r="C1466" s="719">
        <v>41889</v>
      </c>
      <c r="D1466" s="717">
        <v>11696</v>
      </c>
      <c r="E1466" s="720">
        <v>10919.62</v>
      </c>
      <c r="F1466" s="720">
        <v>19391.73</v>
      </c>
      <c r="G1466" s="720">
        <v>15392.17</v>
      </c>
      <c r="H1466" s="720">
        <v>10744.86</v>
      </c>
      <c r="I1466" s="720">
        <v>9363.69</v>
      </c>
      <c r="J1466" s="736">
        <v>112.48</v>
      </c>
      <c r="K1466" s="720">
        <v>1509.12</v>
      </c>
      <c r="L1466" s="720">
        <v>366.2</v>
      </c>
      <c r="M1466" s="720">
        <v>3710.71</v>
      </c>
      <c r="N1466" s="720">
        <v>193.4</v>
      </c>
    </row>
    <row r="1467" spans="1:14" ht="15">
      <c r="A1467" s="705"/>
      <c r="B1467" s="705"/>
      <c r="C1467" s="719">
        <v>41890</v>
      </c>
      <c r="D1467" s="717">
        <v>11696</v>
      </c>
      <c r="E1467" s="720">
        <v>10919.62</v>
      </c>
      <c r="F1467" s="720">
        <v>19391.73</v>
      </c>
      <c r="G1467" s="720">
        <v>15392.17</v>
      </c>
      <c r="H1467" s="720">
        <v>10744.86</v>
      </c>
      <c r="I1467" s="720">
        <v>9363.69</v>
      </c>
      <c r="J1467" s="736">
        <v>112.48</v>
      </c>
      <c r="K1467" s="720">
        <v>1509.12</v>
      </c>
      <c r="L1467" s="720">
        <v>366.2</v>
      </c>
      <c r="M1467" s="720">
        <v>3710.71</v>
      </c>
      <c r="N1467" s="720">
        <v>193.4</v>
      </c>
    </row>
    <row r="1468" spans="1:14" ht="15">
      <c r="A1468" s="705"/>
      <c r="B1468" s="705"/>
      <c r="C1468" s="719">
        <v>41891</v>
      </c>
      <c r="D1468" s="717">
        <v>11696</v>
      </c>
      <c r="E1468" s="720">
        <v>10919.62</v>
      </c>
      <c r="F1468" s="720">
        <v>19391.73</v>
      </c>
      <c r="G1468" s="720">
        <v>15392.17</v>
      </c>
      <c r="H1468" s="720">
        <v>10744.86</v>
      </c>
      <c r="I1468" s="720">
        <v>9363.69</v>
      </c>
      <c r="J1468" s="736">
        <v>112.48</v>
      </c>
      <c r="K1468" s="720">
        <v>1509.12</v>
      </c>
      <c r="L1468" s="720">
        <v>366.2</v>
      </c>
      <c r="M1468" s="720">
        <v>3710.71</v>
      </c>
      <c r="N1468" s="720">
        <v>193.4</v>
      </c>
    </row>
    <row r="1469" spans="1:14" ht="15">
      <c r="A1469" s="705"/>
      <c r="B1469" s="705"/>
      <c r="C1469" s="719">
        <v>41892</v>
      </c>
      <c r="D1469" s="717">
        <v>11750</v>
      </c>
      <c r="E1469" s="720">
        <v>10977.8</v>
      </c>
      <c r="F1469" s="720">
        <v>19221.03</v>
      </c>
      <c r="G1469" s="720">
        <v>15302</v>
      </c>
      <c r="H1469" s="720">
        <v>10785.97</v>
      </c>
      <c r="I1469" s="720">
        <v>9371.5</v>
      </c>
      <c r="J1469" s="736">
        <v>111.84</v>
      </c>
      <c r="K1469" s="720">
        <v>1516.05</v>
      </c>
      <c r="L1469" s="720">
        <v>366.65</v>
      </c>
      <c r="M1469" s="720">
        <v>3696.72</v>
      </c>
      <c r="N1469" s="720">
        <v>194.43</v>
      </c>
    </row>
    <row r="1470" spans="1:14" ht="15">
      <c r="A1470" s="705"/>
      <c r="B1470" s="705"/>
      <c r="C1470" s="719">
        <v>41893</v>
      </c>
      <c r="D1470" s="717">
        <v>11750</v>
      </c>
      <c r="E1470" s="720">
        <v>10977.8</v>
      </c>
      <c r="F1470" s="720">
        <v>19221.03</v>
      </c>
      <c r="G1470" s="720">
        <v>15302</v>
      </c>
      <c r="H1470" s="720">
        <v>10785.97</v>
      </c>
      <c r="I1470" s="720">
        <v>9371.5</v>
      </c>
      <c r="J1470" s="736">
        <v>111.84</v>
      </c>
      <c r="K1470" s="720">
        <v>1516.05</v>
      </c>
      <c r="L1470" s="720">
        <v>366.65</v>
      </c>
      <c r="M1470" s="720">
        <v>3696.72</v>
      </c>
      <c r="N1470" s="720">
        <v>194.43</v>
      </c>
    </row>
    <row r="1471" spans="1:14" ht="15">
      <c r="A1471" s="705"/>
      <c r="B1471" s="705"/>
      <c r="C1471" s="719">
        <v>41894</v>
      </c>
      <c r="D1471" s="717">
        <v>11750</v>
      </c>
      <c r="E1471" s="720">
        <v>10977.8</v>
      </c>
      <c r="F1471" s="720">
        <v>19221.03</v>
      </c>
      <c r="G1471" s="720">
        <v>15302</v>
      </c>
      <c r="H1471" s="720">
        <v>10785.97</v>
      </c>
      <c r="I1471" s="720">
        <v>9371.5</v>
      </c>
      <c r="J1471" s="736">
        <v>111.84</v>
      </c>
      <c r="K1471" s="720">
        <v>1516.05</v>
      </c>
      <c r="L1471" s="720">
        <v>366.65</v>
      </c>
      <c r="M1471" s="720">
        <v>3696.72</v>
      </c>
      <c r="N1471" s="720">
        <v>194.43</v>
      </c>
    </row>
    <row r="1472" spans="1:14" ht="15">
      <c r="A1472" s="705"/>
      <c r="B1472" s="705"/>
      <c r="C1472" s="719">
        <v>41895</v>
      </c>
      <c r="D1472" s="717">
        <v>11750</v>
      </c>
      <c r="E1472" s="720">
        <v>10977.8</v>
      </c>
      <c r="F1472" s="720">
        <v>19221.03</v>
      </c>
      <c r="G1472" s="720">
        <v>15302</v>
      </c>
      <c r="H1472" s="720">
        <v>10785.97</v>
      </c>
      <c r="I1472" s="720">
        <v>9371.5</v>
      </c>
      <c r="J1472" s="736">
        <v>111.84</v>
      </c>
      <c r="K1472" s="720">
        <v>1516.05</v>
      </c>
      <c r="L1472" s="720">
        <v>366.65</v>
      </c>
      <c r="M1472" s="720">
        <v>3696.72</v>
      </c>
      <c r="N1472" s="720">
        <v>194.43</v>
      </c>
    </row>
    <row r="1473" spans="1:14" ht="15">
      <c r="A1473" s="705"/>
      <c r="B1473" s="705"/>
      <c r="C1473" s="719">
        <v>41896</v>
      </c>
      <c r="D1473" s="717">
        <v>11750</v>
      </c>
      <c r="E1473" s="720">
        <v>10977.8</v>
      </c>
      <c r="F1473" s="720">
        <v>19221.03</v>
      </c>
      <c r="G1473" s="720">
        <v>15302</v>
      </c>
      <c r="H1473" s="720">
        <v>10785.97</v>
      </c>
      <c r="I1473" s="720">
        <v>9371.5</v>
      </c>
      <c r="J1473" s="736">
        <v>111.84</v>
      </c>
      <c r="K1473" s="720">
        <v>1516.05</v>
      </c>
      <c r="L1473" s="720">
        <v>366.65</v>
      </c>
      <c r="M1473" s="720">
        <v>3696.72</v>
      </c>
      <c r="N1473" s="720">
        <v>194.43</v>
      </c>
    </row>
    <row r="1474" spans="1:14" ht="15">
      <c r="A1474" s="705"/>
      <c r="B1474" s="705"/>
      <c r="C1474" s="719">
        <v>41897</v>
      </c>
      <c r="D1474" s="717">
        <v>11750</v>
      </c>
      <c r="E1474" s="720">
        <v>10977.8</v>
      </c>
      <c r="F1474" s="720">
        <v>19221.03</v>
      </c>
      <c r="G1474" s="720">
        <v>15302</v>
      </c>
      <c r="H1474" s="720">
        <v>10785.97</v>
      </c>
      <c r="I1474" s="720">
        <v>9371.5</v>
      </c>
      <c r="J1474" s="736">
        <v>111.84</v>
      </c>
      <c r="K1474" s="720">
        <v>1516.05</v>
      </c>
      <c r="L1474" s="720">
        <v>366.65</v>
      </c>
      <c r="M1474" s="720">
        <v>3696.72</v>
      </c>
      <c r="N1474" s="720">
        <v>194.43</v>
      </c>
    </row>
    <row r="1475" spans="1:14" ht="15">
      <c r="A1475" s="705"/>
      <c r="B1475" s="705"/>
      <c r="C1475" s="719">
        <v>41898</v>
      </c>
      <c r="D1475" s="717">
        <v>11750</v>
      </c>
      <c r="E1475" s="720">
        <v>10977.8</v>
      </c>
      <c r="F1475" s="720">
        <v>19221.03</v>
      </c>
      <c r="G1475" s="720">
        <v>15302</v>
      </c>
      <c r="H1475" s="720">
        <v>10785.97</v>
      </c>
      <c r="I1475" s="720">
        <v>9371.5</v>
      </c>
      <c r="J1475" s="736">
        <v>111.84</v>
      </c>
      <c r="K1475" s="720">
        <v>1516.05</v>
      </c>
      <c r="L1475" s="720">
        <v>366.65</v>
      </c>
      <c r="M1475" s="720">
        <v>3696.72</v>
      </c>
      <c r="N1475" s="720">
        <v>194.43</v>
      </c>
    </row>
    <row r="1476" spans="1:14" ht="15">
      <c r="A1476" s="705"/>
      <c r="B1476" s="705"/>
      <c r="C1476" s="719">
        <v>41899</v>
      </c>
      <c r="D1476" s="717">
        <v>11824</v>
      </c>
      <c r="E1476" s="720">
        <v>10761.19</v>
      </c>
      <c r="F1476" s="720">
        <v>19173.77</v>
      </c>
      <c r="G1476" s="720">
        <v>15301.13</v>
      </c>
      <c r="H1476" s="720">
        <v>10721.25</v>
      </c>
      <c r="I1476" s="720">
        <v>9356.77</v>
      </c>
      <c r="J1476" s="736">
        <v>110.56</v>
      </c>
      <c r="K1476" s="720">
        <v>1525.47</v>
      </c>
      <c r="L1476" s="720">
        <v>367.28</v>
      </c>
      <c r="M1476" s="720">
        <v>3695.32</v>
      </c>
      <c r="N1476" s="720">
        <v>194.4</v>
      </c>
    </row>
    <row r="1477" spans="1:14" ht="15">
      <c r="A1477" s="705"/>
      <c r="B1477" s="705"/>
      <c r="C1477" s="719">
        <v>41900</v>
      </c>
      <c r="D1477" s="717">
        <v>11824</v>
      </c>
      <c r="E1477" s="720">
        <v>10761.19</v>
      </c>
      <c r="F1477" s="720">
        <v>19173.77</v>
      </c>
      <c r="G1477" s="720">
        <v>15301.13</v>
      </c>
      <c r="H1477" s="720">
        <v>10721.25</v>
      </c>
      <c r="I1477" s="720">
        <v>9356.77</v>
      </c>
      <c r="J1477" s="736">
        <v>110.56</v>
      </c>
      <c r="K1477" s="720">
        <v>1525.47</v>
      </c>
      <c r="L1477" s="720">
        <v>367.28</v>
      </c>
      <c r="M1477" s="720">
        <v>3695.32</v>
      </c>
      <c r="N1477" s="720">
        <v>194.4</v>
      </c>
    </row>
    <row r="1478" spans="1:14" ht="15">
      <c r="A1478" s="705"/>
      <c r="B1478" s="705"/>
      <c r="C1478" s="719">
        <v>41901</v>
      </c>
      <c r="D1478" s="717">
        <v>11824</v>
      </c>
      <c r="E1478" s="720">
        <v>10761.19</v>
      </c>
      <c r="F1478" s="720">
        <v>19173.77</v>
      </c>
      <c r="G1478" s="720">
        <v>15301.13</v>
      </c>
      <c r="H1478" s="720">
        <v>10721.25</v>
      </c>
      <c r="I1478" s="720">
        <v>9356.77</v>
      </c>
      <c r="J1478" s="736">
        <v>110.56</v>
      </c>
      <c r="K1478" s="720">
        <v>1525.47</v>
      </c>
      <c r="L1478" s="720">
        <v>367.28</v>
      </c>
      <c r="M1478" s="720">
        <v>3695.32</v>
      </c>
      <c r="N1478" s="720">
        <v>194.4</v>
      </c>
    </row>
    <row r="1479" spans="1:14" ht="15">
      <c r="A1479" s="705"/>
      <c r="B1479" s="705"/>
      <c r="C1479" s="719">
        <v>41902</v>
      </c>
      <c r="D1479" s="717">
        <v>11824</v>
      </c>
      <c r="E1479" s="720">
        <v>10761.19</v>
      </c>
      <c r="F1479" s="720">
        <v>19173.77</v>
      </c>
      <c r="G1479" s="720">
        <v>15301.13</v>
      </c>
      <c r="H1479" s="720">
        <v>10721.25</v>
      </c>
      <c r="I1479" s="720">
        <v>9356.77</v>
      </c>
      <c r="J1479" s="736">
        <v>110.56</v>
      </c>
      <c r="K1479" s="720">
        <v>1525.47</v>
      </c>
      <c r="L1479" s="720">
        <v>367.28</v>
      </c>
      <c r="M1479" s="720">
        <v>3695.32</v>
      </c>
      <c r="N1479" s="720">
        <v>194.4</v>
      </c>
    </row>
    <row r="1480" spans="1:14" ht="15">
      <c r="A1480" s="705"/>
      <c r="B1480" s="705"/>
      <c r="C1480" s="719">
        <v>41903</v>
      </c>
      <c r="D1480" s="717">
        <v>11824</v>
      </c>
      <c r="E1480" s="720">
        <v>10761.19</v>
      </c>
      <c r="F1480" s="720">
        <v>19173.77</v>
      </c>
      <c r="G1480" s="720">
        <v>15301.13</v>
      </c>
      <c r="H1480" s="720">
        <v>10721.25</v>
      </c>
      <c r="I1480" s="720">
        <v>9356.77</v>
      </c>
      <c r="J1480" s="736">
        <v>110.56</v>
      </c>
      <c r="K1480" s="720">
        <v>1525.47</v>
      </c>
      <c r="L1480" s="720">
        <v>367.28</v>
      </c>
      <c r="M1480" s="720">
        <v>3695.32</v>
      </c>
      <c r="N1480" s="720">
        <v>194.4</v>
      </c>
    </row>
    <row r="1481" spans="1:14" ht="15">
      <c r="A1481" s="705"/>
      <c r="B1481" s="705"/>
      <c r="C1481" s="719">
        <v>41904</v>
      </c>
      <c r="D1481" s="717">
        <v>11824</v>
      </c>
      <c r="E1481" s="720">
        <v>10761.19</v>
      </c>
      <c r="F1481" s="720">
        <v>19173.77</v>
      </c>
      <c r="G1481" s="720">
        <v>15301.13</v>
      </c>
      <c r="H1481" s="720">
        <v>10721.25</v>
      </c>
      <c r="I1481" s="720">
        <v>9356.77</v>
      </c>
      <c r="J1481" s="736">
        <v>110.56</v>
      </c>
      <c r="K1481" s="720">
        <v>1525.47</v>
      </c>
      <c r="L1481" s="720">
        <v>367.28</v>
      </c>
      <c r="M1481" s="720">
        <v>3695.32</v>
      </c>
      <c r="N1481" s="720">
        <v>194.4</v>
      </c>
    </row>
    <row r="1482" spans="1:14" ht="15">
      <c r="A1482" s="705"/>
      <c r="B1482" s="705"/>
      <c r="C1482" s="719">
        <v>41905</v>
      </c>
      <c r="D1482" s="717">
        <v>11824</v>
      </c>
      <c r="E1482" s="720">
        <v>10761.19</v>
      </c>
      <c r="F1482" s="720">
        <v>19173.77</v>
      </c>
      <c r="G1482" s="720">
        <v>15301.13</v>
      </c>
      <c r="H1482" s="720">
        <v>10721.25</v>
      </c>
      <c r="I1482" s="720">
        <v>9356.77</v>
      </c>
      <c r="J1482" s="736">
        <v>110.56</v>
      </c>
      <c r="K1482" s="720">
        <v>1525.47</v>
      </c>
      <c r="L1482" s="720">
        <v>367.28</v>
      </c>
      <c r="M1482" s="720">
        <v>3695.32</v>
      </c>
      <c r="N1482" s="720">
        <v>194.4</v>
      </c>
    </row>
    <row r="1483" spans="1:14" ht="15">
      <c r="A1483" s="705"/>
      <c r="B1483" s="705"/>
      <c r="C1483" s="719">
        <v>41906</v>
      </c>
      <c r="D1483" s="717">
        <v>11973</v>
      </c>
      <c r="E1483" s="720">
        <v>10758.04</v>
      </c>
      <c r="F1483" s="720">
        <v>19510.400000000001</v>
      </c>
      <c r="G1483" s="720">
        <v>15437.49</v>
      </c>
      <c r="H1483" s="720">
        <v>10905.38</v>
      </c>
      <c r="I1483" s="720">
        <v>9463.92</v>
      </c>
      <c r="J1483" s="736">
        <v>110.68</v>
      </c>
      <c r="K1483" s="720">
        <v>1544.63</v>
      </c>
      <c r="L1483" s="720">
        <v>371.49</v>
      </c>
      <c r="M1483" s="720">
        <v>3710.66</v>
      </c>
      <c r="N1483" s="720">
        <v>196.56</v>
      </c>
    </row>
    <row r="1484" spans="1:14" ht="15">
      <c r="A1484" s="705"/>
      <c r="B1484" s="705"/>
      <c r="C1484" s="719">
        <v>41907</v>
      </c>
      <c r="D1484" s="717">
        <v>11973</v>
      </c>
      <c r="E1484" s="720">
        <v>10758.04</v>
      </c>
      <c r="F1484" s="720">
        <v>19510.400000000001</v>
      </c>
      <c r="G1484" s="720">
        <v>15437.49</v>
      </c>
      <c r="H1484" s="720">
        <v>10905.38</v>
      </c>
      <c r="I1484" s="720">
        <v>9463.92</v>
      </c>
      <c r="J1484" s="736">
        <v>110.68</v>
      </c>
      <c r="K1484" s="720">
        <v>1544.63</v>
      </c>
      <c r="L1484" s="720">
        <v>371.49</v>
      </c>
      <c r="M1484" s="720">
        <v>3710.66</v>
      </c>
      <c r="N1484" s="720">
        <v>196.56</v>
      </c>
    </row>
    <row r="1485" spans="1:14" ht="15">
      <c r="A1485" s="705"/>
      <c r="B1485" s="705"/>
      <c r="C1485" s="719">
        <v>41908</v>
      </c>
      <c r="D1485" s="717">
        <v>11973</v>
      </c>
      <c r="E1485" s="720">
        <v>10758.04</v>
      </c>
      <c r="F1485" s="720">
        <v>19510.400000000001</v>
      </c>
      <c r="G1485" s="720">
        <v>15437.49</v>
      </c>
      <c r="H1485" s="720">
        <v>10905.38</v>
      </c>
      <c r="I1485" s="720">
        <v>9463.92</v>
      </c>
      <c r="J1485" s="736">
        <v>110.68</v>
      </c>
      <c r="K1485" s="720">
        <v>1544.63</v>
      </c>
      <c r="L1485" s="720">
        <v>371.49</v>
      </c>
      <c r="M1485" s="720">
        <v>3710.66</v>
      </c>
      <c r="N1485" s="720">
        <v>196.56</v>
      </c>
    </row>
    <row r="1486" spans="1:14" ht="15">
      <c r="A1486" s="705"/>
      <c r="B1486" s="705"/>
      <c r="C1486" s="719">
        <v>41909</v>
      </c>
      <c r="D1486" s="717">
        <v>11973</v>
      </c>
      <c r="E1486" s="720">
        <v>10758.04</v>
      </c>
      <c r="F1486" s="720">
        <v>19510.400000000001</v>
      </c>
      <c r="G1486" s="720">
        <v>15437.49</v>
      </c>
      <c r="H1486" s="720">
        <v>10905.38</v>
      </c>
      <c r="I1486" s="720">
        <v>9463.92</v>
      </c>
      <c r="J1486" s="736">
        <v>110.68</v>
      </c>
      <c r="K1486" s="720">
        <v>1544.63</v>
      </c>
      <c r="L1486" s="720">
        <v>371.49</v>
      </c>
      <c r="M1486" s="720">
        <v>3710.66</v>
      </c>
      <c r="N1486" s="720">
        <v>196.56</v>
      </c>
    </row>
    <row r="1487" spans="1:14" ht="15">
      <c r="A1487" s="705"/>
      <c r="B1487" s="705"/>
      <c r="C1487" s="719">
        <v>41910</v>
      </c>
      <c r="D1487" s="717">
        <v>11973</v>
      </c>
      <c r="E1487" s="720">
        <v>10758.04</v>
      </c>
      <c r="F1487" s="720">
        <v>19510.400000000001</v>
      </c>
      <c r="G1487" s="720">
        <v>15437.49</v>
      </c>
      <c r="H1487" s="720">
        <v>10905.38</v>
      </c>
      <c r="I1487" s="720">
        <v>9463.92</v>
      </c>
      <c r="J1487" s="736">
        <v>110.68</v>
      </c>
      <c r="K1487" s="720">
        <v>1544.63</v>
      </c>
      <c r="L1487" s="720">
        <v>371.49</v>
      </c>
      <c r="M1487" s="720">
        <v>3710.66</v>
      </c>
      <c r="N1487" s="720">
        <v>196.56</v>
      </c>
    </row>
    <row r="1488" spans="1:14" ht="15">
      <c r="A1488" s="705"/>
      <c r="B1488" s="705"/>
      <c r="C1488" s="719">
        <v>41911</v>
      </c>
      <c r="D1488" s="717">
        <v>11973</v>
      </c>
      <c r="E1488" s="720">
        <v>10758.04</v>
      </c>
      <c r="F1488" s="720">
        <v>19510.400000000001</v>
      </c>
      <c r="G1488" s="720">
        <v>15437.49</v>
      </c>
      <c r="H1488" s="720">
        <v>10905.38</v>
      </c>
      <c r="I1488" s="720">
        <v>9463.92</v>
      </c>
      <c r="J1488" s="736">
        <v>110.68</v>
      </c>
      <c r="K1488" s="720">
        <v>1544.63</v>
      </c>
      <c r="L1488" s="720">
        <v>371.49</v>
      </c>
      <c r="M1488" s="720">
        <v>3710.66</v>
      </c>
      <c r="N1488" s="720">
        <v>196.56</v>
      </c>
    </row>
    <row r="1489" spans="1:14" ht="15">
      <c r="A1489" s="705"/>
      <c r="B1489" s="705"/>
      <c r="C1489" s="719">
        <v>41912</v>
      </c>
      <c r="D1489" s="717">
        <v>11973</v>
      </c>
      <c r="E1489" s="720">
        <v>10758.04</v>
      </c>
      <c r="F1489" s="720">
        <v>19510.400000000001</v>
      </c>
      <c r="G1489" s="720">
        <v>15437.49</v>
      </c>
      <c r="H1489" s="720">
        <v>10905.38</v>
      </c>
      <c r="I1489" s="720">
        <v>9463.92</v>
      </c>
      <c r="J1489" s="736">
        <v>110.68</v>
      </c>
      <c r="K1489" s="720">
        <v>1544.63</v>
      </c>
      <c r="L1489" s="720">
        <v>371.49</v>
      </c>
      <c r="M1489" s="720">
        <v>3710.66</v>
      </c>
      <c r="N1489" s="720">
        <v>196.56</v>
      </c>
    </row>
    <row r="1490" spans="1:14" ht="15">
      <c r="A1490" s="705"/>
      <c r="B1490" s="705"/>
      <c r="C1490" s="719">
        <v>41913</v>
      </c>
      <c r="D1490" s="717">
        <v>12020</v>
      </c>
      <c r="E1490" s="720">
        <v>10572.38</v>
      </c>
      <c r="F1490" s="720">
        <v>19598.52</v>
      </c>
      <c r="G1490" s="720">
        <v>15323.08</v>
      </c>
      <c r="H1490" s="720">
        <v>10814.23</v>
      </c>
      <c r="I1490" s="720">
        <v>9456.2199999999993</v>
      </c>
      <c r="J1490" s="726">
        <v>110.19</v>
      </c>
      <c r="K1490" s="720">
        <v>1549.86</v>
      </c>
      <c r="L1490" s="720">
        <v>372.29</v>
      </c>
      <c r="M1490" s="720">
        <v>3692.83</v>
      </c>
      <c r="N1490" s="720">
        <v>196.54</v>
      </c>
    </row>
    <row r="1491" spans="1:14" ht="15">
      <c r="A1491" s="705"/>
      <c r="B1491" s="705"/>
      <c r="C1491" s="719">
        <v>41914</v>
      </c>
      <c r="D1491" s="717">
        <v>12020</v>
      </c>
      <c r="E1491" s="720">
        <v>10572.38</v>
      </c>
      <c r="F1491" s="720">
        <v>19598.52</v>
      </c>
      <c r="G1491" s="720">
        <v>15323.08</v>
      </c>
      <c r="H1491" s="720">
        <v>10814.23</v>
      </c>
      <c r="I1491" s="720">
        <v>9456.2199999999993</v>
      </c>
      <c r="J1491" s="726">
        <v>110.19</v>
      </c>
      <c r="K1491" s="720">
        <v>1549.86</v>
      </c>
      <c r="L1491" s="720">
        <v>372.29</v>
      </c>
      <c r="M1491" s="720">
        <v>3692.83</v>
      </c>
      <c r="N1491" s="720">
        <v>196.54</v>
      </c>
    </row>
    <row r="1492" spans="1:14" ht="15">
      <c r="A1492" s="705"/>
      <c r="B1492" s="705"/>
      <c r="C1492" s="719">
        <v>41915</v>
      </c>
      <c r="D1492" s="717">
        <v>12020</v>
      </c>
      <c r="E1492" s="720">
        <v>10572.38</v>
      </c>
      <c r="F1492" s="720">
        <v>19598.52</v>
      </c>
      <c r="G1492" s="720">
        <v>15323.08</v>
      </c>
      <c r="H1492" s="720">
        <v>10814.23</v>
      </c>
      <c r="I1492" s="720">
        <v>9456.2199999999993</v>
      </c>
      <c r="J1492" s="726">
        <v>110.19</v>
      </c>
      <c r="K1492" s="720">
        <v>1549.86</v>
      </c>
      <c r="L1492" s="720">
        <v>372.29</v>
      </c>
      <c r="M1492" s="720">
        <v>3692.83</v>
      </c>
      <c r="N1492" s="720">
        <v>196.54</v>
      </c>
    </row>
    <row r="1493" spans="1:14" ht="15">
      <c r="A1493" s="705"/>
      <c r="B1493" s="705"/>
      <c r="C1493" s="719">
        <v>41916</v>
      </c>
      <c r="D1493" s="717">
        <v>12020</v>
      </c>
      <c r="E1493" s="720">
        <v>10572.38</v>
      </c>
      <c r="F1493" s="720">
        <v>19598.52</v>
      </c>
      <c r="G1493" s="720">
        <v>15323.08</v>
      </c>
      <c r="H1493" s="720">
        <v>10814.23</v>
      </c>
      <c r="I1493" s="720">
        <v>9456.2199999999993</v>
      </c>
      <c r="J1493" s="726">
        <v>110.19</v>
      </c>
      <c r="K1493" s="720">
        <v>1549.86</v>
      </c>
      <c r="L1493" s="720">
        <v>372.29</v>
      </c>
      <c r="M1493" s="720">
        <v>3692.83</v>
      </c>
      <c r="N1493" s="720">
        <v>196.54</v>
      </c>
    </row>
    <row r="1494" spans="1:14" ht="15">
      <c r="A1494" s="705"/>
      <c r="B1494" s="705"/>
      <c r="C1494" s="719">
        <v>41917</v>
      </c>
      <c r="D1494" s="717">
        <v>12020</v>
      </c>
      <c r="E1494" s="720">
        <v>10572.38</v>
      </c>
      <c r="F1494" s="720">
        <v>19598.52</v>
      </c>
      <c r="G1494" s="720">
        <v>15323.08</v>
      </c>
      <c r="H1494" s="720">
        <v>10814.23</v>
      </c>
      <c r="I1494" s="720">
        <v>9456.2199999999993</v>
      </c>
      <c r="J1494" s="726">
        <v>110.19</v>
      </c>
      <c r="K1494" s="720">
        <v>1549.86</v>
      </c>
      <c r="L1494" s="720">
        <v>372.29</v>
      </c>
      <c r="M1494" s="720">
        <v>3692.83</v>
      </c>
      <c r="N1494" s="720">
        <v>196.54</v>
      </c>
    </row>
    <row r="1495" spans="1:14" ht="15">
      <c r="A1495" s="705"/>
      <c r="B1495" s="705"/>
      <c r="C1495" s="719">
        <v>41918</v>
      </c>
      <c r="D1495" s="717">
        <v>12020</v>
      </c>
      <c r="E1495" s="720">
        <v>10572.38</v>
      </c>
      <c r="F1495" s="720">
        <v>19598.52</v>
      </c>
      <c r="G1495" s="720">
        <v>15323.08</v>
      </c>
      <c r="H1495" s="720">
        <v>10814.23</v>
      </c>
      <c r="I1495" s="720">
        <v>9456.2199999999993</v>
      </c>
      <c r="J1495" s="726">
        <v>110.19</v>
      </c>
      <c r="K1495" s="720">
        <v>1549.86</v>
      </c>
      <c r="L1495" s="720">
        <v>372.29</v>
      </c>
      <c r="M1495" s="720">
        <v>3692.83</v>
      </c>
      <c r="N1495" s="720">
        <v>196.54</v>
      </c>
    </row>
    <row r="1496" spans="1:14" ht="15">
      <c r="A1496" s="705"/>
      <c r="B1496" s="705"/>
      <c r="C1496" s="719">
        <v>41919</v>
      </c>
      <c r="D1496" s="717">
        <v>12020</v>
      </c>
      <c r="E1496" s="720">
        <v>10572.38</v>
      </c>
      <c r="F1496" s="720">
        <v>19598.52</v>
      </c>
      <c r="G1496" s="720">
        <v>15323.08</v>
      </c>
      <c r="H1496" s="720">
        <v>10814.23</v>
      </c>
      <c r="I1496" s="720">
        <v>9456.2199999999993</v>
      </c>
      <c r="J1496" s="726">
        <v>110.19</v>
      </c>
      <c r="K1496" s="720">
        <v>1549.86</v>
      </c>
      <c r="L1496" s="720">
        <v>372.29</v>
      </c>
      <c r="M1496" s="720">
        <v>3692.83</v>
      </c>
      <c r="N1496" s="720">
        <v>196.54</v>
      </c>
    </row>
    <row r="1497" spans="1:14" ht="15">
      <c r="A1497" s="705"/>
      <c r="B1497" s="705"/>
      <c r="C1497" s="719">
        <v>41920</v>
      </c>
      <c r="D1497" s="717">
        <v>12172</v>
      </c>
      <c r="E1497" s="720">
        <v>10628.1</v>
      </c>
      <c r="F1497" s="720">
        <v>19597.650000000001</v>
      </c>
      <c r="G1497" s="720">
        <v>15326.5</v>
      </c>
      <c r="H1497" s="720">
        <v>10867.66</v>
      </c>
      <c r="I1497" s="720">
        <v>9536.64</v>
      </c>
      <c r="J1497" s="726">
        <v>111.42</v>
      </c>
      <c r="K1497" s="720">
        <v>1568.16</v>
      </c>
      <c r="L1497" s="720">
        <v>374.27</v>
      </c>
      <c r="M1497" s="720">
        <v>3729.24</v>
      </c>
      <c r="N1497" s="720">
        <v>197.33</v>
      </c>
    </row>
    <row r="1498" spans="1:14" ht="15">
      <c r="A1498" s="705"/>
      <c r="B1498" s="705"/>
      <c r="C1498" s="719">
        <v>41921</v>
      </c>
      <c r="D1498" s="717">
        <v>12172</v>
      </c>
      <c r="E1498" s="720">
        <v>10628.1</v>
      </c>
      <c r="F1498" s="720">
        <v>19597.650000000001</v>
      </c>
      <c r="G1498" s="720">
        <v>15326.5</v>
      </c>
      <c r="H1498" s="720">
        <v>10867.66</v>
      </c>
      <c r="I1498" s="720">
        <v>9536.64</v>
      </c>
      <c r="J1498" s="726">
        <v>111.42</v>
      </c>
      <c r="K1498" s="720">
        <v>1568.16</v>
      </c>
      <c r="L1498" s="720">
        <v>374.27</v>
      </c>
      <c r="M1498" s="720">
        <v>3729.24</v>
      </c>
      <c r="N1498" s="720">
        <v>197.33</v>
      </c>
    </row>
    <row r="1499" spans="1:14" ht="15">
      <c r="A1499" s="705"/>
      <c r="B1499" s="705"/>
      <c r="C1499" s="719">
        <v>41922</v>
      </c>
      <c r="D1499" s="717">
        <v>12172</v>
      </c>
      <c r="E1499" s="720">
        <v>10628.1</v>
      </c>
      <c r="F1499" s="720">
        <v>19597.650000000001</v>
      </c>
      <c r="G1499" s="720">
        <v>15326.5</v>
      </c>
      <c r="H1499" s="720">
        <v>10867.66</v>
      </c>
      <c r="I1499" s="720">
        <v>9536.64</v>
      </c>
      <c r="J1499" s="726">
        <v>111.42</v>
      </c>
      <c r="K1499" s="720">
        <v>1568.16</v>
      </c>
      <c r="L1499" s="720">
        <v>374.27</v>
      </c>
      <c r="M1499" s="720">
        <v>3729.24</v>
      </c>
      <c r="N1499" s="720">
        <v>197.33</v>
      </c>
    </row>
    <row r="1500" spans="1:14" ht="15">
      <c r="A1500" s="705"/>
      <c r="B1500" s="705"/>
      <c r="C1500" s="719">
        <v>41923</v>
      </c>
      <c r="D1500" s="717">
        <v>12172</v>
      </c>
      <c r="E1500" s="720">
        <v>10628.1</v>
      </c>
      <c r="F1500" s="720">
        <v>19597.650000000001</v>
      </c>
      <c r="G1500" s="720">
        <v>15326.5</v>
      </c>
      <c r="H1500" s="720">
        <v>10867.66</v>
      </c>
      <c r="I1500" s="720">
        <v>9536.64</v>
      </c>
      <c r="J1500" s="726">
        <v>111.42</v>
      </c>
      <c r="K1500" s="720">
        <v>1568.16</v>
      </c>
      <c r="L1500" s="720">
        <v>374.27</v>
      </c>
      <c r="M1500" s="720">
        <v>3729.24</v>
      </c>
      <c r="N1500" s="720">
        <v>197.33</v>
      </c>
    </row>
    <row r="1501" spans="1:14" ht="15">
      <c r="A1501" s="705"/>
      <c r="B1501" s="705"/>
      <c r="C1501" s="719">
        <v>41924</v>
      </c>
      <c r="D1501" s="717">
        <v>12172</v>
      </c>
      <c r="E1501" s="720">
        <v>10628.1</v>
      </c>
      <c r="F1501" s="720">
        <v>19597.650000000001</v>
      </c>
      <c r="G1501" s="720">
        <v>15326.5</v>
      </c>
      <c r="H1501" s="720">
        <v>10867.66</v>
      </c>
      <c r="I1501" s="720">
        <v>9536.64</v>
      </c>
      <c r="J1501" s="726">
        <v>111.42</v>
      </c>
      <c r="K1501" s="720">
        <v>1568.16</v>
      </c>
      <c r="L1501" s="720">
        <v>374.27</v>
      </c>
      <c r="M1501" s="720">
        <v>3729.24</v>
      </c>
      <c r="N1501" s="720">
        <v>197.33</v>
      </c>
    </row>
    <row r="1502" spans="1:14" ht="15">
      <c r="A1502" s="705"/>
      <c r="B1502" s="705"/>
      <c r="C1502" s="719">
        <v>41925</v>
      </c>
      <c r="D1502" s="717">
        <v>12172</v>
      </c>
      <c r="E1502" s="720">
        <v>10628.1</v>
      </c>
      <c r="F1502" s="720">
        <v>19597.650000000001</v>
      </c>
      <c r="G1502" s="720">
        <v>15326.5</v>
      </c>
      <c r="H1502" s="720">
        <v>10867.66</v>
      </c>
      <c r="I1502" s="720">
        <v>9536.64</v>
      </c>
      <c r="J1502" s="726">
        <v>111.42</v>
      </c>
      <c r="K1502" s="720">
        <v>1568.16</v>
      </c>
      <c r="L1502" s="720">
        <v>374.27</v>
      </c>
      <c r="M1502" s="720">
        <v>3729.24</v>
      </c>
      <c r="N1502" s="720">
        <v>197.33</v>
      </c>
    </row>
    <row r="1503" spans="1:14" ht="15">
      <c r="A1503" s="705"/>
      <c r="B1503" s="705"/>
      <c r="C1503" s="719">
        <v>41926</v>
      </c>
      <c r="D1503" s="717">
        <v>12172</v>
      </c>
      <c r="E1503" s="720">
        <v>10628.1</v>
      </c>
      <c r="F1503" s="720">
        <v>19597.650000000001</v>
      </c>
      <c r="G1503" s="720">
        <v>15326.5</v>
      </c>
      <c r="H1503" s="720">
        <v>10867.66</v>
      </c>
      <c r="I1503" s="720">
        <v>9536.64</v>
      </c>
      <c r="J1503" s="726">
        <v>111.42</v>
      </c>
      <c r="K1503" s="720">
        <v>1568.16</v>
      </c>
      <c r="L1503" s="720">
        <v>374.27</v>
      </c>
      <c r="M1503" s="720">
        <v>3729.24</v>
      </c>
      <c r="N1503" s="720">
        <v>197.33</v>
      </c>
    </row>
    <row r="1504" spans="1:14" ht="15">
      <c r="A1504" s="705"/>
      <c r="B1504" s="705"/>
      <c r="C1504" s="719">
        <v>41927</v>
      </c>
      <c r="D1504" s="717">
        <v>12210</v>
      </c>
      <c r="E1504" s="720">
        <v>10687.69</v>
      </c>
      <c r="F1504" s="720">
        <v>19647.04</v>
      </c>
      <c r="G1504" s="720">
        <v>15464.17</v>
      </c>
      <c r="H1504" s="720">
        <v>10915.69</v>
      </c>
      <c r="I1504" s="720">
        <v>9578.7000000000007</v>
      </c>
      <c r="J1504" s="726">
        <v>113.16</v>
      </c>
      <c r="K1504" s="720">
        <v>1573.98</v>
      </c>
      <c r="L1504" s="720">
        <v>375.56</v>
      </c>
      <c r="M1504" s="720">
        <v>3746.79</v>
      </c>
      <c r="N1504" s="720">
        <v>199.18</v>
      </c>
    </row>
    <row r="1505" spans="1:14" ht="15">
      <c r="A1505" s="705"/>
      <c r="B1505" s="705"/>
      <c r="C1505" s="719">
        <v>41928</v>
      </c>
      <c r="D1505" s="717">
        <v>12210</v>
      </c>
      <c r="E1505" s="720">
        <v>10687.69</v>
      </c>
      <c r="F1505" s="720">
        <v>19647.04</v>
      </c>
      <c r="G1505" s="720">
        <v>15464.17</v>
      </c>
      <c r="H1505" s="720">
        <v>10915.69</v>
      </c>
      <c r="I1505" s="720">
        <v>9578.7000000000007</v>
      </c>
      <c r="J1505" s="726">
        <v>113.16</v>
      </c>
      <c r="K1505" s="720">
        <v>1573.98</v>
      </c>
      <c r="L1505" s="720">
        <v>375.56</v>
      </c>
      <c r="M1505" s="720">
        <v>3746.79</v>
      </c>
      <c r="N1505" s="720">
        <v>199.18</v>
      </c>
    </row>
    <row r="1506" spans="1:14" ht="15">
      <c r="A1506" s="705"/>
      <c r="B1506" s="705"/>
      <c r="C1506" s="719">
        <v>41929</v>
      </c>
      <c r="D1506" s="717">
        <v>12210</v>
      </c>
      <c r="E1506" s="720">
        <v>10687.69</v>
      </c>
      <c r="F1506" s="720">
        <v>19647.04</v>
      </c>
      <c r="G1506" s="720">
        <v>15464.17</v>
      </c>
      <c r="H1506" s="720">
        <v>10915.69</v>
      </c>
      <c r="I1506" s="720">
        <v>9578.7000000000007</v>
      </c>
      <c r="J1506" s="726">
        <v>113.16</v>
      </c>
      <c r="K1506" s="720">
        <v>1573.98</v>
      </c>
      <c r="L1506" s="720">
        <v>375.56</v>
      </c>
      <c r="M1506" s="720">
        <v>3746.79</v>
      </c>
      <c r="N1506" s="720">
        <v>199.18</v>
      </c>
    </row>
    <row r="1507" spans="1:14" ht="15">
      <c r="A1507" s="705"/>
      <c r="B1507" s="705"/>
      <c r="C1507" s="719">
        <v>41930</v>
      </c>
      <c r="D1507" s="717">
        <v>12210</v>
      </c>
      <c r="E1507" s="720">
        <v>10687.69</v>
      </c>
      <c r="F1507" s="720">
        <v>19647.04</v>
      </c>
      <c r="G1507" s="720">
        <v>15464.17</v>
      </c>
      <c r="H1507" s="720">
        <v>10915.69</v>
      </c>
      <c r="I1507" s="720">
        <v>9578.7000000000007</v>
      </c>
      <c r="J1507" s="726">
        <v>113.16</v>
      </c>
      <c r="K1507" s="720">
        <v>1573.98</v>
      </c>
      <c r="L1507" s="720">
        <v>375.56</v>
      </c>
      <c r="M1507" s="720">
        <v>3746.79</v>
      </c>
      <c r="N1507" s="720">
        <v>199.18</v>
      </c>
    </row>
    <row r="1508" spans="1:14" ht="15">
      <c r="A1508" s="705"/>
      <c r="B1508" s="705"/>
      <c r="C1508" s="719">
        <v>41931</v>
      </c>
      <c r="D1508" s="717">
        <v>12210</v>
      </c>
      <c r="E1508" s="720">
        <v>10687.69</v>
      </c>
      <c r="F1508" s="720">
        <v>19647.04</v>
      </c>
      <c r="G1508" s="720">
        <v>15464.17</v>
      </c>
      <c r="H1508" s="720">
        <v>10915.69</v>
      </c>
      <c r="I1508" s="720">
        <v>9578.7000000000007</v>
      </c>
      <c r="J1508" s="726">
        <v>113.16</v>
      </c>
      <c r="K1508" s="720">
        <v>1573.98</v>
      </c>
      <c r="L1508" s="720">
        <v>375.56</v>
      </c>
      <c r="M1508" s="720">
        <v>3746.79</v>
      </c>
      <c r="N1508" s="720">
        <v>199.18</v>
      </c>
    </row>
    <row r="1509" spans="1:14" ht="15">
      <c r="A1509" s="705"/>
      <c r="B1509" s="705"/>
      <c r="C1509" s="719">
        <v>41932</v>
      </c>
      <c r="D1509" s="717">
        <v>12210</v>
      </c>
      <c r="E1509" s="720">
        <v>10687.69</v>
      </c>
      <c r="F1509" s="720">
        <v>19647.04</v>
      </c>
      <c r="G1509" s="720">
        <v>15464.17</v>
      </c>
      <c r="H1509" s="720">
        <v>10915.69</v>
      </c>
      <c r="I1509" s="720">
        <v>9578.7000000000007</v>
      </c>
      <c r="J1509" s="726">
        <v>113.16</v>
      </c>
      <c r="K1509" s="720">
        <v>1573.98</v>
      </c>
      <c r="L1509" s="720">
        <v>375.56</v>
      </c>
      <c r="M1509" s="720">
        <v>3746.79</v>
      </c>
      <c r="N1509" s="720">
        <v>199.18</v>
      </c>
    </row>
    <row r="1510" spans="1:14" ht="15">
      <c r="A1510" s="705"/>
      <c r="B1510" s="705"/>
      <c r="C1510" s="719">
        <v>41933</v>
      </c>
      <c r="D1510" s="717">
        <v>12210</v>
      </c>
      <c r="E1510" s="720">
        <v>10687.69</v>
      </c>
      <c r="F1510" s="720">
        <v>19647.04</v>
      </c>
      <c r="G1510" s="720">
        <v>15464.17</v>
      </c>
      <c r="H1510" s="720">
        <v>10915.69</v>
      </c>
      <c r="I1510" s="720">
        <v>9578.7000000000007</v>
      </c>
      <c r="J1510" s="726">
        <v>113.16</v>
      </c>
      <c r="K1510" s="720">
        <v>1573.98</v>
      </c>
      <c r="L1510" s="720">
        <v>375.56</v>
      </c>
      <c r="M1510" s="720">
        <v>3746.79</v>
      </c>
      <c r="N1510" s="720">
        <v>199.18</v>
      </c>
    </row>
    <row r="1511" spans="1:14" ht="15">
      <c r="A1511" s="705"/>
      <c r="B1511" s="705"/>
      <c r="C1511" s="719">
        <v>41934</v>
      </c>
      <c r="D1511" s="717">
        <v>12168</v>
      </c>
      <c r="E1511" s="720">
        <v>10664.66</v>
      </c>
      <c r="F1511" s="720">
        <v>19519.509999999998</v>
      </c>
      <c r="G1511" s="720">
        <v>15533.4</v>
      </c>
      <c r="H1511" s="720">
        <v>10795.88</v>
      </c>
      <c r="I1511" s="720">
        <v>9550.41</v>
      </c>
      <c r="J1511" s="726">
        <v>114.07</v>
      </c>
      <c r="K1511" s="720">
        <v>1568.5</v>
      </c>
      <c r="L1511" s="720">
        <v>375.28</v>
      </c>
      <c r="M1511" s="720">
        <v>3716.43</v>
      </c>
      <c r="N1511" s="720">
        <v>197.62</v>
      </c>
    </row>
    <row r="1512" spans="1:14" ht="15">
      <c r="A1512" s="705"/>
      <c r="B1512" s="705"/>
      <c r="C1512" s="719">
        <v>41935</v>
      </c>
      <c r="D1512" s="717">
        <v>12168</v>
      </c>
      <c r="E1512" s="720">
        <v>10664.66</v>
      </c>
      <c r="F1512" s="720">
        <v>19519.509999999998</v>
      </c>
      <c r="G1512" s="720">
        <v>15533.4</v>
      </c>
      <c r="H1512" s="720">
        <v>10795.88</v>
      </c>
      <c r="I1512" s="720">
        <v>9550.41</v>
      </c>
      <c r="J1512" s="726">
        <v>114.07</v>
      </c>
      <c r="K1512" s="720">
        <v>1568.5</v>
      </c>
      <c r="L1512" s="720">
        <v>375.28</v>
      </c>
      <c r="M1512" s="720">
        <v>3716.43</v>
      </c>
      <c r="N1512" s="720">
        <v>197.62</v>
      </c>
    </row>
    <row r="1513" spans="1:14" ht="15">
      <c r="A1513" s="705"/>
      <c r="B1513" s="705"/>
      <c r="C1513" s="719">
        <v>41936</v>
      </c>
      <c r="D1513" s="717">
        <v>12168</v>
      </c>
      <c r="E1513" s="720">
        <v>10664.66</v>
      </c>
      <c r="F1513" s="720">
        <v>19519.509999999998</v>
      </c>
      <c r="G1513" s="720">
        <v>15533.4</v>
      </c>
      <c r="H1513" s="720">
        <v>10795.88</v>
      </c>
      <c r="I1513" s="720">
        <v>9550.41</v>
      </c>
      <c r="J1513" s="726">
        <v>114.07</v>
      </c>
      <c r="K1513" s="720">
        <v>1568.5</v>
      </c>
      <c r="L1513" s="720">
        <v>375.28</v>
      </c>
      <c r="M1513" s="720">
        <v>3716.43</v>
      </c>
      <c r="N1513" s="720">
        <v>197.62</v>
      </c>
    </row>
    <row r="1514" spans="1:14" ht="15">
      <c r="A1514" s="705"/>
      <c r="B1514" s="705"/>
      <c r="C1514" s="719">
        <v>41937</v>
      </c>
      <c r="D1514" s="717">
        <v>12168</v>
      </c>
      <c r="E1514" s="720">
        <v>10664.66</v>
      </c>
      <c r="F1514" s="720">
        <v>19519.509999999998</v>
      </c>
      <c r="G1514" s="720">
        <v>15533.4</v>
      </c>
      <c r="H1514" s="720">
        <v>10795.88</v>
      </c>
      <c r="I1514" s="720">
        <v>9550.41</v>
      </c>
      <c r="J1514" s="726">
        <v>114.07</v>
      </c>
      <c r="K1514" s="720">
        <v>1568.5</v>
      </c>
      <c r="L1514" s="720">
        <v>375.28</v>
      </c>
      <c r="M1514" s="720">
        <v>3716.43</v>
      </c>
      <c r="N1514" s="720">
        <v>197.62</v>
      </c>
    </row>
    <row r="1515" spans="1:14" ht="15">
      <c r="A1515" s="705"/>
      <c r="B1515" s="705"/>
      <c r="C1515" s="719">
        <v>41938</v>
      </c>
      <c r="D1515" s="717">
        <v>12168</v>
      </c>
      <c r="E1515" s="720">
        <v>10664.66</v>
      </c>
      <c r="F1515" s="720">
        <v>19519.509999999998</v>
      </c>
      <c r="G1515" s="720">
        <v>15533.4</v>
      </c>
      <c r="H1515" s="720">
        <v>10795.88</v>
      </c>
      <c r="I1515" s="720">
        <v>9550.41</v>
      </c>
      <c r="J1515" s="726">
        <v>114.07</v>
      </c>
      <c r="K1515" s="720">
        <v>1568.5</v>
      </c>
      <c r="L1515" s="720">
        <v>375.28</v>
      </c>
      <c r="M1515" s="720">
        <v>3716.43</v>
      </c>
      <c r="N1515" s="720">
        <v>197.62</v>
      </c>
    </row>
    <row r="1516" spans="1:14" ht="15">
      <c r="A1516" s="705"/>
      <c r="B1516" s="705"/>
      <c r="C1516" s="719">
        <v>41939</v>
      </c>
      <c r="D1516" s="717">
        <v>12168</v>
      </c>
      <c r="E1516" s="720">
        <v>10664.66</v>
      </c>
      <c r="F1516" s="720">
        <v>19519.509999999998</v>
      </c>
      <c r="G1516" s="720">
        <v>15533.4</v>
      </c>
      <c r="H1516" s="720">
        <v>10795.88</v>
      </c>
      <c r="I1516" s="720">
        <v>9550.41</v>
      </c>
      <c r="J1516" s="726">
        <v>114.07</v>
      </c>
      <c r="K1516" s="720">
        <v>1568.5</v>
      </c>
      <c r="L1516" s="720">
        <v>375.28</v>
      </c>
      <c r="M1516" s="720">
        <v>3716.43</v>
      </c>
      <c r="N1516" s="720">
        <v>197.62</v>
      </c>
    </row>
    <row r="1517" spans="1:14" ht="15">
      <c r="A1517" s="705"/>
      <c r="B1517" s="705"/>
      <c r="C1517" s="719">
        <v>41940</v>
      </c>
      <c r="D1517" s="717">
        <v>12168</v>
      </c>
      <c r="E1517" s="720">
        <v>10664.66</v>
      </c>
      <c r="F1517" s="720">
        <v>19519.509999999998</v>
      </c>
      <c r="G1517" s="720">
        <v>15533.4</v>
      </c>
      <c r="H1517" s="720">
        <v>10795.88</v>
      </c>
      <c r="I1517" s="720">
        <v>9550.41</v>
      </c>
      <c r="J1517" s="726">
        <v>114.07</v>
      </c>
      <c r="K1517" s="720">
        <v>1568.5</v>
      </c>
      <c r="L1517" s="720">
        <v>375.28</v>
      </c>
      <c r="M1517" s="720">
        <v>3716.43</v>
      </c>
      <c r="N1517" s="720">
        <v>197.62</v>
      </c>
    </row>
    <row r="1518" spans="1:14" ht="15">
      <c r="A1518" s="705"/>
      <c r="B1518" s="705"/>
      <c r="C1518" s="719">
        <v>41941</v>
      </c>
      <c r="D1518" s="717">
        <v>12038</v>
      </c>
      <c r="E1518" s="720">
        <v>10576.54</v>
      </c>
      <c r="F1518" s="720">
        <v>19353.490000000002</v>
      </c>
      <c r="G1518" s="720">
        <v>15261.5</v>
      </c>
      <c r="H1518" s="720">
        <v>10722.02</v>
      </c>
      <c r="I1518" s="720">
        <v>9446.43</v>
      </c>
      <c r="J1518" s="726">
        <v>111.78</v>
      </c>
      <c r="K1518" s="720">
        <v>1551.78</v>
      </c>
      <c r="L1518" s="720">
        <v>372.01</v>
      </c>
      <c r="M1518" s="720">
        <v>3682.29</v>
      </c>
      <c r="N1518" s="720">
        <v>196.37</v>
      </c>
    </row>
    <row r="1519" spans="1:14" ht="15">
      <c r="A1519" s="705"/>
      <c r="B1519" s="705"/>
      <c r="C1519" s="719">
        <v>41942</v>
      </c>
      <c r="D1519" s="717">
        <v>12038</v>
      </c>
      <c r="E1519" s="720">
        <v>10576.54</v>
      </c>
      <c r="F1519" s="720">
        <v>19353.490000000002</v>
      </c>
      <c r="G1519" s="720">
        <v>15261.5</v>
      </c>
      <c r="H1519" s="720">
        <v>10722.02</v>
      </c>
      <c r="I1519" s="720">
        <v>9446.43</v>
      </c>
      <c r="J1519" s="726">
        <v>111.78</v>
      </c>
      <c r="K1519" s="720">
        <v>1551.78</v>
      </c>
      <c r="L1519" s="720">
        <v>372.01</v>
      </c>
      <c r="M1519" s="720">
        <v>3682.29</v>
      </c>
      <c r="N1519" s="720">
        <v>196.37</v>
      </c>
    </row>
    <row r="1520" spans="1:14" ht="15">
      <c r="A1520" s="705"/>
      <c r="B1520" s="705"/>
      <c r="C1520" s="719">
        <v>41943</v>
      </c>
      <c r="D1520" s="717">
        <v>12038</v>
      </c>
      <c r="E1520" s="720">
        <v>10576.54</v>
      </c>
      <c r="F1520" s="720">
        <v>19353.490000000002</v>
      </c>
      <c r="G1520" s="720">
        <v>15261.5</v>
      </c>
      <c r="H1520" s="720">
        <v>10722.02</v>
      </c>
      <c r="I1520" s="720">
        <v>9446.43</v>
      </c>
      <c r="J1520" s="726">
        <v>111.78</v>
      </c>
      <c r="K1520" s="720">
        <v>1551.78</v>
      </c>
      <c r="L1520" s="720">
        <v>372.01</v>
      </c>
      <c r="M1520" s="720">
        <v>3682.29</v>
      </c>
      <c r="N1520" s="720">
        <v>196.37</v>
      </c>
    </row>
    <row r="1521" spans="1:14" ht="15">
      <c r="A1521" s="705"/>
      <c r="B1521" s="705"/>
      <c r="C1521" s="719">
        <v>41944</v>
      </c>
      <c r="D1521" s="717">
        <v>12038</v>
      </c>
      <c r="E1521" s="720">
        <v>10576.54</v>
      </c>
      <c r="F1521" s="720">
        <v>19353.490000000002</v>
      </c>
      <c r="G1521" s="720">
        <v>15261.5</v>
      </c>
      <c r="H1521" s="720">
        <v>10722.02</v>
      </c>
      <c r="I1521" s="720">
        <v>9446.43</v>
      </c>
      <c r="J1521" s="726">
        <v>111.78</v>
      </c>
      <c r="K1521" s="720">
        <v>1551.78</v>
      </c>
      <c r="L1521" s="720">
        <v>372.01</v>
      </c>
      <c r="M1521" s="720">
        <v>3682.29</v>
      </c>
      <c r="N1521" s="720">
        <v>196.37</v>
      </c>
    </row>
    <row r="1522" spans="1:14" ht="15">
      <c r="A1522" s="705"/>
      <c r="B1522" s="705"/>
      <c r="C1522" s="719">
        <v>41945</v>
      </c>
      <c r="D1522" s="717">
        <v>12038</v>
      </c>
      <c r="E1522" s="720">
        <v>10576.54</v>
      </c>
      <c r="F1522" s="720">
        <v>19353.490000000002</v>
      </c>
      <c r="G1522" s="720">
        <v>15261.5</v>
      </c>
      <c r="H1522" s="720">
        <v>10722.02</v>
      </c>
      <c r="I1522" s="720">
        <v>9446.43</v>
      </c>
      <c r="J1522" s="726">
        <v>111.78</v>
      </c>
      <c r="K1522" s="720">
        <v>1551.78</v>
      </c>
      <c r="L1522" s="720">
        <v>372.01</v>
      </c>
      <c r="M1522" s="720">
        <v>3682.29</v>
      </c>
      <c r="N1522" s="720">
        <v>196.37</v>
      </c>
    </row>
    <row r="1523" spans="1:14" ht="15">
      <c r="A1523" s="705"/>
      <c r="B1523" s="705"/>
      <c r="C1523" s="719">
        <v>41946</v>
      </c>
      <c r="D1523" s="717">
        <v>12038</v>
      </c>
      <c r="E1523" s="720">
        <v>10576.54</v>
      </c>
      <c r="F1523" s="720">
        <v>19353.490000000002</v>
      </c>
      <c r="G1523" s="720">
        <v>15261.5</v>
      </c>
      <c r="H1523" s="720">
        <v>10722.02</v>
      </c>
      <c r="I1523" s="720">
        <v>9446.43</v>
      </c>
      <c r="J1523" s="726">
        <v>111.78</v>
      </c>
      <c r="K1523" s="720">
        <v>1551.78</v>
      </c>
      <c r="L1523" s="720">
        <v>372.01</v>
      </c>
      <c r="M1523" s="720">
        <v>3682.29</v>
      </c>
      <c r="N1523" s="720">
        <v>196.37</v>
      </c>
    </row>
    <row r="1524" spans="1:14" ht="15">
      <c r="A1524" s="705"/>
      <c r="B1524" s="705"/>
      <c r="C1524" s="719">
        <v>41947</v>
      </c>
      <c r="D1524" s="717">
        <v>12038</v>
      </c>
      <c r="E1524" s="720">
        <v>10576.54</v>
      </c>
      <c r="F1524" s="720">
        <v>19353.490000000002</v>
      </c>
      <c r="G1524" s="720">
        <v>15261.5</v>
      </c>
      <c r="H1524" s="720">
        <v>10722.02</v>
      </c>
      <c r="I1524" s="720">
        <v>9446.43</v>
      </c>
      <c r="J1524" s="726">
        <v>111.78</v>
      </c>
      <c r="K1524" s="720">
        <v>1551.78</v>
      </c>
      <c r="L1524" s="720">
        <v>372.01</v>
      </c>
      <c r="M1524" s="720">
        <v>3682.29</v>
      </c>
      <c r="N1524" s="720">
        <v>196.37</v>
      </c>
    </row>
    <row r="1525" spans="1:14" ht="15">
      <c r="A1525" s="705"/>
      <c r="B1525" s="705"/>
      <c r="C1525" s="719">
        <v>41948</v>
      </c>
      <c r="D1525" s="717">
        <v>12109</v>
      </c>
      <c r="E1525" s="720">
        <v>10630.27</v>
      </c>
      <c r="F1525" s="720">
        <v>19389.59</v>
      </c>
      <c r="G1525" s="720">
        <v>15224.37</v>
      </c>
      <c r="H1525" s="720">
        <v>10753.86</v>
      </c>
      <c r="I1525" s="720">
        <v>9435.2099999999991</v>
      </c>
      <c r="J1525" s="726">
        <v>108.6</v>
      </c>
      <c r="K1525" s="720">
        <v>1561.41</v>
      </c>
      <c r="L1525" s="720">
        <v>371.41</v>
      </c>
      <c r="M1525" s="720">
        <v>3670.26</v>
      </c>
      <c r="N1525" s="720">
        <v>197.22</v>
      </c>
    </row>
    <row r="1526" spans="1:14" ht="15">
      <c r="A1526" s="705"/>
      <c r="B1526" s="705"/>
      <c r="C1526" s="719">
        <v>41949</v>
      </c>
      <c r="D1526" s="717">
        <v>12109</v>
      </c>
      <c r="E1526" s="720">
        <v>10630.27</v>
      </c>
      <c r="F1526" s="720">
        <v>19389.59</v>
      </c>
      <c r="G1526" s="720">
        <v>15224.37</v>
      </c>
      <c r="H1526" s="720">
        <v>10753.86</v>
      </c>
      <c r="I1526" s="720">
        <v>9435.2099999999991</v>
      </c>
      <c r="J1526" s="726">
        <v>108.6</v>
      </c>
      <c r="K1526" s="720">
        <v>1561.41</v>
      </c>
      <c r="L1526" s="720">
        <v>371.41</v>
      </c>
      <c r="M1526" s="720">
        <v>3670.26</v>
      </c>
      <c r="N1526" s="720">
        <v>197.22</v>
      </c>
    </row>
    <row r="1527" spans="1:14" ht="15">
      <c r="A1527" s="705"/>
      <c r="B1527" s="705"/>
      <c r="C1527" s="719">
        <v>41950</v>
      </c>
      <c r="D1527" s="717">
        <v>12109</v>
      </c>
      <c r="E1527" s="720">
        <v>10630.27</v>
      </c>
      <c r="F1527" s="720">
        <v>19389.59</v>
      </c>
      <c r="G1527" s="720">
        <v>15224.37</v>
      </c>
      <c r="H1527" s="720">
        <v>10753.86</v>
      </c>
      <c r="I1527" s="720">
        <v>9435.2099999999991</v>
      </c>
      <c r="J1527" s="726">
        <v>108.6</v>
      </c>
      <c r="K1527" s="720">
        <v>1561.41</v>
      </c>
      <c r="L1527" s="720">
        <v>371.41</v>
      </c>
      <c r="M1527" s="720">
        <v>3670.26</v>
      </c>
      <c r="N1527" s="720">
        <v>197.22</v>
      </c>
    </row>
    <row r="1528" spans="1:14" ht="15">
      <c r="A1528" s="705"/>
      <c r="B1528" s="705"/>
      <c r="C1528" s="719">
        <v>41951</v>
      </c>
      <c r="D1528" s="717">
        <v>12109</v>
      </c>
      <c r="E1528" s="720">
        <v>10630.27</v>
      </c>
      <c r="F1528" s="720">
        <v>19389.59</v>
      </c>
      <c r="G1528" s="720">
        <v>15224.37</v>
      </c>
      <c r="H1528" s="720">
        <v>10753.86</v>
      </c>
      <c r="I1528" s="720">
        <v>9435.2099999999991</v>
      </c>
      <c r="J1528" s="726">
        <v>108.6</v>
      </c>
      <c r="K1528" s="720">
        <v>1561.41</v>
      </c>
      <c r="L1528" s="720">
        <v>371.41</v>
      </c>
      <c r="M1528" s="720">
        <v>3670.26</v>
      </c>
      <c r="N1528" s="720">
        <v>197.22</v>
      </c>
    </row>
    <row r="1529" spans="1:14" ht="15">
      <c r="A1529" s="705"/>
      <c r="B1529" s="705"/>
      <c r="C1529" s="719">
        <v>41952</v>
      </c>
      <c r="D1529" s="717">
        <v>12109</v>
      </c>
      <c r="E1529" s="720">
        <v>10630.27</v>
      </c>
      <c r="F1529" s="720">
        <v>19389.59</v>
      </c>
      <c r="G1529" s="720">
        <v>15224.37</v>
      </c>
      <c r="H1529" s="720">
        <v>10753.86</v>
      </c>
      <c r="I1529" s="720">
        <v>9435.2099999999991</v>
      </c>
      <c r="J1529" s="726">
        <v>108.6</v>
      </c>
      <c r="K1529" s="720">
        <v>1561.41</v>
      </c>
      <c r="L1529" s="720">
        <v>371.41</v>
      </c>
      <c r="M1529" s="720">
        <v>3670.26</v>
      </c>
      <c r="N1529" s="720">
        <v>197.22</v>
      </c>
    </row>
    <row r="1530" spans="1:14" ht="15">
      <c r="A1530" s="705"/>
      <c r="B1530" s="705"/>
      <c r="C1530" s="719">
        <v>41953</v>
      </c>
      <c r="D1530" s="717">
        <v>12109</v>
      </c>
      <c r="E1530" s="720">
        <v>10630.27</v>
      </c>
      <c r="F1530" s="720">
        <v>19389.59</v>
      </c>
      <c r="G1530" s="720">
        <v>15224.37</v>
      </c>
      <c r="H1530" s="720">
        <v>10753.86</v>
      </c>
      <c r="I1530" s="720">
        <v>9435.2099999999991</v>
      </c>
      <c r="J1530" s="726">
        <v>108.6</v>
      </c>
      <c r="K1530" s="720">
        <v>1561.41</v>
      </c>
      <c r="L1530" s="720">
        <v>371.41</v>
      </c>
      <c r="M1530" s="720">
        <v>3670.26</v>
      </c>
      <c r="N1530" s="720">
        <v>197.22</v>
      </c>
    </row>
    <row r="1531" spans="1:14" ht="15">
      <c r="A1531" s="705"/>
      <c r="B1531" s="705"/>
      <c r="C1531" s="719">
        <v>41954</v>
      </c>
      <c r="D1531" s="717">
        <v>12109</v>
      </c>
      <c r="E1531" s="720">
        <v>10630.27</v>
      </c>
      <c r="F1531" s="720">
        <v>19389.59</v>
      </c>
      <c r="G1531" s="720">
        <v>15224.37</v>
      </c>
      <c r="H1531" s="720">
        <v>10753.86</v>
      </c>
      <c r="I1531" s="720">
        <v>9435.2099999999991</v>
      </c>
      <c r="J1531" s="726">
        <v>108.6</v>
      </c>
      <c r="K1531" s="720">
        <v>1561.41</v>
      </c>
      <c r="L1531" s="720">
        <v>371.41</v>
      </c>
      <c r="M1531" s="720">
        <v>3670.26</v>
      </c>
      <c r="N1531" s="720">
        <v>197.22</v>
      </c>
    </row>
    <row r="1532" spans="1:14" ht="15">
      <c r="A1532" s="705"/>
      <c r="B1532" s="705"/>
      <c r="C1532" s="719">
        <v>41955</v>
      </c>
      <c r="D1532" s="717">
        <v>12148</v>
      </c>
      <c r="E1532" s="720">
        <v>10494.24</v>
      </c>
      <c r="F1532" s="720">
        <v>19332.98</v>
      </c>
      <c r="G1532" s="720">
        <v>15145.63</v>
      </c>
      <c r="H1532" s="720">
        <v>10679.2</v>
      </c>
      <c r="I1532" s="720">
        <v>9407.27</v>
      </c>
      <c r="J1532" s="726">
        <v>106.13</v>
      </c>
      <c r="K1532" s="720">
        <v>1566.98</v>
      </c>
      <c r="L1532" s="720">
        <v>370.8</v>
      </c>
      <c r="M1532" s="720">
        <v>3640.29</v>
      </c>
      <c r="N1532" s="720">
        <v>197.44</v>
      </c>
    </row>
    <row r="1533" spans="1:14" ht="15">
      <c r="A1533" s="705"/>
      <c r="B1533" s="705"/>
      <c r="C1533" s="719">
        <v>41956</v>
      </c>
      <c r="D1533" s="717">
        <v>12148</v>
      </c>
      <c r="E1533" s="720">
        <v>10494.24</v>
      </c>
      <c r="F1533" s="720">
        <v>19332.98</v>
      </c>
      <c r="G1533" s="720">
        <v>15145.63</v>
      </c>
      <c r="H1533" s="720">
        <v>10679.2</v>
      </c>
      <c r="I1533" s="720">
        <v>9407.27</v>
      </c>
      <c r="J1533" s="726">
        <v>106.13</v>
      </c>
      <c r="K1533" s="720">
        <v>1566.98</v>
      </c>
      <c r="L1533" s="720">
        <v>370.8</v>
      </c>
      <c r="M1533" s="720">
        <v>3640.29</v>
      </c>
      <c r="N1533" s="720">
        <v>197.44</v>
      </c>
    </row>
    <row r="1534" spans="1:14" ht="15">
      <c r="A1534" s="705"/>
      <c r="B1534" s="705"/>
      <c r="C1534" s="719">
        <v>41957</v>
      </c>
      <c r="D1534" s="717">
        <v>12148</v>
      </c>
      <c r="E1534" s="720">
        <v>10494.24</v>
      </c>
      <c r="F1534" s="720">
        <v>19332.98</v>
      </c>
      <c r="G1534" s="720">
        <v>15145.63</v>
      </c>
      <c r="H1534" s="720">
        <v>10679.2</v>
      </c>
      <c r="I1534" s="720">
        <v>9407.27</v>
      </c>
      <c r="J1534" s="726">
        <v>106.13</v>
      </c>
      <c r="K1534" s="720">
        <v>1566.98</v>
      </c>
      <c r="L1534" s="720">
        <v>370.8</v>
      </c>
      <c r="M1534" s="720">
        <v>3640.29</v>
      </c>
      <c r="N1534" s="720">
        <v>197.44</v>
      </c>
    </row>
    <row r="1535" spans="1:14" ht="15">
      <c r="A1535" s="705"/>
      <c r="B1535" s="705"/>
      <c r="C1535" s="719">
        <v>41958</v>
      </c>
      <c r="D1535" s="717">
        <v>12148</v>
      </c>
      <c r="E1535" s="720">
        <v>10494.24</v>
      </c>
      <c r="F1535" s="720">
        <v>19332.98</v>
      </c>
      <c r="G1535" s="720">
        <v>15145.63</v>
      </c>
      <c r="H1535" s="720">
        <v>10679.2</v>
      </c>
      <c r="I1535" s="720">
        <v>9407.27</v>
      </c>
      <c r="J1535" s="726">
        <v>106.13</v>
      </c>
      <c r="K1535" s="720">
        <v>1566.98</v>
      </c>
      <c r="L1535" s="720">
        <v>370.8</v>
      </c>
      <c r="M1535" s="720">
        <v>3640.29</v>
      </c>
      <c r="N1535" s="720">
        <v>197.44</v>
      </c>
    </row>
    <row r="1536" spans="1:14" ht="15">
      <c r="A1536" s="705"/>
      <c r="B1536" s="705"/>
      <c r="C1536" s="719">
        <v>41959</v>
      </c>
      <c r="D1536" s="717">
        <v>12148</v>
      </c>
      <c r="E1536" s="720">
        <v>10494.24</v>
      </c>
      <c r="F1536" s="720">
        <v>19332.98</v>
      </c>
      <c r="G1536" s="720">
        <v>15145.63</v>
      </c>
      <c r="H1536" s="720">
        <v>10679.2</v>
      </c>
      <c r="I1536" s="720">
        <v>9407.27</v>
      </c>
      <c r="J1536" s="726">
        <v>106.13</v>
      </c>
      <c r="K1536" s="720">
        <v>1566.98</v>
      </c>
      <c r="L1536" s="720">
        <v>370.8</v>
      </c>
      <c r="M1536" s="720">
        <v>3640.29</v>
      </c>
      <c r="N1536" s="720">
        <v>197.44</v>
      </c>
    </row>
    <row r="1537" spans="1:14" ht="15">
      <c r="A1537" s="705"/>
      <c r="B1537" s="705"/>
      <c r="C1537" s="719">
        <v>41960</v>
      </c>
      <c r="D1537" s="717">
        <v>12148</v>
      </c>
      <c r="E1537" s="720">
        <v>10494.24</v>
      </c>
      <c r="F1537" s="720">
        <v>19332.98</v>
      </c>
      <c r="G1537" s="720">
        <v>15145.63</v>
      </c>
      <c r="H1537" s="720">
        <v>10679.2</v>
      </c>
      <c r="I1537" s="720">
        <v>9407.27</v>
      </c>
      <c r="J1537" s="726">
        <v>106.13</v>
      </c>
      <c r="K1537" s="720">
        <v>1566.98</v>
      </c>
      <c r="L1537" s="720">
        <v>370.8</v>
      </c>
      <c r="M1537" s="720">
        <v>3640.29</v>
      </c>
      <c r="N1537" s="720">
        <v>197.44</v>
      </c>
    </row>
    <row r="1538" spans="1:14" ht="15">
      <c r="A1538" s="705"/>
      <c r="B1538" s="705"/>
      <c r="C1538" s="719">
        <v>41961</v>
      </c>
      <c r="D1538" s="717">
        <v>12148</v>
      </c>
      <c r="E1538" s="720">
        <v>10494.24</v>
      </c>
      <c r="F1538" s="720">
        <v>19332.98</v>
      </c>
      <c r="G1538" s="720">
        <v>15145.63</v>
      </c>
      <c r="H1538" s="720">
        <v>10679.2</v>
      </c>
      <c r="I1538" s="720">
        <v>9407.27</v>
      </c>
      <c r="J1538" s="726">
        <v>106.13</v>
      </c>
      <c r="K1538" s="720">
        <v>1566.98</v>
      </c>
      <c r="L1538" s="720">
        <v>370.8</v>
      </c>
      <c r="M1538" s="720">
        <v>3640.29</v>
      </c>
      <c r="N1538" s="720">
        <v>197.44</v>
      </c>
    </row>
    <row r="1539" spans="1:14" ht="15">
      <c r="A1539" s="705"/>
      <c r="B1539" s="705"/>
      <c r="C1539" s="719">
        <v>41962</v>
      </c>
      <c r="D1539" s="717">
        <v>12206</v>
      </c>
      <c r="E1539" s="720">
        <v>10655.73</v>
      </c>
      <c r="F1539" s="720">
        <v>19232.12</v>
      </c>
      <c r="G1539" s="720">
        <v>15243.57</v>
      </c>
      <c r="H1539" s="720">
        <v>10789</v>
      </c>
      <c r="I1539" s="720">
        <v>9437.85</v>
      </c>
      <c r="J1539" s="726">
        <v>105.41</v>
      </c>
      <c r="K1539" s="720">
        <v>1573.93</v>
      </c>
      <c r="L1539" s="720">
        <v>371.96</v>
      </c>
      <c r="M1539" s="720">
        <v>3651.73</v>
      </c>
      <c r="N1539" s="720">
        <v>198.12</v>
      </c>
    </row>
    <row r="1540" spans="1:14" ht="15">
      <c r="A1540" s="705"/>
      <c r="B1540" s="705"/>
      <c r="C1540" s="719">
        <v>41963</v>
      </c>
      <c r="D1540" s="717">
        <v>12206</v>
      </c>
      <c r="E1540" s="720">
        <v>10655.73</v>
      </c>
      <c r="F1540" s="720">
        <v>19232.12</v>
      </c>
      <c r="G1540" s="720">
        <v>15243.57</v>
      </c>
      <c r="H1540" s="720">
        <v>10789</v>
      </c>
      <c r="I1540" s="720">
        <v>9437.85</v>
      </c>
      <c r="J1540" s="726">
        <v>105.41</v>
      </c>
      <c r="K1540" s="720">
        <v>1573.93</v>
      </c>
      <c r="L1540" s="720">
        <v>371.96</v>
      </c>
      <c r="M1540" s="720">
        <v>3651.73</v>
      </c>
      <c r="N1540" s="720">
        <v>198.12</v>
      </c>
    </row>
    <row r="1541" spans="1:14" ht="15">
      <c r="A1541" s="705"/>
      <c r="B1541" s="705"/>
      <c r="C1541" s="719">
        <v>41964</v>
      </c>
      <c r="D1541" s="717">
        <v>12206</v>
      </c>
      <c r="E1541" s="720">
        <v>10655.73</v>
      </c>
      <c r="F1541" s="720">
        <v>19232.12</v>
      </c>
      <c r="G1541" s="720">
        <v>15243.57</v>
      </c>
      <c r="H1541" s="720">
        <v>10789</v>
      </c>
      <c r="I1541" s="720">
        <v>9437.85</v>
      </c>
      <c r="J1541" s="726">
        <v>105.41</v>
      </c>
      <c r="K1541" s="720">
        <v>1573.93</v>
      </c>
      <c r="L1541" s="720">
        <v>371.96</v>
      </c>
      <c r="M1541" s="720">
        <v>3651.73</v>
      </c>
      <c r="N1541" s="720">
        <v>198.12</v>
      </c>
    </row>
    <row r="1542" spans="1:14" ht="15">
      <c r="A1542" s="705"/>
      <c r="B1542" s="705"/>
      <c r="C1542" s="719">
        <v>41965</v>
      </c>
      <c r="D1542" s="717">
        <v>12206</v>
      </c>
      <c r="E1542" s="720">
        <v>10655.73</v>
      </c>
      <c r="F1542" s="720">
        <v>19232.12</v>
      </c>
      <c r="G1542" s="720">
        <v>15243.57</v>
      </c>
      <c r="H1542" s="720">
        <v>10789</v>
      </c>
      <c r="I1542" s="720">
        <v>9437.85</v>
      </c>
      <c r="J1542" s="726">
        <v>105.41</v>
      </c>
      <c r="K1542" s="720">
        <v>1573.93</v>
      </c>
      <c r="L1542" s="720">
        <v>371.96</v>
      </c>
      <c r="M1542" s="720">
        <v>3651.73</v>
      </c>
      <c r="N1542" s="720">
        <v>198.12</v>
      </c>
    </row>
    <row r="1543" spans="1:14" ht="15">
      <c r="A1543" s="705"/>
      <c r="B1543" s="705"/>
      <c r="C1543" s="719">
        <v>41966</v>
      </c>
      <c r="D1543" s="717">
        <v>12206</v>
      </c>
      <c r="E1543" s="720">
        <v>10655.73</v>
      </c>
      <c r="F1543" s="720">
        <v>19232.12</v>
      </c>
      <c r="G1543" s="720">
        <v>15243.57</v>
      </c>
      <c r="H1543" s="720">
        <v>10789</v>
      </c>
      <c r="I1543" s="720">
        <v>9437.85</v>
      </c>
      <c r="J1543" s="726">
        <v>105.41</v>
      </c>
      <c r="K1543" s="720">
        <v>1573.93</v>
      </c>
      <c r="L1543" s="720">
        <v>371.96</v>
      </c>
      <c r="M1543" s="720">
        <v>3651.73</v>
      </c>
      <c r="N1543" s="720">
        <v>198.12</v>
      </c>
    </row>
    <row r="1544" spans="1:14" ht="15">
      <c r="A1544" s="705"/>
      <c r="B1544" s="705"/>
      <c r="C1544" s="719">
        <v>41967</v>
      </c>
      <c r="D1544" s="717">
        <v>12206</v>
      </c>
      <c r="E1544" s="720">
        <v>10655.73</v>
      </c>
      <c r="F1544" s="720">
        <v>19232.12</v>
      </c>
      <c r="G1544" s="720">
        <v>15243.57</v>
      </c>
      <c r="H1544" s="720">
        <v>10789</v>
      </c>
      <c r="I1544" s="720">
        <v>9437.85</v>
      </c>
      <c r="J1544" s="726">
        <v>105.41</v>
      </c>
      <c r="K1544" s="720">
        <v>1573.93</v>
      </c>
      <c r="L1544" s="720">
        <v>371.96</v>
      </c>
      <c r="M1544" s="720">
        <v>3651.73</v>
      </c>
      <c r="N1544" s="720">
        <v>198.12</v>
      </c>
    </row>
    <row r="1545" spans="1:14" ht="15">
      <c r="A1545" s="705"/>
      <c r="B1545" s="705"/>
      <c r="C1545" s="719">
        <v>41968</v>
      </c>
      <c r="D1545" s="717">
        <v>12206</v>
      </c>
      <c r="E1545" s="720">
        <v>10655.73</v>
      </c>
      <c r="F1545" s="720">
        <v>19232.12</v>
      </c>
      <c r="G1545" s="720">
        <v>15243.57</v>
      </c>
      <c r="H1545" s="720">
        <v>10789</v>
      </c>
      <c r="I1545" s="720">
        <v>9437.85</v>
      </c>
      <c r="J1545" s="726">
        <v>105.41</v>
      </c>
      <c r="K1545" s="720">
        <v>1573.93</v>
      </c>
      <c r="L1545" s="720">
        <v>371.96</v>
      </c>
      <c r="M1545" s="720">
        <v>3651.73</v>
      </c>
      <c r="N1545" s="720">
        <v>198.12</v>
      </c>
    </row>
    <row r="1546" spans="1:14" ht="15">
      <c r="A1546" s="705"/>
      <c r="B1546" s="705"/>
      <c r="C1546" s="719">
        <v>41969</v>
      </c>
      <c r="D1546" s="717">
        <v>12158</v>
      </c>
      <c r="E1546" s="720">
        <v>10484.370000000001</v>
      </c>
      <c r="F1546" s="720">
        <v>19066.87</v>
      </c>
      <c r="G1546" s="720">
        <v>15160.27</v>
      </c>
      <c r="H1546" s="720">
        <v>10768.3</v>
      </c>
      <c r="I1546" s="720">
        <v>9335.61</v>
      </c>
      <c r="J1546" s="726">
        <v>102.96</v>
      </c>
      <c r="K1546" s="720">
        <v>1567.36</v>
      </c>
      <c r="L1546" s="720">
        <v>370.5</v>
      </c>
      <c r="M1546" s="720">
        <v>3621.66</v>
      </c>
      <c r="N1546" s="720">
        <v>196.38</v>
      </c>
    </row>
    <row r="1547" spans="1:14" ht="15">
      <c r="A1547" s="705"/>
      <c r="B1547" s="705"/>
      <c r="C1547" s="719">
        <v>41970</v>
      </c>
      <c r="D1547" s="717">
        <v>12158</v>
      </c>
      <c r="E1547" s="720">
        <v>10484.370000000001</v>
      </c>
      <c r="F1547" s="720">
        <v>19066.87</v>
      </c>
      <c r="G1547" s="720">
        <v>15160.27</v>
      </c>
      <c r="H1547" s="720">
        <v>10768.3</v>
      </c>
      <c r="I1547" s="720">
        <v>9335.61</v>
      </c>
      <c r="J1547" s="726">
        <v>102.96</v>
      </c>
      <c r="K1547" s="720">
        <v>1567.36</v>
      </c>
      <c r="L1547" s="720">
        <v>370.5</v>
      </c>
      <c r="M1547" s="720">
        <v>3621.66</v>
      </c>
      <c r="N1547" s="720">
        <v>196.38</v>
      </c>
    </row>
    <row r="1548" spans="1:14" ht="15">
      <c r="A1548" s="705"/>
      <c r="B1548" s="705"/>
      <c r="C1548" s="719">
        <v>41971</v>
      </c>
      <c r="D1548" s="717">
        <v>12158</v>
      </c>
      <c r="E1548" s="720">
        <v>10484.370000000001</v>
      </c>
      <c r="F1548" s="720">
        <v>19066.87</v>
      </c>
      <c r="G1548" s="720">
        <v>15160.27</v>
      </c>
      <c r="H1548" s="720">
        <v>10768.3</v>
      </c>
      <c r="I1548" s="720">
        <v>9335.61</v>
      </c>
      <c r="J1548" s="726">
        <v>102.96</v>
      </c>
      <c r="K1548" s="720">
        <v>1567.36</v>
      </c>
      <c r="L1548" s="720">
        <v>370.5</v>
      </c>
      <c r="M1548" s="720">
        <v>3621.66</v>
      </c>
      <c r="N1548" s="720">
        <v>196.38</v>
      </c>
    </row>
    <row r="1549" spans="1:14" ht="15">
      <c r="A1549" s="705"/>
      <c r="B1549" s="705"/>
      <c r="C1549" s="719">
        <v>41972</v>
      </c>
      <c r="D1549" s="717">
        <v>12158</v>
      </c>
      <c r="E1549" s="720">
        <v>10484.370000000001</v>
      </c>
      <c r="F1549" s="720">
        <v>19066.87</v>
      </c>
      <c r="G1549" s="720">
        <v>15160.27</v>
      </c>
      <c r="H1549" s="720">
        <v>10768.3</v>
      </c>
      <c r="I1549" s="720">
        <v>9335.61</v>
      </c>
      <c r="J1549" s="726">
        <v>102.96</v>
      </c>
      <c r="K1549" s="720">
        <v>1567.36</v>
      </c>
      <c r="L1549" s="720">
        <v>370.5</v>
      </c>
      <c r="M1549" s="720">
        <v>3621.66</v>
      </c>
      <c r="N1549" s="720">
        <v>196.38</v>
      </c>
    </row>
    <row r="1550" spans="1:14" ht="15">
      <c r="A1550" s="705"/>
      <c r="B1550" s="705"/>
      <c r="C1550" s="719">
        <v>41973</v>
      </c>
      <c r="D1550" s="717">
        <v>12158</v>
      </c>
      <c r="E1550" s="720">
        <v>10484.370000000001</v>
      </c>
      <c r="F1550" s="720">
        <v>19066.87</v>
      </c>
      <c r="G1550" s="720">
        <v>15160.27</v>
      </c>
      <c r="H1550" s="720">
        <v>10768.3</v>
      </c>
      <c r="I1550" s="720">
        <v>9335.61</v>
      </c>
      <c r="J1550" s="726">
        <v>102.96</v>
      </c>
      <c r="K1550" s="720">
        <v>1567.36</v>
      </c>
      <c r="L1550" s="720">
        <v>370.5</v>
      </c>
      <c r="M1550" s="720">
        <v>3621.66</v>
      </c>
      <c r="N1550" s="720">
        <v>196.38</v>
      </c>
    </row>
    <row r="1551" spans="1:14" ht="15">
      <c r="A1551" s="705"/>
      <c r="B1551" s="705"/>
      <c r="C1551" s="719">
        <v>41974</v>
      </c>
      <c r="D1551" s="717">
        <v>12158</v>
      </c>
      <c r="E1551" s="720">
        <v>10484.370000000001</v>
      </c>
      <c r="F1551" s="720">
        <v>19066.87</v>
      </c>
      <c r="G1551" s="720">
        <v>15160.27</v>
      </c>
      <c r="H1551" s="720">
        <v>10768.3</v>
      </c>
      <c r="I1551" s="720">
        <v>9335.61</v>
      </c>
      <c r="J1551" s="726">
        <v>102.96</v>
      </c>
      <c r="K1551" s="720">
        <v>1567.36</v>
      </c>
      <c r="L1551" s="720">
        <v>370.5</v>
      </c>
      <c r="M1551" s="720">
        <v>3621.66</v>
      </c>
      <c r="N1551" s="720">
        <v>196.38</v>
      </c>
    </row>
    <row r="1552" spans="1:14" ht="15">
      <c r="A1552" s="705"/>
      <c r="B1552" s="705"/>
      <c r="C1552" s="719">
        <v>41975</v>
      </c>
      <c r="D1552" s="717">
        <v>12158</v>
      </c>
      <c r="E1552" s="720">
        <v>10484.370000000001</v>
      </c>
      <c r="F1552" s="720">
        <v>19066.87</v>
      </c>
      <c r="G1552" s="720">
        <v>15160.27</v>
      </c>
      <c r="H1552" s="720">
        <v>10768.3</v>
      </c>
      <c r="I1552" s="720">
        <v>9335.61</v>
      </c>
      <c r="J1552" s="726">
        <v>102.96</v>
      </c>
      <c r="K1552" s="720">
        <v>1567.36</v>
      </c>
      <c r="L1552" s="720">
        <v>370.5</v>
      </c>
      <c r="M1552" s="720">
        <v>3621.66</v>
      </c>
      <c r="N1552" s="720">
        <v>196.38</v>
      </c>
    </row>
    <row r="1553" spans="1:14" ht="15">
      <c r="A1553" s="705"/>
      <c r="B1553" s="705"/>
      <c r="C1553" s="719">
        <v>41976</v>
      </c>
      <c r="D1553" s="717">
        <v>12200</v>
      </c>
      <c r="E1553" s="720">
        <v>10397.57</v>
      </c>
      <c r="F1553" s="720">
        <v>19168.400000000001</v>
      </c>
      <c r="G1553" s="720">
        <v>15217.79</v>
      </c>
      <c r="H1553" s="720">
        <v>10765.4</v>
      </c>
      <c r="I1553" s="720">
        <v>9371.64</v>
      </c>
      <c r="J1553" s="726">
        <v>103.32</v>
      </c>
      <c r="K1553" s="720">
        <v>1573.38</v>
      </c>
      <c r="L1553" s="720">
        <v>371.82</v>
      </c>
      <c r="M1553" s="720">
        <v>3616.55</v>
      </c>
      <c r="N1553" s="720">
        <v>196.94</v>
      </c>
    </row>
    <row r="1554" spans="1:14" ht="15">
      <c r="A1554" s="705"/>
      <c r="B1554" s="705"/>
      <c r="C1554" s="719">
        <v>41977</v>
      </c>
      <c r="D1554" s="717">
        <v>12200</v>
      </c>
      <c r="E1554" s="720">
        <v>10397.57</v>
      </c>
      <c r="F1554" s="720">
        <v>19168.400000000001</v>
      </c>
      <c r="G1554" s="720">
        <v>15217.79</v>
      </c>
      <c r="H1554" s="720">
        <v>10765.4</v>
      </c>
      <c r="I1554" s="720">
        <v>9371.64</v>
      </c>
      <c r="J1554" s="726">
        <v>103.32</v>
      </c>
      <c r="K1554" s="720">
        <v>1573.38</v>
      </c>
      <c r="L1554" s="720">
        <v>371.82</v>
      </c>
      <c r="M1554" s="720">
        <v>3616.55</v>
      </c>
      <c r="N1554" s="720">
        <v>196.94</v>
      </c>
    </row>
    <row r="1555" spans="1:14" ht="15">
      <c r="A1555" s="705"/>
      <c r="B1555" s="705"/>
      <c r="C1555" s="719">
        <v>41978</v>
      </c>
      <c r="D1555" s="717">
        <v>12200</v>
      </c>
      <c r="E1555" s="720">
        <v>10397.57</v>
      </c>
      <c r="F1555" s="720">
        <v>19168.400000000001</v>
      </c>
      <c r="G1555" s="720">
        <v>15217.79</v>
      </c>
      <c r="H1555" s="720">
        <v>10765.4</v>
      </c>
      <c r="I1555" s="720">
        <v>9371.64</v>
      </c>
      <c r="J1555" s="726">
        <v>103.32</v>
      </c>
      <c r="K1555" s="720">
        <v>1573.38</v>
      </c>
      <c r="L1555" s="720">
        <v>371.82</v>
      </c>
      <c r="M1555" s="720">
        <v>3616.55</v>
      </c>
      <c r="N1555" s="720">
        <v>196.94</v>
      </c>
    </row>
    <row r="1556" spans="1:14" ht="15">
      <c r="A1556" s="705"/>
      <c r="B1556" s="705"/>
      <c r="C1556" s="719">
        <v>41979</v>
      </c>
      <c r="D1556" s="717">
        <v>12200</v>
      </c>
      <c r="E1556" s="720">
        <v>10397.57</v>
      </c>
      <c r="F1556" s="720">
        <v>19168.400000000001</v>
      </c>
      <c r="G1556" s="720">
        <v>15217.79</v>
      </c>
      <c r="H1556" s="720">
        <v>10765.4</v>
      </c>
      <c r="I1556" s="720">
        <v>9371.64</v>
      </c>
      <c r="J1556" s="726">
        <v>103.32</v>
      </c>
      <c r="K1556" s="720">
        <v>1573.38</v>
      </c>
      <c r="L1556" s="720">
        <v>371.82</v>
      </c>
      <c r="M1556" s="720">
        <v>3616.55</v>
      </c>
      <c r="N1556" s="720">
        <v>196.94</v>
      </c>
    </row>
    <row r="1557" spans="1:14" ht="15">
      <c r="A1557" s="705"/>
      <c r="B1557" s="705"/>
      <c r="C1557" s="719">
        <v>41980</v>
      </c>
      <c r="D1557" s="717">
        <v>12200</v>
      </c>
      <c r="E1557" s="720">
        <v>10397.57</v>
      </c>
      <c r="F1557" s="720">
        <v>19168.400000000001</v>
      </c>
      <c r="G1557" s="720">
        <v>15217.79</v>
      </c>
      <c r="H1557" s="720">
        <v>10765.4</v>
      </c>
      <c r="I1557" s="720">
        <v>9371.64</v>
      </c>
      <c r="J1557" s="726">
        <v>103.32</v>
      </c>
      <c r="K1557" s="720">
        <v>1573.38</v>
      </c>
      <c r="L1557" s="720">
        <v>371.82</v>
      </c>
      <c r="M1557" s="720">
        <v>3616.55</v>
      </c>
      <c r="N1557" s="720">
        <v>196.94</v>
      </c>
    </row>
    <row r="1558" spans="1:14" ht="15">
      <c r="A1558" s="705"/>
      <c r="B1558" s="705"/>
      <c r="C1558" s="719">
        <v>41981</v>
      </c>
      <c r="D1558" s="717">
        <v>12200</v>
      </c>
      <c r="E1558" s="720">
        <v>10397.57</v>
      </c>
      <c r="F1558" s="720">
        <v>19168.400000000001</v>
      </c>
      <c r="G1558" s="720">
        <v>15217.79</v>
      </c>
      <c r="H1558" s="720">
        <v>10765.4</v>
      </c>
      <c r="I1558" s="720">
        <v>9371.64</v>
      </c>
      <c r="J1558" s="726">
        <v>103.32</v>
      </c>
      <c r="K1558" s="720">
        <v>1573.38</v>
      </c>
      <c r="L1558" s="720">
        <v>371.82</v>
      </c>
      <c r="M1558" s="720">
        <v>3616.55</v>
      </c>
      <c r="N1558" s="720">
        <v>196.94</v>
      </c>
    </row>
    <row r="1559" spans="1:14" ht="15">
      <c r="A1559" s="705"/>
      <c r="B1559" s="705"/>
      <c r="C1559" s="719">
        <v>41982</v>
      </c>
      <c r="D1559" s="717">
        <v>12200</v>
      </c>
      <c r="E1559" s="720">
        <v>10397.57</v>
      </c>
      <c r="F1559" s="720">
        <v>19168.400000000001</v>
      </c>
      <c r="G1559" s="720">
        <v>15217.79</v>
      </c>
      <c r="H1559" s="720">
        <v>10765.4</v>
      </c>
      <c r="I1559" s="720">
        <v>9371.64</v>
      </c>
      <c r="J1559" s="726">
        <v>103.32</v>
      </c>
      <c r="K1559" s="720">
        <v>1573.38</v>
      </c>
      <c r="L1559" s="720">
        <v>371.82</v>
      </c>
      <c r="M1559" s="720">
        <v>3616.55</v>
      </c>
      <c r="N1559" s="720">
        <v>196.94</v>
      </c>
    </row>
    <row r="1560" spans="1:14" ht="15">
      <c r="A1560" s="705"/>
      <c r="B1560" s="705"/>
      <c r="C1560" s="719">
        <v>41983</v>
      </c>
      <c r="D1560" s="717">
        <v>12306</v>
      </c>
      <c r="E1560" s="720">
        <v>10304.299999999999</v>
      </c>
      <c r="F1560" s="720">
        <v>19234.080000000002</v>
      </c>
      <c r="G1560" s="720">
        <v>15172.8</v>
      </c>
      <c r="H1560" s="720">
        <v>10788.53</v>
      </c>
      <c r="I1560" s="720">
        <v>9349.19</v>
      </c>
      <c r="J1560" s="726">
        <v>102.24</v>
      </c>
      <c r="K1560" s="720">
        <v>1587.31</v>
      </c>
      <c r="L1560" s="720">
        <v>373.51</v>
      </c>
      <c r="M1560" s="720">
        <v>3561.04</v>
      </c>
      <c r="N1560" s="720">
        <v>198.86</v>
      </c>
    </row>
    <row r="1561" spans="1:14" ht="15">
      <c r="A1561" s="705"/>
      <c r="B1561" s="705"/>
      <c r="C1561" s="719">
        <v>41984</v>
      </c>
      <c r="D1561" s="717">
        <v>12306</v>
      </c>
      <c r="E1561" s="720">
        <v>10304.299999999999</v>
      </c>
      <c r="F1561" s="720">
        <v>19234.080000000002</v>
      </c>
      <c r="G1561" s="720">
        <v>15172.8</v>
      </c>
      <c r="H1561" s="720">
        <v>10788.53</v>
      </c>
      <c r="I1561" s="720">
        <v>9349.19</v>
      </c>
      <c r="J1561" s="726">
        <v>102.24</v>
      </c>
      <c r="K1561" s="720">
        <v>1587.31</v>
      </c>
      <c r="L1561" s="720">
        <v>373.51</v>
      </c>
      <c r="M1561" s="720">
        <v>3561.04</v>
      </c>
      <c r="N1561" s="720">
        <v>198.86</v>
      </c>
    </row>
    <row r="1562" spans="1:14" ht="15">
      <c r="A1562" s="705"/>
      <c r="B1562" s="705"/>
      <c r="C1562" s="719">
        <v>41985</v>
      </c>
      <c r="D1562" s="717">
        <v>12306</v>
      </c>
      <c r="E1562" s="720">
        <v>10304.299999999999</v>
      </c>
      <c r="F1562" s="720">
        <v>19234.080000000002</v>
      </c>
      <c r="G1562" s="720">
        <v>15172.8</v>
      </c>
      <c r="H1562" s="720">
        <v>10788.53</v>
      </c>
      <c r="I1562" s="720">
        <v>9349.19</v>
      </c>
      <c r="J1562" s="726">
        <v>102.24</v>
      </c>
      <c r="K1562" s="720">
        <v>1587.31</v>
      </c>
      <c r="L1562" s="720">
        <v>373.51</v>
      </c>
      <c r="M1562" s="720">
        <v>3561.04</v>
      </c>
      <c r="N1562" s="720">
        <v>198.86</v>
      </c>
    </row>
    <row r="1563" spans="1:14" ht="15">
      <c r="A1563" s="705"/>
      <c r="B1563" s="705"/>
      <c r="C1563" s="719">
        <v>41986</v>
      </c>
      <c r="D1563" s="717">
        <v>12306</v>
      </c>
      <c r="E1563" s="720">
        <v>10304.299999999999</v>
      </c>
      <c r="F1563" s="720">
        <v>19234.080000000002</v>
      </c>
      <c r="G1563" s="720">
        <v>15172.8</v>
      </c>
      <c r="H1563" s="720">
        <v>10788.53</v>
      </c>
      <c r="I1563" s="720">
        <v>9349.19</v>
      </c>
      <c r="J1563" s="726">
        <v>102.24</v>
      </c>
      <c r="K1563" s="720">
        <v>1587.31</v>
      </c>
      <c r="L1563" s="720">
        <v>373.51</v>
      </c>
      <c r="M1563" s="720">
        <v>3561.04</v>
      </c>
      <c r="N1563" s="720">
        <v>198.86</v>
      </c>
    </row>
    <row r="1564" spans="1:14" ht="15">
      <c r="A1564" s="705"/>
      <c r="B1564" s="705"/>
      <c r="C1564" s="719">
        <v>41987</v>
      </c>
      <c r="D1564" s="717">
        <v>12306</v>
      </c>
      <c r="E1564" s="720">
        <v>10304.299999999999</v>
      </c>
      <c r="F1564" s="720">
        <v>19234.080000000002</v>
      </c>
      <c r="G1564" s="720">
        <v>15172.8</v>
      </c>
      <c r="H1564" s="720">
        <v>10788.53</v>
      </c>
      <c r="I1564" s="720">
        <v>9349.19</v>
      </c>
      <c r="J1564" s="726">
        <v>102.24</v>
      </c>
      <c r="K1564" s="720">
        <v>1587.31</v>
      </c>
      <c r="L1564" s="720">
        <v>373.51</v>
      </c>
      <c r="M1564" s="720">
        <v>3561.04</v>
      </c>
      <c r="N1564" s="720">
        <v>198.86</v>
      </c>
    </row>
    <row r="1565" spans="1:14" ht="15">
      <c r="A1565" s="705"/>
      <c r="B1565" s="705"/>
      <c r="C1565" s="719">
        <v>41988</v>
      </c>
      <c r="D1565" s="717">
        <v>12306</v>
      </c>
      <c r="E1565" s="720">
        <v>10304.299999999999</v>
      </c>
      <c r="F1565" s="720">
        <v>19234.080000000002</v>
      </c>
      <c r="G1565" s="720">
        <v>15172.8</v>
      </c>
      <c r="H1565" s="720">
        <v>10788.53</v>
      </c>
      <c r="I1565" s="720">
        <v>9349.19</v>
      </c>
      <c r="J1565" s="726">
        <v>102.24</v>
      </c>
      <c r="K1565" s="720">
        <v>1587.31</v>
      </c>
      <c r="L1565" s="720">
        <v>373.51</v>
      </c>
      <c r="M1565" s="720">
        <v>3561.04</v>
      </c>
      <c r="N1565" s="720">
        <v>198.86</v>
      </c>
    </row>
    <row r="1566" spans="1:14" ht="15">
      <c r="A1566" s="705"/>
      <c r="B1566" s="705"/>
      <c r="C1566" s="719">
        <v>41989</v>
      </c>
      <c r="D1566" s="717">
        <v>12306</v>
      </c>
      <c r="E1566" s="720">
        <v>10304.299999999999</v>
      </c>
      <c r="F1566" s="720">
        <v>19234.080000000002</v>
      </c>
      <c r="G1566" s="720">
        <v>15172.8</v>
      </c>
      <c r="H1566" s="720">
        <v>10788.53</v>
      </c>
      <c r="I1566" s="720">
        <v>9349.19</v>
      </c>
      <c r="J1566" s="726">
        <v>102.24</v>
      </c>
      <c r="K1566" s="720">
        <v>1587.31</v>
      </c>
      <c r="L1566" s="720">
        <v>373.51</v>
      </c>
      <c r="M1566" s="720">
        <v>3561.04</v>
      </c>
      <c r="N1566" s="720">
        <v>198.86</v>
      </c>
    </row>
    <row r="1567" spans="1:14" ht="15">
      <c r="A1567" s="705"/>
      <c r="B1567" s="705"/>
      <c r="C1567" s="719">
        <v>41990</v>
      </c>
      <c r="D1567" s="717">
        <v>12423</v>
      </c>
      <c r="E1567" s="720">
        <v>10271.42</v>
      </c>
      <c r="F1567" s="720">
        <v>19513.79</v>
      </c>
      <c r="G1567" s="720">
        <v>15439.8</v>
      </c>
      <c r="H1567" s="720">
        <v>10783.53</v>
      </c>
      <c r="I1567" s="720">
        <v>9457.0400000000009</v>
      </c>
      <c r="J1567" s="726">
        <v>104.63</v>
      </c>
      <c r="K1567" s="720">
        <v>1602.46</v>
      </c>
      <c r="L1567" s="720">
        <v>378.53</v>
      </c>
      <c r="M1567" s="720">
        <v>3560.04</v>
      </c>
      <c r="N1567" s="720">
        <v>199.92</v>
      </c>
    </row>
    <row r="1568" spans="1:14" ht="15">
      <c r="A1568" s="705"/>
      <c r="B1568" s="705"/>
      <c r="C1568" s="719">
        <v>41991</v>
      </c>
      <c r="D1568" s="717">
        <v>12423</v>
      </c>
      <c r="E1568" s="720">
        <v>10271.42</v>
      </c>
      <c r="F1568" s="720">
        <v>19513.79</v>
      </c>
      <c r="G1568" s="720">
        <v>15439.8</v>
      </c>
      <c r="H1568" s="720">
        <v>10783.53</v>
      </c>
      <c r="I1568" s="720">
        <v>9457.0400000000009</v>
      </c>
      <c r="J1568" s="726">
        <v>104.63</v>
      </c>
      <c r="K1568" s="720">
        <v>1602.46</v>
      </c>
      <c r="L1568" s="720">
        <v>378.53</v>
      </c>
      <c r="M1568" s="720">
        <v>3560.04</v>
      </c>
      <c r="N1568" s="720">
        <v>199.92</v>
      </c>
    </row>
    <row r="1569" spans="1:14" ht="15">
      <c r="A1569" s="705"/>
      <c r="B1569" s="705"/>
      <c r="C1569" s="719">
        <v>41992</v>
      </c>
      <c r="D1569" s="717">
        <v>12423</v>
      </c>
      <c r="E1569" s="720">
        <v>10271.42</v>
      </c>
      <c r="F1569" s="720">
        <v>19513.79</v>
      </c>
      <c r="G1569" s="720">
        <v>15439.8</v>
      </c>
      <c r="H1569" s="720">
        <v>10783.53</v>
      </c>
      <c r="I1569" s="720">
        <v>9457.0400000000009</v>
      </c>
      <c r="J1569" s="726">
        <v>104.63</v>
      </c>
      <c r="K1569" s="720">
        <v>1602.46</v>
      </c>
      <c r="L1569" s="720">
        <v>378.53</v>
      </c>
      <c r="M1569" s="720">
        <v>3560.04</v>
      </c>
      <c r="N1569" s="720">
        <v>199.92</v>
      </c>
    </row>
    <row r="1570" spans="1:14" ht="15">
      <c r="A1570" s="705"/>
      <c r="B1570" s="705"/>
      <c r="C1570" s="719">
        <v>41993</v>
      </c>
      <c r="D1570" s="717">
        <v>12423</v>
      </c>
      <c r="E1570" s="720">
        <v>10271.42</v>
      </c>
      <c r="F1570" s="720">
        <v>19513.79</v>
      </c>
      <c r="G1570" s="720">
        <v>15439.8</v>
      </c>
      <c r="H1570" s="720">
        <v>10783.53</v>
      </c>
      <c r="I1570" s="720">
        <v>9457.0400000000009</v>
      </c>
      <c r="J1570" s="726">
        <v>104.63</v>
      </c>
      <c r="K1570" s="720">
        <v>1602.46</v>
      </c>
      <c r="L1570" s="720">
        <v>378.53</v>
      </c>
      <c r="M1570" s="720">
        <v>3560.04</v>
      </c>
      <c r="N1570" s="720">
        <v>199.92</v>
      </c>
    </row>
    <row r="1571" spans="1:14" ht="15">
      <c r="A1571" s="705"/>
      <c r="B1571" s="705"/>
      <c r="C1571" s="719">
        <v>41994</v>
      </c>
      <c r="D1571" s="717">
        <v>12423</v>
      </c>
      <c r="E1571" s="720">
        <v>10271.42</v>
      </c>
      <c r="F1571" s="720">
        <v>19513.79</v>
      </c>
      <c r="G1571" s="720">
        <v>15439.8</v>
      </c>
      <c r="H1571" s="720">
        <v>10783.53</v>
      </c>
      <c r="I1571" s="720">
        <v>9457.0400000000009</v>
      </c>
      <c r="J1571" s="726">
        <v>104.63</v>
      </c>
      <c r="K1571" s="720">
        <v>1602.46</v>
      </c>
      <c r="L1571" s="720">
        <v>378.53</v>
      </c>
      <c r="M1571" s="720">
        <v>3560.04</v>
      </c>
      <c r="N1571" s="720">
        <v>199.92</v>
      </c>
    </row>
    <row r="1572" spans="1:14" ht="15">
      <c r="A1572" s="705"/>
      <c r="B1572" s="705"/>
      <c r="C1572" s="719">
        <v>41995</v>
      </c>
      <c r="D1572" s="717">
        <v>12423</v>
      </c>
      <c r="E1572" s="720">
        <v>10271.42</v>
      </c>
      <c r="F1572" s="720">
        <v>19513.79</v>
      </c>
      <c r="G1572" s="720">
        <v>15439.8</v>
      </c>
      <c r="H1572" s="720">
        <v>10783.53</v>
      </c>
      <c r="I1572" s="720">
        <v>9457.0400000000009</v>
      </c>
      <c r="J1572" s="726">
        <v>104.63</v>
      </c>
      <c r="K1572" s="720">
        <v>1602.46</v>
      </c>
      <c r="L1572" s="720">
        <v>378.53</v>
      </c>
      <c r="M1572" s="720">
        <v>3560.04</v>
      </c>
      <c r="N1572" s="720">
        <v>199.92</v>
      </c>
    </row>
    <row r="1573" spans="1:14" ht="15">
      <c r="A1573" s="705"/>
      <c r="B1573" s="705"/>
      <c r="C1573" s="719">
        <v>41996</v>
      </c>
      <c r="D1573" s="717">
        <v>12423</v>
      </c>
      <c r="E1573" s="720">
        <v>10271.42</v>
      </c>
      <c r="F1573" s="720">
        <v>19513.79</v>
      </c>
      <c r="G1573" s="720">
        <v>15439.8</v>
      </c>
      <c r="H1573" s="720">
        <v>10783.53</v>
      </c>
      <c r="I1573" s="720">
        <v>9457.0400000000009</v>
      </c>
      <c r="J1573" s="726">
        <v>104.63</v>
      </c>
      <c r="K1573" s="720">
        <v>1602.46</v>
      </c>
      <c r="L1573" s="720">
        <v>378.53</v>
      </c>
      <c r="M1573" s="720">
        <v>3560.04</v>
      </c>
      <c r="N1573" s="720">
        <v>199.92</v>
      </c>
    </row>
    <row r="1574" spans="1:14" ht="15">
      <c r="A1574" s="705"/>
      <c r="B1574" s="705"/>
      <c r="C1574" s="719">
        <v>41997</v>
      </c>
      <c r="D1574" s="717">
        <v>12578</v>
      </c>
      <c r="E1574" s="720">
        <v>10258.450000000001</v>
      </c>
      <c r="F1574" s="720">
        <v>19684.759999999998</v>
      </c>
      <c r="G1574" s="720">
        <v>15502.14</v>
      </c>
      <c r="H1574" s="720">
        <v>10839.19</v>
      </c>
      <c r="I1574" s="720">
        <v>9583.82</v>
      </c>
      <c r="J1574" s="726">
        <v>106</v>
      </c>
      <c r="K1574" s="720">
        <v>1621.84</v>
      </c>
      <c r="L1574" s="720">
        <v>382.26</v>
      </c>
      <c r="M1574" s="720">
        <v>3613.75</v>
      </c>
      <c r="N1574" s="720">
        <v>198.5</v>
      </c>
    </row>
    <row r="1575" spans="1:14" ht="15">
      <c r="A1575" s="705"/>
      <c r="B1575" s="705"/>
      <c r="C1575" s="719">
        <v>41998</v>
      </c>
      <c r="D1575" s="717">
        <v>12578</v>
      </c>
      <c r="E1575" s="720">
        <v>10258.450000000001</v>
      </c>
      <c r="F1575" s="720">
        <v>19684.759999999998</v>
      </c>
      <c r="G1575" s="720">
        <v>15502.14</v>
      </c>
      <c r="H1575" s="720">
        <v>10839.19</v>
      </c>
      <c r="I1575" s="720">
        <v>9583.82</v>
      </c>
      <c r="J1575" s="726">
        <v>106</v>
      </c>
      <c r="K1575" s="720">
        <v>1621.84</v>
      </c>
      <c r="L1575" s="720">
        <v>382.26</v>
      </c>
      <c r="M1575" s="720">
        <v>3613.75</v>
      </c>
      <c r="N1575" s="720">
        <v>198.5</v>
      </c>
    </row>
    <row r="1576" spans="1:14" ht="15">
      <c r="A1576" s="705"/>
      <c r="B1576" s="705"/>
      <c r="C1576" s="719">
        <v>41999</v>
      </c>
      <c r="D1576" s="717">
        <v>12578</v>
      </c>
      <c r="E1576" s="720">
        <v>10258.450000000001</v>
      </c>
      <c r="F1576" s="720">
        <v>19684.759999999998</v>
      </c>
      <c r="G1576" s="720">
        <v>15502.14</v>
      </c>
      <c r="H1576" s="720">
        <v>10839.19</v>
      </c>
      <c r="I1576" s="720">
        <v>9583.82</v>
      </c>
      <c r="J1576" s="726">
        <v>106</v>
      </c>
      <c r="K1576" s="720">
        <v>1621.84</v>
      </c>
      <c r="L1576" s="720">
        <v>382.26</v>
      </c>
      <c r="M1576" s="720">
        <v>3613.75</v>
      </c>
      <c r="N1576" s="720">
        <v>198.5</v>
      </c>
    </row>
    <row r="1577" spans="1:14" ht="15">
      <c r="A1577" s="705"/>
      <c r="B1577" s="705"/>
      <c r="C1577" s="719">
        <v>42000</v>
      </c>
      <c r="D1577" s="717">
        <v>12578</v>
      </c>
      <c r="E1577" s="720">
        <v>10258.450000000001</v>
      </c>
      <c r="F1577" s="720">
        <v>19684.759999999998</v>
      </c>
      <c r="G1577" s="720">
        <v>15502.14</v>
      </c>
      <c r="H1577" s="720">
        <v>10839.19</v>
      </c>
      <c r="I1577" s="720">
        <v>9583.82</v>
      </c>
      <c r="J1577" s="726">
        <v>106</v>
      </c>
      <c r="K1577" s="720">
        <v>1621.84</v>
      </c>
      <c r="L1577" s="720">
        <v>382.26</v>
      </c>
      <c r="M1577" s="720">
        <v>3613.75</v>
      </c>
      <c r="N1577" s="720">
        <v>198.5</v>
      </c>
    </row>
    <row r="1578" spans="1:14" ht="15">
      <c r="A1578" s="705"/>
      <c r="B1578" s="705"/>
      <c r="C1578" s="719">
        <v>42001</v>
      </c>
      <c r="D1578" s="717">
        <v>12578</v>
      </c>
      <c r="E1578" s="720">
        <v>10258.450000000001</v>
      </c>
      <c r="F1578" s="720">
        <v>19684.759999999998</v>
      </c>
      <c r="G1578" s="720">
        <v>15502.14</v>
      </c>
      <c r="H1578" s="720">
        <v>10839.19</v>
      </c>
      <c r="I1578" s="720">
        <v>9583.82</v>
      </c>
      <c r="J1578" s="726">
        <v>106</v>
      </c>
      <c r="K1578" s="720">
        <v>1621.84</v>
      </c>
      <c r="L1578" s="720">
        <v>382.26</v>
      </c>
      <c r="M1578" s="720">
        <v>3613.75</v>
      </c>
      <c r="N1578" s="720">
        <v>198.5</v>
      </c>
    </row>
    <row r="1579" spans="1:14" ht="15">
      <c r="A1579" s="705"/>
      <c r="B1579" s="705"/>
      <c r="C1579" s="719">
        <v>42002</v>
      </c>
      <c r="D1579" s="717">
        <v>12578</v>
      </c>
      <c r="E1579" s="720">
        <v>10258.450000000001</v>
      </c>
      <c r="F1579" s="720">
        <v>19684.759999999998</v>
      </c>
      <c r="G1579" s="720">
        <v>15502.14</v>
      </c>
      <c r="H1579" s="720">
        <v>10839.19</v>
      </c>
      <c r="I1579" s="720">
        <v>9583.82</v>
      </c>
      <c r="J1579" s="726">
        <v>106</v>
      </c>
      <c r="K1579" s="720">
        <v>1621.84</v>
      </c>
      <c r="L1579" s="720">
        <v>382.26</v>
      </c>
      <c r="M1579" s="720">
        <v>3613.75</v>
      </c>
      <c r="N1579" s="720">
        <v>198.5</v>
      </c>
    </row>
    <row r="1580" spans="1:14" ht="15">
      <c r="A1580" s="705"/>
      <c r="B1580" s="705"/>
      <c r="C1580" s="719">
        <v>42003</v>
      </c>
      <c r="D1580" s="717">
        <v>12578</v>
      </c>
      <c r="E1580" s="720">
        <v>10258.450000000001</v>
      </c>
      <c r="F1580" s="720">
        <v>19684.759999999998</v>
      </c>
      <c r="G1580" s="720">
        <v>15502.14</v>
      </c>
      <c r="H1580" s="720">
        <v>10839.19</v>
      </c>
      <c r="I1580" s="720">
        <v>9583.82</v>
      </c>
      <c r="J1580" s="726">
        <v>106</v>
      </c>
      <c r="K1580" s="720">
        <v>1621.84</v>
      </c>
      <c r="L1580" s="720">
        <v>382.26</v>
      </c>
      <c r="M1580" s="720">
        <v>3613.75</v>
      </c>
      <c r="N1580" s="720">
        <v>198.5</v>
      </c>
    </row>
    <row r="1581" spans="1:14" ht="15">
      <c r="A1581" s="705"/>
      <c r="B1581" s="705"/>
      <c r="C1581" s="719">
        <v>42004</v>
      </c>
      <c r="D1581" s="717">
        <v>12441</v>
      </c>
      <c r="E1581" s="720">
        <v>10098.69</v>
      </c>
      <c r="F1581" s="720">
        <v>19350.419999999998</v>
      </c>
      <c r="G1581" s="720">
        <v>15168.82</v>
      </c>
      <c r="H1581" s="720">
        <v>10702.87</v>
      </c>
      <c r="I1581" s="720">
        <v>9400.35</v>
      </c>
      <c r="J1581" s="726">
        <v>103.34</v>
      </c>
      <c r="K1581" s="720">
        <v>1603.2</v>
      </c>
      <c r="L1581" s="720">
        <v>378.06</v>
      </c>
      <c r="M1581" s="720">
        <v>3559.44</v>
      </c>
      <c r="N1581" s="720">
        <v>195.86</v>
      </c>
    </row>
    <row r="1582" spans="1:14" ht="15">
      <c r="A1582" s="705"/>
      <c r="B1582" s="715" t="s">
        <v>609</v>
      </c>
      <c r="C1582" s="722"/>
      <c r="D1582" s="717"/>
      <c r="E1582" s="710"/>
      <c r="F1582" s="705"/>
      <c r="G1582" s="706"/>
      <c r="H1582" s="705"/>
      <c r="I1582" s="705"/>
      <c r="J1582" s="718"/>
      <c r="K1582" s="706"/>
      <c r="L1582" s="705"/>
      <c r="M1582" s="705"/>
      <c r="N1582" s="705"/>
    </row>
    <row r="1583" spans="1:14" ht="15">
      <c r="A1583" s="705"/>
      <c r="B1583" s="705"/>
      <c r="C1583" s="741" t="s">
        <v>716</v>
      </c>
      <c r="D1583" s="717">
        <v>12111.89</v>
      </c>
      <c r="E1583" s="723">
        <v>10776.92</v>
      </c>
      <c r="F1583" s="724">
        <v>19965.740000000002</v>
      </c>
      <c r="G1583" s="725">
        <v>16517.150000000001</v>
      </c>
      <c r="H1583" s="724">
        <v>11094.36</v>
      </c>
      <c r="I1583" s="724">
        <v>9536.82</v>
      </c>
      <c r="J1583" s="717">
        <v>117.13</v>
      </c>
      <c r="K1583" s="725">
        <v>1561.31</v>
      </c>
      <c r="L1583" s="724">
        <v>369.06</v>
      </c>
      <c r="M1583" s="724">
        <v>3661.94</v>
      </c>
      <c r="N1583" s="724">
        <v>194.91</v>
      </c>
    </row>
    <row r="1584" spans="1:14" ht="15">
      <c r="A1584" s="705"/>
      <c r="B1584" s="705"/>
      <c r="C1584" s="742" t="s">
        <v>717</v>
      </c>
      <c r="D1584" s="717">
        <v>11917.23</v>
      </c>
      <c r="E1584" s="723">
        <v>10645.95</v>
      </c>
      <c r="F1584" s="724">
        <v>19703.07</v>
      </c>
      <c r="G1584" s="725">
        <v>16317.29</v>
      </c>
      <c r="H1584" s="724">
        <v>10859.32</v>
      </c>
      <c r="I1584" s="724">
        <v>9387.81</v>
      </c>
      <c r="J1584" s="717">
        <v>115.63</v>
      </c>
      <c r="K1584" s="725">
        <v>1535.92</v>
      </c>
      <c r="L1584" s="724">
        <v>364.57</v>
      </c>
      <c r="M1584" s="724">
        <v>3612.01</v>
      </c>
      <c r="N1584" s="724">
        <v>192.46</v>
      </c>
    </row>
    <row r="1585" spans="1:14" ht="15">
      <c r="A1585" s="705"/>
      <c r="B1585" s="705"/>
      <c r="C1585" s="742" t="s">
        <v>718</v>
      </c>
      <c r="D1585" s="717">
        <v>11779.11</v>
      </c>
      <c r="E1585" s="723">
        <v>10638.33</v>
      </c>
      <c r="F1585" s="724">
        <v>19527.150000000001</v>
      </c>
      <c r="G1585" s="725">
        <v>16161.62</v>
      </c>
      <c r="H1585" s="724">
        <v>10721.65</v>
      </c>
      <c r="I1585" s="724">
        <v>9303.1200000000008</v>
      </c>
      <c r="J1585" s="717">
        <v>114.47</v>
      </c>
      <c r="K1585" s="725">
        <v>1518.32</v>
      </c>
      <c r="L1585" s="724">
        <v>361.34</v>
      </c>
      <c r="M1585" s="724">
        <v>3581.14</v>
      </c>
      <c r="N1585" s="724">
        <v>191.58</v>
      </c>
    </row>
    <row r="1586" spans="1:14" ht="15">
      <c r="A1586" s="705"/>
      <c r="B1586" s="705"/>
      <c r="C1586" s="742" t="s">
        <v>719</v>
      </c>
      <c r="D1586" s="717">
        <v>11732.05</v>
      </c>
      <c r="E1586" s="723">
        <v>10654.42</v>
      </c>
      <c r="F1586" s="724">
        <v>19507.400000000001</v>
      </c>
      <c r="G1586" s="725">
        <v>16106.98</v>
      </c>
      <c r="H1586" s="724">
        <v>10692.48</v>
      </c>
      <c r="I1586" s="724">
        <v>9285.2099999999991</v>
      </c>
      <c r="J1586" s="717">
        <v>114.21</v>
      </c>
      <c r="K1586" s="725">
        <v>1512.44</v>
      </c>
      <c r="L1586" s="724">
        <v>360.16</v>
      </c>
      <c r="M1586" s="724">
        <v>3577.24</v>
      </c>
      <c r="N1586" s="724">
        <v>191.91</v>
      </c>
    </row>
    <row r="1587" spans="1:14" ht="15">
      <c r="A1587" s="705"/>
      <c r="B1587" s="705"/>
      <c r="C1587" s="742" t="s">
        <v>720</v>
      </c>
      <c r="D1587" s="717">
        <v>11745.77</v>
      </c>
      <c r="E1587" s="723">
        <v>10714.94</v>
      </c>
      <c r="F1587" s="724">
        <v>19571.73</v>
      </c>
      <c r="G1587" s="725">
        <v>16101.45</v>
      </c>
      <c r="H1587" s="738">
        <v>10721.67</v>
      </c>
      <c r="I1587" s="724">
        <v>9308.91</v>
      </c>
      <c r="J1587" s="717">
        <v>114.45</v>
      </c>
      <c r="K1587" s="725">
        <v>1514.34</v>
      </c>
      <c r="L1587" s="724">
        <v>360.61</v>
      </c>
      <c r="M1587" s="724">
        <v>3591.91</v>
      </c>
      <c r="N1587" s="724">
        <v>192.96</v>
      </c>
    </row>
    <row r="1588" spans="1:14" ht="15">
      <c r="A1588" s="705"/>
      <c r="B1588" s="705"/>
      <c r="C1588" s="742" t="s">
        <v>721</v>
      </c>
      <c r="D1588" s="717">
        <v>11751.53</v>
      </c>
      <c r="E1588" s="723">
        <v>10762.94</v>
      </c>
      <c r="F1588" s="724">
        <v>19650.13</v>
      </c>
      <c r="G1588" s="725">
        <v>16092.32</v>
      </c>
      <c r="H1588" s="738">
        <v>10761.62</v>
      </c>
      <c r="I1588" s="724">
        <v>9330.0300000000007</v>
      </c>
      <c r="J1588" s="717">
        <v>114.66</v>
      </c>
      <c r="K1588" s="725">
        <v>1515.22</v>
      </c>
      <c r="L1588" s="724">
        <v>361.19</v>
      </c>
      <c r="M1588" s="724">
        <v>3605.19</v>
      </c>
      <c r="N1588" s="724">
        <v>193.42</v>
      </c>
    </row>
    <row r="1589" spans="1:14" ht="15">
      <c r="A1589" s="705"/>
      <c r="B1589" s="705"/>
      <c r="C1589" s="742" t="s">
        <v>722</v>
      </c>
      <c r="D1589" s="737">
        <v>11746.38</v>
      </c>
      <c r="E1589" s="723">
        <v>10778.93</v>
      </c>
      <c r="F1589" s="724">
        <v>19645.71</v>
      </c>
      <c r="G1589" s="725">
        <v>16039.08</v>
      </c>
      <c r="H1589" s="724">
        <v>10756.11</v>
      </c>
      <c r="I1589" s="724">
        <v>9335.85</v>
      </c>
      <c r="J1589" s="737">
        <v>114.6</v>
      </c>
      <c r="K1589" s="725">
        <v>1514.67</v>
      </c>
      <c r="L1589" s="724">
        <v>361.7</v>
      </c>
      <c r="M1589" s="724">
        <v>3613.73</v>
      </c>
      <c r="N1589" s="724">
        <v>193.29</v>
      </c>
    </row>
    <row r="1590" spans="1:14" ht="15">
      <c r="A1590" s="705"/>
      <c r="B1590" s="705"/>
      <c r="C1590" s="742" t="s">
        <v>723</v>
      </c>
      <c r="D1590" s="737">
        <v>11753.16</v>
      </c>
      <c r="E1590" s="723">
        <v>10786.85</v>
      </c>
      <c r="F1590" s="724">
        <v>19611.87</v>
      </c>
      <c r="G1590" s="725">
        <v>15967.41</v>
      </c>
      <c r="H1590" s="724">
        <v>10759.61</v>
      </c>
      <c r="I1590" s="724">
        <v>9341.44</v>
      </c>
      <c r="J1590" s="737">
        <v>114.27</v>
      </c>
      <c r="K1590" s="725">
        <v>1515.63</v>
      </c>
      <c r="L1590" s="724">
        <v>362.35</v>
      </c>
      <c r="M1590" s="724">
        <v>3623.17</v>
      </c>
      <c r="N1590" s="724">
        <v>193.44</v>
      </c>
    </row>
    <row r="1591" spans="1:14" ht="15">
      <c r="A1591" s="705"/>
      <c r="B1591" s="705"/>
      <c r="C1591" s="742" t="s">
        <v>724</v>
      </c>
      <c r="D1591" s="737">
        <v>11796</v>
      </c>
      <c r="E1591" s="723">
        <v>10768.13</v>
      </c>
      <c r="F1591" s="724">
        <v>19603.89</v>
      </c>
      <c r="G1591" s="725">
        <v>15899.31</v>
      </c>
      <c r="H1591" s="724">
        <v>10766.99</v>
      </c>
      <c r="I1591" s="724">
        <v>9361.4699999999993</v>
      </c>
      <c r="J1591" s="737">
        <v>114.02</v>
      </c>
      <c r="K1591" s="725">
        <v>1521.08</v>
      </c>
      <c r="L1591" s="724">
        <v>363.69</v>
      </c>
      <c r="M1591" s="724">
        <v>3633.67</v>
      </c>
      <c r="N1591" s="724">
        <v>193.9</v>
      </c>
    </row>
    <row r="1592" spans="1:14" ht="15">
      <c r="A1592" s="705"/>
      <c r="B1592" s="705"/>
      <c r="C1592" s="742" t="s">
        <v>725</v>
      </c>
      <c r="D1592" s="737">
        <v>11826.57</v>
      </c>
      <c r="E1592" s="723">
        <v>10750.94</v>
      </c>
      <c r="F1592" s="724">
        <v>19574.23</v>
      </c>
      <c r="G1592" s="725">
        <v>15839.24</v>
      </c>
      <c r="H1592" s="724">
        <v>10765.34</v>
      </c>
      <c r="I1592" s="724">
        <v>9365.09</v>
      </c>
      <c r="J1592" s="737">
        <v>113.32</v>
      </c>
      <c r="K1592" s="725">
        <v>1525.02</v>
      </c>
      <c r="L1592" s="724">
        <v>364.33</v>
      </c>
      <c r="M1592" s="724">
        <v>3634.72</v>
      </c>
      <c r="N1592" s="724">
        <v>194.19</v>
      </c>
    </row>
    <row r="1593" spans="1:14" ht="15">
      <c r="A1593" s="705"/>
      <c r="B1593" s="705"/>
      <c r="C1593" s="741" t="s">
        <v>726</v>
      </c>
      <c r="D1593" s="737">
        <v>11880.71</v>
      </c>
      <c r="E1593" s="723">
        <v>10704.32</v>
      </c>
      <c r="F1593" s="724">
        <v>19556.54</v>
      </c>
      <c r="G1593" s="725">
        <v>15787.41</v>
      </c>
      <c r="H1593" s="724">
        <v>10766.36</v>
      </c>
      <c r="I1593" s="724">
        <v>9371.56</v>
      </c>
      <c r="J1593" s="737">
        <v>112.41</v>
      </c>
      <c r="K1593" s="725">
        <v>1532.01</v>
      </c>
      <c r="L1593" s="724">
        <v>365.53</v>
      </c>
      <c r="M1593" s="724">
        <v>3629.67</v>
      </c>
      <c r="N1593" s="724">
        <v>194.56</v>
      </c>
    </row>
    <row r="1594" spans="1:14" ht="15">
      <c r="A1594" s="705"/>
      <c r="B1594" s="705"/>
      <c r="C1594" s="742" t="s">
        <v>727</v>
      </c>
      <c r="D1594" s="737">
        <v>11849.36</v>
      </c>
      <c r="E1594" s="723">
        <v>10693.91</v>
      </c>
      <c r="F1594" s="724">
        <v>19507.330000000002</v>
      </c>
      <c r="G1594" s="724">
        <v>15700.35</v>
      </c>
      <c r="H1594" s="724">
        <v>10713.42</v>
      </c>
      <c r="I1594" s="724">
        <v>9349.75</v>
      </c>
      <c r="J1594" s="737">
        <v>111.96</v>
      </c>
      <c r="K1594" s="725">
        <v>1527.98</v>
      </c>
      <c r="L1594" s="724">
        <v>365.06</v>
      </c>
      <c r="M1594" s="724">
        <v>3622.9</v>
      </c>
      <c r="N1594" s="724">
        <v>194.36</v>
      </c>
    </row>
    <row r="1595" spans="1:14" ht="15">
      <c r="A1595" s="705"/>
      <c r="B1595" s="705"/>
      <c r="C1595" s="742" t="s">
        <v>728</v>
      </c>
      <c r="D1595" s="737">
        <v>11832.33</v>
      </c>
      <c r="E1595" s="723">
        <v>10689.12</v>
      </c>
      <c r="F1595" s="724">
        <v>19470.89</v>
      </c>
      <c r="G1595" s="724">
        <v>15634.68</v>
      </c>
      <c r="H1595" s="724">
        <v>10697.71</v>
      </c>
      <c r="I1595" s="724">
        <v>9336.9699999999993</v>
      </c>
      <c r="J1595" s="737">
        <v>111.42</v>
      </c>
      <c r="K1595" s="725">
        <v>1525.87</v>
      </c>
      <c r="L1595" s="724">
        <v>364.79</v>
      </c>
      <c r="M1595" s="724">
        <v>3622.91</v>
      </c>
      <c r="N1595" s="724">
        <v>194.49</v>
      </c>
    </row>
    <row r="1596" spans="1:14" ht="15">
      <c r="A1596" s="705"/>
      <c r="B1596" s="705"/>
      <c r="C1596" s="742" t="s">
        <v>729</v>
      </c>
      <c r="D1596" s="737">
        <v>11868.54</v>
      </c>
      <c r="E1596" s="723">
        <v>10723.78</v>
      </c>
      <c r="F1596" s="724">
        <v>19507.7</v>
      </c>
      <c r="G1596" s="724">
        <v>15610.79</v>
      </c>
      <c r="H1596" s="724">
        <v>10735.37</v>
      </c>
      <c r="I1596" s="724">
        <v>9366.14</v>
      </c>
      <c r="J1596" s="737">
        <v>111.34</v>
      </c>
      <c r="K1596" s="725">
        <v>1530.7</v>
      </c>
      <c r="L1596" s="724">
        <v>365.85</v>
      </c>
      <c r="M1596" s="724">
        <v>3635.55</v>
      </c>
      <c r="N1596" s="724">
        <v>195.26</v>
      </c>
    </row>
    <row r="1597" spans="1:14" ht="15">
      <c r="A1597" s="705"/>
      <c r="B1597" s="705"/>
      <c r="C1597" s="742" t="s">
        <v>730</v>
      </c>
      <c r="D1597" s="737">
        <v>11934.5</v>
      </c>
      <c r="E1597" s="723">
        <v>10739.25</v>
      </c>
      <c r="F1597" s="724">
        <v>19572.099999999999</v>
      </c>
      <c r="G1597" s="724">
        <v>15589.31</v>
      </c>
      <c r="H1597" s="724">
        <v>10790.03</v>
      </c>
      <c r="I1597" s="724">
        <v>9407.7900000000009</v>
      </c>
      <c r="J1597" s="737">
        <v>111.32</v>
      </c>
      <c r="K1597" s="725">
        <v>1539.25</v>
      </c>
      <c r="L1597" s="724">
        <v>367.75</v>
      </c>
      <c r="M1597" s="724">
        <v>3655.36</v>
      </c>
      <c r="N1597" s="724">
        <v>196.14</v>
      </c>
    </row>
    <row r="1598" spans="1:14" ht="15">
      <c r="A1598" s="705"/>
      <c r="B1598" s="705"/>
      <c r="C1598" s="742" t="s">
        <v>731</v>
      </c>
      <c r="D1598" s="737">
        <v>11989.73</v>
      </c>
      <c r="E1598" s="723">
        <v>10740.91</v>
      </c>
      <c r="F1598" s="724">
        <v>19592.580000000002</v>
      </c>
      <c r="G1598" s="724">
        <v>15553.07</v>
      </c>
      <c r="H1598" s="724">
        <v>10820.54</v>
      </c>
      <c r="I1598" s="724">
        <v>9434.8799999999992</v>
      </c>
      <c r="J1598" s="737">
        <v>111.09</v>
      </c>
      <c r="K1598" s="725">
        <v>1546.36</v>
      </c>
      <c r="L1598" s="724">
        <v>369.47</v>
      </c>
      <c r="M1598" s="724">
        <v>3668.12</v>
      </c>
      <c r="N1598" s="724">
        <v>196.51</v>
      </c>
    </row>
    <row r="1599" spans="1:14" ht="15">
      <c r="A1599" s="705"/>
      <c r="B1599" s="705"/>
      <c r="C1599" s="742" t="s">
        <v>732</v>
      </c>
      <c r="D1599" s="737">
        <v>12015.65</v>
      </c>
      <c r="E1599" s="723">
        <v>10693.7</v>
      </c>
      <c r="F1599" s="724">
        <v>19541.36</v>
      </c>
      <c r="G1599" s="724">
        <v>15473.37</v>
      </c>
      <c r="H1599" s="724">
        <v>10811.05</v>
      </c>
      <c r="I1599" s="724">
        <v>9434.2099999999991</v>
      </c>
      <c r="J1599" s="737">
        <v>110.37</v>
      </c>
      <c r="K1599" s="725">
        <v>1549.67</v>
      </c>
      <c r="L1599" s="724">
        <v>370.45</v>
      </c>
      <c r="M1599" s="724">
        <v>3667.43</v>
      </c>
      <c r="N1599" s="724">
        <v>196.16</v>
      </c>
    </row>
    <row r="1600" spans="1:14" ht="15">
      <c r="A1600" s="705"/>
      <c r="B1600" s="705"/>
      <c r="C1600" s="742" t="s">
        <v>733</v>
      </c>
      <c r="D1600" s="737">
        <v>12056.86</v>
      </c>
      <c r="E1600" s="723">
        <v>10624.39</v>
      </c>
      <c r="F1600" s="724">
        <v>19428.93</v>
      </c>
      <c r="G1600" s="724">
        <v>15371.63</v>
      </c>
      <c r="H1600" s="724">
        <v>10772.82</v>
      </c>
      <c r="I1600" s="724">
        <v>9428.2000000000007</v>
      </c>
      <c r="J1600" s="737">
        <v>109.35</v>
      </c>
      <c r="K1600" s="725">
        <v>1554.89</v>
      </c>
      <c r="L1600" s="724">
        <v>371.45</v>
      </c>
      <c r="M1600" s="724">
        <v>3663.04</v>
      </c>
      <c r="N1600" s="724">
        <v>196.11</v>
      </c>
    </row>
    <row r="1601" spans="1:14" ht="15">
      <c r="A1601" s="705"/>
      <c r="B1601" s="705"/>
      <c r="C1601" s="742" t="s">
        <v>734</v>
      </c>
      <c r="D1601" s="737">
        <v>12134.44</v>
      </c>
      <c r="E1601" s="723">
        <v>10563.39</v>
      </c>
      <c r="F1601" s="724">
        <v>19388.12</v>
      </c>
      <c r="G1601" s="724">
        <v>15312.04</v>
      </c>
      <c r="H1601" s="724">
        <v>10785.71</v>
      </c>
      <c r="I1601" s="724">
        <v>9439.01</v>
      </c>
      <c r="J1601" s="737">
        <v>108.27</v>
      </c>
      <c r="K1601" s="725">
        <v>1564.75</v>
      </c>
      <c r="L1601" s="724">
        <v>372.77</v>
      </c>
      <c r="M1601" s="724">
        <v>3659.76</v>
      </c>
      <c r="N1601" s="724">
        <v>196.95</v>
      </c>
    </row>
    <row r="1602" spans="1:14" ht="15">
      <c r="A1602" s="705"/>
      <c r="B1602" s="705"/>
      <c r="C1602" s="742" t="s">
        <v>735</v>
      </c>
      <c r="D1602" s="737">
        <v>12226.93</v>
      </c>
      <c r="E1602" s="723">
        <v>10480.32</v>
      </c>
      <c r="F1602" s="724">
        <v>19406.37</v>
      </c>
      <c r="G1602" s="724">
        <v>15298.85</v>
      </c>
      <c r="H1602" s="724">
        <v>10784.67</v>
      </c>
      <c r="I1602" s="724">
        <v>9453.31</v>
      </c>
      <c r="J1602" s="737">
        <v>107.38</v>
      </c>
      <c r="K1602" s="725">
        <v>1576.44</v>
      </c>
      <c r="L1602" s="724">
        <v>374.16</v>
      </c>
      <c r="M1602" s="724">
        <v>3647.31</v>
      </c>
      <c r="N1602" s="724">
        <v>197.59</v>
      </c>
    </row>
    <row r="1603" spans="1:14" ht="15">
      <c r="A1603" s="705"/>
      <c r="B1603" s="705"/>
      <c r="C1603" s="742" t="s">
        <v>736</v>
      </c>
      <c r="D1603" s="737">
        <v>12285.44</v>
      </c>
      <c r="E1603" s="723">
        <v>10399.450000000001</v>
      </c>
      <c r="F1603" s="724">
        <v>19330.330000000002</v>
      </c>
      <c r="G1603" s="724">
        <v>15252.8</v>
      </c>
      <c r="H1603" s="724">
        <v>10763.32</v>
      </c>
      <c r="I1603" s="724">
        <v>9419.7800000000007</v>
      </c>
      <c r="J1603" s="737">
        <v>104.74</v>
      </c>
      <c r="K1603" s="725">
        <v>1584.21</v>
      </c>
      <c r="L1603" s="724">
        <v>374.32</v>
      </c>
      <c r="M1603" s="724">
        <v>3610.53</v>
      </c>
      <c r="N1603" s="724">
        <v>197.69</v>
      </c>
    </row>
    <row r="1604" spans="1:14" ht="15">
      <c r="A1604" s="705"/>
      <c r="B1604" s="715" t="s">
        <v>702</v>
      </c>
      <c r="C1604" s="722"/>
      <c r="D1604" s="717"/>
      <c r="E1604" s="710"/>
      <c r="F1604" s="705"/>
      <c r="G1604" s="706"/>
      <c r="H1604" s="705"/>
      <c r="I1604" s="705"/>
      <c r="J1604" s="718"/>
      <c r="K1604" s="706"/>
      <c r="L1604" s="705"/>
      <c r="M1604" s="705"/>
      <c r="N1604" s="705"/>
    </row>
    <row r="1605" spans="1:14" ht="15">
      <c r="A1605" s="705"/>
      <c r="B1605" s="705"/>
      <c r="C1605" s="727" t="s">
        <v>737</v>
      </c>
      <c r="D1605" s="743">
        <v>12175.4</v>
      </c>
      <c r="E1605" s="723">
        <v>10802.2</v>
      </c>
      <c r="F1605" s="724">
        <v>20019.11</v>
      </c>
      <c r="G1605" s="725">
        <v>16605.79</v>
      </c>
      <c r="H1605" s="724">
        <v>11263.98</v>
      </c>
      <c r="I1605" s="724">
        <v>9576.6</v>
      </c>
      <c r="J1605" s="717">
        <v>116.67</v>
      </c>
      <c r="K1605" s="725">
        <v>1569.81</v>
      </c>
      <c r="L1605" s="724">
        <v>369.93</v>
      </c>
      <c r="M1605" s="724">
        <v>3693.25</v>
      </c>
      <c r="N1605" s="724">
        <v>196.42</v>
      </c>
    </row>
    <row r="1606" spans="1:14" ht="15">
      <c r="A1606" s="705"/>
      <c r="B1606" s="705"/>
      <c r="C1606" s="727" t="s">
        <v>738</v>
      </c>
      <c r="D1606" s="743">
        <v>12032.5</v>
      </c>
      <c r="E1606" s="723">
        <v>10745.32</v>
      </c>
      <c r="F1606" s="724">
        <v>19899.03</v>
      </c>
      <c r="G1606" s="725">
        <v>16406.34</v>
      </c>
      <c r="H1606" s="724">
        <v>10882.35</v>
      </c>
      <c r="I1606" s="724">
        <v>9487.09</v>
      </c>
      <c r="J1606" s="717">
        <v>117.7</v>
      </c>
      <c r="K1606" s="725">
        <v>1550.69</v>
      </c>
      <c r="L1606" s="724">
        <v>367.99</v>
      </c>
      <c r="M1606" s="724">
        <v>3622.81</v>
      </c>
      <c r="N1606" s="724">
        <v>193.01</v>
      </c>
    </row>
    <row r="1607" spans="1:14" ht="15">
      <c r="A1607" s="705"/>
      <c r="B1607" s="705"/>
      <c r="C1607" s="727" t="s">
        <v>739</v>
      </c>
      <c r="D1607" s="743">
        <v>11479.25</v>
      </c>
      <c r="E1607" s="723">
        <v>10351.25</v>
      </c>
      <c r="F1607" s="724">
        <v>19112.060000000001</v>
      </c>
      <c r="G1607" s="725">
        <v>15867.6</v>
      </c>
      <c r="H1607" s="724">
        <v>10330.459999999999</v>
      </c>
      <c r="I1607" s="724">
        <v>9052.56</v>
      </c>
      <c r="J1607" s="717">
        <v>112.25</v>
      </c>
      <c r="K1607" s="725">
        <v>1478.8</v>
      </c>
      <c r="L1607" s="724">
        <v>354.45</v>
      </c>
      <c r="M1607" s="724">
        <v>3499.66</v>
      </c>
      <c r="N1607" s="724">
        <v>186.96</v>
      </c>
    </row>
    <row r="1608" spans="1:14" ht="15">
      <c r="A1608" s="705"/>
      <c r="B1608" s="705"/>
      <c r="C1608" s="727" t="s">
        <v>740</v>
      </c>
      <c r="D1608" s="743">
        <v>11420</v>
      </c>
      <c r="E1608" s="723">
        <v>10618.53</v>
      </c>
      <c r="F1608" s="724">
        <v>19069.75</v>
      </c>
      <c r="G1608" s="725">
        <v>15756.88</v>
      </c>
      <c r="H1608" s="724">
        <v>10363.719999999999</v>
      </c>
      <c r="I1608" s="724">
        <v>9082.93</v>
      </c>
      <c r="J1608" s="717">
        <v>111.46</v>
      </c>
      <c r="K1608" s="725">
        <v>1472.54</v>
      </c>
      <c r="L1608" s="724">
        <v>352.95</v>
      </c>
      <c r="M1608" s="724">
        <v>3500.9</v>
      </c>
      <c r="N1608" s="724">
        <v>189.28</v>
      </c>
    </row>
    <row r="1609" spans="1:14" ht="15">
      <c r="A1609" s="705"/>
      <c r="B1609" s="705"/>
      <c r="C1609" s="727" t="s">
        <v>741</v>
      </c>
      <c r="D1609" s="743">
        <v>11520.25</v>
      </c>
      <c r="E1609" s="723">
        <v>10726.82</v>
      </c>
      <c r="F1609" s="724">
        <v>19418.5</v>
      </c>
      <c r="G1609" s="725">
        <v>15861.1</v>
      </c>
      <c r="H1609" s="724">
        <v>10561.19</v>
      </c>
      <c r="I1609" s="724">
        <v>9204.61</v>
      </c>
      <c r="J1609" s="717">
        <v>113.07</v>
      </c>
      <c r="K1609" s="725">
        <v>1485.99</v>
      </c>
      <c r="L1609" s="724">
        <v>354.85</v>
      </c>
      <c r="M1609" s="724">
        <v>3559.66</v>
      </c>
      <c r="N1609" s="724">
        <v>193.39</v>
      </c>
    </row>
    <row r="1610" spans="1:14" ht="15">
      <c r="A1610" s="705"/>
      <c r="B1610" s="705"/>
      <c r="C1610" s="727" t="s">
        <v>742</v>
      </c>
      <c r="D1610" s="743">
        <v>11821.25</v>
      </c>
      <c r="E1610" s="723">
        <v>11047.8</v>
      </c>
      <c r="F1610" s="724">
        <v>19925.54</v>
      </c>
      <c r="G1610" s="725">
        <v>16071.07</v>
      </c>
      <c r="H1610" s="724">
        <v>10882.22</v>
      </c>
      <c r="I1610" s="724">
        <v>9439.2199999999993</v>
      </c>
      <c r="J1610" s="717">
        <v>115.76</v>
      </c>
      <c r="K1610" s="725">
        <v>1524.82</v>
      </c>
      <c r="L1610" s="724">
        <v>363.09</v>
      </c>
      <c r="M1610" s="724">
        <v>3672.6</v>
      </c>
      <c r="N1610" s="724">
        <v>198.74</v>
      </c>
    </row>
    <row r="1611" spans="1:14" ht="15">
      <c r="A1611" s="705"/>
      <c r="B1611" s="705"/>
      <c r="C1611" s="727" t="s">
        <v>743</v>
      </c>
      <c r="D1611" s="743">
        <v>11789</v>
      </c>
      <c r="E1611" s="723">
        <v>11074.92</v>
      </c>
      <c r="F1611" s="724">
        <v>20159.740000000002</v>
      </c>
      <c r="G1611" s="725">
        <v>16032.97</v>
      </c>
      <c r="H1611" s="724">
        <v>11021.29</v>
      </c>
      <c r="I1611" s="724">
        <v>9467.2999999999993</v>
      </c>
      <c r="J1611" s="717">
        <v>116</v>
      </c>
      <c r="K1611" s="725">
        <v>1520.94</v>
      </c>
      <c r="L1611" s="724">
        <v>364.97</v>
      </c>
      <c r="M1611" s="724">
        <v>3691.53</v>
      </c>
      <c r="N1611" s="724">
        <v>196.44</v>
      </c>
    </row>
    <row r="1612" spans="1:14" ht="15">
      <c r="A1612" s="705"/>
      <c r="B1612" s="705"/>
      <c r="C1612" s="727" t="s">
        <v>744</v>
      </c>
      <c r="D1612" s="743">
        <v>11707.75</v>
      </c>
      <c r="E1612" s="723">
        <v>10898.86</v>
      </c>
      <c r="F1612" s="724">
        <v>19612.560000000001</v>
      </c>
      <c r="G1612" s="725">
        <v>15639.81</v>
      </c>
      <c r="H1612" s="724">
        <v>10714.81</v>
      </c>
      <c r="I1612" s="724">
        <v>9379.52</v>
      </c>
      <c r="J1612" s="717">
        <v>114.2</v>
      </c>
      <c r="K1612" s="725">
        <v>1510.54</v>
      </c>
      <c r="L1612" s="724">
        <v>365.5</v>
      </c>
      <c r="M1612" s="724">
        <v>3677.81</v>
      </c>
      <c r="N1612" s="724">
        <v>192.34</v>
      </c>
    </row>
    <row r="1613" spans="1:14" ht="15">
      <c r="A1613" s="705"/>
      <c r="B1613" s="705"/>
      <c r="C1613" s="727" t="s">
        <v>745</v>
      </c>
      <c r="D1613" s="743">
        <v>11810.75</v>
      </c>
      <c r="E1613" s="723">
        <v>10854.16</v>
      </c>
      <c r="F1613" s="724">
        <v>19324.23</v>
      </c>
      <c r="G1613" s="725">
        <v>15358.2</v>
      </c>
      <c r="H1613" s="724">
        <v>10789.37</v>
      </c>
      <c r="I1613" s="724">
        <v>9388.9699999999993</v>
      </c>
      <c r="J1613" s="717">
        <v>111.39</v>
      </c>
      <c r="K1613" s="725">
        <v>1523.82</v>
      </c>
      <c r="L1613" s="724">
        <v>367.91</v>
      </c>
      <c r="M1613" s="724">
        <v>3703.35</v>
      </c>
      <c r="N1613" s="724">
        <v>194.7</v>
      </c>
    </row>
    <row r="1614" spans="1:14" ht="15">
      <c r="A1614" s="705"/>
      <c r="B1614" s="705"/>
      <c r="C1614" s="727" t="s">
        <v>746</v>
      </c>
      <c r="D1614" s="743">
        <v>12121.6</v>
      </c>
      <c r="E1614" s="723">
        <v>10625.87</v>
      </c>
      <c r="F1614" s="724">
        <v>19543.240000000002</v>
      </c>
      <c r="G1614" s="725">
        <v>15381.73</v>
      </c>
      <c r="H1614" s="724">
        <v>10823.1</v>
      </c>
      <c r="I1614" s="724">
        <v>9513.68</v>
      </c>
      <c r="J1614" s="717">
        <v>112.12</v>
      </c>
      <c r="K1614" s="724">
        <v>1562.46</v>
      </c>
      <c r="L1614" s="724">
        <v>373.88</v>
      </c>
      <c r="M1614" s="724">
        <v>3713.52</v>
      </c>
      <c r="N1614" s="724">
        <v>197.41</v>
      </c>
    </row>
    <row r="1615" spans="1:14" ht="15">
      <c r="A1615" s="705"/>
      <c r="B1615" s="705"/>
      <c r="C1615" s="727" t="s">
        <v>747</v>
      </c>
      <c r="D1615" s="743">
        <v>12155.25</v>
      </c>
      <c r="E1615" s="723">
        <v>10566.15</v>
      </c>
      <c r="F1615" s="724">
        <v>19255.39</v>
      </c>
      <c r="G1615" s="725">
        <v>15193.46</v>
      </c>
      <c r="H1615" s="724">
        <v>10747.59</v>
      </c>
      <c r="I1615" s="724">
        <v>9403.99</v>
      </c>
      <c r="J1615" s="717">
        <v>105.78</v>
      </c>
      <c r="K1615" s="724">
        <v>1567.42</v>
      </c>
      <c r="L1615" s="724">
        <v>371.17</v>
      </c>
      <c r="M1615" s="724">
        <v>3645.99</v>
      </c>
      <c r="N1615" s="724">
        <v>197.29</v>
      </c>
    </row>
    <row r="1616" spans="1:14" ht="15">
      <c r="A1616" s="705"/>
      <c r="B1616" s="705"/>
      <c r="C1616" s="727" t="s">
        <v>748</v>
      </c>
      <c r="D1616" s="743">
        <v>12389.6</v>
      </c>
      <c r="E1616" s="723">
        <v>10266.09</v>
      </c>
      <c r="F1616" s="724">
        <v>19390.29</v>
      </c>
      <c r="G1616" s="724">
        <v>15300.27</v>
      </c>
      <c r="H1616" s="724">
        <v>10775.9</v>
      </c>
      <c r="I1616" s="724">
        <v>9432.41</v>
      </c>
      <c r="J1616" s="717">
        <v>103.91</v>
      </c>
      <c r="K1616" s="725">
        <v>1597.64</v>
      </c>
      <c r="L1616" s="724">
        <v>376.84</v>
      </c>
      <c r="M1616" s="724">
        <v>3582.16</v>
      </c>
      <c r="N1616" s="724">
        <v>198.02</v>
      </c>
    </row>
    <row r="1617" spans="1:14" ht="15">
      <c r="A1617" s="705"/>
      <c r="B1617" s="705"/>
      <c r="C1617" s="716"/>
      <c r="D1617" s="703"/>
      <c r="E1617" s="704"/>
      <c r="F1617" s="705"/>
      <c r="G1617" s="706"/>
      <c r="H1617" s="705"/>
      <c r="I1617" s="705"/>
      <c r="J1617" s="708"/>
      <c r="K1617" s="706"/>
      <c r="L1617" s="705"/>
      <c r="M1617" s="705"/>
      <c r="N1617" s="705"/>
    </row>
    <row r="1618" spans="1:14" ht="15">
      <c r="A1618" s="1224" t="s">
        <v>960</v>
      </c>
      <c r="B1618" s="1225"/>
      <c r="C1618" s="1226"/>
      <c r="D1618" s="703"/>
      <c r="E1618" s="704"/>
      <c r="F1618" s="705"/>
      <c r="G1618" s="706"/>
      <c r="H1618" s="705"/>
      <c r="I1618" s="705"/>
      <c r="J1618" s="708"/>
      <c r="K1618" s="706"/>
      <c r="L1618" s="705"/>
      <c r="M1618" s="705"/>
      <c r="N1618" s="705"/>
    </row>
    <row r="1619" spans="1:14" ht="15">
      <c r="A1619" s="1225"/>
      <c r="B1619" s="1224" t="s">
        <v>961</v>
      </c>
      <c r="C1619" s="1226"/>
      <c r="D1619" s="703"/>
      <c r="E1619" s="704"/>
      <c r="F1619" s="705"/>
      <c r="G1619" s="706"/>
      <c r="H1619" s="705"/>
      <c r="I1619" s="705"/>
      <c r="J1619" s="708"/>
      <c r="K1619" s="706"/>
      <c r="L1619" s="705"/>
      <c r="M1619" s="705"/>
      <c r="N1619" s="705"/>
    </row>
    <row r="1620" spans="1:14" ht="15">
      <c r="A1620" s="705"/>
      <c r="B1620" s="705"/>
      <c r="C1620" s="1227">
        <v>42005</v>
      </c>
      <c r="D1620" s="703">
        <v>12441</v>
      </c>
      <c r="E1620" s="720">
        <v>10098.69</v>
      </c>
      <c r="F1620" s="720">
        <v>19350.419999999998</v>
      </c>
      <c r="G1620" s="720">
        <v>15168.82</v>
      </c>
      <c r="H1620" s="720">
        <v>10702.87</v>
      </c>
      <c r="I1620" s="720">
        <v>9400.35</v>
      </c>
      <c r="J1620" s="708">
        <v>103.34</v>
      </c>
      <c r="K1620" s="720">
        <v>1603.2</v>
      </c>
      <c r="L1620" s="720">
        <v>378.06</v>
      </c>
      <c r="M1620" s="720">
        <v>3559.44</v>
      </c>
      <c r="N1620" s="720">
        <v>195.86</v>
      </c>
    </row>
    <row r="1621" spans="1:14" ht="15">
      <c r="A1621" s="705"/>
      <c r="B1621" s="705"/>
      <c r="C1621" s="1227">
        <v>42006</v>
      </c>
      <c r="D1621" s="703">
        <v>12441</v>
      </c>
      <c r="E1621" s="720">
        <v>10098.69</v>
      </c>
      <c r="F1621" s="720">
        <v>19350.419999999998</v>
      </c>
      <c r="G1621" s="720">
        <v>15168.82</v>
      </c>
      <c r="H1621" s="720">
        <v>10702.87</v>
      </c>
      <c r="I1621" s="720">
        <v>9400.35</v>
      </c>
      <c r="J1621" s="708">
        <v>103.34</v>
      </c>
      <c r="K1621" s="720">
        <v>1603.2</v>
      </c>
      <c r="L1621" s="720">
        <v>378.06</v>
      </c>
      <c r="M1621" s="720">
        <v>3559.44</v>
      </c>
      <c r="N1621" s="720">
        <v>195.86</v>
      </c>
    </row>
    <row r="1622" spans="1:14" ht="15">
      <c r="A1622" s="705"/>
      <c r="B1622" s="705"/>
      <c r="C1622" s="1227">
        <v>42007</v>
      </c>
      <c r="D1622" s="703">
        <v>12441</v>
      </c>
      <c r="E1622" s="720">
        <v>10098.69</v>
      </c>
      <c r="F1622" s="720">
        <v>19350.419999999998</v>
      </c>
      <c r="G1622" s="720">
        <v>15168.82</v>
      </c>
      <c r="H1622" s="720">
        <v>10702.87</v>
      </c>
      <c r="I1622" s="720">
        <v>9400.35</v>
      </c>
      <c r="J1622" s="708">
        <v>103.34</v>
      </c>
      <c r="K1622" s="720">
        <v>1603.2</v>
      </c>
      <c r="L1622" s="720">
        <v>378.06</v>
      </c>
      <c r="M1622" s="720">
        <v>3559.44</v>
      </c>
      <c r="N1622" s="720">
        <v>195.86</v>
      </c>
    </row>
    <row r="1623" spans="1:14" ht="15">
      <c r="A1623" s="705"/>
      <c r="B1623" s="705"/>
      <c r="C1623" s="1227">
        <v>42008</v>
      </c>
      <c r="D1623" s="703">
        <v>12441</v>
      </c>
      <c r="E1623" s="720">
        <v>10098.69</v>
      </c>
      <c r="F1623" s="720">
        <v>19350.419999999998</v>
      </c>
      <c r="G1623" s="720">
        <v>15168.82</v>
      </c>
      <c r="H1623" s="720">
        <v>10702.87</v>
      </c>
      <c r="I1623" s="720">
        <v>9400.35</v>
      </c>
      <c r="J1623" s="708">
        <v>103.34</v>
      </c>
      <c r="K1623" s="720">
        <v>1603.2</v>
      </c>
      <c r="L1623" s="720">
        <v>378.06</v>
      </c>
      <c r="M1623" s="720">
        <v>3559.44</v>
      </c>
      <c r="N1623" s="720">
        <v>195.86</v>
      </c>
    </row>
    <row r="1624" spans="1:14" ht="15">
      <c r="A1624" s="705"/>
      <c r="B1624" s="705"/>
      <c r="C1624" s="1227">
        <v>42009</v>
      </c>
      <c r="D1624" s="703">
        <v>12441</v>
      </c>
      <c r="E1624" s="720">
        <v>10098.69</v>
      </c>
      <c r="F1624" s="720">
        <v>19350.419999999998</v>
      </c>
      <c r="G1624" s="720">
        <v>15168.82</v>
      </c>
      <c r="H1624" s="720">
        <v>10702.87</v>
      </c>
      <c r="I1624" s="720">
        <v>9400.35</v>
      </c>
      <c r="J1624" s="708">
        <v>103.34</v>
      </c>
      <c r="K1624" s="720">
        <v>1603.2</v>
      </c>
      <c r="L1624" s="720">
        <v>378.06</v>
      </c>
      <c r="M1624" s="720">
        <v>3559.44</v>
      </c>
      <c r="N1624" s="720">
        <v>195.86</v>
      </c>
    </row>
    <row r="1625" spans="1:14" ht="15">
      <c r="A1625" s="705"/>
      <c r="B1625" s="705"/>
      <c r="C1625" s="1227">
        <v>42010</v>
      </c>
      <c r="D1625" s="703">
        <v>12441</v>
      </c>
      <c r="E1625" s="720">
        <v>10098.69</v>
      </c>
      <c r="F1625" s="720">
        <v>19350.419999999998</v>
      </c>
      <c r="G1625" s="720">
        <v>15168.82</v>
      </c>
      <c r="H1625" s="720">
        <v>10702.87</v>
      </c>
      <c r="I1625" s="720">
        <v>9400.35</v>
      </c>
      <c r="J1625" s="708">
        <v>103.34</v>
      </c>
      <c r="K1625" s="720">
        <v>1603.2</v>
      </c>
      <c r="L1625" s="720">
        <v>378.06</v>
      </c>
      <c r="M1625" s="720">
        <v>3559.44</v>
      </c>
      <c r="N1625" s="720">
        <v>195.86</v>
      </c>
    </row>
    <row r="1626" spans="1:14" ht="15">
      <c r="A1626" s="705"/>
      <c r="B1626" s="705"/>
      <c r="C1626" s="1227">
        <v>42011</v>
      </c>
      <c r="D1626" s="703">
        <v>12510</v>
      </c>
      <c r="E1626" s="1228">
        <v>10180.43</v>
      </c>
      <c r="F1626" s="1228">
        <v>19350.330000000002</v>
      </c>
      <c r="G1626" s="1228">
        <v>15087.51</v>
      </c>
      <c r="H1626" s="1228">
        <v>10703.8</v>
      </c>
      <c r="I1626" s="1228">
        <v>9422.9699999999993</v>
      </c>
      <c r="J1626" s="708">
        <v>104.24</v>
      </c>
      <c r="K1626" s="1228">
        <v>1612.89</v>
      </c>
      <c r="L1626" s="1228">
        <v>379.69</v>
      </c>
      <c r="M1626" s="1228">
        <v>3564.28</v>
      </c>
      <c r="N1626" s="1228">
        <v>197.68</v>
      </c>
    </row>
    <row r="1627" spans="1:14" ht="15">
      <c r="A1627" s="705"/>
      <c r="B1627" s="705"/>
      <c r="C1627" s="1227">
        <v>42012</v>
      </c>
      <c r="D1627" s="703">
        <v>12510</v>
      </c>
      <c r="E1627" s="1228">
        <v>10180.43</v>
      </c>
      <c r="F1627" s="1228">
        <v>19350.330000000002</v>
      </c>
      <c r="G1627" s="1228">
        <v>15087.51</v>
      </c>
      <c r="H1627" s="1228">
        <v>10703.8</v>
      </c>
      <c r="I1627" s="1228">
        <v>9422.9699999999993</v>
      </c>
      <c r="J1627" s="708">
        <v>104.24</v>
      </c>
      <c r="K1627" s="1228">
        <v>1612.89</v>
      </c>
      <c r="L1627" s="1228">
        <v>379.69</v>
      </c>
      <c r="M1627" s="1228">
        <v>3564.28</v>
      </c>
      <c r="N1627" s="1228">
        <v>197.68</v>
      </c>
    </row>
    <row r="1628" spans="1:14" ht="15">
      <c r="A1628" s="705"/>
      <c r="B1628" s="705"/>
      <c r="C1628" s="1227">
        <v>42013</v>
      </c>
      <c r="D1628" s="703">
        <v>12510</v>
      </c>
      <c r="E1628" s="1228">
        <v>10180.43</v>
      </c>
      <c r="F1628" s="1228">
        <v>19350.330000000002</v>
      </c>
      <c r="G1628" s="1228">
        <v>15087.51</v>
      </c>
      <c r="H1628" s="1228">
        <v>10703.8</v>
      </c>
      <c r="I1628" s="1228">
        <v>9422.9699999999993</v>
      </c>
      <c r="J1628" s="708">
        <v>104.24</v>
      </c>
      <c r="K1628" s="1228">
        <v>1612.89</v>
      </c>
      <c r="L1628" s="1228">
        <v>379.69</v>
      </c>
      <c r="M1628" s="1228">
        <v>3564.28</v>
      </c>
      <c r="N1628" s="1228">
        <v>197.68</v>
      </c>
    </row>
    <row r="1629" spans="1:14" ht="15">
      <c r="A1629" s="705"/>
      <c r="B1629" s="705"/>
      <c r="C1629" s="1227">
        <v>42014</v>
      </c>
      <c r="D1629" s="703">
        <v>12510</v>
      </c>
      <c r="E1629" s="1228">
        <v>10180.43</v>
      </c>
      <c r="F1629" s="1228">
        <v>19350.330000000002</v>
      </c>
      <c r="G1629" s="1228">
        <v>15087.51</v>
      </c>
      <c r="H1629" s="1228">
        <v>10703.8</v>
      </c>
      <c r="I1629" s="1228">
        <v>9422.9699999999993</v>
      </c>
      <c r="J1629" s="708">
        <v>104.24</v>
      </c>
      <c r="K1629" s="1228">
        <v>1612.89</v>
      </c>
      <c r="L1629" s="1228">
        <v>379.69</v>
      </c>
      <c r="M1629" s="1228">
        <v>3564.28</v>
      </c>
      <c r="N1629" s="1228">
        <v>197.68</v>
      </c>
    </row>
    <row r="1630" spans="1:14" ht="15">
      <c r="A1630" s="705"/>
      <c r="B1630" s="705"/>
      <c r="C1630" s="1227">
        <v>42015</v>
      </c>
      <c r="D1630" s="703">
        <v>12510</v>
      </c>
      <c r="E1630" s="1228">
        <v>10180.43</v>
      </c>
      <c r="F1630" s="1228">
        <v>19350.330000000002</v>
      </c>
      <c r="G1630" s="1228">
        <v>15087.51</v>
      </c>
      <c r="H1630" s="1228">
        <v>10703.8</v>
      </c>
      <c r="I1630" s="1228">
        <v>9422.9699999999993</v>
      </c>
      <c r="J1630" s="708">
        <v>104.24</v>
      </c>
      <c r="K1630" s="1228">
        <v>1612.89</v>
      </c>
      <c r="L1630" s="1228">
        <v>379.69</v>
      </c>
      <c r="M1630" s="1228">
        <v>3564.28</v>
      </c>
      <c r="N1630" s="1228">
        <v>197.68</v>
      </c>
    </row>
    <row r="1631" spans="1:14" ht="15">
      <c r="A1631" s="705"/>
      <c r="B1631" s="705"/>
      <c r="C1631" s="1227">
        <v>42016</v>
      </c>
      <c r="D1631" s="703">
        <v>12510</v>
      </c>
      <c r="E1631" s="1228">
        <v>10180.43</v>
      </c>
      <c r="F1631" s="1228">
        <v>19350.330000000002</v>
      </c>
      <c r="G1631" s="1228">
        <v>15087.51</v>
      </c>
      <c r="H1631" s="1228">
        <v>10703.8</v>
      </c>
      <c r="I1631" s="1228">
        <v>9422.9699999999993</v>
      </c>
      <c r="J1631" s="708">
        <v>104.24</v>
      </c>
      <c r="K1631" s="1228">
        <v>1612.89</v>
      </c>
      <c r="L1631" s="1228">
        <v>379.69</v>
      </c>
      <c r="M1631" s="1228">
        <v>3564.28</v>
      </c>
      <c r="N1631" s="1228">
        <v>197.68</v>
      </c>
    </row>
    <row r="1632" spans="1:14" ht="15">
      <c r="A1632" s="705"/>
      <c r="B1632" s="705"/>
      <c r="C1632" s="1227">
        <v>42017</v>
      </c>
      <c r="D1632" s="703">
        <v>12510</v>
      </c>
      <c r="E1632" s="1228">
        <v>10180.43</v>
      </c>
      <c r="F1632" s="1228">
        <v>19350.330000000002</v>
      </c>
      <c r="G1632" s="1228">
        <v>15087.51</v>
      </c>
      <c r="H1632" s="1228">
        <v>10703.8</v>
      </c>
      <c r="I1632" s="1228">
        <v>9422.9699999999993</v>
      </c>
      <c r="J1632" s="708">
        <v>104.24</v>
      </c>
      <c r="K1632" s="1228">
        <v>1612.89</v>
      </c>
      <c r="L1632" s="1228">
        <v>379.69</v>
      </c>
      <c r="M1632" s="1228">
        <v>3564.28</v>
      </c>
      <c r="N1632" s="1228">
        <v>197.68</v>
      </c>
    </row>
    <row r="1633" spans="1:14" ht="15">
      <c r="A1633" s="705"/>
      <c r="B1633" s="705"/>
      <c r="C1633" s="1227">
        <v>42018</v>
      </c>
      <c r="D1633" s="703">
        <v>12653</v>
      </c>
      <c r="E1633" s="1228">
        <v>10302.85</v>
      </c>
      <c r="F1633" s="1228">
        <v>19150.169999999998</v>
      </c>
      <c r="G1633" s="1228">
        <v>14984.74</v>
      </c>
      <c r="H1633" s="1228">
        <v>10685.25</v>
      </c>
      <c r="I1633" s="1228">
        <v>9477.17</v>
      </c>
      <c r="J1633" s="708">
        <v>106.46</v>
      </c>
      <c r="K1633" s="1228">
        <v>1631.7</v>
      </c>
      <c r="L1633" s="1228">
        <v>385.06</v>
      </c>
      <c r="M1633" s="1228">
        <v>3551.01</v>
      </c>
      <c r="N1633" s="1228">
        <v>201.04</v>
      </c>
    </row>
    <row r="1634" spans="1:14" ht="15">
      <c r="A1634" s="705"/>
      <c r="B1634" s="705"/>
      <c r="C1634" s="1227">
        <v>42019</v>
      </c>
      <c r="D1634" s="703">
        <v>12653</v>
      </c>
      <c r="E1634" s="1228">
        <v>10302.85</v>
      </c>
      <c r="F1634" s="1228">
        <v>19150.169999999998</v>
      </c>
      <c r="G1634" s="1228">
        <v>14984.74</v>
      </c>
      <c r="H1634" s="1228">
        <v>10685.25</v>
      </c>
      <c r="I1634" s="1228">
        <v>9477.17</v>
      </c>
      <c r="J1634" s="708">
        <v>106.46</v>
      </c>
      <c r="K1634" s="1228">
        <v>1631.7</v>
      </c>
      <c r="L1634" s="1228">
        <v>385.06</v>
      </c>
      <c r="M1634" s="1228">
        <v>3551.01</v>
      </c>
      <c r="N1634" s="1228">
        <v>201.04</v>
      </c>
    </row>
    <row r="1635" spans="1:14" ht="15">
      <c r="A1635" s="705"/>
      <c r="B1635" s="705"/>
      <c r="C1635" s="1227">
        <v>42020</v>
      </c>
      <c r="D1635" s="703">
        <v>12653</v>
      </c>
      <c r="E1635" s="1228">
        <v>10302.85</v>
      </c>
      <c r="F1635" s="1228">
        <v>19150.169999999998</v>
      </c>
      <c r="G1635" s="1228">
        <v>14984.74</v>
      </c>
      <c r="H1635" s="1228">
        <v>10685.25</v>
      </c>
      <c r="I1635" s="1228">
        <v>9477.17</v>
      </c>
      <c r="J1635" s="708">
        <v>106.46</v>
      </c>
      <c r="K1635" s="1228">
        <v>1631.7</v>
      </c>
      <c r="L1635" s="1228">
        <v>385.06</v>
      </c>
      <c r="M1635" s="1228">
        <v>3551.01</v>
      </c>
      <c r="N1635" s="1228">
        <v>201.04</v>
      </c>
    </row>
    <row r="1636" spans="1:14" ht="15">
      <c r="A1636" s="705"/>
      <c r="B1636" s="705"/>
      <c r="C1636" s="1227">
        <v>42021</v>
      </c>
      <c r="D1636" s="703">
        <v>12653</v>
      </c>
      <c r="E1636" s="1228">
        <v>10302.85</v>
      </c>
      <c r="F1636" s="1228">
        <v>19150.169999999998</v>
      </c>
      <c r="G1636" s="1228">
        <v>14984.74</v>
      </c>
      <c r="H1636" s="1228">
        <v>10685.25</v>
      </c>
      <c r="I1636" s="1228">
        <v>9477.17</v>
      </c>
      <c r="J1636" s="708">
        <v>106.46</v>
      </c>
      <c r="K1636" s="1228">
        <v>1631.7</v>
      </c>
      <c r="L1636" s="1228">
        <v>385.06</v>
      </c>
      <c r="M1636" s="1228">
        <v>3551.01</v>
      </c>
      <c r="N1636" s="1228">
        <v>201.04</v>
      </c>
    </row>
    <row r="1637" spans="1:14" ht="15">
      <c r="A1637" s="705"/>
      <c r="B1637" s="705"/>
      <c r="C1637" s="1227">
        <v>42022</v>
      </c>
      <c r="D1637" s="703">
        <v>12653</v>
      </c>
      <c r="E1637" s="1228">
        <v>10302.85</v>
      </c>
      <c r="F1637" s="1228">
        <v>19150.169999999998</v>
      </c>
      <c r="G1637" s="1228">
        <v>14984.74</v>
      </c>
      <c r="H1637" s="1228">
        <v>10685.25</v>
      </c>
      <c r="I1637" s="1228">
        <v>9477.17</v>
      </c>
      <c r="J1637" s="708">
        <v>106.46</v>
      </c>
      <c r="K1637" s="1228">
        <v>1631.7</v>
      </c>
      <c r="L1637" s="1228">
        <v>385.06</v>
      </c>
      <c r="M1637" s="1228">
        <v>3551.01</v>
      </c>
      <c r="N1637" s="1228">
        <v>201.04</v>
      </c>
    </row>
    <row r="1638" spans="1:14" ht="15">
      <c r="A1638" s="705"/>
      <c r="B1638" s="705"/>
      <c r="C1638" s="1227">
        <v>42023</v>
      </c>
      <c r="D1638" s="703">
        <v>12653</v>
      </c>
      <c r="E1638" s="1228">
        <v>10302.85</v>
      </c>
      <c r="F1638" s="1228">
        <v>19150.169999999998</v>
      </c>
      <c r="G1638" s="1228">
        <v>14984.74</v>
      </c>
      <c r="H1638" s="1228">
        <v>10685.25</v>
      </c>
      <c r="I1638" s="1228">
        <v>9477.17</v>
      </c>
      <c r="J1638" s="708">
        <v>106.46</v>
      </c>
      <c r="K1638" s="1228">
        <v>1631.7</v>
      </c>
      <c r="L1638" s="1228">
        <v>385.06</v>
      </c>
      <c r="M1638" s="1228">
        <v>3551.01</v>
      </c>
      <c r="N1638" s="1228">
        <v>201.04</v>
      </c>
    </row>
    <row r="1639" spans="1:14" ht="15">
      <c r="A1639" s="705"/>
      <c r="B1639" s="705"/>
      <c r="C1639" s="1227">
        <v>42024</v>
      </c>
      <c r="D1639" s="703">
        <v>12653</v>
      </c>
      <c r="E1639" s="1228">
        <v>10302.85</v>
      </c>
      <c r="F1639" s="1228">
        <v>19150.169999999998</v>
      </c>
      <c r="G1639" s="1228">
        <v>14984.74</v>
      </c>
      <c r="H1639" s="1228">
        <v>10685.25</v>
      </c>
      <c r="I1639" s="1228">
        <v>9477.17</v>
      </c>
      <c r="J1639" s="708">
        <v>106.46</v>
      </c>
      <c r="K1639" s="1228">
        <v>1631.7</v>
      </c>
      <c r="L1639" s="1228">
        <v>385.06</v>
      </c>
      <c r="M1639" s="1228">
        <v>3551.01</v>
      </c>
      <c r="N1639" s="1228">
        <v>201.04</v>
      </c>
    </row>
    <row r="1640" spans="1:14" ht="15">
      <c r="A1640" s="705"/>
      <c r="B1640" s="705"/>
      <c r="C1640" s="1227">
        <v>42025</v>
      </c>
      <c r="D1640" s="703">
        <v>12593</v>
      </c>
      <c r="E1640" s="1228">
        <v>10318.959999999999</v>
      </c>
      <c r="F1640" s="1228">
        <v>19107.36</v>
      </c>
      <c r="G1640" s="1228">
        <v>14688.22</v>
      </c>
      <c r="H1640" s="1228">
        <v>10527.33</v>
      </c>
      <c r="I1640" s="1228">
        <v>9466.86</v>
      </c>
      <c r="J1640" s="708">
        <v>107.42</v>
      </c>
      <c r="K1640" s="1228">
        <v>1624.37</v>
      </c>
      <c r="L1640" s="1228">
        <v>385.34</v>
      </c>
      <c r="M1640" s="1228">
        <v>3523.01</v>
      </c>
      <c r="N1640" s="1228">
        <v>203.13</v>
      </c>
    </row>
    <row r="1641" spans="1:14" ht="15">
      <c r="A1641" s="705"/>
      <c r="B1641" s="705"/>
      <c r="C1641" s="1227">
        <v>42026</v>
      </c>
      <c r="D1641" s="703">
        <v>12593</v>
      </c>
      <c r="E1641" s="1228">
        <v>10318.959999999999</v>
      </c>
      <c r="F1641" s="1228">
        <v>19107.36</v>
      </c>
      <c r="G1641" s="1228">
        <v>14688.22</v>
      </c>
      <c r="H1641" s="1228">
        <v>10527.33</v>
      </c>
      <c r="I1641" s="1228">
        <v>9466.86</v>
      </c>
      <c r="J1641" s="708">
        <v>107.42</v>
      </c>
      <c r="K1641" s="1228">
        <v>1624.37</v>
      </c>
      <c r="L1641" s="1228">
        <v>385.34</v>
      </c>
      <c r="M1641" s="1228">
        <v>3523.01</v>
      </c>
      <c r="N1641" s="1228">
        <v>203.13</v>
      </c>
    </row>
    <row r="1642" spans="1:14" ht="15">
      <c r="A1642" s="705"/>
      <c r="B1642" s="705"/>
      <c r="C1642" s="1227">
        <v>42027</v>
      </c>
      <c r="D1642" s="703">
        <v>12593</v>
      </c>
      <c r="E1642" s="1228">
        <v>10318.959999999999</v>
      </c>
      <c r="F1642" s="1228">
        <v>19107.36</v>
      </c>
      <c r="G1642" s="1228">
        <v>14688.22</v>
      </c>
      <c r="H1642" s="1228">
        <v>10527.33</v>
      </c>
      <c r="I1642" s="1228">
        <v>9466.86</v>
      </c>
      <c r="J1642" s="708">
        <v>107.42</v>
      </c>
      <c r="K1642" s="1228">
        <v>1624.37</v>
      </c>
      <c r="L1642" s="1228">
        <v>385.34</v>
      </c>
      <c r="M1642" s="1228">
        <v>3523.01</v>
      </c>
      <c r="N1642" s="1228">
        <v>203.13</v>
      </c>
    </row>
    <row r="1643" spans="1:14" ht="15">
      <c r="A1643" s="705"/>
      <c r="B1643" s="705"/>
      <c r="C1643" s="1227">
        <v>42028</v>
      </c>
      <c r="D1643" s="703">
        <v>12593</v>
      </c>
      <c r="E1643" s="1228">
        <v>10318.959999999999</v>
      </c>
      <c r="F1643" s="1228">
        <v>19107.36</v>
      </c>
      <c r="G1643" s="1228">
        <v>14688.22</v>
      </c>
      <c r="H1643" s="1228">
        <v>10527.33</v>
      </c>
      <c r="I1643" s="1228">
        <v>9466.86</v>
      </c>
      <c r="J1643" s="708">
        <v>107.42</v>
      </c>
      <c r="K1643" s="1228">
        <v>1624.37</v>
      </c>
      <c r="L1643" s="1228">
        <v>385.34</v>
      </c>
      <c r="M1643" s="1228">
        <v>3523.01</v>
      </c>
      <c r="N1643" s="1228">
        <v>203.13</v>
      </c>
    </row>
    <row r="1644" spans="1:14" ht="15">
      <c r="A1644" s="705"/>
      <c r="B1644" s="705"/>
      <c r="C1644" s="1227">
        <v>42029</v>
      </c>
      <c r="D1644" s="703">
        <v>12593</v>
      </c>
      <c r="E1644" s="1228">
        <v>10318.959999999999</v>
      </c>
      <c r="F1644" s="1228">
        <v>19107.36</v>
      </c>
      <c r="G1644" s="1228">
        <v>14688.22</v>
      </c>
      <c r="H1644" s="1228">
        <v>10527.33</v>
      </c>
      <c r="I1644" s="1228">
        <v>9466.86</v>
      </c>
      <c r="J1644" s="708">
        <v>107.42</v>
      </c>
      <c r="K1644" s="1228">
        <v>1624.37</v>
      </c>
      <c r="L1644" s="1228">
        <v>385.34</v>
      </c>
      <c r="M1644" s="1228">
        <v>3523.01</v>
      </c>
      <c r="N1644" s="1228">
        <v>203.13</v>
      </c>
    </row>
    <row r="1645" spans="1:14" ht="15">
      <c r="A1645" s="705"/>
      <c r="B1645" s="705"/>
      <c r="C1645" s="1227">
        <v>42030</v>
      </c>
      <c r="D1645" s="703">
        <v>12593</v>
      </c>
      <c r="E1645" s="1228">
        <v>10318.959999999999</v>
      </c>
      <c r="F1645" s="1228">
        <v>19107.36</v>
      </c>
      <c r="G1645" s="1228">
        <v>14688.22</v>
      </c>
      <c r="H1645" s="1228">
        <v>10527.33</v>
      </c>
      <c r="I1645" s="1228">
        <v>9466.86</v>
      </c>
      <c r="J1645" s="708">
        <v>107.42</v>
      </c>
      <c r="K1645" s="1228">
        <v>1624.37</v>
      </c>
      <c r="L1645" s="1228">
        <v>385.34</v>
      </c>
      <c r="M1645" s="1228">
        <v>3523.01</v>
      </c>
      <c r="N1645" s="1228">
        <v>203.13</v>
      </c>
    </row>
    <row r="1646" spans="1:14" ht="15">
      <c r="A1646" s="705"/>
      <c r="B1646" s="705"/>
      <c r="C1646" s="1227">
        <v>42031</v>
      </c>
      <c r="D1646" s="703">
        <v>12593</v>
      </c>
      <c r="E1646" s="1228">
        <v>10318.959999999999</v>
      </c>
      <c r="F1646" s="1228">
        <v>19107.36</v>
      </c>
      <c r="G1646" s="1228">
        <v>14688.22</v>
      </c>
      <c r="H1646" s="1228">
        <v>10527.33</v>
      </c>
      <c r="I1646" s="1228">
        <v>9466.86</v>
      </c>
      <c r="J1646" s="708">
        <v>107.42</v>
      </c>
      <c r="K1646" s="1228">
        <v>1624.37</v>
      </c>
      <c r="L1646" s="1228">
        <v>385.34</v>
      </c>
      <c r="M1646" s="1228">
        <v>3523.01</v>
      </c>
      <c r="N1646" s="1228">
        <v>203.13</v>
      </c>
    </row>
    <row r="1647" spans="1:14" ht="15">
      <c r="A1647" s="705"/>
      <c r="B1647" s="705"/>
      <c r="C1647" s="1227">
        <v>42032</v>
      </c>
      <c r="D1647" s="703">
        <v>12502</v>
      </c>
      <c r="E1647" s="1228">
        <v>10025.85</v>
      </c>
      <c r="F1647" s="1228">
        <v>18828.509999999998</v>
      </c>
      <c r="G1647" s="1228">
        <v>14244.28</v>
      </c>
      <c r="H1647" s="1228">
        <v>10128.65</v>
      </c>
      <c r="I1647" s="1228">
        <v>9327.9</v>
      </c>
      <c r="J1647" s="708">
        <v>105.71</v>
      </c>
      <c r="K1647" s="1228">
        <v>1612.73</v>
      </c>
      <c r="L1647" s="1228">
        <v>383.45</v>
      </c>
      <c r="M1647" s="1228">
        <v>3463.71</v>
      </c>
      <c r="N1647" s="1228">
        <v>202.9</v>
      </c>
    </row>
    <row r="1648" spans="1:14" ht="15">
      <c r="A1648" s="705"/>
      <c r="B1648" s="705"/>
      <c r="C1648" s="1227">
        <v>42033</v>
      </c>
      <c r="D1648" s="703">
        <v>12502</v>
      </c>
      <c r="E1648" s="1228">
        <v>10025.85</v>
      </c>
      <c r="F1648" s="1228">
        <v>18828.509999999998</v>
      </c>
      <c r="G1648" s="1228">
        <v>14244.28</v>
      </c>
      <c r="H1648" s="1228">
        <v>10128.65</v>
      </c>
      <c r="I1648" s="1228">
        <v>9327.9</v>
      </c>
      <c r="J1648" s="708">
        <v>105.71</v>
      </c>
      <c r="K1648" s="1228">
        <v>1612.73</v>
      </c>
      <c r="L1648" s="1228">
        <v>383.45</v>
      </c>
      <c r="M1648" s="1228">
        <v>3463.71</v>
      </c>
      <c r="N1648" s="1228">
        <v>202.9</v>
      </c>
    </row>
    <row r="1649" spans="1:14" ht="15">
      <c r="A1649" s="705"/>
      <c r="B1649" s="705"/>
      <c r="C1649" s="1227">
        <v>42034</v>
      </c>
      <c r="D1649" s="703">
        <v>12502</v>
      </c>
      <c r="E1649" s="1228">
        <v>10025.85</v>
      </c>
      <c r="F1649" s="1228">
        <v>18828.509999999998</v>
      </c>
      <c r="G1649" s="1228">
        <v>14244.28</v>
      </c>
      <c r="H1649" s="1228">
        <v>10128.65</v>
      </c>
      <c r="I1649" s="1228">
        <v>9327.9</v>
      </c>
      <c r="J1649" s="708">
        <v>105.71</v>
      </c>
      <c r="K1649" s="1228">
        <v>1612.73</v>
      </c>
      <c r="L1649" s="1228">
        <v>383.45</v>
      </c>
      <c r="M1649" s="1228">
        <v>3463.71</v>
      </c>
      <c r="N1649" s="1228">
        <v>202.9</v>
      </c>
    </row>
    <row r="1650" spans="1:14" ht="15">
      <c r="A1650" s="705"/>
      <c r="B1650" s="705"/>
      <c r="C1650" s="1227">
        <v>42035</v>
      </c>
      <c r="D1650" s="703">
        <v>12502</v>
      </c>
      <c r="E1650" s="1228">
        <v>10025.85</v>
      </c>
      <c r="F1650" s="1228">
        <v>18828.509999999998</v>
      </c>
      <c r="G1650" s="1228">
        <v>14244.28</v>
      </c>
      <c r="H1650" s="1228">
        <v>10128.65</v>
      </c>
      <c r="I1650" s="1228">
        <v>9327.9</v>
      </c>
      <c r="J1650" s="708">
        <v>105.71</v>
      </c>
      <c r="K1650" s="1228">
        <v>1612.73</v>
      </c>
      <c r="L1650" s="1228">
        <v>383.45</v>
      </c>
      <c r="M1650" s="1228">
        <v>3463.71</v>
      </c>
      <c r="N1650" s="1228">
        <v>202.9</v>
      </c>
    </row>
    <row r="1651" spans="1:14" ht="15">
      <c r="A1651" s="705"/>
      <c r="B1651" s="705"/>
      <c r="C1651" s="1227">
        <v>42036</v>
      </c>
      <c r="D1651" s="703">
        <v>12502</v>
      </c>
      <c r="E1651" s="1228">
        <v>10025.85</v>
      </c>
      <c r="F1651" s="1228">
        <v>18828.509999999998</v>
      </c>
      <c r="G1651" s="1228">
        <v>14244.28</v>
      </c>
      <c r="H1651" s="1228">
        <v>10128.65</v>
      </c>
      <c r="I1651" s="1228">
        <v>9327.9</v>
      </c>
      <c r="J1651" s="708">
        <v>105.71</v>
      </c>
      <c r="K1651" s="1228">
        <v>1612.73</v>
      </c>
      <c r="L1651" s="1228">
        <v>383.45</v>
      </c>
      <c r="M1651" s="1228">
        <v>3463.71</v>
      </c>
      <c r="N1651" s="1228">
        <v>202.9</v>
      </c>
    </row>
    <row r="1652" spans="1:14" ht="15">
      <c r="A1652" s="705"/>
      <c r="B1652" s="705"/>
      <c r="C1652" s="1227">
        <v>42037</v>
      </c>
      <c r="D1652" s="703">
        <v>12502</v>
      </c>
      <c r="E1652" s="1228">
        <v>10025.85</v>
      </c>
      <c r="F1652" s="1228">
        <v>18828.509999999998</v>
      </c>
      <c r="G1652" s="1228">
        <v>14244.28</v>
      </c>
      <c r="H1652" s="1228">
        <v>10128.65</v>
      </c>
      <c r="I1652" s="1228">
        <v>9327.9</v>
      </c>
      <c r="J1652" s="708">
        <v>105.71</v>
      </c>
      <c r="K1652" s="1228">
        <v>1612.73</v>
      </c>
      <c r="L1652" s="1228">
        <v>383.45</v>
      </c>
      <c r="M1652" s="1228">
        <v>3463.71</v>
      </c>
      <c r="N1652" s="1228">
        <v>202.9</v>
      </c>
    </row>
    <row r="1653" spans="1:14" ht="15">
      <c r="A1653" s="705"/>
      <c r="B1653" s="705"/>
      <c r="C1653" s="1227">
        <v>42038</v>
      </c>
      <c r="D1653" s="703">
        <v>12502</v>
      </c>
      <c r="E1653" s="1228">
        <v>10025.85</v>
      </c>
      <c r="F1653" s="1228">
        <v>18828.509999999998</v>
      </c>
      <c r="G1653" s="1228">
        <v>14244.28</v>
      </c>
      <c r="H1653" s="1228">
        <v>10128.65</v>
      </c>
      <c r="I1653" s="1228">
        <v>9327.9</v>
      </c>
      <c r="J1653" s="708">
        <v>105.71</v>
      </c>
      <c r="K1653" s="1228">
        <v>1612.73</v>
      </c>
      <c r="L1653" s="1228">
        <v>383.45</v>
      </c>
      <c r="M1653" s="1228">
        <v>3463.71</v>
      </c>
      <c r="N1653" s="1228">
        <v>202.9</v>
      </c>
    </row>
    <row r="1654" spans="1:14" ht="15">
      <c r="A1654" s="705"/>
      <c r="B1654" s="705"/>
      <c r="C1654" s="1227">
        <v>42039</v>
      </c>
      <c r="D1654" s="703">
        <v>12582</v>
      </c>
      <c r="E1654" s="1228">
        <v>9858.25</v>
      </c>
      <c r="F1654" s="1228">
        <v>19014.919999999998</v>
      </c>
      <c r="G1654" s="1228">
        <v>14246.35</v>
      </c>
      <c r="H1654" s="1228">
        <v>9989.2000000000007</v>
      </c>
      <c r="I1654" s="1228">
        <v>9317.1</v>
      </c>
      <c r="J1654" s="708">
        <v>106.78</v>
      </c>
      <c r="K1654" s="1228">
        <v>1622.94</v>
      </c>
      <c r="L1654" s="1228">
        <v>385.53</v>
      </c>
      <c r="M1654" s="1228">
        <v>3474.6</v>
      </c>
      <c r="N1654" s="1228">
        <v>203.99</v>
      </c>
    </row>
    <row r="1655" spans="1:14" ht="15">
      <c r="A1655" s="705"/>
      <c r="B1655" s="705"/>
      <c r="C1655" s="1227">
        <v>42040</v>
      </c>
      <c r="D1655" s="703">
        <v>12582</v>
      </c>
      <c r="E1655" s="1228">
        <v>9858.25</v>
      </c>
      <c r="F1655" s="1228">
        <v>19014.919999999998</v>
      </c>
      <c r="G1655" s="1228">
        <v>14246.35</v>
      </c>
      <c r="H1655" s="1228">
        <v>9989.2000000000007</v>
      </c>
      <c r="I1655" s="1228">
        <v>9317.1</v>
      </c>
      <c r="J1655" s="708">
        <v>106.78</v>
      </c>
      <c r="K1655" s="1228">
        <v>1622.94</v>
      </c>
      <c r="L1655" s="1228">
        <v>385.53</v>
      </c>
      <c r="M1655" s="1228">
        <v>3474.6</v>
      </c>
      <c r="N1655" s="1228">
        <v>203.99</v>
      </c>
    </row>
    <row r="1656" spans="1:14" ht="15">
      <c r="A1656" s="705"/>
      <c r="B1656" s="705"/>
      <c r="C1656" s="1227">
        <v>42041</v>
      </c>
      <c r="D1656" s="703">
        <v>12582</v>
      </c>
      <c r="E1656" s="1228">
        <v>9858.25</v>
      </c>
      <c r="F1656" s="1228">
        <v>19014.919999999998</v>
      </c>
      <c r="G1656" s="1228">
        <v>14246.35</v>
      </c>
      <c r="H1656" s="1228">
        <v>9989.2000000000007</v>
      </c>
      <c r="I1656" s="1228">
        <v>9317.1</v>
      </c>
      <c r="J1656" s="708">
        <v>106.78</v>
      </c>
      <c r="K1656" s="1228">
        <v>1622.94</v>
      </c>
      <c r="L1656" s="1228">
        <v>385.53</v>
      </c>
      <c r="M1656" s="1228">
        <v>3474.6</v>
      </c>
      <c r="N1656" s="1228">
        <v>203.99</v>
      </c>
    </row>
    <row r="1657" spans="1:14" ht="15">
      <c r="A1657" s="705"/>
      <c r="B1657" s="705"/>
      <c r="C1657" s="1227">
        <v>42042</v>
      </c>
      <c r="D1657" s="703">
        <v>12582</v>
      </c>
      <c r="E1657" s="1228">
        <v>9858.25</v>
      </c>
      <c r="F1657" s="1228">
        <v>19014.919999999998</v>
      </c>
      <c r="G1657" s="1228">
        <v>14246.35</v>
      </c>
      <c r="H1657" s="1228">
        <v>9989.2000000000007</v>
      </c>
      <c r="I1657" s="1228">
        <v>9317.1</v>
      </c>
      <c r="J1657" s="708">
        <v>106.78</v>
      </c>
      <c r="K1657" s="1228">
        <v>1622.94</v>
      </c>
      <c r="L1657" s="1228">
        <v>385.53</v>
      </c>
      <c r="M1657" s="1228">
        <v>3474.6</v>
      </c>
      <c r="N1657" s="1228">
        <v>203.99</v>
      </c>
    </row>
    <row r="1658" spans="1:14" ht="15">
      <c r="A1658" s="705"/>
      <c r="B1658" s="705"/>
      <c r="C1658" s="1227">
        <v>42043</v>
      </c>
      <c r="D1658" s="703">
        <v>12582</v>
      </c>
      <c r="E1658" s="1228">
        <v>9858.25</v>
      </c>
      <c r="F1658" s="1228">
        <v>19014.919999999998</v>
      </c>
      <c r="G1658" s="1228">
        <v>14246.35</v>
      </c>
      <c r="H1658" s="1228">
        <v>9989.2000000000007</v>
      </c>
      <c r="I1658" s="1228">
        <v>9317.1</v>
      </c>
      <c r="J1658" s="708">
        <v>106.78</v>
      </c>
      <c r="K1658" s="1228">
        <v>1622.94</v>
      </c>
      <c r="L1658" s="1228">
        <v>385.53</v>
      </c>
      <c r="M1658" s="1228">
        <v>3474.6</v>
      </c>
      <c r="N1658" s="1228">
        <v>203.99</v>
      </c>
    </row>
    <row r="1659" spans="1:14" ht="15">
      <c r="A1659" s="705"/>
      <c r="B1659" s="705"/>
      <c r="C1659" s="1227">
        <v>42044</v>
      </c>
      <c r="D1659" s="703">
        <v>12582</v>
      </c>
      <c r="E1659" s="1228">
        <v>9858.25</v>
      </c>
      <c r="F1659" s="1228">
        <v>19014.919999999998</v>
      </c>
      <c r="G1659" s="1228">
        <v>14246.35</v>
      </c>
      <c r="H1659" s="1228">
        <v>9989.2000000000007</v>
      </c>
      <c r="I1659" s="1228">
        <v>9317.1</v>
      </c>
      <c r="J1659" s="708">
        <v>106.78</v>
      </c>
      <c r="K1659" s="1228">
        <v>1622.94</v>
      </c>
      <c r="L1659" s="1228">
        <v>385.53</v>
      </c>
      <c r="M1659" s="1228">
        <v>3474.6</v>
      </c>
      <c r="N1659" s="1228">
        <v>203.99</v>
      </c>
    </row>
    <row r="1660" spans="1:14" ht="15">
      <c r="A1660" s="705"/>
      <c r="B1660" s="705"/>
      <c r="C1660" s="1227">
        <v>42045</v>
      </c>
      <c r="D1660" s="703">
        <v>12582</v>
      </c>
      <c r="E1660" s="1228">
        <v>9858.25</v>
      </c>
      <c r="F1660" s="1228">
        <v>19014.919999999998</v>
      </c>
      <c r="G1660" s="1228">
        <v>14246.35</v>
      </c>
      <c r="H1660" s="1228">
        <v>9989.2000000000007</v>
      </c>
      <c r="I1660" s="1228">
        <v>9317.1</v>
      </c>
      <c r="J1660" s="708">
        <v>106.78</v>
      </c>
      <c r="K1660" s="1228">
        <v>1622.94</v>
      </c>
      <c r="L1660" s="1228">
        <v>385.53</v>
      </c>
      <c r="M1660" s="1228">
        <v>3474.6</v>
      </c>
      <c r="N1660" s="1228">
        <v>203.99</v>
      </c>
    </row>
    <row r="1661" spans="1:14" ht="15">
      <c r="A1661" s="705"/>
      <c r="B1661" s="705"/>
      <c r="C1661" s="1227">
        <v>42046</v>
      </c>
      <c r="D1661" s="703">
        <v>12638</v>
      </c>
      <c r="E1661" s="1228">
        <v>9853.85</v>
      </c>
      <c r="F1661" s="1228">
        <v>19262.84</v>
      </c>
      <c r="G1661" s="1228">
        <v>14358.54</v>
      </c>
      <c r="H1661" s="1228">
        <v>10117.36</v>
      </c>
      <c r="I1661" s="1228">
        <v>9357.6</v>
      </c>
      <c r="J1661" s="708">
        <v>106.92</v>
      </c>
      <c r="K1661" s="1228">
        <v>1630.07</v>
      </c>
      <c r="L1661" s="1228">
        <v>387.41</v>
      </c>
      <c r="M1661" s="1228">
        <v>3545.34</v>
      </c>
      <c r="N1661" s="1228">
        <v>204.36</v>
      </c>
    </row>
    <row r="1662" spans="1:14" ht="15">
      <c r="A1662" s="705"/>
      <c r="B1662" s="705"/>
      <c r="C1662" s="1227">
        <v>42047</v>
      </c>
      <c r="D1662" s="703">
        <v>12638</v>
      </c>
      <c r="E1662" s="1228">
        <v>9853.85</v>
      </c>
      <c r="F1662" s="1228">
        <v>19262.84</v>
      </c>
      <c r="G1662" s="1228">
        <v>14358.54</v>
      </c>
      <c r="H1662" s="1228">
        <v>10117.36</v>
      </c>
      <c r="I1662" s="1228">
        <v>9357.6</v>
      </c>
      <c r="J1662" s="708">
        <v>106.92</v>
      </c>
      <c r="K1662" s="1228">
        <v>1630.07</v>
      </c>
      <c r="L1662" s="1228">
        <v>387.41</v>
      </c>
      <c r="M1662" s="1228">
        <v>3545.34</v>
      </c>
      <c r="N1662" s="1228">
        <v>204.36</v>
      </c>
    </row>
    <row r="1663" spans="1:14" ht="15">
      <c r="A1663" s="705"/>
      <c r="B1663" s="705"/>
      <c r="C1663" s="1227">
        <v>42048</v>
      </c>
      <c r="D1663" s="703">
        <v>12638</v>
      </c>
      <c r="E1663" s="1228">
        <v>9853.85</v>
      </c>
      <c r="F1663" s="1228">
        <v>19262.84</v>
      </c>
      <c r="G1663" s="1228">
        <v>14358.54</v>
      </c>
      <c r="H1663" s="1228">
        <v>10117.36</v>
      </c>
      <c r="I1663" s="1228">
        <v>9357.6</v>
      </c>
      <c r="J1663" s="708">
        <v>106.92</v>
      </c>
      <c r="K1663" s="1228">
        <v>1630.07</v>
      </c>
      <c r="L1663" s="1228">
        <v>387.41</v>
      </c>
      <c r="M1663" s="1228">
        <v>3545.34</v>
      </c>
      <c r="N1663" s="1228">
        <v>204.36</v>
      </c>
    </row>
    <row r="1664" spans="1:14" ht="15">
      <c r="A1664" s="705"/>
      <c r="B1664" s="705"/>
      <c r="C1664" s="1227">
        <v>42049</v>
      </c>
      <c r="D1664" s="703">
        <v>12638</v>
      </c>
      <c r="E1664" s="1228">
        <v>9853.85</v>
      </c>
      <c r="F1664" s="1228">
        <v>19262.84</v>
      </c>
      <c r="G1664" s="1228">
        <v>14358.54</v>
      </c>
      <c r="H1664" s="1228">
        <v>10117.36</v>
      </c>
      <c r="I1664" s="1228">
        <v>9357.6</v>
      </c>
      <c r="J1664" s="708">
        <v>106.92</v>
      </c>
      <c r="K1664" s="1228">
        <v>1630.07</v>
      </c>
      <c r="L1664" s="1228">
        <v>387.41</v>
      </c>
      <c r="M1664" s="1228">
        <v>3545.34</v>
      </c>
      <c r="N1664" s="1228">
        <v>204.36</v>
      </c>
    </row>
    <row r="1665" spans="1:14" ht="15">
      <c r="A1665" s="705"/>
      <c r="B1665" s="705"/>
      <c r="C1665" s="1227">
        <v>42050</v>
      </c>
      <c r="D1665" s="703">
        <v>12638</v>
      </c>
      <c r="E1665" s="1228">
        <v>9853.85</v>
      </c>
      <c r="F1665" s="1228">
        <v>19262.84</v>
      </c>
      <c r="G1665" s="1228">
        <v>14358.54</v>
      </c>
      <c r="H1665" s="1228">
        <v>10117.36</v>
      </c>
      <c r="I1665" s="1228">
        <v>9357.6</v>
      </c>
      <c r="J1665" s="708">
        <v>106.92</v>
      </c>
      <c r="K1665" s="1228">
        <v>1630.07</v>
      </c>
      <c r="L1665" s="1228">
        <v>387.41</v>
      </c>
      <c r="M1665" s="1228">
        <v>3545.34</v>
      </c>
      <c r="N1665" s="1228">
        <v>204.36</v>
      </c>
    </row>
    <row r="1666" spans="1:14" ht="15">
      <c r="A1666" s="705"/>
      <c r="B1666" s="705"/>
      <c r="C1666" s="1227">
        <v>42051</v>
      </c>
      <c r="D1666" s="703">
        <v>12638</v>
      </c>
      <c r="E1666" s="1228">
        <v>9853.85</v>
      </c>
      <c r="F1666" s="1228">
        <v>19262.84</v>
      </c>
      <c r="G1666" s="1228">
        <v>14358.54</v>
      </c>
      <c r="H1666" s="1228">
        <v>10117.36</v>
      </c>
      <c r="I1666" s="1228">
        <v>9357.6</v>
      </c>
      <c r="J1666" s="708">
        <v>106.92</v>
      </c>
      <c r="K1666" s="1228">
        <v>1630.07</v>
      </c>
      <c r="L1666" s="1228">
        <v>387.41</v>
      </c>
      <c r="M1666" s="1228">
        <v>3545.34</v>
      </c>
      <c r="N1666" s="1228">
        <v>204.36</v>
      </c>
    </row>
    <row r="1667" spans="1:14" ht="15">
      <c r="A1667" s="705"/>
      <c r="B1667" s="705"/>
      <c r="C1667" s="1227">
        <v>42052</v>
      </c>
      <c r="D1667" s="703">
        <v>12638</v>
      </c>
      <c r="E1667" s="1228">
        <v>9853.85</v>
      </c>
      <c r="F1667" s="1228">
        <v>19262.84</v>
      </c>
      <c r="G1667" s="1228">
        <v>14358.54</v>
      </c>
      <c r="H1667" s="1228">
        <v>10117.36</v>
      </c>
      <c r="I1667" s="1228">
        <v>9357.6</v>
      </c>
      <c r="J1667" s="708">
        <v>106.92</v>
      </c>
      <c r="K1667" s="1228">
        <v>1630.07</v>
      </c>
      <c r="L1667" s="1228">
        <v>387.41</v>
      </c>
      <c r="M1667" s="1228">
        <v>3545.34</v>
      </c>
      <c r="N1667" s="1228">
        <v>204.36</v>
      </c>
    </row>
    <row r="1668" spans="1:14" ht="15">
      <c r="A1668" s="705"/>
      <c r="B1668" s="705"/>
      <c r="C1668" s="1227">
        <v>42053</v>
      </c>
      <c r="D1668" s="703">
        <v>12748</v>
      </c>
      <c r="E1668" s="1228">
        <v>9884.1299999999992</v>
      </c>
      <c r="F1668" s="1228">
        <v>19552.830000000002</v>
      </c>
      <c r="G1668" s="1228">
        <v>14497.05</v>
      </c>
      <c r="H1668" s="1228">
        <v>10179.67</v>
      </c>
      <c r="I1668" s="1228">
        <v>9398.81</v>
      </c>
      <c r="J1668" s="708">
        <v>106.88</v>
      </c>
      <c r="K1668" s="1228">
        <v>1643.9</v>
      </c>
      <c r="L1668" s="1228">
        <v>390.79</v>
      </c>
      <c r="M1668" s="1228">
        <v>3556.57</v>
      </c>
      <c r="N1668" s="1228">
        <v>204.82</v>
      </c>
    </row>
    <row r="1669" spans="1:14" ht="15">
      <c r="A1669" s="705"/>
      <c r="B1669" s="705"/>
      <c r="C1669" s="1227">
        <v>42054</v>
      </c>
      <c r="D1669" s="703">
        <v>12748</v>
      </c>
      <c r="E1669" s="1228">
        <v>9884.1299999999992</v>
      </c>
      <c r="F1669" s="1228">
        <v>19552.830000000002</v>
      </c>
      <c r="G1669" s="1228">
        <v>14497.05</v>
      </c>
      <c r="H1669" s="1228">
        <v>10179.67</v>
      </c>
      <c r="I1669" s="1228">
        <v>9398.81</v>
      </c>
      <c r="J1669" s="708">
        <v>106.88</v>
      </c>
      <c r="K1669" s="1228">
        <v>1643.9</v>
      </c>
      <c r="L1669" s="1228">
        <v>390.79</v>
      </c>
      <c r="M1669" s="1228">
        <v>3556.57</v>
      </c>
      <c r="N1669" s="1228">
        <v>204.82</v>
      </c>
    </row>
    <row r="1670" spans="1:14" ht="15">
      <c r="A1670" s="705"/>
      <c r="B1670" s="705"/>
      <c r="C1670" s="1227">
        <v>42055</v>
      </c>
      <c r="D1670" s="703">
        <v>12748</v>
      </c>
      <c r="E1670" s="1228">
        <v>9884.1299999999992</v>
      </c>
      <c r="F1670" s="1228">
        <v>19552.830000000002</v>
      </c>
      <c r="G1670" s="1228">
        <v>14497.05</v>
      </c>
      <c r="H1670" s="1228">
        <v>10179.67</v>
      </c>
      <c r="I1670" s="1228">
        <v>9398.81</v>
      </c>
      <c r="J1670" s="708">
        <v>106.88</v>
      </c>
      <c r="K1670" s="1228">
        <v>1643.9</v>
      </c>
      <c r="L1670" s="1228">
        <v>390.79</v>
      </c>
      <c r="M1670" s="1228">
        <v>3556.57</v>
      </c>
      <c r="N1670" s="1228">
        <v>204.82</v>
      </c>
    </row>
    <row r="1671" spans="1:14" ht="15">
      <c r="A1671" s="705"/>
      <c r="B1671" s="705"/>
      <c r="C1671" s="1227">
        <v>42056</v>
      </c>
      <c r="D1671" s="703">
        <v>12748</v>
      </c>
      <c r="E1671" s="1228">
        <v>9884.1299999999992</v>
      </c>
      <c r="F1671" s="1228">
        <v>19552.830000000002</v>
      </c>
      <c r="G1671" s="1228">
        <v>14497.05</v>
      </c>
      <c r="H1671" s="1228">
        <v>10179.67</v>
      </c>
      <c r="I1671" s="1228">
        <v>9398.81</v>
      </c>
      <c r="J1671" s="708">
        <v>106.88</v>
      </c>
      <c r="K1671" s="1228">
        <v>1643.9</v>
      </c>
      <c r="L1671" s="1228">
        <v>390.79</v>
      </c>
      <c r="M1671" s="1228">
        <v>3556.57</v>
      </c>
      <c r="N1671" s="1228">
        <v>204.82</v>
      </c>
    </row>
    <row r="1672" spans="1:14" ht="15">
      <c r="A1672" s="705"/>
      <c r="B1672" s="705"/>
      <c r="C1672" s="1227">
        <v>42057</v>
      </c>
      <c r="D1672" s="703">
        <v>12748</v>
      </c>
      <c r="E1672" s="1228">
        <v>9884.1299999999992</v>
      </c>
      <c r="F1672" s="1228">
        <v>19552.830000000002</v>
      </c>
      <c r="G1672" s="1228">
        <v>14497.05</v>
      </c>
      <c r="H1672" s="1228">
        <v>10179.67</v>
      </c>
      <c r="I1672" s="1228">
        <v>9398.81</v>
      </c>
      <c r="J1672" s="708">
        <v>106.88</v>
      </c>
      <c r="K1672" s="1228">
        <v>1643.9</v>
      </c>
      <c r="L1672" s="1228">
        <v>390.79</v>
      </c>
      <c r="M1672" s="1228">
        <v>3556.57</v>
      </c>
      <c r="N1672" s="1228">
        <v>204.82</v>
      </c>
    </row>
    <row r="1673" spans="1:14" ht="15">
      <c r="A1673" s="705"/>
      <c r="B1673" s="705"/>
      <c r="C1673" s="1227">
        <v>42058</v>
      </c>
      <c r="D1673" s="703">
        <v>12748</v>
      </c>
      <c r="E1673" s="1228">
        <v>9884.1299999999992</v>
      </c>
      <c r="F1673" s="1228">
        <v>19552.830000000002</v>
      </c>
      <c r="G1673" s="1228">
        <v>14497.05</v>
      </c>
      <c r="H1673" s="1228">
        <v>10179.67</v>
      </c>
      <c r="I1673" s="1228">
        <v>9398.81</v>
      </c>
      <c r="J1673" s="708">
        <v>106.88</v>
      </c>
      <c r="K1673" s="1228">
        <v>1643.9</v>
      </c>
      <c r="L1673" s="1228">
        <v>390.79</v>
      </c>
      <c r="M1673" s="1228">
        <v>3556.57</v>
      </c>
      <c r="N1673" s="1228">
        <v>204.82</v>
      </c>
    </row>
    <row r="1674" spans="1:14" ht="15">
      <c r="A1674" s="705"/>
      <c r="B1674" s="705"/>
      <c r="C1674" s="1227">
        <v>42059</v>
      </c>
      <c r="D1674" s="703">
        <v>12748</v>
      </c>
      <c r="E1674" s="1228">
        <v>9884.1299999999992</v>
      </c>
      <c r="F1674" s="1228">
        <v>19552.830000000002</v>
      </c>
      <c r="G1674" s="1228">
        <v>14497.05</v>
      </c>
      <c r="H1674" s="1228">
        <v>10179.67</v>
      </c>
      <c r="I1674" s="1228">
        <v>9398.81</v>
      </c>
      <c r="J1674" s="708">
        <v>106.88</v>
      </c>
      <c r="K1674" s="1228">
        <v>1643.9</v>
      </c>
      <c r="L1674" s="1228">
        <v>390.79</v>
      </c>
      <c r="M1674" s="1228">
        <v>3556.57</v>
      </c>
      <c r="N1674" s="1228">
        <v>204.82</v>
      </c>
    </row>
    <row r="1675" spans="1:14" ht="15">
      <c r="A1675" s="705"/>
      <c r="B1675" s="705"/>
      <c r="C1675" s="1227">
        <v>42060</v>
      </c>
      <c r="D1675" s="703">
        <v>12821</v>
      </c>
      <c r="E1675" s="1228">
        <v>10025.040000000001</v>
      </c>
      <c r="F1675" s="1228">
        <v>19738.54</v>
      </c>
      <c r="G1675" s="1228">
        <v>14599.87</v>
      </c>
      <c r="H1675" s="1228">
        <v>10268.15</v>
      </c>
      <c r="I1675" s="1228">
        <v>9440.23</v>
      </c>
      <c r="J1675" s="708">
        <v>107.73</v>
      </c>
      <c r="K1675" s="1228">
        <v>1652.46</v>
      </c>
      <c r="L1675" s="1228">
        <v>393.6</v>
      </c>
      <c r="M1675" s="1228">
        <v>3537.93</v>
      </c>
      <c r="N1675" s="1228">
        <v>205.97</v>
      </c>
    </row>
    <row r="1676" spans="1:14" ht="15">
      <c r="A1676" s="705"/>
      <c r="B1676" s="705"/>
      <c r="C1676" s="1227">
        <v>42061</v>
      </c>
      <c r="D1676" s="703">
        <v>12821</v>
      </c>
      <c r="E1676" s="1228">
        <v>10025.040000000001</v>
      </c>
      <c r="F1676" s="1228">
        <v>19738.54</v>
      </c>
      <c r="G1676" s="1228">
        <v>14599.87</v>
      </c>
      <c r="H1676" s="1228">
        <v>10268.15</v>
      </c>
      <c r="I1676" s="1228">
        <v>9440.23</v>
      </c>
      <c r="J1676" s="708">
        <v>107.73</v>
      </c>
      <c r="K1676" s="1228">
        <v>1652.46</v>
      </c>
      <c r="L1676" s="1228">
        <v>393.6</v>
      </c>
      <c r="M1676" s="1228">
        <v>3537.93</v>
      </c>
      <c r="N1676" s="1228">
        <v>205.97</v>
      </c>
    </row>
    <row r="1677" spans="1:14" ht="15">
      <c r="A1677" s="705"/>
      <c r="B1677" s="705"/>
      <c r="C1677" s="1227">
        <v>42062</v>
      </c>
      <c r="D1677" s="703">
        <v>12821</v>
      </c>
      <c r="E1677" s="1228">
        <v>10025.040000000001</v>
      </c>
      <c r="F1677" s="1228">
        <v>19738.54</v>
      </c>
      <c r="G1677" s="1228">
        <v>14599.87</v>
      </c>
      <c r="H1677" s="1228">
        <v>10268.15</v>
      </c>
      <c r="I1677" s="1228">
        <v>9440.23</v>
      </c>
      <c r="J1677" s="708">
        <v>107.73</v>
      </c>
      <c r="K1677" s="1228">
        <v>1652.46</v>
      </c>
      <c r="L1677" s="1228">
        <v>393.6</v>
      </c>
      <c r="M1677" s="1228">
        <v>3537.93</v>
      </c>
      <c r="N1677" s="1228">
        <v>205.97</v>
      </c>
    </row>
    <row r="1678" spans="1:14" ht="15">
      <c r="A1678" s="705"/>
      <c r="B1678" s="705"/>
      <c r="C1678" s="1227">
        <v>42063</v>
      </c>
      <c r="D1678" s="703">
        <v>12821</v>
      </c>
      <c r="E1678" s="1228">
        <v>10025.040000000001</v>
      </c>
      <c r="F1678" s="1228">
        <v>19738.54</v>
      </c>
      <c r="G1678" s="1228">
        <v>14599.87</v>
      </c>
      <c r="H1678" s="1228">
        <v>10268.15</v>
      </c>
      <c r="I1678" s="1228">
        <v>9440.23</v>
      </c>
      <c r="J1678" s="708">
        <v>107.73</v>
      </c>
      <c r="K1678" s="1228">
        <v>1652.46</v>
      </c>
      <c r="L1678" s="1228">
        <v>393.6</v>
      </c>
      <c r="M1678" s="1228">
        <v>3537.93</v>
      </c>
      <c r="N1678" s="1228">
        <v>205.97</v>
      </c>
    </row>
    <row r="1679" spans="1:14" ht="15">
      <c r="A1679" s="705"/>
      <c r="B1679" s="705"/>
      <c r="C1679" s="1227">
        <v>42064</v>
      </c>
      <c r="D1679" s="703">
        <v>12821</v>
      </c>
      <c r="E1679" s="1228">
        <v>10025.040000000001</v>
      </c>
      <c r="F1679" s="1228">
        <v>19738.54</v>
      </c>
      <c r="G1679" s="1228">
        <v>14599.87</v>
      </c>
      <c r="H1679" s="1228">
        <v>10268.15</v>
      </c>
      <c r="I1679" s="1228">
        <v>9440.23</v>
      </c>
      <c r="J1679" s="708">
        <v>107.73</v>
      </c>
      <c r="K1679" s="1228">
        <v>1652.46</v>
      </c>
      <c r="L1679" s="1228">
        <v>393.6</v>
      </c>
      <c r="M1679" s="1228">
        <v>3537.93</v>
      </c>
      <c r="N1679" s="1228">
        <v>205.97</v>
      </c>
    </row>
    <row r="1680" spans="1:14" ht="15">
      <c r="A1680" s="705"/>
      <c r="B1680" s="705"/>
      <c r="C1680" s="1227">
        <v>42065</v>
      </c>
      <c r="D1680" s="703">
        <v>12821</v>
      </c>
      <c r="E1680" s="1228">
        <v>10025.040000000001</v>
      </c>
      <c r="F1680" s="1228">
        <v>19738.54</v>
      </c>
      <c r="G1680" s="1228">
        <v>14599.87</v>
      </c>
      <c r="H1680" s="1228">
        <v>10268.15</v>
      </c>
      <c r="I1680" s="1228">
        <v>9440.23</v>
      </c>
      <c r="J1680" s="708">
        <v>107.73</v>
      </c>
      <c r="K1680" s="1228">
        <v>1652.46</v>
      </c>
      <c r="L1680" s="1228">
        <v>393.6</v>
      </c>
      <c r="M1680" s="1228">
        <v>3537.93</v>
      </c>
      <c r="N1680" s="1228">
        <v>205.97</v>
      </c>
    </row>
    <row r="1681" spans="1:14" ht="15">
      <c r="A1681" s="705"/>
      <c r="B1681" s="705"/>
      <c r="C1681" s="1227">
        <v>42066</v>
      </c>
      <c r="D1681" s="703">
        <v>12821</v>
      </c>
      <c r="E1681" s="1228">
        <v>10025.040000000001</v>
      </c>
      <c r="F1681" s="1228">
        <v>19738.54</v>
      </c>
      <c r="G1681" s="1228">
        <v>14599.87</v>
      </c>
      <c r="H1681" s="1228">
        <v>10268.15</v>
      </c>
      <c r="I1681" s="1228">
        <v>9440.23</v>
      </c>
      <c r="J1681" s="708">
        <v>107.73</v>
      </c>
      <c r="K1681" s="1228">
        <v>1652.46</v>
      </c>
      <c r="L1681" s="1228">
        <v>393.6</v>
      </c>
      <c r="M1681" s="1228">
        <v>3537.93</v>
      </c>
      <c r="N1681" s="1228">
        <v>205.97</v>
      </c>
    </row>
    <row r="1682" spans="1:14" ht="15">
      <c r="A1682" s="705"/>
      <c r="B1682" s="705"/>
      <c r="C1682" s="1227">
        <v>42067</v>
      </c>
      <c r="D1682" s="703">
        <v>12907</v>
      </c>
      <c r="E1682" s="1228">
        <v>10091.93</v>
      </c>
      <c r="F1682" s="1228">
        <v>19933.73</v>
      </c>
      <c r="G1682" s="1228">
        <v>14525.09</v>
      </c>
      <c r="H1682" s="1228">
        <v>10332.06</v>
      </c>
      <c r="I1682" s="1228">
        <v>9496.01</v>
      </c>
      <c r="J1682" s="708">
        <v>108.14</v>
      </c>
      <c r="K1682" s="1228">
        <v>1664.09</v>
      </c>
      <c r="L1682" s="1228">
        <v>397.99</v>
      </c>
      <c r="M1682" s="1228">
        <v>3572.23</v>
      </c>
      <c r="N1682" s="1228">
        <v>208.37</v>
      </c>
    </row>
    <row r="1683" spans="1:14" ht="15">
      <c r="A1683" s="705"/>
      <c r="B1683" s="705"/>
      <c r="C1683" s="1227">
        <v>42068</v>
      </c>
      <c r="D1683" s="703">
        <v>12907</v>
      </c>
      <c r="E1683" s="1228">
        <v>10091.93</v>
      </c>
      <c r="F1683" s="1228">
        <v>19933.73</v>
      </c>
      <c r="G1683" s="1228">
        <v>14525.09</v>
      </c>
      <c r="H1683" s="1228">
        <v>10332.06</v>
      </c>
      <c r="I1683" s="1228">
        <v>9496.01</v>
      </c>
      <c r="J1683" s="708">
        <v>108.14</v>
      </c>
      <c r="K1683" s="1228">
        <v>1664.09</v>
      </c>
      <c r="L1683" s="1228">
        <v>397.99</v>
      </c>
      <c r="M1683" s="1228">
        <v>3572.23</v>
      </c>
      <c r="N1683" s="1228">
        <v>208.37</v>
      </c>
    </row>
    <row r="1684" spans="1:14" ht="15">
      <c r="A1684" s="705"/>
      <c r="B1684" s="705"/>
      <c r="C1684" s="1227">
        <v>42069</v>
      </c>
      <c r="D1684" s="703">
        <v>12907</v>
      </c>
      <c r="E1684" s="1228">
        <v>10091.93</v>
      </c>
      <c r="F1684" s="1228">
        <v>19933.73</v>
      </c>
      <c r="G1684" s="1228">
        <v>14525.09</v>
      </c>
      <c r="H1684" s="1228">
        <v>10332.06</v>
      </c>
      <c r="I1684" s="1228">
        <v>9496.01</v>
      </c>
      <c r="J1684" s="708">
        <v>108.14</v>
      </c>
      <c r="K1684" s="1228">
        <v>1664.09</v>
      </c>
      <c r="L1684" s="1228">
        <v>397.99</v>
      </c>
      <c r="M1684" s="1228">
        <v>3572.23</v>
      </c>
      <c r="N1684" s="1228">
        <v>208.37</v>
      </c>
    </row>
    <row r="1685" spans="1:14" ht="15">
      <c r="A1685" s="705"/>
      <c r="B1685" s="705"/>
      <c r="C1685" s="1227">
        <v>42070</v>
      </c>
      <c r="D1685" s="703">
        <v>12907</v>
      </c>
      <c r="E1685" s="1228">
        <v>10091.93</v>
      </c>
      <c r="F1685" s="1228">
        <v>19933.73</v>
      </c>
      <c r="G1685" s="1228">
        <v>14525.09</v>
      </c>
      <c r="H1685" s="1228">
        <v>10332.06</v>
      </c>
      <c r="I1685" s="1228">
        <v>9496.01</v>
      </c>
      <c r="J1685" s="708">
        <v>108.14</v>
      </c>
      <c r="K1685" s="1228">
        <v>1664.09</v>
      </c>
      <c r="L1685" s="1228">
        <v>397.99</v>
      </c>
      <c r="M1685" s="1228">
        <v>3572.23</v>
      </c>
      <c r="N1685" s="1228">
        <v>208.37</v>
      </c>
    </row>
    <row r="1686" spans="1:14" ht="15">
      <c r="A1686" s="705"/>
      <c r="B1686" s="705"/>
      <c r="C1686" s="1227">
        <v>42071</v>
      </c>
      <c r="D1686" s="703">
        <v>12907</v>
      </c>
      <c r="E1686" s="1228">
        <v>10091.93</v>
      </c>
      <c r="F1686" s="1228">
        <v>19933.73</v>
      </c>
      <c r="G1686" s="1228">
        <v>14525.09</v>
      </c>
      <c r="H1686" s="1228">
        <v>10332.06</v>
      </c>
      <c r="I1686" s="1228">
        <v>9496.01</v>
      </c>
      <c r="J1686" s="708">
        <v>108.14</v>
      </c>
      <c r="K1686" s="1228">
        <v>1664.09</v>
      </c>
      <c r="L1686" s="1228">
        <v>397.99</v>
      </c>
      <c r="M1686" s="1228">
        <v>3572.23</v>
      </c>
      <c r="N1686" s="1228">
        <v>208.37</v>
      </c>
    </row>
    <row r="1687" spans="1:14" ht="15">
      <c r="A1687" s="705"/>
      <c r="B1687" s="705"/>
      <c r="C1687" s="1227">
        <v>42072</v>
      </c>
      <c r="D1687" s="703">
        <v>12907</v>
      </c>
      <c r="E1687" s="1228">
        <v>10091.93</v>
      </c>
      <c r="F1687" s="1228">
        <v>19933.73</v>
      </c>
      <c r="G1687" s="1228">
        <v>14525.09</v>
      </c>
      <c r="H1687" s="1228">
        <v>10332.06</v>
      </c>
      <c r="I1687" s="1228">
        <v>9496.01</v>
      </c>
      <c r="J1687" s="708">
        <v>108.14</v>
      </c>
      <c r="K1687" s="1228">
        <v>1664.09</v>
      </c>
      <c r="L1687" s="1228">
        <v>397.99</v>
      </c>
      <c r="M1687" s="1228">
        <v>3572.23</v>
      </c>
      <c r="N1687" s="1228">
        <v>208.37</v>
      </c>
    </row>
    <row r="1688" spans="1:14" ht="15">
      <c r="A1688" s="705"/>
      <c r="B1688" s="705"/>
      <c r="C1688" s="1227">
        <v>42073</v>
      </c>
      <c r="D1688" s="703">
        <v>12907</v>
      </c>
      <c r="E1688" s="1228">
        <v>10091.93</v>
      </c>
      <c r="F1688" s="1228">
        <v>19933.73</v>
      </c>
      <c r="G1688" s="1228">
        <v>14525.09</v>
      </c>
      <c r="H1688" s="1228">
        <v>10332.06</v>
      </c>
      <c r="I1688" s="1228">
        <v>9496.01</v>
      </c>
      <c r="J1688" s="708">
        <v>108.14</v>
      </c>
      <c r="K1688" s="1228">
        <v>1664.09</v>
      </c>
      <c r="L1688" s="1228">
        <v>397.99</v>
      </c>
      <c r="M1688" s="1228">
        <v>3572.23</v>
      </c>
      <c r="N1688" s="1228">
        <v>208.37</v>
      </c>
    </row>
    <row r="1689" spans="1:14" ht="15">
      <c r="A1689" s="705"/>
      <c r="B1689" s="705"/>
      <c r="C1689" s="1227">
        <v>42074</v>
      </c>
      <c r="D1689" s="703">
        <v>12998</v>
      </c>
      <c r="E1689" s="1228">
        <v>10092.59</v>
      </c>
      <c r="F1689" s="1228">
        <v>19746.13</v>
      </c>
      <c r="G1689" s="1228">
        <v>14288.34</v>
      </c>
      <c r="H1689" s="1228">
        <v>10373.200000000001</v>
      </c>
      <c r="I1689" s="1228">
        <v>9472.2099999999991</v>
      </c>
      <c r="J1689" s="708">
        <v>108.05</v>
      </c>
      <c r="K1689" s="1228">
        <v>1675.61</v>
      </c>
      <c r="L1689" s="1228">
        <v>400.3</v>
      </c>
      <c r="M1689" s="1228">
        <v>3558.93</v>
      </c>
      <c r="N1689" s="1228">
        <v>208.74</v>
      </c>
    </row>
    <row r="1690" spans="1:14" ht="15">
      <c r="A1690" s="705"/>
      <c r="B1690" s="705"/>
      <c r="C1690" s="1227">
        <v>42075</v>
      </c>
      <c r="D1690" s="703">
        <v>12998</v>
      </c>
      <c r="E1690" s="1228">
        <v>10092.59</v>
      </c>
      <c r="F1690" s="1228">
        <v>19746.13</v>
      </c>
      <c r="G1690" s="1228">
        <v>14288.34</v>
      </c>
      <c r="H1690" s="1228">
        <v>10373.200000000001</v>
      </c>
      <c r="I1690" s="1228">
        <v>9472.2099999999991</v>
      </c>
      <c r="J1690" s="708">
        <v>108.05</v>
      </c>
      <c r="K1690" s="1228">
        <v>1675.61</v>
      </c>
      <c r="L1690" s="1228">
        <v>400.3</v>
      </c>
      <c r="M1690" s="1228">
        <v>3558.93</v>
      </c>
      <c r="N1690" s="1228">
        <v>208.74</v>
      </c>
    </row>
    <row r="1691" spans="1:14" ht="15">
      <c r="A1691" s="705"/>
      <c r="B1691" s="705"/>
      <c r="C1691" s="1227">
        <v>42076</v>
      </c>
      <c r="D1691" s="703">
        <v>12998</v>
      </c>
      <c r="E1691" s="1228">
        <v>10092.59</v>
      </c>
      <c r="F1691" s="1228">
        <v>19746.13</v>
      </c>
      <c r="G1691" s="1228">
        <v>14288.34</v>
      </c>
      <c r="H1691" s="1228">
        <v>10373.200000000001</v>
      </c>
      <c r="I1691" s="1228">
        <v>9472.2099999999991</v>
      </c>
      <c r="J1691" s="708">
        <v>108.05</v>
      </c>
      <c r="K1691" s="1228">
        <v>1675.61</v>
      </c>
      <c r="L1691" s="1228">
        <v>400.3</v>
      </c>
      <c r="M1691" s="1228">
        <v>3558.93</v>
      </c>
      <c r="N1691" s="1228">
        <v>208.74</v>
      </c>
    </row>
    <row r="1692" spans="1:14" ht="15">
      <c r="A1692" s="705"/>
      <c r="B1692" s="705"/>
      <c r="C1692" s="1227">
        <v>42077</v>
      </c>
      <c r="D1692" s="703">
        <v>12998</v>
      </c>
      <c r="E1692" s="1228">
        <v>10092.59</v>
      </c>
      <c r="F1692" s="1228">
        <v>19746.13</v>
      </c>
      <c r="G1692" s="1228">
        <v>14288.34</v>
      </c>
      <c r="H1692" s="1228">
        <v>10373.200000000001</v>
      </c>
      <c r="I1692" s="1228">
        <v>9472.2099999999991</v>
      </c>
      <c r="J1692" s="708">
        <v>108.05</v>
      </c>
      <c r="K1692" s="1228">
        <v>1675.61</v>
      </c>
      <c r="L1692" s="1228">
        <v>400.3</v>
      </c>
      <c r="M1692" s="1228">
        <v>3558.93</v>
      </c>
      <c r="N1692" s="1228">
        <v>208.74</v>
      </c>
    </row>
    <row r="1693" spans="1:14" ht="15">
      <c r="A1693" s="705"/>
      <c r="B1693" s="705"/>
      <c r="C1693" s="1227">
        <v>42078</v>
      </c>
      <c r="D1693" s="703">
        <v>12998</v>
      </c>
      <c r="E1693" s="1228">
        <v>10092.59</v>
      </c>
      <c r="F1693" s="1228">
        <v>19746.13</v>
      </c>
      <c r="G1693" s="1228">
        <v>14288.34</v>
      </c>
      <c r="H1693" s="1228">
        <v>10373.200000000001</v>
      </c>
      <c r="I1693" s="1228">
        <v>9472.2099999999991</v>
      </c>
      <c r="J1693" s="708">
        <v>108.05</v>
      </c>
      <c r="K1693" s="1228">
        <v>1675.61</v>
      </c>
      <c r="L1693" s="1228">
        <v>400.3</v>
      </c>
      <c r="M1693" s="1228">
        <v>3558.93</v>
      </c>
      <c r="N1693" s="1228">
        <v>208.74</v>
      </c>
    </row>
    <row r="1694" spans="1:14" ht="15">
      <c r="A1694" s="705"/>
      <c r="B1694" s="705"/>
      <c r="C1694" s="1227">
        <v>42079</v>
      </c>
      <c r="D1694" s="703">
        <v>12998</v>
      </c>
      <c r="E1694" s="1228">
        <v>10092.59</v>
      </c>
      <c r="F1694" s="1228">
        <v>19746.13</v>
      </c>
      <c r="G1694" s="1228">
        <v>14288.34</v>
      </c>
      <c r="H1694" s="1228">
        <v>10373.200000000001</v>
      </c>
      <c r="I1694" s="1228">
        <v>9472.2099999999991</v>
      </c>
      <c r="J1694" s="708">
        <v>108.05</v>
      </c>
      <c r="K1694" s="1228">
        <v>1675.61</v>
      </c>
      <c r="L1694" s="1228">
        <v>400.3</v>
      </c>
      <c r="M1694" s="1228">
        <v>3558.93</v>
      </c>
      <c r="N1694" s="1228">
        <v>208.74</v>
      </c>
    </row>
    <row r="1695" spans="1:14" ht="15">
      <c r="A1695" s="705"/>
      <c r="B1695" s="705"/>
      <c r="C1695" s="1227">
        <v>42080</v>
      </c>
      <c r="D1695" s="703">
        <v>12998</v>
      </c>
      <c r="E1695" s="1228">
        <v>10092.59</v>
      </c>
      <c r="F1695" s="1228">
        <v>19746.13</v>
      </c>
      <c r="G1695" s="1228">
        <v>14288.34</v>
      </c>
      <c r="H1695" s="1228">
        <v>10373.200000000001</v>
      </c>
      <c r="I1695" s="1228">
        <v>9472.2099999999991</v>
      </c>
      <c r="J1695" s="708">
        <v>108.05</v>
      </c>
      <c r="K1695" s="1228">
        <v>1675.61</v>
      </c>
      <c r="L1695" s="1228">
        <v>400.3</v>
      </c>
      <c r="M1695" s="1228">
        <v>3558.93</v>
      </c>
      <c r="N1695" s="1228">
        <v>208.74</v>
      </c>
    </row>
    <row r="1696" spans="1:14" ht="15">
      <c r="A1696" s="705"/>
      <c r="B1696" s="705"/>
      <c r="C1696" s="1227">
        <v>42081</v>
      </c>
      <c r="D1696" s="703">
        <v>13183</v>
      </c>
      <c r="E1696" s="1228">
        <v>10073.66</v>
      </c>
      <c r="F1696" s="1228">
        <v>19612.61</v>
      </c>
      <c r="G1696" s="1228">
        <v>13947.61</v>
      </c>
      <c r="H1696" s="1228">
        <v>10347.24</v>
      </c>
      <c r="I1696" s="1228">
        <v>9490.32</v>
      </c>
      <c r="J1696" s="708">
        <v>108.67</v>
      </c>
      <c r="K1696" s="1228">
        <v>1697.41</v>
      </c>
      <c r="L1696" s="1228">
        <v>401.35</v>
      </c>
      <c r="M1696" s="1228">
        <v>3567.91</v>
      </c>
      <c r="N1696" s="1228">
        <v>210.06</v>
      </c>
    </row>
    <row r="1697" spans="1:14" ht="15">
      <c r="A1697" s="705"/>
      <c r="B1697" s="705"/>
      <c r="C1697" s="1227">
        <v>42082</v>
      </c>
      <c r="D1697" s="703">
        <v>13183</v>
      </c>
      <c r="E1697" s="1228">
        <v>10073.66</v>
      </c>
      <c r="F1697" s="1228">
        <v>19612.61</v>
      </c>
      <c r="G1697" s="1228">
        <v>13947.61</v>
      </c>
      <c r="H1697" s="1228">
        <v>10347.24</v>
      </c>
      <c r="I1697" s="1228">
        <v>9490.32</v>
      </c>
      <c r="J1697" s="708">
        <v>108.67</v>
      </c>
      <c r="K1697" s="1228">
        <v>1697.41</v>
      </c>
      <c r="L1697" s="1228">
        <v>401.35</v>
      </c>
      <c r="M1697" s="1228">
        <v>3567.91</v>
      </c>
      <c r="N1697" s="1228">
        <v>210.06</v>
      </c>
    </row>
    <row r="1698" spans="1:14" ht="15">
      <c r="A1698" s="705"/>
      <c r="B1698" s="705"/>
      <c r="C1698" s="1227">
        <v>42083</v>
      </c>
      <c r="D1698" s="703">
        <v>13183</v>
      </c>
      <c r="E1698" s="1228">
        <v>10073.66</v>
      </c>
      <c r="F1698" s="1228">
        <v>19612.61</v>
      </c>
      <c r="G1698" s="1228">
        <v>13947.61</v>
      </c>
      <c r="H1698" s="1228">
        <v>10347.24</v>
      </c>
      <c r="I1698" s="1228">
        <v>9490.32</v>
      </c>
      <c r="J1698" s="708">
        <v>108.67</v>
      </c>
      <c r="K1698" s="1228">
        <v>1697.41</v>
      </c>
      <c r="L1698" s="1228">
        <v>401.35</v>
      </c>
      <c r="M1698" s="1228">
        <v>3567.91</v>
      </c>
      <c r="N1698" s="1228">
        <v>210.06</v>
      </c>
    </row>
    <row r="1699" spans="1:14" ht="15">
      <c r="A1699" s="705"/>
      <c r="B1699" s="705"/>
      <c r="C1699" s="1227">
        <v>42084</v>
      </c>
      <c r="D1699" s="703">
        <v>13183</v>
      </c>
      <c r="E1699" s="1228">
        <v>10073.66</v>
      </c>
      <c r="F1699" s="1228">
        <v>19612.61</v>
      </c>
      <c r="G1699" s="1228">
        <v>13947.61</v>
      </c>
      <c r="H1699" s="1228">
        <v>10347.24</v>
      </c>
      <c r="I1699" s="1228">
        <v>9490.32</v>
      </c>
      <c r="J1699" s="708">
        <v>108.67</v>
      </c>
      <c r="K1699" s="1228">
        <v>1697.41</v>
      </c>
      <c r="L1699" s="1228">
        <v>401.35</v>
      </c>
      <c r="M1699" s="1228">
        <v>3567.91</v>
      </c>
      <c r="N1699" s="1228">
        <v>210.06</v>
      </c>
    </row>
    <row r="1700" spans="1:14" ht="15">
      <c r="A1700" s="705"/>
      <c r="B1700" s="705"/>
      <c r="C1700" s="1227">
        <v>42085</v>
      </c>
      <c r="D1700" s="703">
        <v>13183</v>
      </c>
      <c r="E1700" s="1228">
        <v>10073.66</v>
      </c>
      <c r="F1700" s="1228">
        <v>19612.61</v>
      </c>
      <c r="G1700" s="1228">
        <v>13947.61</v>
      </c>
      <c r="H1700" s="1228">
        <v>10347.24</v>
      </c>
      <c r="I1700" s="1228">
        <v>9490.32</v>
      </c>
      <c r="J1700" s="708">
        <v>108.67</v>
      </c>
      <c r="K1700" s="1228">
        <v>1697.41</v>
      </c>
      <c r="L1700" s="1228">
        <v>401.35</v>
      </c>
      <c r="M1700" s="1228">
        <v>3567.91</v>
      </c>
      <c r="N1700" s="1228">
        <v>210.06</v>
      </c>
    </row>
    <row r="1701" spans="1:14" ht="15">
      <c r="A1701" s="705"/>
      <c r="B1701" s="705"/>
      <c r="C1701" s="1227">
        <v>42086</v>
      </c>
      <c r="D1701" s="703">
        <v>13183</v>
      </c>
      <c r="E1701" s="1228">
        <v>10073.66</v>
      </c>
      <c r="F1701" s="1228">
        <v>19612.61</v>
      </c>
      <c r="G1701" s="1228">
        <v>13947.61</v>
      </c>
      <c r="H1701" s="1228">
        <v>10347.24</v>
      </c>
      <c r="I1701" s="1228">
        <v>9490.32</v>
      </c>
      <c r="J1701" s="708">
        <v>108.67</v>
      </c>
      <c r="K1701" s="1228">
        <v>1697.41</v>
      </c>
      <c r="L1701" s="1228">
        <v>401.35</v>
      </c>
      <c r="M1701" s="1228">
        <v>3567.91</v>
      </c>
      <c r="N1701" s="1228">
        <v>210.06</v>
      </c>
    </row>
    <row r="1702" spans="1:14" ht="15">
      <c r="A1702" s="705"/>
      <c r="B1702" s="705"/>
      <c r="C1702" s="1227">
        <v>42087</v>
      </c>
      <c r="D1702" s="703">
        <v>13183</v>
      </c>
      <c r="E1702" s="1228">
        <v>10073.66</v>
      </c>
      <c r="F1702" s="1228">
        <v>19612.61</v>
      </c>
      <c r="G1702" s="1228">
        <v>13947.61</v>
      </c>
      <c r="H1702" s="1228">
        <v>10347.24</v>
      </c>
      <c r="I1702" s="1228">
        <v>9490.32</v>
      </c>
      <c r="J1702" s="708">
        <v>108.67</v>
      </c>
      <c r="K1702" s="1228">
        <v>1697.41</v>
      </c>
      <c r="L1702" s="1228">
        <v>401.35</v>
      </c>
      <c r="M1702" s="1228">
        <v>3567.91</v>
      </c>
      <c r="N1702" s="1228">
        <v>210.06</v>
      </c>
    </row>
    <row r="1703" spans="1:14" ht="15">
      <c r="A1703" s="705"/>
      <c r="B1703" s="705"/>
      <c r="C1703" s="1227">
        <v>42088</v>
      </c>
      <c r="D1703" s="703">
        <v>13122</v>
      </c>
      <c r="E1703" s="1228">
        <v>10129.61</v>
      </c>
      <c r="F1703" s="1228">
        <v>19516.810000000001</v>
      </c>
      <c r="G1703" s="1228">
        <v>14104.15</v>
      </c>
      <c r="H1703" s="1228">
        <v>10380.52</v>
      </c>
      <c r="I1703" s="1228">
        <v>9493.9599999999991</v>
      </c>
      <c r="J1703" s="708">
        <v>108.93</v>
      </c>
      <c r="K1703" s="1228">
        <v>1691.07</v>
      </c>
      <c r="L1703" s="1228">
        <v>401.25</v>
      </c>
      <c r="M1703" s="1228">
        <v>3536.67</v>
      </c>
      <c r="N1703" s="1228">
        <v>209.62</v>
      </c>
    </row>
    <row r="1704" spans="1:14" ht="15">
      <c r="A1704" s="705"/>
      <c r="B1704" s="705"/>
      <c r="C1704" s="1227">
        <v>42089</v>
      </c>
      <c r="D1704" s="703">
        <v>13122</v>
      </c>
      <c r="E1704" s="1228">
        <v>10129.61</v>
      </c>
      <c r="F1704" s="1228">
        <v>19516.810000000001</v>
      </c>
      <c r="G1704" s="1228">
        <v>14104.15</v>
      </c>
      <c r="H1704" s="1228">
        <v>10380.52</v>
      </c>
      <c r="I1704" s="1228">
        <v>9493.9599999999991</v>
      </c>
      <c r="J1704" s="708">
        <v>108.93</v>
      </c>
      <c r="K1704" s="1228">
        <v>1691.07</v>
      </c>
      <c r="L1704" s="1228">
        <v>401.25</v>
      </c>
      <c r="M1704" s="1228">
        <v>3536.67</v>
      </c>
      <c r="N1704" s="1228">
        <v>209.62</v>
      </c>
    </row>
    <row r="1705" spans="1:14" ht="15">
      <c r="A1705" s="705"/>
      <c r="B1705" s="705"/>
      <c r="C1705" s="1227">
        <v>42090</v>
      </c>
      <c r="D1705" s="703">
        <v>13122</v>
      </c>
      <c r="E1705" s="1228">
        <v>10129.61</v>
      </c>
      <c r="F1705" s="1228">
        <v>19516.810000000001</v>
      </c>
      <c r="G1705" s="1228">
        <v>14104.15</v>
      </c>
      <c r="H1705" s="1228">
        <v>10380.52</v>
      </c>
      <c r="I1705" s="1228">
        <v>9493.9599999999991</v>
      </c>
      <c r="J1705" s="708">
        <v>108.93</v>
      </c>
      <c r="K1705" s="1228">
        <v>1691.07</v>
      </c>
      <c r="L1705" s="1228">
        <v>401.25</v>
      </c>
      <c r="M1705" s="1228">
        <v>3536.67</v>
      </c>
      <c r="N1705" s="1228">
        <v>209.62</v>
      </c>
    </row>
    <row r="1706" spans="1:14" ht="15">
      <c r="A1706" s="705"/>
      <c r="B1706" s="705"/>
      <c r="C1706" s="1227">
        <v>42091</v>
      </c>
      <c r="D1706" s="703">
        <v>13122</v>
      </c>
      <c r="E1706" s="1228">
        <v>10129.61</v>
      </c>
      <c r="F1706" s="1228">
        <v>19516.810000000001</v>
      </c>
      <c r="G1706" s="1228">
        <v>14104.15</v>
      </c>
      <c r="H1706" s="1228">
        <v>10380.52</v>
      </c>
      <c r="I1706" s="1228">
        <v>9493.9599999999991</v>
      </c>
      <c r="J1706" s="708">
        <v>108.93</v>
      </c>
      <c r="K1706" s="1228">
        <v>1691.07</v>
      </c>
      <c r="L1706" s="1228">
        <v>401.25</v>
      </c>
      <c r="M1706" s="1228">
        <v>3536.67</v>
      </c>
      <c r="N1706" s="1228">
        <v>209.62</v>
      </c>
    </row>
    <row r="1707" spans="1:14" ht="15">
      <c r="A1707" s="705"/>
      <c r="B1707" s="705"/>
      <c r="C1707" s="1227">
        <v>42092</v>
      </c>
      <c r="D1707" s="703">
        <v>13122</v>
      </c>
      <c r="E1707" s="1228">
        <v>10129.61</v>
      </c>
      <c r="F1707" s="1228">
        <v>19516.810000000001</v>
      </c>
      <c r="G1707" s="1228">
        <v>14104.15</v>
      </c>
      <c r="H1707" s="1228">
        <v>10380.52</v>
      </c>
      <c r="I1707" s="1228">
        <v>9493.9599999999991</v>
      </c>
      <c r="J1707" s="708">
        <v>108.93</v>
      </c>
      <c r="K1707" s="1228">
        <v>1691.07</v>
      </c>
      <c r="L1707" s="1228">
        <v>401.25</v>
      </c>
      <c r="M1707" s="1228">
        <v>3536.67</v>
      </c>
      <c r="N1707" s="1228">
        <v>209.62</v>
      </c>
    </row>
    <row r="1708" spans="1:14" ht="15">
      <c r="A1708" s="705"/>
      <c r="B1708" s="705"/>
      <c r="C1708" s="1227">
        <v>42093</v>
      </c>
      <c r="D1708" s="703">
        <v>13122</v>
      </c>
      <c r="E1708" s="1228">
        <v>10129.61</v>
      </c>
      <c r="F1708" s="1228">
        <v>19516.810000000001</v>
      </c>
      <c r="G1708" s="1228">
        <v>14104.15</v>
      </c>
      <c r="H1708" s="1228">
        <v>10380.52</v>
      </c>
      <c r="I1708" s="1228">
        <v>9493.9599999999991</v>
      </c>
      <c r="J1708" s="708">
        <v>108.93</v>
      </c>
      <c r="K1708" s="1228">
        <v>1691.07</v>
      </c>
      <c r="L1708" s="1228">
        <v>401.25</v>
      </c>
      <c r="M1708" s="1228">
        <v>3536.67</v>
      </c>
      <c r="N1708" s="1228">
        <v>209.62</v>
      </c>
    </row>
    <row r="1709" spans="1:14" ht="15">
      <c r="A1709" s="705"/>
      <c r="B1709" s="705"/>
      <c r="C1709" s="1227">
        <v>42094</v>
      </c>
      <c r="D1709" s="703">
        <v>13122</v>
      </c>
      <c r="E1709" s="1228">
        <v>10129.61</v>
      </c>
      <c r="F1709" s="1228">
        <v>19516.810000000001</v>
      </c>
      <c r="G1709" s="1228">
        <v>14104.15</v>
      </c>
      <c r="H1709" s="1228">
        <v>10380.52</v>
      </c>
      <c r="I1709" s="1228">
        <v>9493.9599999999991</v>
      </c>
      <c r="J1709" s="708">
        <v>108.93</v>
      </c>
      <c r="K1709" s="1228">
        <v>1691.07</v>
      </c>
      <c r="L1709" s="1228">
        <v>401.25</v>
      </c>
      <c r="M1709" s="1228">
        <v>3536.67</v>
      </c>
      <c r="N1709" s="1228">
        <v>209.62</v>
      </c>
    </row>
    <row r="1710" spans="1:14" ht="15">
      <c r="A1710" s="705"/>
      <c r="B1710" s="705"/>
      <c r="C1710" s="1227">
        <v>42095</v>
      </c>
      <c r="D1710" s="703">
        <v>13011</v>
      </c>
      <c r="E1710" s="1228">
        <v>10154.25</v>
      </c>
      <c r="F1710" s="1228">
        <v>19340.78</v>
      </c>
      <c r="G1710" s="1228">
        <v>14191.44</v>
      </c>
      <c r="H1710" s="1228">
        <v>10372.799999999999</v>
      </c>
      <c r="I1710" s="1228">
        <v>9495.5400000000009</v>
      </c>
      <c r="J1710" s="708">
        <v>109</v>
      </c>
      <c r="K1710" s="1228">
        <v>1677.76</v>
      </c>
      <c r="L1710" s="1228">
        <v>399.62</v>
      </c>
      <c r="M1710" s="1228">
        <v>3542.86</v>
      </c>
      <c r="N1710" s="1228">
        <v>208.45</v>
      </c>
    </row>
    <row r="1711" spans="1:14" ht="15">
      <c r="A1711" s="705"/>
      <c r="B1711" s="705"/>
      <c r="C1711" s="1227">
        <v>42096</v>
      </c>
      <c r="D1711" s="703">
        <v>13011</v>
      </c>
      <c r="E1711" s="1228">
        <v>10154.25</v>
      </c>
      <c r="F1711" s="1228">
        <v>19340.78</v>
      </c>
      <c r="G1711" s="1228">
        <v>14191.44</v>
      </c>
      <c r="H1711" s="1228">
        <v>10372.799999999999</v>
      </c>
      <c r="I1711" s="1228">
        <v>9495.5400000000009</v>
      </c>
      <c r="J1711" s="708">
        <v>109</v>
      </c>
      <c r="K1711" s="1228">
        <v>1677.76</v>
      </c>
      <c r="L1711" s="1228">
        <v>399.62</v>
      </c>
      <c r="M1711" s="1228">
        <v>3542.86</v>
      </c>
      <c r="N1711" s="1228">
        <v>208.45</v>
      </c>
    </row>
    <row r="1712" spans="1:14" ht="15">
      <c r="A1712" s="705"/>
      <c r="B1712" s="705"/>
      <c r="C1712" s="1227">
        <v>42097</v>
      </c>
      <c r="D1712" s="703">
        <v>13011</v>
      </c>
      <c r="E1712" s="1228">
        <v>10154.25</v>
      </c>
      <c r="F1712" s="1228">
        <v>19340.78</v>
      </c>
      <c r="G1712" s="1228">
        <v>14191.44</v>
      </c>
      <c r="H1712" s="1228">
        <v>10372.799999999999</v>
      </c>
      <c r="I1712" s="1228">
        <v>9495.5400000000009</v>
      </c>
      <c r="J1712" s="708">
        <v>109</v>
      </c>
      <c r="K1712" s="1228">
        <v>1677.76</v>
      </c>
      <c r="L1712" s="1228">
        <v>399.62</v>
      </c>
      <c r="M1712" s="1228">
        <v>3542.86</v>
      </c>
      <c r="N1712" s="1228">
        <v>208.45</v>
      </c>
    </row>
    <row r="1713" spans="1:14" ht="15">
      <c r="A1713" s="705"/>
      <c r="B1713" s="705"/>
      <c r="C1713" s="1227">
        <v>42098</v>
      </c>
      <c r="D1713" s="703">
        <v>13011</v>
      </c>
      <c r="E1713" s="1228">
        <v>10154.25</v>
      </c>
      <c r="F1713" s="1228">
        <v>19340.78</v>
      </c>
      <c r="G1713" s="1228">
        <v>14191.44</v>
      </c>
      <c r="H1713" s="1228">
        <v>10372.799999999999</v>
      </c>
      <c r="I1713" s="1228">
        <v>9495.5400000000009</v>
      </c>
      <c r="J1713" s="708">
        <v>109</v>
      </c>
      <c r="K1713" s="1228">
        <v>1677.76</v>
      </c>
      <c r="L1713" s="1228">
        <v>399.62</v>
      </c>
      <c r="M1713" s="1228">
        <v>3542.86</v>
      </c>
      <c r="N1713" s="1228">
        <v>208.45</v>
      </c>
    </row>
    <row r="1714" spans="1:14" ht="15">
      <c r="A1714" s="705"/>
      <c r="B1714" s="705"/>
      <c r="C1714" s="1227">
        <v>42099</v>
      </c>
      <c r="D1714" s="703">
        <v>13011</v>
      </c>
      <c r="E1714" s="1228">
        <v>10154.25</v>
      </c>
      <c r="F1714" s="1228">
        <v>19340.78</v>
      </c>
      <c r="G1714" s="1228">
        <v>14191.44</v>
      </c>
      <c r="H1714" s="1228">
        <v>10372.799999999999</v>
      </c>
      <c r="I1714" s="1228">
        <v>9495.5400000000009</v>
      </c>
      <c r="J1714" s="708">
        <v>109</v>
      </c>
      <c r="K1714" s="1228">
        <v>1677.76</v>
      </c>
      <c r="L1714" s="1228">
        <v>399.62</v>
      </c>
      <c r="M1714" s="1228">
        <v>3542.86</v>
      </c>
      <c r="N1714" s="1228">
        <v>208.45</v>
      </c>
    </row>
    <row r="1715" spans="1:14" ht="15">
      <c r="A1715" s="705"/>
      <c r="B1715" s="705"/>
      <c r="C1715" s="1227">
        <v>42100</v>
      </c>
      <c r="D1715" s="703">
        <v>13011</v>
      </c>
      <c r="E1715" s="1228">
        <v>10154.25</v>
      </c>
      <c r="F1715" s="1228">
        <v>19340.78</v>
      </c>
      <c r="G1715" s="1228">
        <v>14191.44</v>
      </c>
      <c r="H1715" s="1228">
        <v>10372.799999999999</v>
      </c>
      <c r="I1715" s="1228">
        <v>9495.5400000000009</v>
      </c>
      <c r="J1715" s="708">
        <v>109</v>
      </c>
      <c r="K1715" s="1228">
        <v>1677.76</v>
      </c>
      <c r="L1715" s="1228">
        <v>399.62</v>
      </c>
      <c r="M1715" s="1228">
        <v>3542.86</v>
      </c>
      <c r="N1715" s="1228">
        <v>208.45</v>
      </c>
    </row>
    <row r="1716" spans="1:14" ht="15">
      <c r="A1716" s="705"/>
      <c r="B1716" s="705"/>
      <c r="C1716" s="1227">
        <v>42101</v>
      </c>
      <c r="D1716" s="703">
        <v>13011</v>
      </c>
      <c r="E1716" s="1228">
        <v>10154.25</v>
      </c>
      <c r="F1716" s="1228">
        <v>19340.78</v>
      </c>
      <c r="G1716" s="1228">
        <v>14191.44</v>
      </c>
      <c r="H1716" s="1228">
        <v>10372.799999999999</v>
      </c>
      <c r="I1716" s="1228">
        <v>9495.5400000000009</v>
      </c>
      <c r="J1716" s="708">
        <v>109</v>
      </c>
      <c r="K1716" s="1228">
        <v>1677.76</v>
      </c>
      <c r="L1716" s="1228">
        <v>399.62</v>
      </c>
      <c r="M1716" s="1228">
        <v>3542.86</v>
      </c>
      <c r="N1716" s="1228">
        <v>208.45</v>
      </c>
    </row>
    <row r="1717" spans="1:14" ht="15">
      <c r="A1717" s="705"/>
      <c r="B1717" s="705"/>
      <c r="C1717" s="1227">
        <v>42102</v>
      </c>
      <c r="D1717" s="703">
        <v>13021</v>
      </c>
      <c r="E1717" s="1228">
        <v>9911.85</v>
      </c>
      <c r="F1717" s="1228">
        <v>19356.240000000002</v>
      </c>
      <c r="G1717" s="1228">
        <v>14147.58</v>
      </c>
      <c r="H1717" s="1228">
        <v>10364.23</v>
      </c>
      <c r="I1717" s="1228">
        <v>9579.2000000000007</v>
      </c>
      <c r="J1717" s="708">
        <v>108.93</v>
      </c>
      <c r="K1717" s="1228">
        <v>1679.6</v>
      </c>
      <c r="L1717" s="1228">
        <v>401.06</v>
      </c>
      <c r="M1717" s="1228">
        <v>3543.61</v>
      </c>
      <c r="N1717" s="1228">
        <v>208.89</v>
      </c>
    </row>
    <row r="1718" spans="1:14" ht="15">
      <c r="A1718" s="705"/>
      <c r="B1718" s="705"/>
      <c r="C1718" s="1227">
        <v>42103</v>
      </c>
      <c r="D1718" s="703">
        <v>13021</v>
      </c>
      <c r="E1718" s="1228">
        <v>9911.85</v>
      </c>
      <c r="F1718" s="1228">
        <v>19356.240000000002</v>
      </c>
      <c r="G1718" s="1228">
        <v>14147.58</v>
      </c>
      <c r="H1718" s="1228">
        <v>10364.23</v>
      </c>
      <c r="I1718" s="1228">
        <v>9579.2000000000007</v>
      </c>
      <c r="J1718" s="708">
        <v>108.93</v>
      </c>
      <c r="K1718" s="1228">
        <v>1679.6</v>
      </c>
      <c r="L1718" s="1228">
        <v>401.06</v>
      </c>
      <c r="M1718" s="1228">
        <v>3543.61</v>
      </c>
      <c r="N1718" s="1228">
        <v>208.89</v>
      </c>
    </row>
    <row r="1719" spans="1:14" ht="15">
      <c r="A1719" s="705"/>
      <c r="B1719" s="705"/>
      <c r="C1719" s="1227">
        <v>42104</v>
      </c>
      <c r="D1719" s="703">
        <v>13021</v>
      </c>
      <c r="E1719" s="1228">
        <v>9911.85</v>
      </c>
      <c r="F1719" s="1228">
        <v>19356.240000000002</v>
      </c>
      <c r="G1719" s="1228">
        <v>14147.58</v>
      </c>
      <c r="H1719" s="1228">
        <v>10364.23</v>
      </c>
      <c r="I1719" s="1228">
        <v>9579.2000000000007</v>
      </c>
      <c r="J1719" s="708">
        <v>108.93</v>
      </c>
      <c r="K1719" s="1228">
        <v>1679.6</v>
      </c>
      <c r="L1719" s="1228">
        <v>401.06</v>
      </c>
      <c r="M1719" s="1228">
        <v>3543.61</v>
      </c>
      <c r="N1719" s="1228">
        <v>208.89</v>
      </c>
    </row>
    <row r="1720" spans="1:14" ht="15">
      <c r="A1720" s="705"/>
      <c r="B1720" s="705"/>
      <c r="C1720" s="1227">
        <v>42105</v>
      </c>
      <c r="D1720" s="703">
        <v>13021</v>
      </c>
      <c r="E1720" s="1228">
        <v>9911.85</v>
      </c>
      <c r="F1720" s="1228">
        <v>19356.240000000002</v>
      </c>
      <c r="G1720" s="1228">
        <v>14147.58</v>
      </c>
      <c r="H1720" s="1228">
        <v>10364.23</v>
      </c>
      <c r="I1720" s="1228">
        <v>9579.2000000000007</v>
      </c>
      <c r="J1720" s="708">
        <v>108.93</v>
      </c>
      <c r="K1720" s="1228">
        <v>1679.6</v>
      </c>
      <c r="L1720" s="1228">
        <v>401.06</v>
      </c>
      <c r="M1720" s="1228">
        <v>3543.61</v>
      </c>
      <c r="N1720" s="1228">
        <v>208.89</v>
      </c>
    </row>
    <row r="1721" spans="1:14" ht="15">
      <c r="A1721" s="705"/>
      <c r="B1721" s="705"/>
      <c r="C1721" s="1227">
        <v>42106</v>
      </c>
      <c r="D1721" s="703">
        <v>13021</v>
      </c>
      <c r="E1721" s="1228">
        <v>9911.85</v>
      </c>
      <c r="F1721" s="1228">
        <v>19356.240000000002</v>
      </c>
      <c r="G1721" s="1228">
        <v>14147.58</v>
      </c>
      <c r="H1721" s="1228">
        <v>10364.23</v>
      </c>
      <c r="I1721" s="1228">
        <v>9579.2000000000007</v>
      </c>
      <c r="J1721" s="708">
        <v>108.93</v>
      </c>
      <c r="K1721" s="1228">
        <v>1679.6</v>
      </c>
      <c r="L1721" s="1228">
        <v>401.06</v>
      </c>
      <c r="M1721" s="1228">
        <v>3543.61</v>
      </c>
      <c r="N1721" s="1228">
        <v>208.89</v>
      </c>
    </row>
    <row r="1722" spans="1:14" ht="15">
      <c r="A1722" s="705"/>
      <c r="B1722" s="705"/>
      <c r="C1722" s="1227">
        <v>42107</v>
      </c>
      <c r="D1722" s="703">
        <v>13021</v>
      </c>
      <c r="E1722" s="1228">
        <v>9911.85</v>
      </c>
      <c r="F1722" s="1228">
        <v>19356.240000000002</v>
      </c>
      <c r="G1722" s="1228">
        <v>14147.58</v>
      </c>
      <c r="H1722" s="1228">
        <v>10364.23</v>
      </c>
      <c r="I1722" s="1228">
        <v>9579.2000000000007</v>
      </c>
      <c r="J1722" s="708">
        <v>108.93</v>
      </c>
      <c r="K1722" s="1228">
        <v>1679.6</v>
      </c>
      <c r="L1722" s="1228">
        <v>401.06</v>
      </c>
      <c r="M1722" s="1228">
        <v>3543.61</v>
      </c>
      <c r="N1722" s="1228">
        <v>208.89</v>
      </c>
    </row>
    <row r="1723" spans="1:14" ht="15">
      <c r="A1723" s="705"/>
      <c r="B1723" s="705"/>
      <c r="C1723" s="1227">
        <v>42108</v>
      </c>
      <c r="D1723" s="703">
        <v>13021</v>
      </c>
      <c r="E1723" s="1228">
        <v>9911.85</v>
      </c>
      <c r="F1723" s="1228">
        <v>19356.240000000002</v>
      </c>
      <c r="G1723" s="1228">
        <v>14147.58</v>
      </c>
      <c r="H1723" s="1228">
        <v>10364.23</v>
      </c>
      <c r="I1723" s="1228">
        <v>9579.2000000000007</v>
      </c>
      <c r="J1723" s="708">
        <v>108.93</v>
      </c>
      <c r="K1723" s="1228">
        <v>1679.6</v>
      </c>
      <c r="L1723" s="1228">
        <v>401.06</v>
      </c>
      <c r="M1723" s="1228">
        <v>3543.61</v>
      </c>
      <c r="N1723" s="1228">
        <v>208.89</v>
      </c>
    </row>
    <row r="1724" spans="1:14" ht="15">
      <c r="A1724" s="705"/>
      <c r="B1724" s="705"/>
      <c r="C1724" s="1227">
        <v>42109</v>
      </c>
      <c r="D1724" s="703">
        <v>12946</v>
      </c>
      <c r="E1724" s="1228">
        <v>9928.7099999999991</v>
      </c>
      <c r="F1724" s="1228">
        <v>19070.349999999999</v>
      </c>
      <c r="G1724" s="1228">
        <v>13842.82</v>
      </c>
      <c r="H1724" s="1228">
        <v>10309.15</v>
      </c>
      <c r="I1724" s="1228">
        <v>9502.6</v>
      </c>
      <c r="J1724" s="708">
        <v>107.62</v>
      </c>
      <c r="K1724" s="1228">
        <v>1670.23</v>
      </c>
      <c r="L1724" s="1228">
        <v>397.67</v>
      </c>
      <c r="M1724" s="1228">
        <v>3547.08</v>
      </c>
      <c r="N1724" s="1228">
        <v>207.9</v>
      </c>
    </row>
    <row r="1725" spans="1:14" ht="15">
      <c r="A1725" s="705"/>
      <c r="B1725" s="705"/>
      <c r="C1725" s="1227">
        <v>42110</v>
      </c>
      <c r="D1725" s="703">
        <v>12946</v>
      </c>
      <c r="E1725" s="1228">
        <v>9928.7099999999991</v>
      </c>
      <c r="F1725" s="1228">
        <v>19070.349999999999</v>
      </c>
      <c r="G1725" s="1228">
        <v>13842.82</v>
      </c>
      <c r="H1725" s="1228">
        <v>10309.15</v>
      </c>
      <c r="I1725" s="1228">
        <v>9502.6</v>
      </c>
      <c r="J1725" s="708">
        <v>107.62</v>
      </c>
      <c r="K1725" s="1228">
        <v>1670.23</v>
      </c>
      <c r="L1725" s="1228">
        <v>397.67</v>
      </c>
      <c r="M1725" s="1228">
        <v>3547.08</v>
      </c>
      <c r="N1725" s="1228">
        <v>207.9</v>
      </c>
    </row>
    <row r="1726" spans="1:14" ht="15">
      <c r="A1726" s="705"/>
      <c r="B1726" s="705"/>
      <c r="C1726" s="1227">
        <v>42111</v>
      </c>
      <c r="D1726" s="703">
        <v>12946</v>
      </c>
      <c r="E1726" s="1228">
        <v>9928.7099999999991</v>
      </c>
      <c r="F1726" s="1228">
        <v>19070.349999999999</v>
      </c>
      <c r="G1726" s="1228">
        <v>13842.82</v>
      </c>
      <c r="H1726" s="1228">
        <v>10309.15</v>
      </c>
      <c r="I1726" s="1228">
        <v>9502.6</v>
      </c>
      <c r="J1726" s="708">
        <v>107.62</v>
      </c>
      <c r="K1726" s="1228">
        <v>1670.23</v>
      </c>
      <c r="L1726" s="1228">
        <v>397.67</v>
      </c>
      <c r="M1726" s="1228">
        <v>3547.08</v>
      </c>
      <c r="N1726" s="1228">
        <v>207.9</v>
      </c>
    </row>
    <row r="1727" spans="1:14" ht="15">
      <c r="A1727" s="705"/>
      <c r="B1727" s="705"/>
      <c r="C1727" s="1227">
        <v>42112</v>
      </c>
      <c r="D1727" s="703">
        <v>12946</v>
      </c>
      <c r="E1727" s="1228">
        <v>9928.7099999999991</v>
      </c>
      <c r="F1727" s="1228">
        <v>19070.349999999999</v>
      </c>
      <c r="G1727" s="1228">
        <v>13842.82</v>
      </c>
      <c r="H1727" s="1228">
        <v>10309.15</v>
      </c>
      <c r="I1727" s="1228">
        <v>9502.6</v>
      </c>
      <c r="J1727" s="708">
        <v>107.62</v>
      </c>
      <c r="K1727" s="1228">
        <v>1670.23</v>
      </c>
      <c r="L1727" s="1228">
        <v>397.67</v>
      </c>
      <c r="M1727" s="1228">
        <v>3547.08</v>
      </c>
      <c r="N1727" s="1228">
        <v>207.9</v>
      </c>
    </row>
    <row r="1728" spans="1:14" ht="15">
      <c r="A1728" s="705"/>
      <c r="B1728" s="705"/>
      <c r="C1728" s="1227">
        <v>42113</v>
      </c>
      <c r="D1728" s="703">
        <v>12946</v>
      </c>
      <c r="E1728" s="1228">
        <v>9928.7099999999991</v>
      </c>
      <c r="F1728" s="1228">
        <v>19070.349999999999</v>
      </c>
      <c r="G1728" s="1228">
        <v>13842.82</v>
      </c>
      <c r="H1728" s="1228">
        <v>10309.15</v>
      </c>
      <c r="I1728" s="1228">
        <v>9502.6</v>
      </c>
      <c r="J1728" s="708">
        <v>107.62</v>
      </c>
      <c r="K1728" s="1228">
        <v>1670.23</v>
      </c>
      <c r="L1728" s="1228">
        <v>397.67</v>
      </c>
      <c r="M1728" s="1228">
        <v>3547.08</v>
      </c>
      <c r="N1728" s="1228">
        <v>207.9</v>
      </c>
    </row>
    <row r="1729" spans="1:14" ht="15">
      <c r="A1729" s="705"/>
      <c r="B1729" s="705"/>
      <c r="C1729" s="1227">
        <v>42114</v>
      </c>
      <c r="D1729" s="703">
        <v>12946</v>
      </c>
      <c r="E1729" s="1228">
        <v>9928.7099999999991</v>
      </c>
      <c r="F1729" s="1228">
        <v>19070.349999999999</v>
      </c>
      <c r="G1729" s="1228">
        <v>13842.82</v>
      </c>
      <c r="H1729" s="1228">
        <v>10309.15</v>
      </c>
      <c r="I1729" s="1228">
        <v>9502.6</v>
      </c>
      <c r="J1729" s="708">
        <v>107.62</v>
      </c>
      <c r="K1729" s="1228">
        <v>1670.23</v>
      </c>
      <c r="L1729" s="1228">
        <v>397.67</v>
      </c>
      <c r="M1729" s="1228">
        <v>3547.08</v>
      </c>
      <c r="N1729" s="1228">
        <v>207.9</v>
      </c>
    </row>
    <row r="1730" spans="1:14" ht="15">
      <c r="A1730" s="705"/>
      <c r="B1730" s="705"/>
      <c r="C1730" s="1227">
        <v>42115</v>
      </c>
      <c r="D1730" s="703">
        <v>12946</v>
      </c>
      <c r="E1730" s="1228">
        <v>9928.7099999999991</v>
      </c>
      <c r="F1730" s="1228">
        <v>19070.349999999999</v>
      </c>
      <c r="G1730" s="1228">
        <v>13842.82</v>
      </c>
      <c r="H1730" s="1228">
        <v>10309.15</v>
      </c>
      <c r="I1730" s="1228">
        <v>9502.6</v>
      </c>
      <c r="J1730" s="708">
        <v>107.62</v>
      </c>
      <c r="K1730" s="1228">
        <v>1670.23</v>
      </c>
      <c r="L1730" s="1228">
        <v>397.67</v>
      </c>
      <c r="M1730" s="1228">
        <v>3547.08</v>
      </c>
      <c r="N1730" s="1228">
        <v>207.9</v>
      </c>
    </row>
    <row r="1731" spans="1:14" ht="15">
      <c r="A1731" s="705"/>
      <c r="B1731" s="705"/>
      <c r="C1731" s="1227">
        <v>42116</v>
      </c>
      <c r="D1731" s="703">
        <v>12893</v>
      </c>
      <c r="E1731" s="1228">
        <v>9974.02</v>
      </c>
      <c r="F1731" s="1228">
        <v>19218.05</v>
      </c>
      <c r="G1731" s="1228">
        <v>13850.43</v>
      </c>
      <c r="H1731" s="1228">
        <v>10531.43</v>
      </c>
      <c r="I1731" s="1228">
        <v>9546.98</v>
      </c>
      <c r="J1731" s="708">
        <v>108.22</v>
      </c>
      <c r="K1731" s="1228">
        <v>1663.34</v>
      </c>
      <c r="L1731" s="1228">
        <v>397.93</v>
      </c>
      <c r="M1731" s="1228">
        <v>3532.39</v>
      </c>
      <c r="N1731" s="1228">
        <v>206.32</v>
      </c>
    </row>
    <row r="1732" spans="1:14" ht="15">
      <c r="A1732" s="705"/>
      <c r="B1732" s="705"/>
      <c r="C1732" s="1227">
        <v>42117</v>
      </c>
      <c r="D1732" s="703">
        <v>12893</v>
      </c>
      <c r="E1732" s="1228">
        <v>9974.02</v>
      </c>
      <c r="F1732" s="1228">
        <v>19218.05</v>
      </c>
      <c r="G1732" s="1228">
        <v>13850.43</v>
      </c>
      <c r="H1732" s="1228">
        <v>10531.43</v>
      </c>
      <c r="I1732" s="1228">
        <v>9546.98</v>
      </c>
      <c r="J1732" s="708">
        <v>108.22</v>
      </c>
      <c r="K1732" s="1228">
        <v>1663.34</v>
      </c>
      <c r="L1732" s="1228">
        <v>397.93</v>
      </c>
      <c r="M1732" s="1228">
        <v>3532.39</v>
      </c>
      <c r="N1732" s="1228">
        <v>206.32</v>
      </c>
    </row>
    <row r="1733" spans="1:14" ht="15">
      <c r="A1733" s="705"/>
      <c r="B1733" s="705"/>
      <c r="C1733" s="1227">
        <v>42118</v>
      </c>
      <c r="D1733" s="703">
        <v>12893</v>
      </c>
      <c r="E1733" s="1228">
        <v>9974.02</v>
      </c>
      <c r="F1733" s="1228">
        <v>19218.05</v>
      </c>
      <c r="G1733" s="1228">
        <v>13850.43</v>
      </c>
      <c r="H1733" s="1228">
        <v>10531.43</v>
      </c>
      <c r="I1733" s="1228">
        <v>9546.98</v>
      </c>
      <c r="J1733" s="708">
        <v>108.22</v>
      </c>
      <c r="K1733" s="1228">
        <v>1663.34</v>
      </c>
      <c r="L1733" s="1228">
        <v>397.93</v>
      </c>
      <c r="M1733" s="1228">
        <v>3532.39</v>
      </c>
      <c r="N1733" s="1228">
        <v>206.32</v>
      </c>
    </row>
    <row r="1734" spans="1:14" ht="15">
      <c r="A1734" s="705"/>
      <c r="B1734" s="705"/>
      <c r="C1734" s="1227">
        <v>42119</v>
      </c>
      <c r="D1734" s="703">
        <v>12893</v>
      </c>
      <c r="E1734" s="1228">
        <v>9974.02</v>
      </c>
      <c r="F1734" s="1228">
        <v>19218.05</v>
      </c>
      <c r="G1734" s="1228">
        <v>13850.43</v>
      </c>
      <c r="H1734" s="1228">
        <v>10531.43</v>
      </c>
      <c r="I1734" s="1228">
        <v>9546.98</v>
      </c>
      <c r="J1734" s="708">
        <v>108.22</v>
      </c>
      <c r="K1734" s="1228">
        <v>1663.34</v>
      </c>
      <c r="L1734" s="1228">
        <v>397.93</v>
      </c>
      <c r="M1734" s="1228">
        <v>3532.39</v>
      </c>
      <c r="N1734" s="1228">
        <v>206.32</v>
      </c>
    </row>
    <row r="1735" spans="1:14" ht="15">
      <c r="A1735" s="705"/>
      <c r="B1735" s="705"/>
      <c r="C1735" s="1227">
        <v>42120</v>
      </c>
      <c r="D1735" s="703">
        <v>12893</v>
      </c>
      <c r="E1735" s="1228">
        <v>9974.02</v>
      </c>
      <c r="F1735" s="1228">
        <v>19218.05</v>
      </c>
      <c r="G1735" s="1228">
        <v>13850.43</v>
      </c>
      <c r="H1735" s="1228">
        <v>10531.43</v>
      </c>
      <c r="I1735" s="1228">
        <v>9546.98</v>
      </c>
      <c r="J1735" s="708">
        <v>108.22</v>
      </c>
      <c r="K1735" s="1228">
        <v>1663.34</v>
      </c>
      <c r="L1735" s="1228">
        <v>397.93</v>
      </c>
      <c r="M1735" s="1228">
        <v>3532.39</v>
      </c>
      <c r="N1735" s="1228">
        <v>206.32</v>
      </c>
    </row>
    <row r="1736" spans="1:14" ht="15">
      <c r="A1736" s="705"/>
      <c r="B1736" s="705"/>
      <c r="C1736" s="1227">
        <v>42121</v>
      </c>
      <c r="D1736" s="703">
        <v>12893</v>
      </c>
      <c r="E1736" s="1228">
        <v>9974.02</v>
      </c>
      <c r="F1736" s="1228">
        <v>19218.05</v>
      </c>
      <c r="G1736" s="1228">
        <v>13850.43</v>
      </c>
      <c r="H1736" s="1228">
        <v>10531.43</v>
      </c>
      <c r="I1736" s="1228">
        <v>9546.98</v>
      </c>
      <c r="J1736" s="708">
        <v>108.22</v>
      </c>
      <c r="K1736" s="1228">
        <v>1663.34</v>
      </c>
      <c r="L1736" s="1228">
        <v>397.93</v>
      </c>
      <c r="M1736" s="1228">
        <v>3532.39</v>
      </c>
      <c r="N1736" s="1228">
        <v>206.32</v>
      </c>
    </row>
    <row r="1737" spans="1:14" ht="15">
      <c r="A1737" s="705"/>
      <c r="B1737" s="705"/>
      <c r="C1737" s="1227">
        <v>42122</v>
      </c>
      <c r="D1737" s="703">
        <v>12893</v>
      </c>
      <c r="E1737" s="1228">
        <v>9974.02</v>
      </c>
      <c r="F1737" s="1228">
        <v>19218.05</v>
      </c>
      <c r="G1737" s="1228">
        <v>13850.43</v>
      </c>
      <c r="H1737" s="1228">
        <v>10531.43</v>
      </c>
      <c r="I1737" s="1228">
        <v>9546.98</v>
      </c>
      <c r="J1737" s="708">
        <v>108.22</v>
      </c>
      <c r="K1737" s="1228">
        <v>1663.34</v>
      </c>
      <c r="L1737" s="1228">
        <v>397.93</v>
      </c>
      <c r="M1737" s="1228">
        <v>3532.39</v>
      </c>
      <c r="N1737" s="1228">
        <v>206.32</v>
      </c>
    </row>
    <row r="1738" spans="1:14" ht="15">
      <c r="A1738" s="705"/>
      <c r="B1738" s="705"/>
      <c r="C1738" s="1227">
        <v>42123</v>
      </c>
      <c r="D1738" s="703">
        <v>12930</v>
      </c>
      <c r="E1738" s="1228">
        <v>10059.43</v>
      </c>
      <c r="F1738" s="1228">
        <v>19495.419999999998</v>
      </c>
      <c r="G1738" s="1228">
        <v>13970</v>
      </c>
      <c r="H1738" s="1228">
        <v>10599.96</v>
      </c>
      <c r="I1738" s="1228">
        <v>9641.75</v>
      </c>
      <c r="J1738" s="708">
        <v>108.27</v>
      </c>
      <c r="K1738" s="1228">
        <v>1668.27</v>
      </c>
      <c r="L1738" s="1228">
        <v>398.16</v>
      </c>
      <c r="M1738" s="1228">
        <v>3589.01</v>
      </c>
      <c r="N1738" s="1228">
        <v>204.76</v>
      </c>
    </row>
    <row r="1739" spans="1:14" ht="15">
      <c r="A1739" s="705"/>
      <c r="B1739" s="705"/>
      <c r="C1739" s="1227">
        <v>42124</v>
      </c>
      <c r="D1739" s="703">
        <v>12930</v>
      </c>
      <c r="E1739" s="1228">
        <v>10059.43</v>
      </c>
      <c r="F1739" s="1228">
        <v>19495.419999999998</v>
      </c>
      <c r="G1739" s="1228">
        <v>13970</v>
      </c>
      <c r="H1739" s="1228">
        <v>10599.96</v>
      </c>
      <c r="I1739" s="1228">
        <v>9641.75</v>
      </c>
      <c r="J1739" s="708">
        <v>108.27</v>
      </c>
      <c r="K1739" s="1228">
        <v>1668.27</v>
      </c>
      <c r="L1739" s="1228">
        <v>398.16</v>
      </c>
      <c r="M1739" s="1228">
        <v>3589.01</v>
      </c>
      <c r="N1739" s="1228">
        <v>204.76</v>
      </c>
    </row>
    <row r="1740" spans="1:14" ht="15">
      <c r="A1740" s="705"/>
      <c r="B1740" s="705"/>
      <c r="C1740" s="1227">
        <v>42125</v>
      </c>
      <c r="D1740" s="703">
        <v>12930</v>
      </c>
      <c r="E1740" s="1228">
        <v>10059.43</v>
      </c>
      <c r="F1740" s="1228">
        <v>19495.419999999998</v>
      </c>
      <c r="G1740" s="1228">
        <v>13970</v>
      </c>
      <c r="H1740" s="1228">
        <v>10599.96</v>
      </c>
      <c r="I1740" s="1228">
        <v>9641.75</v>
      </c>
      <c r="J1740" s="708">
        <v>108.27</v>
      </c>
      <c r="K1740" s="1228">
        <v>1668.27</v>
      </c>
      <c r="L1740" s="1228">
        <v>398.16</v>
      </c>
      <c r="M1740" s="1228">
        <v>3589.01</v>
      </c>
      <c r="N1740" s="1228">
        <v>204.76</v>
      </c>
    </row>
    <row r="1741" spans="1:14" ht="15">
      <c r="A1741" s="705"/>
      <c r="B1741" s="705"/>
      <c r="C1741" s="1227">
        <v>42126</v>
      </c>
      <c r="D1741" s="703">
        <v>12930</v>
      </c>
      <c r="E1741" s="1228">
        <v>10059.43</v>
      </c>
      <c r="F1741" s="1228">
        <v>19495.419999999998</v>
      </c>
      <c r="G1741" s="1228">
        <v>13970</v>
      </c>
      <c r="H1741" s="1228">
        <v>10599.96</v>
      </c>
      <c r="I1741" s="1228">
        <v>9641.75</v>
      </c>
      <c r="J1741" s="708">
        <v>108.27</v>
      </c>
      <c r="K1741" s="1228">
        <v>1668.27</v>
      </c>
      <c r="L1741" s="1228">
        <v>398.16</v>
      </c>
      <c r="M1741" s="1228">
        <v>3589.01</v>
      </c>
      <c r="N1741" s="1228">
        <v>204.76</v>
      </c>
    </row>
    <row r="1742" spans="1:14" ht="15">
      <c r="A1742" s="705"/>
      <c r="B1742" s="705"/>
      <c r="C1742" s="1227">
        <v>42127</v>
      </c>
      <c r="D1742" s="703">
        <v>12930</v>
      </c>
      <c r="E1742" s="1228">
        <v>10059.43</v>
      </c>
      <c r="F1742" s="1228">
        <v>19495.419999999998</v>
      </c>
      <c r="G1742" s="1228">
        <v>13970</v>
      </c>
      <c r="H1742" s="1228">
        <v>10599.96</v>
      </c>
      <c r="I1742" s="1228">
        <v>9641.75</v>
      </c>
      <c r="J1742" s="708">
        <v>108.27</v>
      </c>
      <c r="K1742" s="1228">
        <v>1668.27</v>
      </c>
      <c r="L1742" s="1228">
        <v>398.16</v>
      </c>
      <c r="M1742" s="1228">
        <v>3589.01</v>
      </c>
      <c r="N1742" s="1228">
        <v>204.76</v>
      </c>
    </row>
    <row r="1743" spans="1:14" ht="15">
      <c r="A1743" s="705"/>
      <c r="B1743" s="705"/>
      <c r="C1743" s="1227">
        <v>42128</v>
      </c>
      <c r="D1743" s="703">
        <v>12930</v>
      </c>
      <c r="E1743" s="1228">
        <v>10059.43</v>
      </c>
      <c r="F1743" s="1228">
        <v>19495.419999999998</v>
      </c>
      <c r="G1743" s="1228">
        <v>13970</v>
      </c>
      <c r="H1743" s="1228">
        <v>10599.96</v>
      </c>
      <c r="I1743" s="1228">
        <v>9641.75</v>
      </c>
      <c r="J1743" s="708">
        <v>108.27</v>
      </c>
      <c r="K1743" s="1228">
        <v>1668.27</v>
      </c>
      <c r="L1743" s="1228">
        <v>398.16</v>
      </c>
      <c r="M1743" s="1228">
        <v>3589.01</v>
      </c>
      <c r="N1743" s="1228">
        <v>204.76</v>
      </c>
    </row>
    <row r="1744" spans="1:14" ht="15">
      <c r="A1744" s="705"/>
      <c r="B1744" s="705"/>
      <c r="C1744" s="1227">
        <v>42129</v>
      </c>
      <c r="D1744" s="703">
        <v>12930</v>
      </c>
      <c r="E1744" s="1228">
        <v>10059.43</v>
      </c>
      <c r="F1744" s="1228">
        <v>19495.419999999998</v>
      </c>
      <c r="G1744" s="1228">
        <v>13970</v>
      </c>
      <c r="H1744" s="1228">
        <v>10599.96</v>
      </c>
      <c r="I1744" s="1228">
        <v>9641.75</v>
      </c>
      <c r="J1744" s="708">
        <v>108.27</v>
      </c>
      <c r="K1744" s="1228">
        <v>1668.27</v>
      </c>
      <c r="L1744" s="1228">
        <v>398.16</v>
      </c>
      <c r="M1744" s="1228">
        <v>3589.01</v>
      </c>
      <c r="N1744" s="1228">
        <v>204.76</v>
      </c>
    </row>
    <row r="1745" spans="1:14" ht="15">
      <c r="A1745" s="705"/>
      <c r="B1745" s="705"/>
      <c r="C1745" s="1227">
        <v>42130</v>
      </c>
      <c r="D1745" s="703">
        <v>12973</v>
      </c>
      <c r="E1745" s="1228">
        <v>10276.790000000001</v>
      </c>
      <c r="F1745" s="1228">
        <v>19830.22</v>
      </c>
      <c r="G1745" s="1228">
        <v>14458.45</v>
      </c>
      <c r="H1745" s="1228">
        <v>10727.53</v>
      </c>
      <c r="I1745" s="1228">
        <v>9793.16</v>
      </c>
      <c r="J1745" s="708">
        <v>108.56</v>
      </c>
      <c r="K1745" s="1228">
        <v>1673.7</v>
      </c>
      <c r="L1745" s="1228">
        <v>393.1</v>
      </c>
      <c r="M1745" s="1228">
        <v>3633.88</v>
      </c>
      <c r="N1745" s="1228">
        <v>204.97</v>
      </c>
    </row>
    <row r="1746" spans="1:14" ht="15">
      <c r="A1746" s="705"/>
      <c r="B1746" s="705"/>
      <c r="C1746" s="1227">
        <v>42131</v>
      </c>
      <c r="D1746" s="703">
        <v>12973</v>
      </c>
      <c r="E1746" s="1228">
        <v>10276.790000000001</v>
      </c>
      <c r="F1746" s="1228">
        <v>19830.22</v>
      </c>
      <c r="G1746" s="1228">
        <v>14458.45</v>
      </c>
      <c r="H1746" s="1228">
        <v>10727.53</v>
      </c>
      <c r="I1746" s="1228">
        <v>9793.16</v>
      </c>
      <c r="J1746" s="708">
        <v>108.56</v>
      </c>
      <c r="K1746" s="1228">
        <v>1673.7</v>
      </c>
      <c r="L1746" s="1228">
        <v>393.1</v>
      </c>
      <c r="M1746" s="1228">
        <v>3633.88</v>
      </c>
      <c r="N1746" s="1228">
        <v>204.97</v>
      </c>
    </row>
    <row r="1747" spans="1:14" ht="15">
      <c r="A1747" s="705"/>
      <c r="B1747" s="705"/>
      <c r="C1747" s="1227">
        <v>42132</v>
      </c>
      <c r="D1747" s="703">
        <v>12973</v>
      </c>
      <c r="E1747" s="1228">
        <v>10276.790000000001</v>
      </c>
      <c r="F1747" s="1228">
        <v>19830.22</v>
      </c>
      <c r="G1747" s="1228">
        <v>14458.45</v>
      </c>
      <c r="H1747" s="1228">
        <v>10727.53</v>
      </c>
      <c r="I1747" s="1228">
        <v>9793.16</v>
      </c>
      <c r="J1747" s="708">
        <v>108.56</v>
      </c>
      <c r="K1747" s="1228">
        <v>1673.7</v>
      </c>
      <c r="L1747" s="1228">
        <v>393.1</v>
      </c>
      <c r="M1747" s="1228">
        <v>3633.88</v>
      </c>
      <c r="N1747" s="1228">
        <v>204.97</v>
      </c>
    </row>
    <row r="1748" spans="1:14" ht="15">
      <c r="A1748" s="705"/>
      <c r="B1748" s="705"/>
      <c r="C1748" s="1227">
        <v>42133</v>
      </c>
      <c r="D1748" s="703">
        <v>12973</v>
      </c>
      <c r="E1748" s="1228">
        <v>10276.790000000001</v>
      </c>
      <c r="F1748" s="1228">
        <v>19830.22</v>
      </c>
      <c r="G1748" s="1228">
        <v>14458.45</v>
      </c>
      <c r="H1748" s="1228">
        <v>10727.53</v>
      </c>
      <c r="I1748" s="1228">
        <v>9793.16</v>
      </c>
      <c r="J1748" s="708">
        <v>108.56</v>
      </c>
      <c r="K1748" s="1228">
        <v>1673.7</v>
      </c>
      <c r="L1748" s="1228">
        <v>393.1</v>
      </c>
      <c r="M1748" s="1228">
        <v>3633.88</v>
      </c>
      <c r="N1748" s="1228">
        <v>204.97</v>
      </c>
    </row>
    <row r="1749" spans="1:14" ht="15">
      <c r="A1749" s="705"/>
      <c r="B1749" s="705"/>
      <c r="C1749" s="1227">
        <v>42134</v>
      </c>
      <c r="D1749" s="703">
        <v>12973</v>
      </c>
      <c r="E1749" s="1228">
        <v>10276.790000000001</v>
      </c>
      <c r="F1749" s="1228">
        <v>19830.22</v>
      </c>
      <c r="G1749" s="1228">
        <v>14458.45</v>
      </c>
      <c r="H1749" s="1228">
        <v>10727.53</v>
      </c>
      <c r="I1749" s="1228">
        <v>9793.16</v>
      </c>
      <c r="J1749" s="708">
        <v>108.56</v>
      </c>
      <c r="K1749" s="1228">
        <v>1673.7</v>
      </c>
      <c r="L1749" s="1228">
        <v>393.1</v>
      </c>
      <c r="M1749" s="1228">
        <v>3633.88</v>
      </c>
      <c r="N1749" s="1228">
        <v>204.97</v>
      </c>
    </row>
    <row r="1750" spans="1:14" ht="15">
      <c r="A1750" s="705"/>
      <c r="B1750" s="705"/>
      <c r="C1750" s="1227">
        <v>42135</v>
      </c>
      <c r="D1750" s="703">
        <v>12973</v>
      </c>
      <c r="E1750" s="1228">
        <v>10276.790000000001</v>
      </c>
      <c r="F1750" s="1228">
        <v>19830.22</v>
      </c>
      <c r="G1750" s="1228">
        <v>14458.45</v>
      </c>
      <c r="H1750" s="1228">
        <v>10727.53</v>
      </c>
      <c r="I1750" s="1228">
        <v>9793.16</v>
      </c>
      <c r="J1750" s="708">
        <v>108.56</v>
      </c>
      <c r="K1750" s="1228">
        <v>1673.7</v>
      </c>
      <c r="L1750" s="1228">
        <v>393.1</v>
      </c>
      <c r="M1750" s="1228">
        <v>3633.88</v>
      </c>
      <c r="N1750" s="1228">
        <v>204.97</v>
      </c>
    </row>
    <row r="1751" spans="1:14" ht="15">
      <c r="A1751" s="705"/>
      <c r="B1751" s="705"/>
      <c r="C1751" s="1227">
        <v>42136</v>
      </c>
      <c r="D1751" s="703">
        <v>12973</v>
      </c>
      <c r="E1751" s="1228">
        <v>10276.790000000001</v>
      </c>
      <c r="F1751" s="1228">
        <v>19830.22</v>
      </c>
      <c r="G1751" s="1228">
        <v>14458.45</v>
      </c>
      <c r="H1751" s="1228">
        <v>10727.53</v>
      </c>
      <c r="I1751" s="1228">
        <v>9793.16</v>
      </c>
      <c r="J1751" s="708">
        <v>108.56</v>
      </c>
      <c r="K1751" s="1228">
        <v>1673.7</v>
      </c>
      <c r="L1751" s="1228">
        <v>393.1</v>
      </c>
      <c r="M1751" s="1228">
        <v>3633.88</v>
      </c>
      <c r="N1751" s="1228">
        <v>204.97</v>
      </c>
    </row>
    <row r="1752" spans="1:14" ht="15">
      <c r="A1752" s="705"/>
      <c r="B1752" s="705"/>
      <c r="C1752" s="1227">
        <v>42137</v>
      </c>
      <c r="D1752" s="703">
        <v>13096</v>
      </c>
      <c r="E1752" s="1228">
        <v>10379.89</v>
      </c>
      <c r="F1752" s="1228">
        <v>20046.57</v>
      </c>
      <c r="G1752" s="1228">
        <v>14704.45</v>
      </c>
      <c r="H1752" s="1228">
        <v>10832.99</v>
      </c>
      <c r="I1752" s="1228">
        <v>9844.4</v>
      </c>
      <c r="J1752" s="708">
        <v>109.36</v>
      </c>
      <c r="K1752" s="1228">
        <v>1689.2</v>
      </c>
      <c r="L1752" s="1228">
        <v>391.5</v>
      </c>
      <c r="M1752" s="1228">
        <v>3641.86</v>
      </c>
      <c r="N1752" s="1228">
        <v>205.3</v>
      </c>
    </row>
    <row r="1753" spans="1:14" ht="15">
      <c r="A1753" s="705"/>
      <c r="B1753" s="705"/>
      <c r="C1753" s="1227">
        <v>42138</v>
      </c>
      <c r="D1753" s="703">
        <v>13096</v>
      </c>
      <c r="E1753" s="1228">
        <v>10379.89</v>
      </c>
      <c r="F1753" s="1228">
        <v>20046.57</v>
      </c>
      <c r="G1753" s="1228">
        <v>14704.45</v>
      </c>
      <c r="H1753" s="1228">
        <v>10832.99</v>
      </c>
      <c r="I1753" s="1228">
        <v>9844.4</v>
      </c>
      <c r="J1753" s="708">
        <v>109.36</v>
      </c>
      <c r="K1753" s="1228">
        <v>1689.2</v>
      </c>
      <c r="L1753" s="1228">
        <v>391.5</v>
      </c>
      <c r="M1753" s="1228">
        <v>3641.86</v>
      </c>
      <c r="N1753" s="1228">
        <v>205.3</v>
      </c>
    </row>
    <row r="1754" spans="1:14" ht="15">
      <c r="A1754" s="705"/>
      <c r="B1754" s="705"/>
      <c r="C1754" s="1227">
        <v>42139</v>
      </c>
      <c r="D1754" s="703">
        <v>13096</v>
      </c>
      <c r="E1754" s="1228">
        <v>10379.89</v>
      </c>
      <c r="F1754" s="1228">
        <v>20046.57</v>
      </c>
      <c r="G1754" s="1228">
        <v>14704.45</v>
      </c>
      <c r="H1754" s="1228">
        <v>10832.99</v>
      </c>
      <c r="I1754" s="1228">
        <v>9844.4</v>
      </c>
      <c r="J1754" s="708">
        <v>109.36</v>
      </c>
      <c r="K1754" s="1228">
        <v>1689.2</v>
      </c>
      <c r="L1754" s="1228">
        <v>391.5</v>
      </c>
      <c r="M1754" s="1228">
        <v>3641.86</v>
      </c>
      <c r="N1754" s="1228">
        <v>205.3</v>
      </c>
    </row>
    <row r="1755" spans="1:14" ht="15">
      <c r="A1755" s="705"/>
      <c r="B1755" s="705"/>
      <c r="C1755" s="1227">
        <v>42140</v>
      </c>
      <c r="D1755" s="703">
        <v>13096</v>
      </c>
      <c r="E1755" s="1228">
        <v>10379.89</v>
      </c>
      <c r="F1755" s="1228">
        <v>20046.57</v>
      </c>
      <c r="G1755" s="1228">
        <v>14704.45</v>
      </c>
      <c r="H1755" s="1228">
        <v>10832.99</v>
      </c>
      <c r="I1755" s="1228">
        <v>9844.4</v>
      </c>
      <c r="J1755" s="708">
        <v>109.36</v>
      </c>
      <c r="K1755" s="1228">
        <v>1689.2</v>
      </c>
      <c r="L1755" s="1228">
        <v>391.5</v>
      </c>
      <c r="M1755" s="1228">
        <v>3641.86</v>
      </c>
      <c r="N1755" s="1228">
        <v>205.3</v>
      </c>
    </row>
    <row r="1756" spans="1:14" ht="15">
      <c r="A1756" s="705"/>
      <c r="B1756" s="705"/>
      <c r="C1756" s="1227">
        <v>42141</v>
      </c>
      <c r="D1756" s="703">
        <v>13096</v>
      </c>
      <c r="E1756" s="1228">
        <v>10379.89</v>
      </c>
      <c r="F1756" s="1228">
        <v>20046.57</v>
      </c>
      <c r="G1756" s="1228">
        <v>14704.45</v>
      </c>
      <c r="H1756" s="1228">
        <v>10832.99</v>
      </c>
      <c r="I1756" s="1228">
        <v>9844.4</v>
      </c>
      <c r="J1756" s="708">
        <v>109.36</v>
      </c>
      <c r="K1756" s="1228">
        <v>1689.2</v>
      </c>
      <c r="L1756" s="1228">
        <v>391.5</v>
      </c>
      <c r="M1756" s="1228">
        <v>3641.86</v>
      </c>
      <c r="N1756" s="1228">
        <v>205.3</v>
      </c>
    </row>
    <row r="1757" spans="1:14" ht="15">
      <c r="A1757" s="705"/>
      <c r="B1757" s="705"/>
      <c r="C1757" s="1227">
        <v>42142</v>
      </c>
      <c r="D1757" s="703">
        <v>13096</v>
      </c>
      <c r="E1757" s="1228">
        <v>10379.89</v>
      </c>
      <c r="F1757" s="1228">
        <v>20046.57</v>
      </c>
      <c r="G1757" s="1228">
        <v>14704.45</v>
      </c>
      <c r="H1757" s="1228">
        <v>10832.99</v>
      </c>
      <c r="I1757" s="1228">
        <v>9844.4</v>
      </c>
      <c r="J1757" s="708">
        <v>109.36</v>
      </c>
      <c r="K1757" s="1228">
        <v>1689.2</v>
      </c>
      <c r="L1757" s="1228">
        <v>391.5</v>
      </c>
      <c r="M1757" s="1228">
        <v>3641.86</v>
      </c>
      <c r="N1757" s="1228">
        <v>205.3</v>
      </c>
    </row>
    <row r="1758" spans="1:14" ht="15">
      <c r="A1758" s="705"/>
      <c r="B1758" s="705"/>
      <c r="C1758" s="1227">
        <v>42143</v>
      </c>
      <c r="D1758" s="703">
        <v>13096</v>
      </c>
      <c r="E1758" s="1228">
        <v>10379.89</v>
      </c>
      <c r="F1758" s="1228">
        <v>20046.57</v>
      </c>
      <c r="G1758" s="1228">
        <v>14704.45</v>
      </c>
      <c r="H1758" s="1228">
        <v>10832.99</v>
      </c>
      <c r="I1758" s="1228">
        <v>9844.4</v>
      </c>
      <c r="J1758" s="708">
        <v>109.36</v>
      </c>
      <c r="K1758" s="1228">
        <v>1689.2</v>
      </c>
      <c r="L1758" s="1228">
        <v>391.5</v>
      </c>
      <c r="M1758" s="1228">
        <v>3641.86</v>
      </c>
      <c r="N1758" s="1228">
        <v>205.3</v>
      </c>
    </row>
    <row r="1759" spans="1:14" ht="15">
      <c r="A1759" s="705"/>
      <c r="B1759" s="705"/>
      <c r="C1759" s="1227">
        <v>42144</v>
      </c>
      <c r="D1759" s="703">
        <v>13112</v>
      </c>
      <c r="E1759" s="1228">
        <v>10550.84</v>
      </c>
      <c r="F1759" s="1228">
        <v>20625.75</v>
      </c>
      <c r="G1759" s="1228">
        <v>14912.42</v>
      </c>
      <c r="H1759" s="1228">
        <v>10931.83</v>
      </c>
      <c r="I1759" s="1228">
        <v>9901.2199999999993</v>
      </c>
      <c r="J1759" s="708">
        <v>109.83</v>
      </c>
      <c r="K1759" s="1228">
        <v>1691.48</v>
      </c>
      <c r="L1759" s="1228">
        <v>390.9</v>
      </c>
      <c r="M1759" s="1228">
        <v>3656.65</v>
      </c>
      <c r="N1759" s="1228">
        <v>205.38</v>
      </c>
    </row>
    <row r="1760" spans="1:14" ht="15">
      <c r="A1760" s="705"/>
      <c r="B1760" s="705"/>
      <c r="C1760" s="1227">
        <v>42145</v>
      </c>
      <c r="D1760" s="703">
        <v>13112</v>
      </c>
      <c r="E1760" s="1228">
        <v>10550.84</v>
      </c>
      <c r="F1760" s="1228">
        <v>20625.75</v>
      </c>
      <c r="G1760" s="1228">
        <v>14912.42</v>
      </c>
      <c r="H1760" s="1228">
        <v>10931.83</v>
      </c>
      <c r="I1760" s="1228">
        <v>9901.2199999999993</v>
      </c>
      <c r="J1760" s="708">
        <v>109.83</v>
      </c>
      <c r="K1760" s="1228">
        <v>1691.48</v>
      </c>
      <c r="L1760" s="1228">
        <v>390.9</v>
      </c>
      <c r="M1760" s="1228">
        <v>3656.65</v>
      </c>
      <c r="N1760" s="1228">
        <v>205.38</v>
      </c>
    </row>
    <row r="1761" spans="1:14" ht="15">
      <c r="A1761" s="705"/>
      <c r="B1761" s="705"/>
      <c r="C1761" s="1227">
        <v>42146</v>
      </c>
      <c r="D1761" s="703">
        <v>13112</v>
      </c>
      <c r="E1761" s="1228">
        <v>10550.84</v>
      </c>
      <c r="F1761" s="1228">
        <v>20625.75</v>
      </c>
      <c r="G1761" s="1228">
        <v>14912.42</v>
      </c>
      <c r="H1761" s="1228">
        <v>10931.83</v>
      </c>
      <c r="I1761" s="1228">
        <v>9901.2199999999993</v>
      </c>
      <c r="J1761" s="708">
        <v>109.83</v>
      </c>
      <c r="K1761" s="1228">
        <v>1691.48</v>
      </c>
      <c r="L1761" s="1228">
        <v>390.9</v>
      </c>
      <c r="M1761" s="1228">
        <v>3656.65</v>
      </c>
      <c r="N1761" s="1228">
        <v>205.38</v>
      </c>
    </row>
    <row r="1762" spans="1:14" ht="15">
      <c r="A1762" s="705"/>
      <c r="B1762" s="705"/>
      <c r="C1762" s="1227">
        <v>42147</v>
      </c>
      <c r="D1762" s="703">
        <v>13112</v>
      </c>
      <c r="E1762" s="1228">
        <v>10550.84</v>
      </c>
      <c r="F1762" s="1228">
        <v>20625.75</v>
      </c>
      <c r="G1762" s="1228">
        <v>14912.42</v>
      </c>
      <c r="H1762" s="1228">
        <v>10931.83</v>
      </c>
      <c r="I1762" s="1228">
        <v>9901.2199999999993</v>
      </c>
      <c r="J1762" s="708">
        <v>109.83</v>
      </c>
      <c r="K1762" s="1228">
        <v>1691.48</v>
      </c>
      <c r="L1762" s="1228">
        <v>390.9</v>
      </c>
      <c r="M1762" s="1228">
        <v>3656.65</v>
      </c>
      <c r="N1762" s="1228">
        <v>205.38</v>
      </c>
    </row>
    <row r="1763" spans="1:14" ht="15">
      <c r="A1763" s="705"/>
      <c r="B1763" s="705"/>
      <c r="C1763" s="1227">
        <v>42148</v>
      </c>
      <c r="D1763" s="703">
        <v>13112</v>
      </c>
      <c r="E1763" s="1228">
        <v>10550.84</v>
      </c>
      <c r="F1763" s="1228">
        <v>20625.75</v>
      </c>
      <c r="G1763" s="1228">
        <v>14912.42</v>
      </c>
      <c r="H1763" s="1228">
        <v>10931.83</v>
      </c>
      <c r="I1763" s="1228">
        <v>9901.2199999999993</v>
      </c>
      <c r="J1763" s="708">
        <v>109.83</v>
      </c>
      <c r="K1763" s="1228">
        <v>1691.48</v>
      </c>
      <c r="L1763" s="1228">
        <v>390.9</v>
      </c>
      <c r="M1763" s="1228">
        <v>3656.65</v>
      </c>
      <c r="N1763" s="1228">
        <v>205.38</v>
      </c>
    </row>
    <row r="1764" spans="1:14" ht="15">
      <c r="A1764" s="705"/>
      <c r="B1764" s="705"/>
      <c r="C1764" s="1227">
        <v>42149</v>
      </c>
      <c r="D1764" s="703">
        <v>13112</v>
      </c>
      <c r="E1764" s="1228">
        <v>10550.84</v>
      </c>
      <c r="F1764" s="1228">
        <v>20625.75</v>
      </c>
      <c r="G1764" s="1228">
        <v>14912.42</v>
      </c>
      <c r="H1764" s="1228">
        <v>10931.83</v>
      </c>
      <c r="I1764" s="1228">
        <v>9901.2199999999993</v>
      </c>
      <c r="J1764" s="708">
        <v>109.83</v>
      </c>
      <c r="K1764" s="1228">
        <v>1691.48</v>
      </c>
      <c r="L1764" s="1228">
        <v>390.9</v>
      </c>
      <c r="M1764" s="1228">
        <v>3656.65</v>
      </c>
      <c r="N1764" s="1228">
        <v>205.38</v>
      </c>
    </row>
    <row r="1765" spans="1:14" ht="15">
      <c r="A1765" s="705"/>
      <c r="B1765" s="705"/>
      <c r="C1765" s="1227">
        <v>42150</v>
      </c>
      <c r="D1765" s="703">
        <v>13112</v>
      </c>
      <c r="E1765" s="1228">
        <v>10550.84</v>
      </c>
      <c r="F1765" s="1228">
        <v>20625.75</v>
      </c>
      <c r="G1765" s="1228">
        <v>14912.42</v>
      </c>
      <c r="H1765" s="1228">
        <v>10931.83</v>
      </c>
      <c r="I1765" s="1228">
        <v>9901.2199999999993</v>
      </c>
      <c r="J1765" s="708">
        <v>109.83</v>
      </c>
      <c r="K1765" s="1228">
        <v>1691.48</v>
      </c>
      <c r="L1765" s="1228">
        <v>390.9</v>
      </c>
      <c r="M1765" s="1228">
        <v>3656.65</v>
      </c>
      <c r="N1765" s="1228">
        <v>205.38</v>
      </c>
    </row>
    <row r="1766" spans="1:14" ht="15">
      <c r="A1766" s="705"/>
      <c r="B1766" s="705"/>
      <c r="C1766" s="1227">
        <v>42151</v>
      </c>
      <c r="D1766" s="703">
        <v>13147</v>
      </c>
      <c r="E1766" s="1228">
        <v>10337.85</v>
      </c>
      <c r="F1766" s="1228">
        <v>20422.5</v>
      </c>
      <c r="G1766" s="1228">
        <v>14552.46</v>
      </c>
      <c r="H1766" s="1228">
        <v>10737.69</v>
      </c>
      <c r="I1766" s="1228">
        <v>9832.0300000000007</v>
      </c>
      <c r="J1766" s="708">
        <v>108.41</v>
      </c>
      <c r="K1766" s="1228">
        <v>1695.84</v>
      </c>
      <c r="L1766" s="1228">
        <v>392.53</v>
      </c>
      <c r="M1766" s="1228">
        <v>3651.99</v>
      </c>
      <c r="N1766" s="1228">
        <v>206.5</v>
      </c>
    </row>
    <row r="1767" spans="1:14" ht="15">
      <c r="A1767" s="705"/>
      <c r="B1767" s="705"/>
      <c r="C1767" s="1227">
        <v>42152</v>
      </c>
      <c r="D1767" s="703">
        <v>13147</v>
      </c>
      <c r="E1767" s="1228">
        <v>10337.85</v>
      </c>
      <c r="F1767" s="1228">
        <v>20422.5</v>
      </c>
      <c r="G1767" s="1228">
        <v>14552.46</v>
      </c>
      <c r="H1767" s="1228">
        <v>10737.69</v>
      </c>
      <c r="I1767" s="1228">
        <v>9832.0300000000007</v>
      </c>
      <c r="J1767" s="708">
        <v>108.41</v>
      </c>
      <c r="K1767" s="1228">
        <v>1695.84</v>
      </c>
      <c r="L1767" s="1228">
        <v>392.53</v>
      </c>
      <c r="M1767" s="1228">
        <v>3651.99</v>
      </c>
      <c r="N1767" s="1228">
        <v>206.5</v>
      </c>
    </row>
    <row r="1768" spans="1:14" ht="15">
      <c r="A1768" s="705"/>
      <c r="B1768" s="705"/>
      <c r="C1768" s="1227">
        <v>42153</v>
      </c>
      <c r="D1768" s="703">
        <v>13147</v>
      </c>
      <c r="E1768" s="1228">
        <v>10337.85</v>
      </c>
      <c r="F1768" s="1228">
        <v>20422.5</v>
      </c>
      <c r="G1768" s="1228">
        <v>14552.46</v>
      </c>
      <c r="H1768" s="1228">
        <v>10737.69</v>
      </c>
      <c r="I1768" s="1228">
        <v>9832.0300000000007</v>
      </c>
      <c r="J1768" s="708">
        <v>108.41</v>
      </c>
      <c r="K1768" s="1228">
        <v>1695.84</v>
      </c>
      <c r="L1768" s="1228">
        <v>392.53</v>
      </c>
      <c r="M1768" s="1228">
        <v>3651.99</v>
      </c>
      <c r="N1768" s="1228">
        <v>206.5</v>
      </c>
    </row>
    <row r="1769" spans="1:14" ht="15">
      <c r="A1769" s="705"/>
      <c r="B1769" s="705"/>
      <c r="C1769" s="1227">
        <v>42154</v>
      </c>
      <c r="D1769" s="703">
        <v>13147</v>
      </c>
      <c r="E1769" s="1228">
        <v>10337.85</v>
      </c>
      <c r="F1769" s="1228">
        <v>20422.5</v>
      </c>
      <c r="G1769" s="1228">
        <v>14552.46</v>
      </c>
      <c r="H1769" s="1228">
        <v>10737.69</v>
      </c>
      <c r="I1769" s="1228">
        <v>9832.0300000000007</v>
      </c>
      <c r="J1769" s="708">
        <v>108.41</v>
      </c>
      <c r="K1769" s="1228">
        <v>1695.84</v>
      </c>
      <c r="L1769" s="1228">
        <v>392.53</v>
      </c>
      <c r="M1769" s="1228">
        <v>3651.99</v>
      </c>
      <c r="N1769" s="1228">
        <v>206.5</v>
      </c>
    </row>
    <row r="1770" spans="1:14" ht="15">
      <c r="A1770" s="705"/>
      <c r="B1770" s="705"/>
      <c r="C1770" s="1227">
        <v>42155</v>
      </c>
      <c r="D1770" s="703">
        <v>13147</v>
      </c>
      <c r="E1770" s="1228">
        <v>10337.85</v>
      </c>
      <c r="F1770" s="1228">
        <v>20422.5</v>
      </c>
      <c r="G1770" s="1228">
        <v>14552.46</v>
      </c>
      <c r="H1770" s="1228">
        <v>10737.69</v>
      </c>
      <c r="I1770" s="1228">
        <v>9832.0300000000007</v>
      </c>
      <c r="J1770" s="708">
        <v>108.41</v>
      </c>
      <c r="K1770" s="1228">
        <v>1695.84</v>
      </c>
      <c r="L1770" s="1228">
        <v>392.53</v>
      </c>
      <c r="M1770" s="1228">
        <v>3651.99</v>
      </c>
      <c r="N1770" s="1228">
        <v>206.5</v>
      </c>
    </row>
    <row r="1771" spans="1:14" ht="15">
      <c r="A1771" s="705"/>
      <c r="B1771" s="705"/>
      <c r="C1771" s="1227">
        <v>42156</v>
      </c>
      <c r="D1771" s="703">
        <v>13147</v>
      </c>
      <c r="E1771" s="1228">
        <v>10337.85</v>
      </c>
      <c r="F1771" s="1228">
        <v>20422.5</v>
      </c>
      <c r="G1771" s="1228">
        <v>14552.46</v>
      </c>
      <c r="H1771" s="1228">
        <v>10737.69</v>
      </c>
      <c r="I1771" s="1228">
        <v>9832.0300000000007</v>
      </c>
      <c r="J1771" s="708">
        <v>108.41</v>
      </c>
      <c r="K1771" s="1228">
        <v>1695.84</v>
      </c>
      <c r="L1771" s="1228">
        <v>392.53</v>
      </c>
      <c r="M1771" s="1228">
        <v>3651.99</v>
      </c>
      <c r="N1771" s="1228">
        <v>206.5</v>
      </c>
    </row>
    <row r="1772" spans="1:14" ht="15">
      <c r="A1772" s="705"/>
      <c r="B1772" s="705"/>
      <c r="C1772" s="1227">
        <v>42157</v>
      </c>
      <c r="D1772" s="703">
        <v>13147</v>
      </c>
      <c r="E1772" s="1228">
        <v>10337.85</v>
      </c>
      <c r="F1772" s="1228">
        <v>20422.5</v>
      </c>
      <c r="G1772" s="1228">
        <v>14552.46</v>
      </c>
      <c r="H1772" s="1228">
        <v>10737.69</v>
      </c>
      <c r="I1772" s="1228">
        <v>9832.0300000000007</v>
      </c>
      <c r="J1772" s="708">
        <v>108.41</v>
      </c>
      <c r="K1772" s="1228">
        <v>1695.84</v>
      </c>
      <c r="L1772" s="1228">
        <v>392.53</v>
      </c>
      <c r="M1772" s="1228">
        <v>3651.99</v>
      </c>
      <c r="N1772" s="1228">
        <v>206.5</v>
      </c>
    </row>
    <row r="1773" spans="1:14" ht="15">
      <c r="A1773" s="705"/>
      <c r="B1773" s="705"/>
      <c r="C1773" s="1227">
        <v>42158</v>
      </c>
      <c r="D1773" s="703">
        <v>13217</v>
      </c>
      <c r="E1773" s="1228">
        <v>10151.629999999999</v>
      </c>
      <c r="F1773" s="1228">
        <v>20252.240000000002</v>
      </c>
      <c r="G1773" s="1228">
        <v>14446.63</v>
      </c>
      <c r="H1773" s="1228">
        <v>10616.96</v>
      </c>
      <c r="I1773" s="1228">
        <v>9791.9500000000007</v>
      </c>
      <c r="J1773" s="708">
        <v>106.73</v>
      </c>
      <c r="K1773" s="1228">
        <v>1704.43</v>
      </c>
      <c r="L1773" s="1228">
        <v>391.54</v>
      </c>
      <c r="M1773" s="1228">
        <v>3621.97</v>
      </c>
      <c r="N1773" s="1228">
        <v>206.79</v>
      </c>
    </row>
    <row r="1774" spans="1:14" ht="15">
      <c r="A1774" s="705"/>
      <c r="B1774" s="705"/>
      <c r="C1774" s="1227">
        <v>42159</v>
      </c>
      <c r="D1774" s="703">
        <v>13217</v>
      </c>
      <c r="E1774" s="1228">
        <v>10151.629999999999</v>
      </c>
      <c r="F1774" s="1228">
        <v>20252.240000000002</v>
      </c>
      <c r="G1774" s="1228">
        <v>14446.63</v>
      </c>
      <c r="H1774" s="1228">
        <v>10616.96</v>
      </c>
      <c r="I1774" s="1228">
        <v>9791.9500000000007</v>
      </c>
      <c r="J1774" s="708">
        <v>106.73</v>
      </c>
      <c r="K1774" s="1228">
        <v>1704.43</v>
      </c>
      <c r="L1774" s="1228">
        <v>391.54</v>
      </c>
      <c r="M1774" s="1228">
        <v>3621.97</v>
      </c>
      <c r="N1774" s="1228">
        <v>206.79</v>
      </c>
    </row>
    <row r="1775" spans="1:14" ht="15">
      <c r="A1775" s="705"/>
      <c r="B1775" s="705"/>
      <c r="C1775" s="1227">
        <v>42160</v>
      </c>
      <c r="D1775" s="703">
        <v>13217</v>
      </c>
      <c r="E1775" s="1228">
        <v>10151.629999999999</v>
      </c>
      <c r="F1775" s="1228">
        <v>20252.240000000002</v>
      </c>
      <c r="G1775" s="1228">
        <v>14446.63</v>
      </c>
      <c r="H1775" s="1228">
        <v>10616.96</v>
      </c>
      <c r="I1775" s="1228">
        <v>9791.9500000000007</v>
      </c>
      <c r="J1775" s="708">
        <v>106.73</v>
      </c>
      <c r="K1775" s="1228">
        <v>1704.43</v>
      </c>
      <c r="L1775" s="1228">
        <v>391.54</v>
      </c>
      <c r="M1775" s="1228">
        <v>3621.97</v>
      </c>
      <c r="N1775" s="1228">
        <v>206.79</v>
      </c>
    </row>
    <row r="1776" spans="1:14" ht="15">
      <c r="A1776" s="705"/>
      <c r="B1776" s="705"/>
      <c r="C1776" s="1227">
        <v>42161</v>
      </c>
      <c r="D1776" s="703">
        <v>13217</v>
      </c>
      <c r="E1776" s="1228">
        <v>10151.629999999999</v>
      </c>
      <c r="F1776" s="1228">
        <v>20252.240000000002</v>
      </c>
      <c r="G1776" s="1228">
        <v>14446.63</v>
      </c>
      <c r="H1776" s="1228">
        <v>10616.96</v>
      </c>
      <c r="I1776" s="1228">
        <v>9791.9500000000007</v>
      </c>
      <c r="J1776" s="708">
        <v>106.73</v>
      </c>
      <c r="K1776" s="1228">
        <v>1704.43</v>
      </c>
      <c r="L1776" s="1228">
        <v>391.54</v>
      </c>
      <c r="M1776" s="1228">
        <v>3621.97</v>
      </c>
      <c r="N1776" s="1228">
        <v>206.79</v>
      </c>
    </row>
    <row r="1777" spans="1:14" ht="15">
      <c r="A1777" s="705"/>
      <c r="B1777" s="705"/>
      <c r="C1777" s="1227">
        <v>42162</v>
      </c>
      <c r="D1777" s="703">
        <v>13217</v>
      </c>
      <c r="E1777" s="1228">
        <v>10151.629999999999</v>
      </c>
      <c r="F1777" s="1228">
        <v>20252.240000000002</v>
      </c>
      <c r="G1777" s="1228">
        <v>14446.63</v>
      </c>
      <c r="H1777" s="1228">
        <v>10616.96</v>
      </c>
      <c r="I1777" s="1228">
        <v>9791.9500000000007</v>
      </c>
      <c r="J1777" s="708">
        <v>106.73</v>
      </c>
      <c r="K1777" s="1228">
        <v>1704.43</v>
      </c>
      <c r="L1777" s="1228">
        <v>391.54</v>
      </c>
      <c r="M1777" s="1228">
        <v>3621.97</v>
      </c>
      <c r="N1777" s="1228">
        <v>206.79</v>
      </c>
    </row>
    <row r="1778" spans="1:14" ht="15">
      <c r="A1778" s="705"/>
      <c r="B1778" s="705"/>
      <c r="C1778" s="1227">
        <v>42163</v>
      </c>
      <c r="D1778" s="703">
        <v>13217</v>
      </c>
      <c r="E1778" s="1228">
        <v>10151.629999999999</v>
      </c>
      <c r="F1778" s="1228">
        <v>20252.240000000002</v>
      </c>
      <c r="G1778" s="1228">
        <v>14446.63</v>
      </c>
      <c r="H1778" s="1228">
        <v>10616.96</v>
      </c>
      <c r="I1778" s="1228">
        <v>9791.9500000000007</v>
      </c>
      <c r="J1778" s="708">
        <v>106.73</v>
      </c>
      <c r="K1778" s="1228">
        <v>1704.43</v>
      </c>
      <c r="L1778" s="1228">
        <v>391.54</v>
      </c>
      <c r="M1778" s="1228">
        <v>3621.97</v>
      </c>
      <c r="N1778" s="1228">
        <v>206.79</v>
      </c>
    </row>
    <row r="1779" spans="1:14" ht="15">
      <c r="A1779" s="705"/>
      <c r="B1779" s="705"/>
      <c r="C1779" s="1227">
        <v>42164</v>
      </c>
      <c r="D1779" s="703">
        <v>13217</v>
      </c>
      <c r="E1779" s="1228">
        <v>10151.629999999999</v>
      </c>
      <c r="F1779" s="1228">
        <v>20252.240000000002</v>
      </c>
      <c r="G1779" s="1228">
        <v>14446.63</v>
      </c>
      <c r="H1779" s="1228">
        <v>10616.96</v>
      </c>
      <c r="I1779" s="1228">
        <v>9791.9500000000007</v>
      </c>
      <c r="J1779" s="708">
        <v>106.73</v>
      </c>
      <c r="K1779" s="1228">
        <v>1704.43</v>
      </c>
      <c r="L1779" s="1228">
        <v>391.54</v>
      </c>
      <c r="M1779" s="1228">
        <v>3621.97</v>
      </c>
      <c r="N1779" s="1228">
        <v>206.79</v>
      </c>
    </row>
    <row r="1780" spans="1:14" ht="15">
      <c r="A1780" s="705"/>
      <c r="B1780" s="705"/>
      <c r="C1780" s="1227">
        <v>42165</v>
      </c>
      <c r="D1780" s="703">
        <v>13275</v>
      </c>
      <c r="E1780" s="1228">
        <v>10217.24</v>
      </c>
      <c r="F1780" s="1228">
        <v>20332.52</v>
      </c>
      <c r="G1780" s="1228">
        <v>14835.87</v>
      </c>
      <c r="H1780" s="1228">
        <v>10660.6</v>
      </c>
      <c r="I1780" s="1228">
        <v>9823.2900000000009</v>
      </c>
      <c r="J1780" s="708">
        <v>106.4</v>
      </c>
      <c r="K1780" s="1228">
        <v>1712.17</v>
      </c>
      <c r="L1780" s="1228">
        <v>393.07</v>
      </c>
      <c r="M1780" s="1228">
        <v>3575.51</v>
      </c>
      <c r="N1780" s="1228">
        <v>207.72</v>
      </c>
    </row>
    <row r="1781" spans="1:14" ht="15">
      <c r="A1781" s="705"/>
      <c r="B1781" s="705"/>
      <c r="C1781" s="1227">
        <v>42166</v>
      </c>
      <c r="D1781" s="703">
        <v>13275</v>
      </c>
      <c r="E1781" s="1228">
        <v>10217.24</v>
      </c>
      <c r="F1781" s="1228">
        <v>20332.52</v>
      </c>
      <c r="G1781" s="1228">
        <v>14835.87</v>
      </c>
      <c r="H1781" s="1228">
        <v>10660.6</v>
      </c>
      <c r="I1781" s="1228">
        <v>9823.2900000000009</v>
      </c>
      <c r="J1781" s="708">
        <v>106.4</v>
      </c>
      <c r="K1781" s="1228">
        <v>1712.17</v>
      </c>
      <c r="L1781" s="1228">
        <v>393.07</v>
      </c>
      <c r="M1781" s="1228">
        <v>3575.51</v>
      </c>
      <c r="N1781" s="1228">
        <v>207.72</v>
      </c>
    </row>
    <row r="1782" spans="1:14" ht="15">
      <c r="A1782" s="705"/>
      <c r="B1782" s="705"/>
      <c r="C1782" s="1227">
        <v>42167</v>
      </c>
      <c r="D1782" s="703">
        <v>13275</v>
      </c>
      <c r="E1782" s="1228">
        <v>10217.24</v>
      </c>
      <c r="F1782" s="1228">
        <v>20332.52</v>
      </c>
      <c r="G1782" s="1228">
        <v>14835.87</v>
      </c>
      <c r="H1782" s="1228">
        <v>10660.6</v>
      </c>
      <c r="I1782" s="1228">
        <v>9823.2900000000009</v>
      </c>
      <c r="J1782" s="708">
        <v>106.4</v>
      </c>
      <c r="K1782" s="1228">
        <v>1712.17</v>
      </c>
      <c r="L1782" s="1228">
        <v>393.07</v>
      </c>
      <c r="M1782" s="1228">
        <v>3575.51</v>
      </c>
      <c r="N1782" s="1228">
        <v>207.72</v>
      </c>
    </row>
    <row r="1783" spans="1:14" ht="15">
      <c r="A1783" s="705"/>
      <c r="B1783" s="705"/>
      <c r="C1783" s="1227">
        <v>42168</v>
      </c>
      <c r="D1783" s="703">
        <v>13275</v>
      </c>
      <c r="E1783" s="1228">
        <v>10217.24</v>
      </c>
      <c r="F1783" s="1228">
        <v>20332.52</v>
      </c>
      <c r="G1783" s="1228">
        <v>14835.87</v>
      </c>
      <c r="H1783" s="1228">
        <v>10660.6</v>
      </c>
      <c r="I1783" s="1228">
        <v>9823.2900000000009</v>
      </c>
      <c r="J1783" s="708">
        <v>106.4</v>
      </c>
      <c r="K1783" s="1228">
        <v>1712.17</v>
      </c>
      <c r="L1783" s="1228">
        <v>393.07</v>
      </c>
      <c r="M1783" s="1228">
        <v>3575.51</v>
      </c>
      <c r="N1783" s="1228">
        <v>207.72</v>
      </c>
    </row>
    <row r="1784" spans="1:14" ht="15">
      <c r="A1784" s="705"/>
      <c r="B1784" s="705"/>
      <c r="C1784" s="1227">
        <v>42169</v>
      </c>
      <c r="D1784" s="703">
        <v>13275</v>
      </c>
      <c r="E1784" s="1228">
        <v>10217.24</v>
      </c>
      <c r="F1784" s="1228">
        <v>20332.52</v>
      </c>
      <c r="G1784" s="1228">
        <v>14835.87</v>
      </c>
      <c r="H1784" s="1228">
        <v>10660.6</v>
      </c>
      <c r="I1784" s="1228">
        <v>9823.2900000000009</v>
      </c>
      <c r="J1784" s="708">
        <v>106.4</v>
      </c>
      <c r="K1784" s="1228">
        <v>1712.17</v>
      </c>
      <c r="L1784" s="1228">
        <v>393.07</v>
      </c>
      <c r="M1784" s="1228">
        <v>3575.51</v>
      </c>
      <c r="N1784" s="1228">
        <v>207.72</v>
      </c>
    </row>
    <row r="1785" spans="1:14" ht="15">
      <c r="A1785" s="705"/>
      <c r="B1785" s="705"/>
      <c r="C1785" s="1227">
        <v>42170</v>
      </c>
      <c r="D1785" s="703">
        <v>13275</v>
      </c>
      <c r="E1785" s="1228">
        <v>10217.24</v>
      </c>
      <c r="F1785" s="1228">
        <v>20332.52</v>
      </c>
      <c r="G1785" s="1228">
        <v>14835.87</v>
      </c>
      <c r="H1785" s="1228">
        <v>10660.6</v>
      </c>
      <c r="I1785" s="1228">
        <v>9823.2900000000009</v>
      </c>
      <c r="J1785" s="708">
        <v>106.4</v>
      </c>
      <c r="K1785" s="1228">
        <v>1712.17</v>
      </c>
      <c r="L1785" s="1228">
        <v>393.07</v>
      </c>
      <c r="M1785" s="1228">
        <v>3575.51</v>
      </c>
      <c r="N1785" s="1228">
        <v>207.72</v>
      </c>
    </row>
    <row r="1786" spans="1:14" ht="15">
      <c r="A1786" s="705"/>
      <c r="B1786" s="705"/>
      <c r="C1786" s="1227">
        <v>42171</v>
      </c>
      <c r="D1786" s="703">
        <v>13275</v>
      </c>
      <c r="E1786" s="1228">
        <v>10217.24</v>
      </c>
      <c r="F1786" s="1228">
        <v>20332.52</v>
      </c>
      <c r="G1786" s="1228">
        <v>14835.87</v>
      </c>
      <c r="H1786" s="1228">
        <v>10660.6</v>
      </c>
      <c r="I1786" s="1228">
        <v>9823.2900000000009</v>
      </c>
      <c r="J1786" s="708">
        <v>106.4</v>
      </c>
      <c r="K1786" s="1228">
        <v>1712.17</v>
      </c>
      <c r="L1786" s="1228">
        <v>393.07</v>
      </c>
      <c r="M1786" s="1228">
        <v>3575.51</v>
      </c>
      <c r="N1786" s="1228">
        <v>207.72</v>
      </c>
    </row>
    <row r="1787" spans="1:14" ht="15">
      <c r="A1787" s="705"/>
      <c r="B1787" s="705"/>
      <c r="C1787" s="1227">
        <v>42172</v>
      </c>
      <c r="D1787" s="703">
        <v>13324</v>
      </c>
      <c r="E1787" s="1228">
        <v>10299.14</v>
      </c>
      <c r="F1787" s="1228">
        <v>20659.84</v>
      </c>
      <c r="G1787" s="1228">
        <v>15014.36</v>
      </c>
      <c r="H1787" s="1228">
        <v>10825.15</v>
      </c>
      <c r="I1787" s="1228">
        <v>9898.66</v>
      </c>
      <c r="J1787" s="708">
        <v>107.92</v>
      </c>
      <c r="K1787" s="1228">
        <v>1718.55</v>
      </c>
      <c r="L1787" s="1228">
        <v>395.63</v>
      </c>
      <c r="M1787" s="1228">
        <v>3551.86</v>
      </c>
      <c r="N1787" s="1228">
        <v>208.23</v>
      </c>
    </row>
    <row r="1788" spans="1:14" ht="15">
      <c r="A1788" s="705"/>
      <c r="B1788" s="705"/>
      <c r="C1788" s="1227">
        <v>42173</v>
      </c>
      <c r="D1788" s="703">
        <v>13324</v>
      </c>
      <c r="E1788" s="1228">
        <v>10299.14</v>
      </c>
      <c r="F1788" s="1228">
        <v>20659.84</v>
      </c>
      <c r="G1788" s="1228">
        <v>15014.36</v>
      </c>
      <c r="H1788" s="1228">
        <v>10825.15</v>
      </c>
      <c r="I1788" s="1228">
        <v>9898.66</v>
      </c>
      <c r="J1788" s="708">
        <v>107.92</v>
      </c>
      <c r="K1788" s="1228">
        <v>1718.55</v>
      </c>
      <c r="L1788" s="1228">
        <v>395.63</v>
      </c>
      <c r="M1788" s="1228">
        <v>3551.86</v>
      </c>
      <c r="N1788" s="1228">
        <v>208.23</v>
      </c>
    </row>
    <row r="1789" spans="1:14" ht="15">
      <c r="A1789" s="705"/>
      <c r="B1789" s="705"/>
      <c r="C1789" s="1227">
        <v>42174</v>
      </c>
      <c r="D1789" s="703">
        <v>13324</v>
      </c>
      <c r="E1789" s="1228">
        <v>10299.14</v>
      </c>
      <c r="F1789" s="1228">
        <v>20659.84</v>
      </c>
      <c r="G1789" s="1228">
        <v>15014.36</v>
      </c>
      <c r="H1789" s="1228">
        <v>10825.15</v>
      </c>
      <c r="I1789" s="1228">
        <v>9898.66</v>
      </c>
      <c r="J1789" s="708">
        <v>107.92</v>
      </c>
      <c r="K1789" s="1228">
        <v>1718.55</v>
      </c>
      <c r="L1789" s="1228">
        <v>395.63</v>
      </c>
      <c r="M1789" s="1228">
        <v>3551.86</v>
      </c>
      <c r="N1789" s="1228">
        <v>208.23</v>
      </c>
    </row>
    <row r="1790" spans="1:14" ht="15">
      <c r="A1790" s="705"/>
      <c r="B1790" s="705"/>
      <c r="C1790" s="1227">
        <v>42175</v>
      </c>
      <c r="D1790" s="703">
        <v>13324</v>
      </c>
      <c r="E1790" s="1228">
        <v>10299.14</v>
      </c>
      <c r="F1790" s="1228">
        <v>20659.84</v>
      </c>
      <c r="G1790" s="1228">
        <v>15014.36</v>
      </c>
      <c r="H1790" s="1228">
        <v>10825.15</v>
      </c>
      <c r="I1790" s="1228">
        <v>9898.66</v>
      </c>
      <c r="J1790" s="708">
        <v>107.92</v>
      </c>
      <c r="K1790" s="1228">
        <v>1718.55</v>
      </c>
      <c r="L1790" s="1228">
        <v>395.63</v>
      </c>
      <c r="M1790" s="1228">
        <v>3551.86</v>
      </c>
      <c r="N1790" s="1228">
        <v>208.23</v>
      </c>
    </row>
    <row r="1791" spans="1:14" ht="15">
      <c r="A1791" s="705"/>
      <c r="B1791" s="705"/>
      <c r="C1791" s="1227">
        <v>42176</v>
      </c>
      <c r="D1791" s="703">
        <v>13324</v>
      </c>
      <c r="E1791" s="1228">
        <v>10299.14</v>
      </c>
      <c r="F1791" s="1228">
        <v>20659.84</v>
      </c>
      <c r="G1791" s="1228">
        <v>15014.36</v>
      </c>
      <c r="H1791" s="1228">
        <v>10825.15</v>
      </c>
      <c r="I1791" s="1228">
        <v>9898.66</v>
      </c>
      <c r="J1791" s="708">
        <v>107.92</v>
      </c>
      <c r="K1791" s="1228">
        <v>1718.55</v>
      </c>
      <c r="L1791" s="1228">
        <v>395.63</v>
      </c>
      <c r="M1791" s="1228">
        <v>3551.86</v>
      </c>
      <c r="N1791" s="1228">
        <v>208.23</v>
      </c>
    </row>
    <row r="1792" spans="1:14" ht="15">
      <c r="A1792" s="705"/>
      <c r="B1792" s="705"/>
      <c r="C1792" s="1227">
        <v>42177</v>
      </c>
      <c r="D1792" s="703">
        <v>13324</v>
      </c>
      <c r="E1792" s="1228">
        <v>10299.14</v>
      </c>
      <c r="F1792" s="1228">
        <v>20659.84</v>
      </c>
      <c r="G1792" s="1228">
        <v>15014.36</v>
      </c>
      <c r="H1792" s="1228">
        <v>10825.15</v>
      </c>
      <c r="I1792" s="1228">
        <v>9898.66</v>
      </c>
      <c r="J1792" s="708">
        <v>107.92</v>
      </c>
      <c r="K1792" s="1228">
        <v>1718.55</v>
      </c>
      <c r="L1792" s="1228">
        <v>395.63</v>
      </c>
      <c r="M1792" s="1228">
        <v>3551.86</v>
      </c>
      <c r="N1792" s="1228">
        <v>208.23</v>
      </c>
    </row>
    <row r="1793" spans="1:14" ht="15">
      <c r="A1793" s="705"/>
      <c r="B1793" s="705"/>
      <c r="C1793" s="1227">
        <v>42178</v>
      </c>
      <c r="D1793" s="703">
        <v>13324</v>
      </c>
      <c r="E1793" s="1228">
        <v>10299.14</v>
      </c>
      <c r="F1793" s="1228">
        <v>20659.84</v>
      </c>
      <c r="G1793" s="1228">
        <v>15014.36</v>
      </c>
      <c r="H1793" s="1228">
        <v>10825.15</v>
      </c>
      <c r="I1793" s="1228">
        <v>9898.66</v>
      </c>
      <c r="J1793" s="708">
        <v>107.92</v>
      </c>
      <c r="K1793" s="1228">
        <v>1718.55</v>
      </c>
      <c r="L1793" s="1228">
        <v>395.63</v>
      </c>
      <c r="M1793" s="1228">
        <v>3551.86</v>
      </c>
      <c r="N1793" s="1228">
        <v>208.23</v>
      </c>
    </row>
    <row r="1794" spans="1:14" ht="15">
      <c r="A1794" s="705"/>
      <c r="B1794" s="705"/>
      <c r="C1794" s="1227">
        <v>42179</v>
      </c>
      <c r="D1794" s="703">
        <v>13327</v>
      </c>
      <c r="E1794" s="1228">
        <v>10355.83</v>
      </c>
      <c r="F1794" s="1228">
        <v>21091.48</v>
      </c>
      <c r="G1794" s="1228">
        <v>15106.23</v>
      </c>
      <c r="H1794" s="1228">
        <v>10874.42</v>
      </c>
      <c r="I1794" s="1228">
        <v>9975.15</v>
      </c>
      <c r="J1794" s="708">
        <v>108.32</v>
      </c>
      <c r="K1794" s="1228">
        <v>1719.12</v>
      </c>
      <c r="L1794" s="1228">
        <v>396.04</v>
      </c>
      <c r="M1794" s="1228">
        <v>3564.79</v>
      </c>
      <c r="N1794" s="1228">
        <v>208.5</v>
      </c>
    </row>
    <row r="1795" spans="1:14" ht="15">
      <c r="A1795" s="705"/>
      <c r="B1795" s="705"/>
      <c r="C1795" s="1227">
        <v>42180</v>
      </c>
      <c r="D1795" s="703">
        <v>13327</v>
      </c>
      <c r="E1795" s="1228">
        <v>10355.83</v>
      </c>
      <c r="F1795" s="1228">
        <v>21091.48</v>
      </c>
      <c r="G1795" s="1228">
        <v>15106.23</v>
      </c>
      <c r="H1795" s="1228">
        <v>10874.42</v>
      </c>
      <c r="I1795" s="1228">
        <v>9975.15</v>
      </c>
      <c r="J1795" s="708">
        <v>108.32</v>
      </c>
      <c r="K1795" s="1228">
        <v>1719.12</v>
      </c>
      <c r="L1795" s="1228">
        <v>396.04</v>
      </c>
      <c r="M1795" s="1228">
        <v>3564.79</v>
      </c>
      <c r="N1795" s="1228">
        <v>208.5</v>
      </c>
    </row>
    <row r="1796" spans="1:14" ht="15">
      <c r="A1796" s="705"/>
      <c r="B1796" s="705"/>
      <c r="C1796" s="1227">
        <v>42181</v>
      </c>
      <c r="D1796" s="703">
        <v>13327</v>
      </c>
      <c r="E1796" s="1228">
        <v>10355.83</v>
      </c>
      <c r="F1796" s="1228">
        <v>21091.48</v>
      </c>
      <c r="G1796" s="1228">
        <v>15106.23</v>
      </c>
      <c r="H1796" s="1228">
        <v>10874.42</v>
      </c>
      <c r="I1796" s="1228">
        <v>9975.15</v>
      </c>
      <c r="J1796" s="708">
        <v>108.32</v>
      </c>
      <c r="K1796" s="1228">
        <v>1719.12</v>
      </c>
      <c r="L1796" s="1228">
        <v>396.04</v>
      </c>
      <c r="M1796" s="1228">
        <v>3564.79</v>
      </c>
      <c r="N1796" s="1228">
        <v>208.5</v>
      </c>
    </row>
    <row r="1797" spans="1:14" ht="15">
      <c r="A1797" s="705"/>
      <c r="B1797" s="705"/>
      <c r="C1797" s="1227">
        <v>42182</v>
      </c>
      <c r="D1797" s="703">
        <v>13327</v>
      </c>
      <c r="E1797" s="1228">
        <v>10355.83</v>
      </c>
      <c r="F1797" s="1228">
        <v>21091.48</v>
      </c>
      <c r="G1797" s="1228">
        <v>15106.23</v>
      </c>
      <c r="H1797" s="1228">
        <v>10874.42</v>
      </c>
      <c r="I1797" s="1228">
        <v>9975.15</v>
      </c>
      <c r="J1797" s="708">
        <v>108.32</v>
      </c>
      <c r="K1797" s="1228">
        <v>1719.12</v>
      </c>
      <c r="L1797" s="1228">
        <v>396.04</v>
      </c>
      <c r="M1797" s="1228">
        <v>3564.79</v>
      </c>
      <c r="N1797" s="1228">
        <v>208.5</v>
      </c>
    </row>
    <row r="1798" spans="1:14" ht="15">
      <c r="A1798" s="705"/>
      <c r="B1798" s="705"/>
      <c r="C1798" s="1227">
        <v>42183</v>
      </c>
      <c r="D1798" s="703">
        <v>13327</v>
      </c>
      <c r="E1798" s="1228">
        <v>10355.83</v>
      </c>
      <c r="F1798" s="1228">
        <v>21091.48</v>
      </c>
      <c r="G1798" s="1228">
        <v>15106.23</v>
      </c>
      <c r="H1798" s="1228">
        <v>10874.42</v>
      </c>
      <c r="I1798" s="1228">
        <v>9975.15</v>
      </c>
      <c r="J1798" s="708">
        <v>108.32</v>
      </c>
      <c r="K1798" s="1228">
        <v>1719.12</v>
      </c>
      <c r="L1798" s="1228">
        <v>396.04</v>
      </c>
      <c r="M1798" s="1228">
        <v>3564.79</v>
      </c>
      <c r="N1798" s="1228">
        <v>208.5</v>
      </c>
    </row>
    <row r="1799" spans="1:14" ht="15">
      <c r="A1799" s="705"/>
      <c r="B1799" s="705"/>
      <c r="C1799" s="1227">
        <v>42184</v>
      </c>
      <c r="D1799" s="703">
        <v>13327</v>
      </c>
      <c r="E1799" s="1228">
        <v>10355.83</v>
      </c>
      <c r="F1799" s="1228">
        <v>21091.48</v>
      </c>
      <c r="G1799" s="1228">
        <v>15106.23</v>
      </c>
      <c r="H1799" s="1228">
        <v>10874.42</v>
      </c>
      <c r="I1799" s="1228">
        <v>9975.15</v>
      </c>
      <c r="J1799" s="708">
        <v>108.32</v>
      </c>
      <c r="K1799" s="1228">
        <v>1719.12</v>
      </c>
      <c r="L1799" s="1228">
        <v>396.04</v>
      </c>
      <c r="M1799" s="1228">
        <v>3564.79</v>
      </c>
      <c r="N1799" s="1228">
        <v>208.5</v>
      </c>
    </row>
    <row r="1800" spans="1:14" ht="15">
      <c r="A1800" s="705"/>
      <c r="B1800" s="705"/>
      <c r="C1800" s="1227">
        <v>42185</v>
      </c>
      <c r="D1800" s="703">
        <v>13327</v>
      </c>
      <c r="E1800" s="1228">
        <v>10355.83</v>
      </c>
      <c r="F1800" s="1228">
        <v>21091.48</v>
      </c>
      <c r="G1800" s="1228">
        <v>15106.23</v>
      </c>
      <c r="H1800" s="1228">
        <v>10874.42</v>
      </c>
      <c r="I1800" s="1228">
        <v>9975.15</v>
      </c>
      <c r="J1800" s="708">
        <v>108.32</v>
      </c>
      <c r="K1800" s="1228">
        <v>1719.12</v>
      </c>
      <c r="L1800" s="1228">
        <v>396.04</v>
      </c>
      <c r="M1800" s="1228">
        <v>3564.79</v>
      </c>
      <c r="N1800" s="1228">
        <v>208.5</v>
      </c>
    </row>
    <row r="1801" spans="1:14" ht="15">
      <c r="A1801" s="705"/>
      <c r="B1801" s="705"/>
      <c r="C1801" s="1227">
        <v>42186</v>
      </c>
      <c r="D1801" s="703">
        <v>13308</v>
      </c>
      <c r="E1801" s="1228">
        <v>10239.18</v>
      </c>
      <c r="F1801" s="1228">
        <v>20931.62</v>
      </c>
      <c r="G1801" s="1228">
        <v>14838.15</v>
      </c>
      <c r="H1801" s="1228">
        <v>10784.44</v>
      </c>
      <c r="I1801" s="1228">
        <v>9884.2800000000007</v>
      </c>
      <c r="J1801" s="708">
        <v>107.6</v>
      </c>
      <c r="K1801" s="1228">
        <v>1716.59</v>
      </c>
      <c r="L1801" s="1228">
        <v>393.84</v>
      </c>
      <c r="M1801" s="1228">
        <v>3539.55</v>
      </c>
      <c r="N1801" s="1228">
        <v>209.19</v>
      </c>
    </row>
    <row r="1802" spans="1:14" ht="15">
      <c r="A1802" s="705"/>
      <c r="B1802" s="705"/>
      <c r="C1802" s="1227">
        <v>42187</v>
      </c>
      <c r="D1802" s="703">
        <v>13308</v>
      </c>
      <c r="E1802" s="1228">
        <v>10239.18</v>
      </c>
      <c r="F1802" s="1228">
        <v>20931.62</v>
      </c>
      <c r="G1802" s="1228">
        <v>14838.15</v>
      </c>
      <c r="H1802" s="1228">
        <v>10784.44</v>
      </c>
      <c r="I1802" s="1228">
        <v>9884.2800000000007</v>
      </c>
      <c r="J1802" s="708">
        <v>107.6</v>
      </c>
      <c r="K1802" s="1228">
        <v>1716.59</v>
      </c>
      <c r="L1802" s="1228">
        <v>393.84</v>
      </c>
      <c r="M1802" s="1228">
        <v>3539.55</v>
      </c>
      <c r="N1802" s="1228">
        <v>209.19</v>
      </c>
    </row>
    <row r="1803" spans="1:14" ht="15">
      <c r="A1803" s="705"/>
      <c r="B1803" s="705"/>
      <c r="C1803" s="1227">
        <v>42188</v>
      </c>
      <c r="D1803" s="703">
        <v>13308</v>
      </c>
      <c r="E1803" s="1228">
        <v>10239.18</v>
      </c>
      <c r="F1803" s="1228">
        <v>20931.62</v>
      </c>
      <c r="G1803" s="1228">
        <v>14838.15</v>
      </c>
      <c r="H1803" s="1228">
        <v>10784.44</v>
      </c>
      <c r="I1803" s="1228">
        <v>9884.2800000000007</v>
      </c>
      <c r="J1803" s="708">
        <v>107.6</v>
      </c>
      <c r="K1803" s="1228">
        <v>1716.59</v>
      </c>
      <c r="L1803" s="1228">
        <v>393.84</v>
      </c>
      <c r="M1803" s="1228">
        <v>3539.55</v>
      </c>
      <c r="N1803" s="1228">
        <v>209.19</v>
      </c>
    </row>
    <row r="1804" spans="1:14" ht="15">
      <c r="A1804" s="705"/>
      <c r="B1804" s="705"/>
      <c r="C1804" s="1227">
        <v>42189</v>
      </c>
      <c r="D1804" s="703">
        <v>13308</v>
      </c>
      <c r="E1804" s="1228">
        <v>10239.18</v>
      </c>
      <c r="F1804" s="1228">
        <v>20931.62</v>
      </c>
      <c r="G1804" s="1228">
        <v>14838.15</v>
      </c>
      <c r="H1804" s="1228">
        <v>10784.44</v>
      </c>
      <c r="I1804" s="1228">
        <v>9884.2800000000007</v>
      </c>
      <c r="J1804" s="708">
        <v>107.6</v>
      </c>
      <c r="K1804" s="1228">
        <v>1716.59</v>
      </c>
      <c r="L1804" s="1228">
        <v>393.84</v>
      </c>
      <c r="M1804" s="1228">
        <v>3539.55</v>
      </c>
      <c r="N1804" s="1228">
        <v>209.19</v>
      </c>
    </row>
    <row r="1805" spans="1:14" ht="15">
      <c r="A1805" s="705"/>
      <c r="B1805" s="705"/>
      <c r="C1805" s="1227">
        <v>42190</v>
      </c>
      <c r="D1805" s="703">
        <v>13308</v>
      </c>
      <c r="E1805" s="1228">
        <v>10239.18</v>
      </c>
      <c r="F1805" s="1228">
        <v>20931.62</v>
      </c>
      <c r="G1805" s="1228">
        <v>14838.15</v>
      </c>
      <c r="H1805" s="1228">
        <v>10784.44</v>
      </c>
      <c r="I1805" s="1228">
        <v>9884.2800000000007</v>
      </c>
      <c r="J1805" s="708">
        <v>107.6</v>
      </c>
      <c r="K1805" s="1228">
        <v>1716.59</v>
      </c>
      <c r="L1805" s="1228">
        <v>393.84</v>
      </c>
      <c r="M1805" s="1228">
        <v>3539.55</v>
      </c>
      <c r="N1805" s="1228">
        <v>209.19</v>
      </c>
    </row>
    <row r="1806" spans="1:14" ht="15">
      <c r="A1806" s="705"/>
      <c r="B1806" s="705"/>
      <c r="C1806" s="1227">
        <v>42191</v>
      </c>
      <c r="D1806" s="703">
        <v>13308</v>
      </c>
      <c r="E1806" s="1228">
        <v>10239.18</v>
      </c>
      <c r="F1806" s="1228">
        <v>20931.62</v>
      </c>
      <c r="G1806" s="1228">
        <v>14838.15</v>
      </c>
      <c r="H1806" s="1228">
        <v>10784.44</v>
      </c>
      <c r="I1806" s="1228">
        <v>9884.2800000000007</v>
      </c>
      <c r="J1806" s="708">
        <v>107.6</v>
      </c>
      <c r="K1806" s="1228">
        <v>1716.59</v>
      </c>
      <c r="L1806" s="1228">
        <v>393.84</v>
      </c>
      <c r="M1806" s="1228">
        <v>3539.55</v>
      </c>
      <c r="N1806" s="1228">
        <v>209.19</v>
      </c>
    </row>
    <row r="1807" spans="1:14" ht="15">
      <c r="A1807" s="705"/>
      <c r="B1807" s="705"/>
      <c r="C1807" s="1227">
        <v>42192</v>
      </c>
      <c r="D1807" s="703">
        <v>13308</v>
      </c>
      <c r="E1807" s="1228">
        <v>10239.18</v>
      </c>
      <c r="F1807" s="1228">
        <v>20931.62</v>
      </c>
      <c r="G1807" s="1228">
        <v>14838.15</v>
      </c>
      <c r="H1807" s="1228">
        <v>10784.44</v>
      </c>
      <c r="I1807" s="1228">
        <v>9884.2800000000007</v>
      </c>
      <c r="J1807" s="708">
        <v>107.6</v>
      </c>
      <c r="K1807" s="1228">
        <v>1716.59</v>
      </c>
      <c r="L1807" s="1228">
        <v>393.84</v>
      </c>
      <c r="M1807" s="1228">
        <v>3539.55</v>
      </c>
      <c r="N1807" s="1228">
        <v>209.19</v>
      </c>
    </row>
    <row r="1808" spans="1:14" ht="15">
      <c r="A1808" s="705"/>
      <c r="B1808" s="705"/>
      <c r="C1808" s="1227">
        <v>42193</v>
      </c>
      <c r="D1808" s="703">
        <v>13335</v>
      </c>
      <c r="E1808" s="1228">
        <v>10133.65</v>
      </c>
      <c r="F1808" s="1228">
        <v>20821.22</v>
      </c>
      <c r="G1808" s="1228">
        <v>14786.43</v>
      </c>
      <c r="H1808" s="1228">
        <v>10615.36</v>
      </c>
      <c r="I1808" s="1228">
        <v>9884.81</v>
      </c>
      <c r="J1808" s="708">
        <v>108.56</v>
      </c>
      <c r="K1808" s="1228">
        <v>1720.11</v>
      </c>
      <c r="L1808" s="1228">
        <v>394.5</v>
      </c>
      <c r="M1808" s="1228">
        <v>3530.75</v>
      </c>
      <c r="N1808" s="1228">
        <v>209.83</v>
      </c>
    </row>
    <row r="1809" spans="1:14" ht="15">
      <c r="A1809" s="705"/>
      <c r="B1809" s="705"/>
      <c r="C1809" s="1227">
        <v>42194</v>
      </c>
      <c r="D1809" s="703">
        <v>13335</v>
      </c>
      <c r="E1809" s="1228">
        <v>10133.65</v>
      </c>
      <c r="F1809" s="1228">
        <v>20821.22</v>
      </c>
      <c r="G1809" s="1228">
        <v>14786.43</v>
      </c>
      <c r="H1809" s="1228">
        <v>10615.36</v>
      </c>
      <c r="I1809" s="1228">
        <v>9884.81</v>
      </c>
      <c r="J1809" s="708">
        <v>108.56</v>
      </c>
      <c r="K1809" s="1228">
        <v>1720.11</v>
      </c>
      <c r="L1809" s="1228">
        <v>394.5</v>
      </c>
      <c r="M1809" s="1228">
        <v>3530.75</v>
      </c>
      <c r="N1809" s="1228">
        <v>209.83</v>
      </c>
    </row>
    <row r="1810" spans="1:14" ht="15">
      <c r="A1810" s="705"/>
      <c r="B1810" s="705"/>
      <c r="C1810" s="1227">
        <v>42195</v>
      </c>
      <c r="D1810" s="703">
        <v>13335</v>
      </c>
      <c r="E1810" s="1228">
        <v>10133.65</v>
      </c>
      <c r="F1810" s="1228">
        <v>20821.22</v>
      </c>
      <c r="G1810" s="1228">
        <v>14786.43</v>
      </c>
      <c r="H1810" s="1228">
        <v>10615.36</v>
      </c>
      <c r="I1810" s="1228">
        <v>9884.81</v>
      </c>
      <c r="J1810" s="708">
        <v>108.56</v>
      </c>
      <c r="K1810" s="1228">
        <v>1720.11</v>
      </c>
      <c r="L1810" s="1228">
        <v>394.5</v>
      </c>
      <c r="M1810" s="1228">
        <v>3530.75</v>
      </c>
      <c r="N1810" s="1228">
        <v>209.83</v>
      </c>
    </row>
    <row r="1811" spans="1:14" ht="15">
      <c r="A1811" s="705"/>
      <c r="B1811" s="705"/>
      <c r="C1811" s="1227">
        <v>42196</v>
      </c>
      <c r="D1811" s="703">
        <v>13335</v>
      </c>
      <c r="E1811" s="1228">
        <v>10133.65</v>
      </c>
      <c r="F1811" s="1228">
        <v>20821.22</v>
      </c>
      <c r="G1811" s="1228">
        <v>14786.43</v>
      </c>
      <c r="H1811" s="1228">
        <v>10615.36</v>
      </c>
      <c r="I1811" s="1228">
        <v>9884.81</v>
      </c>
      <c r="J1811" s="708">
        <v>108.56</v>
      </c>
      <c r="K1811" s="1228">
        <v>1720.11</v>
      </c>
      <c r="L1811" s="1228">
        <v>394.5</v>
      </c>
      <c r="M1811" s="1228">
        <v>3530.75</v>
      </c>
      <c r="N1811" s="1228">
        <v>209.83</v>
      </c>
    </row>
    <row r="1812" spans="1:14" ht="15">
      <c r="A1812" s="705"/>
      <c r="B1812" s="705"/>
      <c r="C1812" s="1227">
        <v>42197</v>
      </c>
      <c r="D1812" s="703">
        <v>13335</v>
      </c>
      <c r="E1812" s="1228">
        <v>10133.65</v>
      </c>
      <c r="F1812" s="1228">
        <v>20821.22</v>
      </c>
      <c r="G1812" s="1228">
        <v>14786.43</v>
      </c>
      <c r="H1812" s="1228">
        <v>10615.36</v>
      </c>
      <c r="I1812" s="1228">
        <v>9884.81</v>
      </c>
      <c r="J1812" s="708">
        <v>108.56</v>
      </c>
      <c r="K1812" s="1228">
        <v>1720.11</v>
      </c>
      <c r="L1812" s="1228">
        <v>394.5</v>
      </c>
      <c r="M1812" s="1228">
        <v>3530.75</v>
      </c>
      <c r="N1812" s="1228">
        <v>209.83</v>
      </c>
    </row>
    <row r="1813" spans="1:14" ht="15">
      <c r="A1813" s="705"/>
      <c r="B1813" s="705"/>
      <c r="C1813" s="1227">
        <v>42198</v>
      </c>
      <c r="D1813" s="703">
        <v>13335</v>
      </c>
      <c r="E1813" s="1228">
        <v>10133.65</v>
      </c>
      <c r="F1813" s="1228">
        <v>20821.22</v>
      </c>
      <c r="G1813" s="1228">
        <v>14786.43</v>
      </c>
      <c r="H1813" s="1228">
        <v>10615.36</v>
      </c>
      <c r="I1813" s="1228">
        <v>9884.81</v>
      </c>
      <c r="J1813" s="708">
        <v>108.56</v>
      </c>
      <c r="K1813" s="1228">
        <v>1720.11</v>
      </c>
      <c r="L1813" s="1228">
        <v>394.5</v>
      </c>
      <c r="M1813" s="1228">
        <v>3530.75</v>
      </c>
      <c r="N1813" s="1228">
        <v>209.83</v>
      </c>
    </row>
    <row r="1814" spans="1:14" ht="15">
      <c r="A1814" s="705"/>
      <c r="B1814" s="705"/>
      <c r="C1814" s="1227">
        <v>42199</v>
      </c>
      <c r="D1814" s="703">
        <v>13335</v>
      </c>
      <c r="E1814" s="1228">
        <v>10133.65</v>
      </c>
      <c r="F1814" s="1228">
        <v>20821.22</v>
      </c>
      <c r="G1814" s="1228">
        <v>14786.43</v>
      </c>
      <c r="H1814" s="1228">
        <v>10615.36</v>
      </c>
      <c r="I1814" s="1228">
        <v>9884.81</v>
      </c>
      <c r="J1814" s="708">
        <v>108.56</v>
      </c>
      <c r="K1814" s="1228">
        <v>1720.11</v>
      </c>
      <c r="L1814" s="1228">
        <v>394.5</v>
      </c>
      <c r="M1814" s="1228">
        <v>3530.75</v>
      </c>
      <c r="N1814" s="1228">
        <v>209.83</v>
      </c>
    </row>
    <row r="1815" spans="1:14" ht="15">
      <c r="A1815" s="705"/>
      <c r="B1815" s="705"/>
      <c r="C1815" s="1227">
        <v>42200</v>
      </c>
      <c r="D1815" s="703">
        <v>13328</v>
      </c>
      <c r="E1815" s="1228">
        <v>9915.77</v>
      </c>
      <c r="F1815" s="1228">
        <v>20585.099999999999</v>
      </c>
      <c r="G1815" s="1228">
        <v>14771.69</v>
      </c>
      <c r="H1815" s="1228">
        <v>10491.51</v>
      </c>
      <c r="I1815" s="1228">
        <v>9863.82</v>
      </c>
      <c r="J1815" s="708">
        <v>109.27</v>
      </c>
      <c r="K1815" s="1228">
        <v>1719.21</v>
      </c>
      <c r="L1815" s="1228">
        <v>392.55</v>
      </c>
      <c r="M1815" s="1228">
        <v>3507.68</v>
      </c>
      <c r="N1815" s="1228">
        <v>210.02</v>
      </c>
    </row>
    <row r="1816" spans="1:14" ht="15">
      <c r="A1816" s="705"/>
      <c r="B1816" s="705"/>
      <c r="C1816" s="1227">
        <v>42201</v>
      </c>
      <c r="D1816" s="703">
        <v>13328</v>
      </c>
      <c r="E1816" s="1228">
        <v>9915.77</v>
      </c>
      <c r="F1816" s="1228">
        <v>20585.099999999999</v>
      </c>
      <c r="G1816" s="1228">
        <v>14771.69</v>
      </c>
      <c r="H1816" s="1228">
        <v>10491.51</v>
      </c>
      <c r="I1816" s="1228">
        <v>9863.82</v>
      </c>
      <c r="J1816" s="708">
        <v>109.27</v>
      </c>
      <c r="K1816" s="1228">
        <v>1719.21</v>
      </c>
      <c r="L1816" s="1228">
        <v>392.55</v>
      </c>
      <c r="M1816" s="1228">
        <v>3507.68</v>
      </c>
      <c r="N1816" s="1228">
        <v>210.02</v>
      </c>
    </row>
    <row r="1817" spans="1:14" ht="15">
      <c r="A1817" s="705"/>
      <c r="B1817" s="705"/>
      <c r="C1817" s="1227">
        <v>42202</v>
      </c>
      <c r="D1817" s="703">
        <v>13328</v>
      </c>
      <c r="E1817" s="1228">
        <v>9915.77</v>
      </c>
      <c r="F1817" s="1228">
        <v>20585.099999999999</v>
      </c>
      <c r="G1817" s="1228">
        <v>14771.69</v>
      </c>
      <c r="H1817" s="1228">
        <v>10491.51</v>
      </c>
      <c r="I1817" s="1228">
        <v>9863.82</v>
      </c>
      <c r="J1817" s="708">
        <v>109.27</v>
      </c>
      <c r="K1817" s="1228">
        <v>1719.21</v>
      </c>
      <c r="L1817" s="1228">
        <v>392.55</v>
      </c>
      <c r="M1817" s="1228">
        <v>3507.68</v>
      </c>
      <c r="N1817" s="1228">
        <v>210.02</v>
      </c>
    </row>
    <row r="1818" spans="1:14" ht="15">
      <c r="A1818" s="705"/>
      <c r="B1818" s="705"/>
      <c r="C1818" s="1227">
        <v>42203</v>
      </c>
      <c r="D1818" s="703">
        <v>13328</v>
      </c>
      <c r="E1818" s="1228">
        <v>9915.77</v>
      </c>
      <c r="F1818" s="1228">
        <v>20585.099999999999</v>
      </c>
      <c r="G1818" s="1228">
        <v>14771.69</v>
      </c>
      <c r="H1818" s="1228">
        <v>10491.51</v>
      </c>
      <c r="I1818" s="1228">
        <v>9863.82</v>
      </c>
      <c r="J1818" s="708">
        <v>109.27</v>
      </c>
      <c r="K1818" s="1228">
        <v>1719.21</v>
      </c>
      <c r="L1818" s="1228">
        <v>392.55</v>
      </c>
      <c r="M1818" s="1228">
        <v>3507.68</v>
      </c>
      <c r="N1818" s="1228">
        <v>210.02</v>
      </c>
    </row>
    <row r="1819" spans="1:14" ht="15">
      <c r="A1819" s="705"/>
      <c r="B1819" s="705"/>
      <c r="C1819" s="1227">
        <v>42204</v>
      </c>
      <c r="D1819" s="703">
        <v>13328</v>
      </c>
      <c r="E1819" s="1228">
        <v>9915.77</v>
      </c>
      <c r="F1819" s="1228">
        <v>20585.099999999999</v>
      </c>
      <c r="G1819" s="1228">
        <v>14771.69</v>
      </c>
      <c r="H1819" s="1228">
        <v>10491.51</v>
      </c>
      <c r="I1819" s="1228">
        <v>9863.82</v>
      </c>
      <c r="J1819" s="708">
        <v>109.27</v>
      </c>
      <c r="K1819" s="1228">
        <v>1719.21</v>
      </c>
      <c r="L1819" s="1228">
        <v>392.55</v>
      </c>
      <c r="M1819" s="1228">
        <v>3507.68</v>
      </c>
      <c r="N1819" s="1228">
        <v>210.02</v>
      </c>
    </row>
    <row r="1820" spans="1:14" ht="15">
      <c r="A1820" s="705"/>
      <c r="B1820" s="705"/>
      <c r="C1820" s="1227">
        <v>42205</v>
      </c>
      <c r="D1820" s="703">
        <v>13328</v>
      </c>
      <c r="E1820" s="1228">
        <v>9915.77</v>
      </c>
      <c r="F1820" s="1228">
        <v>20585.099999999999</v>
      </c>
      <c r="G1820" s="1228">
        <v>14771.69</v>
      </c>
      <c r="H1820" s="1228">
        <v>10491.51</v>
      </c>
      <c r="I1820" s="1228">
        <v>9863.82</v>
      </c>
      <c r="J1820" s="708">
        <v>109.27</v>
      </c>
      <c r="K1820" s="1228">
        <v>1719.21</v>
      </c>
      <c r="L1820" s="1228">
        <v>392.55</v>
      </c>
      <c r="M1820" s="1228">
        <v>3507.68</v>
      </c>
      <c r="N1820" s="1228">
        <v>210.02</v>
      </c>
    </row>
    <row r="1821" spans="1:14" ht="15">
      <c r="A1821" s="705"/>
      <c r="B1821" s="705"/>
      <c r="C1821" s="1227">
        <v>42206</v>
      </c>
      <c r="D1821" s="703">
        <v>13328</v>
      </c>
      <c r="E1821" s="1228">
        <v>9915.77</v>
      </c>
      <c r="F1821" s="1228">
        <v>20585.099999999999</v>
      </c>
      <c r="G1821" s="1228">
        <v>14771.69</v>
      </c>
      <c r="H1821" s="1228">
        <v>10491.51</v>
      </c>
      <c r="I1821" s="1228">
        <v>9863.82</v>
      </c>
      <c r="J1821" s="708">
        <v>109.27</v>
      </c>
      <c r="K1821" s="1228">
        <v>1719.21</v>
      </c>
      <c r="L1821" s="1228">
        <v>392.55</v>
      </c>
      <c r="M1821" s="1228">
        <v>3507.68</v>
      </c>
      <c r="N1821" s="1228">
        <v>210.02</v>
      </c>
    </row>
    <row r="1822" spans="1:14" ht="15">
      <c r="A1822" s="705"/>
      <c r="B1822" s="705"/>
      <c r="C1822" s="1227">
        <v>42207</v>
      </c>
      <c r="D1822" s="703">
        <v>13328</v>
      </c>
      <c r="E1822" s="1228">
        <v>9915.77</v>
      </c>
      <c r="F1822" s="1228">
        <v>20585.099999999999</v>
      </c>
      <c r="G1822" s="1228">
        <v>14771.69</v>
      </c>
      <c r="H1822" s="1228">
        <v>10491.51</v>
      </c>
      <c r="I1822" s="1228">
        <v>9863.82</v>
      </c>
      <c r="J1822" s="708">
        <v>109.27</v>
      </c>
      <c r="K1822" s="1228">
        <v>1719.21</v>
      </c>
      <c r="L1822" s="1228">
        <v>392.55</v>
      </c>
      <c r="M1822" s="1228">
        <v>3507.68</v>
      </c>
      <c r="N1822" s="1228">
        <v>210.02</v>
      </c>
    </row>
    <row r="1823" spans="1:14" ht="15">
      <c r="A1823" s="705"/>
      <c r="B1823" s="705"/>
      <c r="C1823" s="1227">
        <v>42208</v>
      </c>
      <c r="D1823" s="703">
        <v>13328</v>
      </c>
      <c r="E1823" s="1228">
        <v>9915.77</v>
      </c>
      <c r="F1823" s="1228">
        <v>20585.099999999999</v>
      </c>
      <c r="G1823" s="1228">
        <v>14771.69</v>
      </c>
      <c r="H1823" s="1228">
        <v>10491.51</v>
      </c>
      <c r="I1823" s="1228">
        <v>9863.82</v>
      </c>
      <c r="J1823" s="708">
        <v>109.27</v>
      </c>
      <c r="K1823" s="1228">
        <v>1719.21</v>
      </c>
      <c r="L1823" s="1228">
        <v>392.55</v>
      </c>
      <c r="M1823" s="1228">
        <v>3507.68</v>
      </c>
      <c r="N1823" s="1228">
        <v>210.02</v>
      </c>
    </row>
    <row r="1824" spans="1:14" ht="15">
      <c r="A1824" s="705"/>
      <c r="B1824" s="705"/>
      <c r="C1824" s="1227">
        <v>42209</v>
      </c>
      <c r="D1824" s="703">
        <v>13328</v>
      </c>
      <c r="E1824" s="1228">
        <v>9915.77</v>
      </c>
      <c r="F1824" s="1228">
        <v>20585.099999999999</v>
      </c>
      <c r="G1824" s="1228">
        <v>14771.69</v>
      </c>
      <c r="H1824" s="1228">
        <v>10491.51</v>
      </c>
      <c r="I1824" s="1228">
        <v>9863.82</v>
      </c>
      <c r="J1824" s="708">
        <v>109.27</v>
      </c>
      <c r="K1824" s="1228">
        <v>1719.21</v>
      </c>
      <c r="L1824" s="1228">
        <v>392.55</v>
      </c>
      <c r="M1824" s="1228">
        <v>3507.68</v>
      </c>
      <c r="N1824" s="1228">
        <v>210.02</v>
      </c>
    </row>
    <row r="1825" spans="1:14" ht="15">
      <c r="A1825" s="705"/>
      <c r="B1825" s="705"/>
      <c r="C1825" s="1227">
        <v>42210</v>
      </c>
      <c r="D1825" s="703">
        <v>13328</v>
      </c>
      <c r="E1825" s="1228">
        <v>9915.77</v>
      </c>
      <c r="F1825" s="1228">
        <v>20585.099999999999</v>
      </c>
      <c r="G1825" s="1228">
        <v>14771.69</v>
      </c>
      <c r="H1825" s="1228">
        <v>10491.51</v>
      </c>
      <c r="I1825" s="1228">
        <v>9863.82</v>
      </c>
      <c r="J1825" s="708">
        <v>109.27</v>
      </c>
      <c r="K1825" s="1228">
        <v>1719.21</v>
      </c>
      <c r="L1825" s="1228">
        <v>392.55</v>
      </c>
      <c r="M1825" s="1228">
        <v>3507.68</v>
      </c>
      <c r="N1825" s="1228">
        <v>210.02</v>
      </c>
    </row>
    <row r="1826" spans="1:14" ht="15">
      <c r="A1826" s="705"/>
      <c r="B1826" s="705"/>
      <c r="C1826" s="1227">
        <v>42211</v>
      </c>
      <c r="D1826" s="703">
        <v>13328</v>
      </c>
      <c r="E1826" s="1228">
        <v>9915.77</v>
      </c>
      <c r="F1826" s="1228">
        <v>20585.099999999999</v>
      </c>
      <c r="G1826" s="1228">
        <v>14771.69</v>
      </c>
      <c r="H1826" s="1228">
        <v>10491.51</v>
      </c>
      <c r="I1826" s="1228">
        <v>9863.82</v>
      </c>
      <c r="J1826" s="708">
        <v>109.27</v>
      </c>
      <c r="K1826" s="1228">
        <v>1719.21</v>
      </c>
      <c r="L1826" s="1228">
        <v>392.55</v>
      </c>
      <c r="M1826" s="1228">
        <v>3507.68</v>
      </c>
      <c r="N1826" s="1228">
        <v>210.02</v>
      </c>
    </row>
    <row r="1827" spans="1:14" ht="15">
      <c r="A1827" s="705"/>
      <c r="B1827" s="705"/>
      <c r="C1827" s="1227">
        <v>42212</v>
      </c>
      <c r="D1827" s="703">
        <v>13328</v>
      </c>
      <c r="E1827" s="1228">
        <v>9915.77</v>
      </c>
      <c r="F1827" s="1228">
        <v>20585.099999999999</v>
      </c>
      <c r="G1827" s="1228">
        <v>14771.69</v>
      </c>
      <c r="H1827" s="1228">
        <v>10491.51</v>
      </c>
      <c r="I1827" s="1228">
        <v>9863.82</v>
      </c>
      <c r="J1827" s="708">
        <v>109.27</v>
      </c>
      <c r="K1827" s="1228">
        <v>1719.21</v>
      </c>
      <c r="L1827" s="1228">
        <v>392.55</v>
      </c>
      <c r="M1827" s="1228">
        <v>3507.68</v>
      </c>
      <c r="N1827" s="1228">
        <v>210.02</v>
      </c>
    </row>
    <row r="1828" spans="1:14" ht="15">
      <c r="A1828" s="705"/>
      <c r="B1828" s="705"/>
      <c r="C1828" s="1227">
        <v>42213</v>
      </c>
      <c r="D1828" s="703">
        <v>13328</v>
      </c>
      <c r="E1828" s="1228">
        <v>9915.77</v>
      </c>
      <c r="F1828" s="1228">
        <v>20585.099999999999</v>
      </c>
      <c r="G1828" s="1228">
        <v>14771.69</v>
      </c>
      <c r="H1828" s="1228">
        <v>10491.51</v>
      </c>
      <c r="I1828" s="1228">
        <v>9863.82</v>
      </c>
      <c r="J1828" s="708">
        <v>109.27</v>
      </c>
      <c r="K1828" s="1228">
        <v>1719.21</v>
      </c>
      <c r="L1828" s="1228">
        <v>392.55</v>
      </c>
      <c r="M1828" s="1228">
        <v>3507.68</v>
      </c>
      <c r="N1828" s="1228">
        <v>210.02</v>
      </c>
    </row>
    <row r="1829" spans="1:14" ht="15">
      <c r="A1829" s="705"/>
      <c r="B1829" s="705"/>
      <c r="C1829" s="1227">
        <v>42214</v>
      </c>
      <c r="D1829" s="703">
        <v>13413</v>
      </c>
      <c r="E1829" s="1228">
        <v>9852.39</v>
      </c>
      <c r="F1829" s="1228">
        <v>20849.7</v>
      </c>
      <c r="G1829" s="1228">
        <v>14708.7</v>
      </c>
      <c r="H1829" s="1228">
        <v>10301.69</v>
      </c>
      <c r="I1829" s="1228">
        <v>9803.68</v>
      </c>
      <c r="J1829" s="708">
        <v>108.3</v>
      </c>
      <c r="K1829" s="1228">
        <v>1730.48</v>
      </c>
      <c r="L1829" s="1228">
        <v>386.17</v>
      </c>
      <c r="M1829" s="1228">
        <v>3526.06</v>
      </c>
      <c r="N1829" s="1228">
        <v>210.45</v>
      </c>
    </row>
    <row r="1830" spans="1:14" ht="15">
      <c r="A1830" s="705"/>
      <c r="B1830" s="705"/>
      <c r="C1830" s="1227">
        <v>42215</v>
      </c>
      <c r="D1830" s="703">
        <v>13413</v>
      </c>
      <c r="E1830" s="1228">
        <v>9852.39</v>
      </c>
      <c r="F1830" s="1228">
        <v>20849.7</v>
      </c>
      <c r="G1830" s="1228">
        <v>14708.7</v>
      </c>
      <c r="H1830" s="1228">
        <v>10301.69</v>
      </c>
      <c r="I1830" s="1228">
        <v>9803.68</v>
      </c>
      <c r="J1830" s="708">
        <v>108.3</v>
      </c>
      <c r="K1830" s="1228">
        <v>1730.48</v>
      </c>
      <c r="L1830" s="1228">
        <v>386.17</v>
      </c>
      <c r="M1830" s="1228">
        <v>3526.06</v>
      </c>
      <c r="N1830" s="1228">
        <v>210.45</v>
      </c>
    </row>
    <row r="1831" spans="1:14" ht="15">
      <c r="A1831" s="705"/>
      <c r="B1831" s="705"/>
      <c r="C1831" s="1227">
        <v>42216</v>
      </c>
      <c r="D1831" s="703">
        <v>13413</v>
      </c>
      <c r="E1831" s="1228">
        <v>9852.39</v>
      </c>
      <c r="F1831" s="1228">
        <v>20849.7</v>
      </c>
      <c r="G1831" s="1228">
        <v>14708.7</v>
      </c>
      <c r="H1831" s="1228">
        <v>10301.69</v>
      </c>
      <c r="I1831" s="1228">
        <v>9803.68</v>
      </c>
      <c r="J1831" s="708">
        <v>108.3</v>
      </c>
      <c r="K1831" s="1228">
        <v>1730.48</v>
      </c>
      <c r="L1831" s="1228">
        <v>386.17</v>
      </c>
      <c r="M1831" s="1228">
        <v>3526.06</v>
      </c>
      <c r="N1831" s="1228">
        <v>210.45</v>
      </c>
    </row>
    <row r="1832" spans="1:14" ht="15">
      <c r="A1832" s="705"/>
      <c r="B1832" s="705"/>
      <c r="C1832" s="1227">
        <v>42217</v>
      </c>
      <c r="D1832" s="703">
        <v>13413</v>
      </c>
      <c r="E1832" s="1228">
        <v>9852.39</v>
      </c>
      <c r="F1832" s="1228">
        <v>20849.7</v>
      </c>
      <c r="G1832" s="1228">
        <v>14708.7</v>
      </c>
      <c r="H1832" s="1228">
        <v>10301.69</v>
      </c>
      <c r="I1832" s="1228">
        <v>9803.68</v>
      </c>
      <c r="J1832" s="708">
        <v>108.3</v>
      </c>
      <c r="K1832" s="1228">
        <v>1730.48</v>
      </c>
      <c r="L1832" s="1228">
        <v>386.17</v>
      </c>
      <c r="M1832" s="1228">
        <v>3526.06</v>
      </c>
      <c r="N1832" s="1228">
        <v>210.45</v>
      </c>
    </row>
    <row r="1833" spans="1:14" ht="15">
      <c r="A1833" s="705"/>
      <c r="B1833" s="705"/>
      <c r="C1833" s="1227">
        <v>42218</v>
      </c>
      <c r="D1833" s="703">
        <v>13413</v>
      </c>
      <c r="E1833" s="1228">
        <v>9852.39</v>
      </c>
      <c r="F1833" s="1228">
        <v>20849.7</v>
      </c>
      <c r="G1833" s="1228">
        <v>14708.7</v>
      </c>
      <c r="H1833" s="1228">
        <v>10301.69</v>
      </c>
      <c r="I1833" s="1228">
        <v>9803.68</v>
      </c>
      <c r="J1833" s="708">
        <v>108.3</v>
      </c>
      <c r="K1833" s="1228">
        <v>1730.48</v>
      </c>
      <c r="L1833" s="1228">
        <v>386.17</v>
      </c>
      <c r="M1833" s="1228">
        <v>3526.06</v>
      </c>
      <c r="N1833" s="1228">
        <v>210.45</v>
      </c>
    </row>
    <row r="1834" spans="1:14" ht="15">
      <c r="A1834" s="705"/>
      <c r="B1834" s="705"/>
      <c r="C1834" s="1227">
        <v>42219</v>
      </c>
      <c r="D1834" s="703">
        <v>13413</v>
      </c>
      <c r="E1834" s="1228">
        <v>9852.39</v>
      </c>
      <c r="F1834" s="1228">
        <v>20849.7</v>
      </c>
      <c r="G1834" s="1228">
        <v>14708.7</v>
      </c>
      <c r="H1834" s="1228">
        <v>10301.69</v>
      </c>
      <c r="I1834" s="1228">
        <v>9803.68</v>
      </c>
      <c r="J1834" s="708">
        <v>108.3</v>
      </c>
      <c r="K1834" s="1228">
        <v>1730.48</v>
      </c>
      <c r="L1834" s="1228">
        <v>386.17</v>
      </c>
      <c r="M1834" s="1228">
        <v>3526.06</v>
      </c>
      <c r="N1834" s="1228">
        <v>210.45</v>
      </c>
    </row>
    <row r="1835" spans="1:14" ht="15">
      <c r="A1835" s="705"/>
      <c r="B1835" s="705"/>
      <c r="C1835" s="1227">
        <v>42220</v>
      </c>
      <c r="D1835" s="703">
        <v>13413</v>
      </c>
      <c r="E1835" s="1228">
        <v>9852.39</v>
      </c>
      <c r="F1835" s="1228">
        <v>20849.7</v>
      </c>
      <c r="G1835" s="1228">
        <v>14708.7</v>
      </c>
      <c r="H1835" s="1228">
        <v>10301.69</v>
      </c>
      <c r="I1835" s="1228">
        <v>9803.68</v>
      </c>
      <c r="J1835" s="708">
        <v>108.3</v>
      </c>
      <c r="K1835" s="1228">
        <v>1730.48</v>
      </c>
      <c r="L1835" s="1228">
        <v>386.17</v>
      </c>
      <c r="M1835" s="1228">
        <v>3526.06</v>
      </c>
      <c r="N1835" s="1228">
        <v>210.45</v>
      </c>
    </row>
    <row r="1836" spans="1:14" ht="15">
      <c r="A1836" s="705"/>
      <c r="B1836" s="705"/>
      <c r="C1836" s="1227">
        <v>42221</v>
      </c>
      <c r="D1836" s="703">
        <v>13413</v>
      </c>
      <c r="E1836" s="1228">
        <v>9852.39</v>
      </c>
      <c r="F1836" s="1228">
        <v>20849.7</v>
      </c>
      <c r="G1836" s="1228">
        <v>14708.7</v>
      </c>
      <c r="H1836" s="1228">
        <v>10301.69</v>
      </c>
      <c r="I1836" s="1228">
        <v>9803.68</v>
      </c>
      <c r="J1836" s="708">
        <v>108.3</v>
      </c>
      <c r="K1836" s="1228">
        <v>1730.48</v>
      </c>
      <c r="L1836" s="1228">
        <v>386.17</v>
      </c>
      <c r="M1836" s="1228">
        <v>3526.06</v>
      </c>
      <c r="N1836" s="1228">
        <v>210.45</v>
      </c>
    </row>
    <row r="1837" spans="1:14" ht="15">
      <c r="A1837" s="705"/>
      <c r="B1837" s="705"/>
      <c r="C1837" s="1227">
        <v>42222</v>
      </c>
      <c r="D1837" s="703">
        <v>13483</v>
      </c>
      <c r="E1837" s="1228">
        <v>9851.2000000000007</v>
      </c>
      <c r="F1837" s="1228">
        <v>21048.77</v>
      </c>
      <c r="G1837" s="1228">
        <v>14813.33</v>
      </c>
      <c r="H1837" s="1228">
        <v>10358.799999999999</v>
      </c>
      <c r="I1837" s="1228">
        <v>9836.7199999999993</v>
      </c>
      <c r="J1837" s="708">
        <v>108.82</v>
      </c>
      <c r="K1837" s="1228">
        <v>1739.17</v>
      </c>
      <c r="L1837" s="1228">
        <v>385.22</v>
      </c>
      <c r="M1837" s="1228">
        <v>3529.7</v>
      </c>
      <c r="N1837" s="1228">
        <v>210.67</v>
      </c>
    </row>
    <row r="1838" spans="1:14" ht="15">
      <c r="A1838" s="705"/>
      <c r="B1838" s="705"/>
      <c r="C1838" s="1227">
        <v>42223</v>
      </c>
      <c r="D1838" s="703">
        <v>13483</v>
      </c>
      <c r="E1838" s="1228">
        <v>9851.2000000000007</v>
      </c>
      <c r="F1838" s="1228">
        <v>21048.77</v>
      </c>
      <c r="G1838" s="1228">
        <v>14813.33</v>
      </c>
      <c r="H1838" s="1228">
        <v>10358.799999999999</v>
      </c>
      <c r="I1838" s="1228">
        <v>9836.7199999999993</v>
      </c>
      <c r="J1838" s="708">
        <v>108.82</v>
      </c>
      <c r="K1838" s="1228">
        <v>1739.17</v>
      </c>
      <c r="L1838" s="1228">
        <v>385.22</v>
      </c>
      <c r="M1838" s="1228">
        <v>3529.7</v>
      </c>
      <c r="N1838" s="1228">
        <v>210.67</v>
      </c>
    </row>
    <row r="1839" spans="1:14" ht="15">
      <c r="A1839" s="705"/>
      <c r="B1839" s="705"/>
      <c r="C1839" s="1227">
        <v>42224</v>
      </c>
      <c r="D1839" s="703">
        <v>13483</v>
      </c>
      <c r="E1839" s="1228">
        <v>9851.2000000000007</v>
      </c>
      <c r="F1839" s="1228">
        <v>21048.77</v>
      </c>
      <c r="G1839" s="1228">
        <v>14813.33</v>
      </c>
      <c r="H1839" s="1228">
        <v>10358.799999999999</v>
      </c>
      <c r="I1839" s="1228">
        <v>9836.7199999999993</v>
      </c>
      <c r="J1839" s="708">
        <v>108.82</v>
      </c>
      <c r="K1839" s="1228">
        <v>1739.17</v>
      </c>
      <c r="L1839" s="1228">
        <v>385.22</v>
      </c>
      <c r="M1839" s="1228">
        <v>3529.7</v>
      </c>
      <c r="N1839" s="1228">
        <v>210.67</v>
      </c>
    </row>
    <row r="1840" spans="1:14" ht="15">
      <c r="A1840" s="705"/>
      <c r="B1840" s="705"/>
      <c r="C1840" s="1227">
        <v>42225</v>
      </c>
      <c r="D1840" s="703">
        <v>13483</v>
      </c>
      <c r="E1840" s="1228">
        <v>9851.2000000000007</v>
      </c>
      <c r="F1840" s="1228">
        <v>21048.77</v>
      </c>
      <c r="G1840" s="1228">
        <v>14813.33</v>
      </c>
      <c r="H1840" s="1228">
        <v>10358.799999999999</v>
      </c>
      <c r="I1840" s="1228">
        <v>9836.7199999999993</v>
      </c>
      <c r="J1840" s="708">
        <v>108.82</v>
      </c>
      <c r="K1840" s="1228">
        <v>1739.17</v>
      </c>
      <c r="L1840" s="1228">
        <v>385.22</v>
      </c>
      <c r="M1840" s="1228">
        <v>3529.7</v>
      </c>
      <c r="N1840" s="1228">
        <v>210.67</v>
      </c>
    </row>
    <row r="1841" spans="1:14" ht="15">
      <c r="A1841" s="705"/>
      <c r="B1841" s="705"/>
      <c r="C1841" s="1227">
        <v>42226</v>
      </c>
      <c r="D1841" s="703">
        <v>13483</v>
      </c>
      <c r="E1841" s="1228">
        <v>9851.2000000000007</v>
      </c>
      <c r="F1841" s="1228">
        <v>21048.77</v>
      </c>
      <c r="G1841" s="1228">
        <v>14813.33</v>
      </c>
      <c r="H1841" s="1228">
        <v>10358.799999999999</v>
      </c>
      <c r="I1841" s="1228">
        <v>9836.7199999999993</v>
      </c>
      <c r="J1841" s="708">
        <v>108.82</v>
      </c>
      <c r="K1841" s="1228">
        <v>1739.17</v>
      </c>
      <c r="L1841" s="1228">
        <v>385.22</v>
      </c>
      <c r="M1841" s="1228">
        <v>3529.7</v>
      </c>
      <c r="N1841" s="1228">
        <v>210.67</v>
      </c>
    </row>
    <row r="1842" spans="1:14" ht="15">
      <c r="A1842" s="705"/>
      <c r="B1842" s="705"/>
      <c r="C1842" s="1227">
        <v>42227</v>
      </c>
      <c r="D1842" s="703">
        <v>13483</v>
      </c>
      <c r="E1842" s="1228">
        <v>9851.2000000000007</v>
      </c>
      <c r="F1842" s="1228">
        <v>21048.77</v>
      </c>
      <c r="G1842" s="1228">
        <v>14813.33</v>
      </c>
      <c r="H1842" s="1228">
        <v>10358.799999999999</v>
      </c>
      <c r="I1842" s="1228">
        <v>9836.7199999999993</v>
      </c>
      <c r="J1842" s="708">
        <v>108.82</v>
      </c>
      <c r="K1842" s="1228">
        <v>1739.17</v>
      </c>
      <c r="L1842" s="1228">
        <v>385.22</v>
      </c>
      <c r="M1842" s="1228">
        <v>3529.7</v>
      </c>
      <c r="N1842" s="1228">
        <v>210.67</v>
      </c>
    </row>
    <row r="1843" spans="1:14" ht="15">
      <c r="A1843" s="705"/>
      <c r="B1843" s="705"/>
      <c r="C1843" s="1227">
        <v>42228</v>
      </c>
      <c r="D1843" s="703">
        <v>13518</v>
      </c>
      <c r="E1843" s="1229">
        <v>9972.6</v>
      </c>
      <c r="F1843" s="732">
        <v>20994.14</v>
      </c>
      <c r="G1843" s="733">
        <v>14769.65</v>
      </c>
      <c r="H1843" s="732">
        <v>10277.049999999999</v>
      </c>
      <c r="I1843" s="732">
        <v>9767.9</v>
      </c>
      <c r="J1843" s="1230">
        <v>108.55</v>
      </c>
      <c r="K1843" s="733">
        <v>1743.65</v>
      </c>
      <c r="L1843" s="732">
        <v>384.82</v>
      </c>
      <c r="M1843" s="732">
        <v>3466.8</v>
      </c>
      <c r="N1843" s="732">
        <v>211.96</v>
      </c>
    </row>
    <row r="1844" spans="1:14" ht="15">
      <c r="A1844" s="705"/>
      <c r="B1844" s="705"/>
      <c r="C1844" s="1227">
        <v>42229</v>
      </c>
      <c r="D1844" s="703">
        <v>13518</v>
      </c>
      <c r="E1844" s="1229">
        <v>9972.6</v>
      </c>
      <c r="F1844" s="732">
        <v>20994.14</v>
      </c>
      <c r="G1844" s="733">
        <v>14769.65</v>
      </c>
      <c r="H1844" s="732">
        <v>10277.049999999999</v>
      </c>
      <c r="I1844" s="732">
        <v>9767.9</v>
      </c>
      <c r="J1844" s="1230">
        <v>108.55</v>
      </c>
      <c r="K1844" s="733">
        <v>1743.65</v>
      </c>
      <c r="L1844" s="732">
        <v>384.82</v>
      </c>
      <c r="M1844" s="732">
        <v>3466.8</v>
      </c>
      <c r="N1844" s="732">
        <v>211.96</v>
      </c>
    </row>
    <row r="1845" spans="1:14" ht="15">
      <c r="A1845" s="705"/>
      <c r="B1845" s="705"/>
      <c r="C1845" s="1227">
        <v>42230</v>
      </c>
      <c r="D1845" s="703">
        <v>13518</v>
      </c>
      <c r="E1845" s="1229">
        <v>9972.6</v>
      </c>
      <c r="F1845" s="732">
        <v>20994.14</v>
      </c>
      <c r="G1845" s="733">
        <v>14769.65</v>
      </c>
      <c r="H1845" s="732">
        <v>10277.049999999999</v>
      </c>
      <c r="I1845" s="732">
        <v>9767.9</v>
      </c>
      <c r="J1845" s="1230">
        <v>108.55</v>
      </c>
      <c r="K1845" s="733">
        <v>1743.65</v>
      </c>
      <c r="L1845" s="732">
        <v>384.82</v>
      </c>
      <c r="M1845" s="732">
        <v>3466.8</v>
      </c>
      <c r="N1845" s="732">
        <v>211.96</v>
      </c>
    </row>
    <row r="1846" spans="1:14" ht="15">
      <c r="A1846" s="705"/>
      <c r="B1846" s="705"/>
      <c r="C1846" s="1227">
        <v>42231</v>
      </c>
      <c r="D1846" s="703">
        <v>13518</v>
      </c>
      <c r="E1846" s="1229">
        <v>9972.6</v>
      </c>
      <c r="F1846" s="732">
        <v>20994.14</v>
      </c>
      <c r="G1846" s="733">
        <v>14769.65</v>
      </c>
      <c r="H1846" s="732">
        <v>10277.049999999999</v>
      </c>
      <c r="I1846" s="732">
        <v>9767.9</v>
      </c>
      <c r="J1846" s="1230">
        <v>108.55</v>
      </c>
      <c r="K1846" s="733">
        <v>1743.65</v>
      </c>
      <c r="L1846" s="732">
        <v>384.82</v>
      </c>
      <c r="M1846" s="732">
        <v>3466.8</v>
      </c>
      <c r="N1846" s="732">
        <v>211.96</v>
      </c>
    </row>
    <row r="1847" spans="1:14" ht="15">
      <c r="A1847" s="705"/>
      <c r="B1847" s="705"/>
      <c r="C1847" s="1227">
        <v>42232</v>
      </c>
      <c r="D1847" s="703">
        <v>13518</v>
      </c>
      <c r="E1847" s="1229">
        <v>9972.6</v>
      </c>
      <c r="F1847" s="732">
        <v>20994.14</v>
      </c>
      <c r="G1847" s="733">
        <v>14769.65</v>
      </c>
      <c r="H1847" s="732">
        <v>10277.049999999999</v>
      </c>
      <c r="I1847" s="732">
        <v>9767.9</v>
      </c>
      <c r="J1847" s="1230">
        <v>108.55</v>
      </c>
      <c r="K1847" s="733">
        <v>1743.65</v>
      </c>
      <c r="L1847" s="732">
        <v>384.82</v>
      </c>
      <c r="M1847" s="732">
        <v>3466.8</v>
      </c>
      <c r="N1847" s="732">
        <v>211.96</v>
      </c>
    </row>
    <row r="1848" spans="1:14" ht="15">
      <c r="A1848" s="705"/>
      <c r="B1848" s="705"/>
      <c r="C1848" s="1227">
        <v>42233</v>
      </c>
      <c r="D1848" s="703">
        <v>13518</v>
      </c>
      <c r="E1848" s="1229">
        <v>9972.6</v>
      </c>
      <c r="F1848" s="732">
        <v>20994.14</v>
      </c>
      <c r="G1848" s="733">
        <v>14769.65</v>
      </c>
      <c r="H1848" s="732">
        <v>10277.049999999999</v>
      </c>
      <c r="I1848" s="732">
        <v>9767.9</v>
      </c>
      <c r="J1848" s="1230">
        <v>108.55</v>
      </c>
      <c r="K1848" s="733">
        <v>1743.65</v>
      </c>
      <c r="L1848" s="732">
        <v>384.82</v>
      </c>
      <c r="M1848" s="732">
        <v>3466.8</v>
      </c>
      <c r="N1848" s="732">
        <v>211.96</v>
      </c>
    </row>
    <row r="1849" spans="1:14" ht="15">
      <c r="A1849" s="705"/>
      <c r="B1849" s="705"/>
      <c r="C1849" s="1227">
        <v>42234</v>
      </c>
      <c r="D1849" s="703">
        <v>13518</v>
      </c>
      <c r="E1849" s="1229">
        <v>9972.6</v>
      </c>
      <c r="F1849" s="732">
        <v>20994.14</v>
      </c>
      <c r="G1849" s="733">
        <v>14769.65</v>
      </c>
      <c r="H1849" s="732">
        <v>10277.049999999999</v>
      </c>
      <c r="I1849" s="732">
        <v>9767.9</v>
      </c>
      <c r="J1849" s="1230">
        <v>108.55</v>
      </c>
      <c r="K1849" s="733">
        <v>1743.65</v>
      </c>
      <c r="L1849" s="732">
        <v>384.82</v>
      </c>
      <c r="M1849" s="732">
        <v>3466.8</v>
      </c>
      <c r="N1849" s="732">
        <v>211.96</v>
      </c>
    </row>
    <row r="1850" spans="1:14" ht="15">
      <c r="A1850" s="705"/>
      <c r="B1850" s="705"/>
      <c r="C1850" s="1227">
        <v>42235</v>
      </c>
      <c r="D1850" s="703">
        <v>13795</v>
      </c>
      <c r="E1850" s="1229">
        <v>10168.290000000001</v>
      </c>
      <c r="F1850" s="732">
        <v>21528.41</v>
      </c>
      <c r="G1850" s="733">
        <v>15331.21</v>
      </c>
      <c r="H1850" s="732">
        <v>10561.08</v>
      </c>
      <c r="I1850" s="732">
        <v>9826.08</v>
      </c>
      <c r="J1850" s="1230">
        <v>110.92</v>
      </c>
      <c r="K1850" s="733">
        <v>1778.64</v>
      </c>
      <c r="L1850" s="732">
        <v>390.17</v>
      </c>
      <c r="M1850" s="732">
        <v>3390.72</v>
      </c>
      <c r="N1850" s="732">
        <v>212.02</v>
      </c>
    </row>
    <row r="1851" spans="1:14" ht="15">
      <c r="A1851" s="705"/>
      <c r="B1851" s="705"/>
      <c r="C1851" s="1227">
        <v>42236</v>
      </c>
      <c r="D1851" s="703">
        <v>13795</v>
      </c>
      <c r="E1851" s="1229">
        <v>10168.290000000001</v>
      </c>
      <c r="F1851" s="732">
        <v>21528.41</v>
      </c>
      <c r="G1851" s="733">
        <v>15331.21</v>
      </c>
      <c r="H1851" s="732">
        <v>10561.08</v>
      </c>
      <c r="I1851" s="732">
        <v>9826.08</v>
      </c>
      <c r="J1851" s="1230">
        <v>110.92</v>
      </c>
      <c r="K1851" s="733">
        <v>1778.64</v>
      </c>
      <c r="L1851" s="732">
        <v>390.17</v>
      </c>
      <c r="M1851" s="732">
        <v>3390.72</v>
      </c>
      <c r="N1851" s="732">
        <v>212.02</v>
      </c>
    </row>
    <row r="1852" spans="1:14" ht="15">
      <c r="A1852" s="705"/>
      <c r="B1852" s="705"/>
      <c r="C1852" s="1227">
        <v>42237</v>
      </c>
      <c r="D1852" s="703">
        <v>13795</v>
      </c>
      <c r="E1852" s="1229">
        <v>10168.290000000001</v>
      </c>
      <c r="F1852" s="732">
        <v>21528.41</v>
      </c>
      <c r="G1852" s="733">
        <v>15331.21</v>
      </c>
      <c r="H1852" s="732">
        <v>10561.08</v>
      </c>
      <c r="I1852" s="732">
        <v>9826.08</v>
      </c>
      <c r="J1852" s="1230">
        <v>110.92</v>
      </c>
      <c r="K1852" s="733">
        <v>1778.64</v>
      </c>
      <c r="L1852" s="732">
        <v>390.17</v>
      </c>
      <c r="M1852" s="732">
        <v>3390.72</v>
      </c>
      <c r="N1852" s="732">
        <v>212.02</v>
      </c>
    </row>
    <row r="1853" spans="1:14" ht="15">
      <c r="A1853" s="705"/>
      <c r="B1853" s="705"/>
      <c r="C1853" s="1227">
        <v>42238</v>
      </c>
      <c r="D1853" s="703">
        <v>13795</v>
      </c>
      <c r="E1853" s="1229">
        <v>10168.290000000001</v>
      </c>
      <c r="F1853" s="732">
        <v>21528.41</v>
      </c>
      <c r="G1853" s="733">
        <v>15331.21</v>
      </c>
      <c r="H1853" s="732">
        <v>10561.08</v>
      </c>
      <c r="I1853" s="732">
        <v>9826.08</v>
      </c>
      <c r="J1853" s="1230">
        <v>110.92</v>
      </c>
      <c r="K1853" s="733">
        <v>1778.64</v>
      </c>
      <c r="L1853" s="732">
        <v>390.17</v>
      </c>
      <c r="M1853" s="732">
        <v>3390.72</v>
      </c>
      <c r="N1853" s="732">
        <v>212.02</v>
      </c>
    </row>
    <row r="1854" spans="1:14" ht="15">
      <c r="A1854" s="705"/>
      <c r="B1854" s="705"/>
      <c r="C1854" s="1227">
        <v>42239</v>
      </c>
      <c r="D1854" s="703">
        <v>13795</v>
      </c>
      <c r="E1854" s="1229">
        <v>10168.290000000001</v>
      </c>
      <c r="F1854" s="732">
        <v>21528.41</v>
      </c>
      <c r="G1854" s="733">
        <v>15331.21</v>
      </c>
      <c r="H1854" s="732">
        <v>10561.08</v>
      </c>
      <c r="I1854" s="732">
        <v>9826.08</v>
      </c>
      <c r="J1854" s="1230">
        <v>110.92</v>
      </c>
      <c r="K1854" s="733">
        <v>1778.64</v>
      </c>
      <c r="L1854" s="732">
        <v>390.17</v>
      </c>
      <c r="M1854" s="732">
        <v>3390.72</v>
      </c>
      <c r="N1854" s="732">
        <v>212.02</v>
      </c>
    </row>
    <row r="1855" spans="1:14" ht="15">
      <c r="A1855" s="705"/>
      <c r="B1855" s="705"/>
      <c r="C1855" s="1227">
        <v>42240</v>
      </c>
      <c r="D1855" s="703">
        <v>13795</v>
      </c>
      <c r="E1855" s="1229">
        <v>10168.290000000001</v>
      </c>
      <c r="F1855" s="732">
        <v>21528.41</v>
      </c>
      <c r="G1855" s="733">
        <v>15331.21</v>
      </c>
      <c r="H1855" s="732">
        <v>10561.08</v>
      </c>
      <c r="I1855" s="732">
        <v>9826.08</v>
      </c>
      <c r="J1855" s="1230">
        <v>110.92</v>
      </c>
      <c r="K1855" s="733">
        <v>1778.64</v>
      </c>
      <c r="L1855" s="732">
        <v>390.17</v>
      </c>
      <c r="M1855" s="732">
        <v>3390.72</v>
      </c>
      <c r="N1855" s="732">
        <v>212.02</v>
      </c>
    </row>
    <row r="1856" spans="1:14" ht="15">
      <c r="A1856" s="705"/>
      <c r="B1856" s="705"/>
      <c r="C1856" s="1227">
        <v>42241</v>
      </c>
      <c r="D1856" s="703">
        <v>13795</v>
      </c>
      <c r="E1856" s="1229">
        <v>10168.290000000001</v>
      </c>
      <c r="F1856" s="732">
        <v>21528.41</v>
      </c>
      <c r="G1856" s="733">
        <v>15331.21</v>
      </c>
      <c r="H1856" s="732">
        <v>10561.08</v>
      </c>
      <c r="I1856" s="732">
        <v>9826.08</v>
      </c>
      <c r="J1856" s="1230">
        <v>110.92</v>
      </c>
      <c r="K1856" s="733">
        <v>1778.64</v>
      </c>
      <c r="L1856" s="732">
        <v>390.17</v>
      </c>
      <c r="M1856" s="732">
        <v>3390.72</v>
      </c>
      <c r="N1856" s="732">
        <v>212.02</v>
      </c>
    </row>
    <row r="1857" spans="1:14" ht="15">
      <c r="A1857" s="705"/>
      <c r="B1857" s="705"/>
      <c r="C1857" s="1227">
        <v>42242</v>
      </c>
      <c r="D1857" s="703">
        <v>13904</v>
      </c>
      <c r="E1857" s="1229">
        <v>10173.25</v>
      </c>
      <c r="F1857" s="732">
        <v>21799.11</v>
      </c>
      <c r="G1857" s="733">
        <v>15628.03</v>
      </c>
      <c r="H1857" s="732">
        <v>10579.86</v>
      </c>
      <c r="I1857" s="732">
        <v>9883.56</v>
      </c>
      <c r="J1857" s="1230">
        <v>113.04</v>
      </c>
      <c r="K1857" s="733">
        <v>1793.15</v>
      </c>
      <c r="L1857" s="732">
        <v>390.23</v>
      </c>
      <c r="M1857" s="732">
        <v>3350.9</v>
      </c>
      <c r="N1857" s="732">
        <v>212.09</v>
      </c>
    </row>
    <row r="1858" spans="1:14" ht="15">
      <c r="A1858" s="705"/>
      <c r="B1858" s="705"/>
      <c r="C1858" s="1227">
        <v>42243</v>
      </c>
      <c r="D1858" s="703">
        <v>13904</v>
      </c>
      <c r="E1858" s="1229">
        <v>10173.25</v>
      </c>
      <c r="F1858" s="732">
        <v>21799.11</v>
      </c>
      <c r="G1858" s="733">
        <v>15628.03</v>
      </c>
      <c r="H1858" s="732">
        <v>10579.86</v>
      </c>
      <c r="I1858" s="732">
        <v>9883.56</v>
      </c>
      <c r="J1858" s="1230">
        <v>113.04</v>
      </c>
      <c r="K1858" s="733">
        <v>1793.15</v>
      </c>
      <c r="L1858" s="732">
        <v>390.23</v>
      </c>
      <c r="M1858" s="732">
        <v>3350.9</v>
      </c>
      <c r="N1858" s="732">
        <v>212.09</v>
      </c>
    </row>
    <row r="1859" spans="1:14" ht="15">
      <c r="A1859" s="705"/>
      <c r="B1859" s="705"/>
      <c r="C1859" s="1227">
        <v>42244</v>
      </c>
      <c r="D1859" s="703">
        <v>13904</v>
      </c>
      <c r="E1859" s="1229">
        <v>10173.25</v>
      </c>
      <c r="F1859" s="732">
        <v>21799.11</v>
      </c>
      <c r="G1859" s="733">
        <v>15628.03</v>
      </c>
      <c r="H1859" s="732">
        <v>10579.86</v>
      </c>
      <c r="I1859" s="732">
        <v>9883.56</v>
      </c>
      <c r="J1859" s="1230">
        <v>113.04</v>
      </c>
      <c r="K1859" s="733">
        <v>1793.15</v>
      </c>
      <c r="L1859" s="732">
        <v>390.23</v>
      </c>
      <c r="M1859" s="732">
        <v>3350.9</v>
      </c>
      <c r="N1859" s="732">
        <v>212.09</v>
      </c>
    </row>
    <row r="1860" spans="1:14" ht="15">
      <c r="A1860" s="705"/>
      <c r="B1860" s="705"/>
      <c r="C1860" s="1227">
        <v>42245</v>
      </c>
      <c r="D1860" s="703">
        <v>13904</v>
      </c>
      <c r="E1860" s="1229">
        <v>10173.25</v>
      </c>
      <c r="F1860" s="732">
        <v>21799.11</v>
      </c>
      <c r="G1860" s="733">
        <v>15628.03</v>
      </c>
      <c r="H1860" s="732">
        <v>10579.86</v>
      </c>
      <c r="I1860" s="732">
        <v>9883.56</v>
      </c>
      <c r="J1860" s="1230">
        <v>113.04</v>
      </c>
      <c r="K1860" s="733">
        <v>1793.15</v>
      </c>
      <c r="L1860" s="732">
        <v>390.23</v>
      </c>
      <c r="M1860" s="732">
        <v>3350.9</v>
      </c>
      <c r="N1860" s="732">
        <v>212.09</v>
      </c>
    </row>
    <row r="1861" spans="1:14" ht="15">
      <c r="A1861" s="705"/>
      <c r="B1861" s="705"/>
      <c r="C1861" s="1227">
        <v>42246</v>
      </c>
      <c r="D1861" s="703">
        <v>13904</v>
      </c>
      <c r="E1861" s="1229">
        <v>10173.25</v>
      </c>
      <c r="F1861" s="732">
        <v>21799.11</v>
      </c>
      <c r="G1861" s="733">
        <v>15628.03</v>
      </c>
      <c r="H1861" s="732">
        <v>10579.86</v>
      </c>
      <c r="I1861" s="732">
        <v>9883.56</v>
      </c>
      <c r="J1861" s="1230">
        <v>113.04</v>
      </c>
      <c r="K1861" s="733">
        <v>1793.15</v>
      </c>
      <c r="L1861" s="732">
        <v>390.23</v>
      </c>
      <c r="M1861" s="732">
        <v>3350.9</v>
      </c>
      <c r="N1861" s="732">
        <v>212.09</v>
      </c>
    </row>
    <row r="1862" spans="1:14" ht="15">
      <c r="A1862" s="705"/>
      <c r="B1862" s="705"/>
      <c r="C1862" s="1227">
        <v>42247</v>
      </c>
      <c r="D1862" s="703">
        <v>13904</v>
      </c>
      <c r="E1862" s="1229">
        <v>10173.25</v>
      </c>
      <c r="F1862" s="732">
        <v>21799.11</v>
      </c>
      <c r="G1862" s="733">
        <v>15628.03</v>
      </c>
      <c r="H1862" s="732">
        <v>10579.86</v>
      </c>
      <c r="I1862" s="732">
        <v>9883.56</v>
      </c>
      <c r="J1862" s="1230">
        <v>113.04</v>
      </c>
      <c r="K1862" s="733">
        <v>1793.15</v>
      </c>
      <c r="L1862" s="732">
        <v>390.23</v>
      </c>
      <c r="M1862" s="732">
        <v>3350.9</v>
      </c>
      <c r="N1862" s="732">
        <v>212.09</v>
      </c>
    </row>
    <row r="1863" spans="1:14" ht="15">
      <c r="A1863" s="705"/>
      <c r="B1863" s="705"/>
      <c r="C1863" s="1227">
        <v>42248</v>
      </c>
      <c r="D1863" s="703">
        <v>13904</v>
      </c>
      <c r="E1863" s="1229">
        <v>10173.25</v>
      </c>
      <c r="F1863" s="732">
        <v>21799.11</v>
      </c>
      <c r="G1863" s="733">
        <v>15628.03</v>
      </c>
      <c r="H1863" s="732">
        <v>10579.86</v>
      </c>
      <c r="I1863" s="732">
        <v>9883.56</v>
      </c>
      <c r="J1863" s="1230">
        <v>113.04</v>
      </c>
      <c r="K1863" s="733">
        <v>1793.15</v>
      </c>
      <c r="L1863" s="732">
        <v>390.23</v>
      </c>
      <c r="M1863" s="732">
        <v>3350.9</v>
      </c>
      <c r="N1863" s="732">
        <v>212.09</v>
      </c>
    </row>
    <row r="1864" spans="1:14" ht="15">
      <c r="A1864" s="705"/>
      <c r="B1864" s="705"/>
      <c r="C1864" s="1227">
        <v>42249</v>
      </c>
      <c r="D1864" s="703"/>
      <c r="E1864" s="1229"/>
      <c r="F1864" s="732"/>
      <c r="G1864" s="733"/>
      <c r="H1864" s="732"/>
      <c r="I1864" s="732"/>
      <c r="J1864" s="1230"/>
      <c r="K1864" s="733"/>
      <c r="L1864" s="732"/>
      <c r="M1864" s="732"/>
      <c r="N1864" s="732"/>
    </row>
    <row r="1865" spans="1:14" ht="15">
      <c r="A1865" s="705"/>
      <c r="B1865" s="705"/>
      <c r="C1865" s="1227">
        <v>42250</v>
      </c>
      <c r="D1865" s="703"/>
      <c r="E1865" s="1229"/>
      <c r="F1865" s="732"/>
      <c r="G1865" s="733"/>
      <c r="H1865" s="732"/>
      <c r="I1865" s="732"/>
      <c r="J1865" s="1230"/>
      <c r="K1865" s="733"/>
      <c r="L1865" s="732"/>
      <c r="M1865" s="732"/>
      <c r="N1865" s="732"/>
    </row>
    <row r="1866" spans="1:14" ht="15">
      <c r="A1866" s="705"/>
      <c r="B1866" s="705"/>
      <c r="C1866" s="1227">
        <v>42251</v>
      </c>
      <c r="D1866" s="703"/>
      <c r="E1866" s="1229"/>
      <c r="F1866" s="732"/>
      <c r="G1866" s="733"/>
      <c r="H1866" s="732"/>
      <c r="I1866" s="732"/>
      <c r="J1866" s="1230"/>
      <c r="K1866" s="733"/>
      <c r="L1866" s="732"/>
      <c r="M1866" s="732"/>
      <c r="N1866" s="732"/>
    </row>
    <row r="1867" spans="1:14" ht="15">
      <c r="A1867" s="705"/>
      <c r="B1867" s="705"/>
      <c r="C1867" s="1227">
        <v>42252</v>
      </c>
      <c r="D1867" s="703"/>
      <c r="E1867" s="1229"/>
      <c r="F1867" s="732"/>
      <c r="G1867" s="733"/>
      <c r="H1867" s="732"/>
      <c r="I1867" s="732"/>
      <c r="J1867" s="1230"/>
      <c r="K1867" s="733"/>
      <c r="L1867" s="732"/>
      <c r="M1867" s="732"/>
      <c r="N1867" s="732"/>
    </row>
    <row r="1868" spans="1:14" ht="15">
      <c r="A1868" s="705"/>
      <c r="B1868" s="705"/>
      <c r="C1868" s="1227">
        <v>42253</v>
      </c>
      <c r="D1868" s="703"/>
      <c r="E1868" s="1229"/>
      <c r="F1868" s="732"/>
      <c r="G1868" s="733"/>
      <c r="H1868" s="732"/>
      <c r="I1868" s="732"/>
      <c r="J1868" s="1230"/>
      <c r="K1868" s="733"/>
      <c r="L1868" s="732"/>
      <c r="M1868" s="732"/>
      <c r="N1868" s="732"/>
    </row>
    <row r="1869" spans="1:14" ht="15">
      <c r="A1869" s="705"/>
      <c r="B1869" s="705"/>
      <c r="C1869" s="1227">
        <v>42254</v>
      </c>
      <c r="D1869" s="703"/>
      <c r="E1869" s="1229"/>
      <c r="F1869" s="732"/>
      <c r="G1869" s="733"/>
      <c r="H1869" s="732"/>
      <c r="I1869" s="732"/>
      <c r="J1869" s="1230"/>
      <c r="K1869" s="733"/>
      <c r="L1869" s="732"/>
      <c r="M1869" s="732"/>
      <c r="N1869" s="732"/>
    </row>
    <row r="1870" spans="1:14" ht="15">
      <c r="A1870" s="705"/>
      <c r="B1870" s="705"/>
      <c r="C1870" s="1227">
        <v>42255</v>
      </c>
      <c r="D1870" s="703"/>
      <c r="E1870" s="1229"/>
      <c r="F1870" s="732"/>
      <c r="G1870" s="733"/>
      <c r="H1870" s="732"/>
      <c r="I1870" s="732"/>
      <c r="J1870" s="1230"/>
      <c r="K1870" s="733"/>
      <c r="L1870" s="732"/>
      <c r="M1870" s="732"/>
      <c r="N1870" s="732"/>
    </row>
    <row r="1871" spans="1:14" ht="15">
      <c r="A1871" s="705"/>
      <c r="B1871" s="705"/>
      <c r="C1871" s="1227">
        <v>42256</v>
      </c>
      <c r="D1871" s="703"/>
      <c r="E1871" s="1229"/>
      <c r="F1871" s="732"/>
      <c r="G1871" s="733"/>
      <c r="H1871" s="732"/>
      <c r="I1871" s="732"/>
      <c r="J1871" s="1230"/>
      <c r="K1871" s="733"/>
      <c r="L1871" s="732"/>
      <c r="M1871" s="732"/>
      <c r="N1871" s="732"/>
    </row>
    <row r="1872" spans="1:14" ht="15">
      <c r="A1872" s="705"/>
      <c r="B1872" s="705"/>
      <c r="C1872" s="1227">
        <v>42257</v>
      </c>
      <c r="D1872" s="703"/>
      <c r="E1872" s="1229"/>
      <c r="F1872" s="732"/>
      <c r="G1872" s="733"/>
      <c r="H1872" s="732"/>
      <c r="I1872" s="732"/>
      <c r="J1872" s="1230"/>
      <c r="K1872" s="733"/>
      <c r="L1872" s="732"/>
      <c r="M1872" s="732"/>
      <c r="N1872" s="732"/>
    </row>
    <row r="1873" spans="1:14" ht="15">
      <c r="A1873" s="705"/>
      <c r="B1873" s="705"/>
      <c r="C1873" s="1227">
        <v>42258</v>
      </c>
      <c r="D1873" s="703"/>
      <c r="E1873" s="1229"/>
      <c r="F1873" s="732"/>
      <c r="G1873" s="733"/>
      <c r="H1873" s="732"/>
      <c r="I1873" s="732"/>
      <c r="J1873" s="1230"/>
      <c r="K1873" s="733"/>
      <c r="L1873" s="732"/>
      <c r="M1873" s="732"/>
      <c r="N1873" s="732"/>
    </row>
    <row r="1874" spans="1:14" ht="15">
      <c r="A1874" s="705"/>
      <c r="B1874" s="705"/>
      <c r="C1874" s="1227">
        <v>42259</v>
      </c>
      <c r="D1874" s="703"/>
      <c r="E1874" s="1229"/>
      <c r="F1874" s="732"/>
      <c r="G1874" s="733"/>
      <c r="H1874" s="732"/>
      <c r="I1874" s="732"/>
      <c r="J1874" s="1230"/>
      <c r="K1874" s="733"/>
      <c r="L1874" s="732"/>
      <c r="M1874" s="732"/>
      <c r="N1874" s="732"/>
    </row>
    <row r="1875" spans="1:14" ht="15">
      <c r="A1875" s="705"/>
      <c r="B1875" s="705"/>
      <c r="C1875" s="1227">
        <v>42260</v>
      </c>
      <c r="D1875" s="703"/>
      <c r="E1875" s="1229"/>
      <c r="F1875" s="732"/>
      <c r="G1875" s="733"/>
      <c r="H1875" s="732"/>
      <c r="I1875" s="732"/>
      <c r="J1875" s="1230"/>
      <c r="K1875" s="733"/>
      <c r="L1875" s="732"/>
      <c r="M1875" s="732"/>
      <c r="N1875" s="732"/>
    </row>
    <row r="1876" spans="1:14" ht="15">
      <c r="A1876" s="705"/>
      <c r="B1876" s="705"/>
      <c r="C1876" s="1227">
        <v>42261</v>
      </c>
      <c r="D1876" s="703"/>
      <c r="E1876" s="1229"/>
      <c r="F1876" s="732"/>
      <c r="G1876" s="733"/>
      <c r="H1876" s="732"/>
      <c r="I1876" s="732"/>
      <c r="J1876" s="1230"/>
      <c r="K1876" s="733"/>
      <c r="L1876" s="732"/>
      <c r="M1876" s="732"/>
      <c r="N1876" s="732"/>
    </row>
    <row r="1877" spans="1:14" ht="15">
      <c r="A1877" s="705"/>
      <c r="B1877" s="705"/>
      <c r="C1877" s="1227">
        <v>42262</v>
      </c>
      <c r="D1877" s="703"/>
      <c r="E1877" s="1229"/>
      <c r="F1877" s="732"/>
      <c r="G1877" s="733"/>
      <c r="H1877" s="732"/>
      <c r="I1877" s="732"/>
      <c r="J1877" s="1230"/>
      <c r="K1877" s="733"/>
      <c r="L1877" s="732"/>
      <c r="M1877" s="732"/>
      <c r="N1877" s="732"/>
    </row>
    <row r="1878" spans="1:14" ht="15">
      <c r="A1878" s="705"/>
      <c r="B1878" s="705"/>
      <c r="C1878" s="1227">
        <v>42263</v>
      </c>
      <c r="D1878" s="703"/>
      <c r="E1878" s="1229"/>
      <c r="F1878" s="732"/>
      <c r="G1878" s="733"/>
      <c r="H1878" s="732"/>
      <c r="I1878" s="732"/>
      <c r="J1878" s="1230"/>
      <c r="K1878" s="733"/>
      <c r="L1878" s="732"/>
      <c r="M1878" s="732"/>
      <c r="N1878" s="732"/>
    </row>
    <row r="1879" spans="1:14" ht="15">
      <c r="A1879" s="705"/>
      <c r="B1879" s="705"/>
      <c r="C1879" s="1227">
        <v>42264</v>
      </c>
      <c r="D1879" s="703"/>
      <c r="E1879" s="1229"/>
      <c r="F1879" s="732"/>
      <c r="G1879" s="733"/>
      <c r="H1879" s="732"/>
      <c r="I1879" s="732"/>
      <c r="J1879" s="1230"/>
      <c r="K1879" s="733"/>
      <c r="L1879" s="732"/>
      <c r="M1879" s="732"/>
      <c r="N1879" s="732"/>
    </row>
    <row r="1880" spans="1:14" ht="15">
      <c r="A1880" s="705"/>
      <c r="B1880" s="705"/>
      <c r="C1880" s="1227">
        <v>42265</v>
      </c>
      <c r="D1880" s="703"/>
      <c r="E1880" s="1229"/>
      <c r="F1880" s="732"/>
      <c r="G1880" s="733"/>
      <c r="H1880" s="732"/>
      <c r="I1880" s="732"/>
      <c r="J1880" s="1230"/>
      <c r="K1880" s="733"/>
      <c r="L1880" s="732"/>
      <c r="M1880" s="732"/>
      <c r="N1880" s="732"/>
    </row>
    <row r="1881" spans="1:14" ht="15">
      <c r="A1881" s="705"/>
      <c r="B1881" s="705"/>
      <c r="C1881" s="1227">
        <v>42266</v>
      </c>
      <c r="D1881" s="703"/>
      <c r="E1881" s="1229"/>
      <c r="F1881" s="732"/>
      <c r="G1881" s="733"/>
      <c r="H1881" s="732"/>
      <c r="I1881" s="732"/>
      <c r="J1881" s="1230"/>
      <c r="K1881" s="733"/>
      <c r="L1881" s="732"/>
      <c r="M1881" s="732"/>
      <c r="N1881" s="732"/>
    </row>
    <row r="1882" spans="1:14" ht="15">
      <c r="A1882" s="705"/>
      <c r="B1882" s="705"/>
      <c r="C1882" s="1227">
        <v>42267</v>
      </c>
      <c r="D1882" s="703"/>
      <c r="E1882" s="1229"/>
      <c r="F1882" s="732"/>
      <c r="G1882" s="733"/>
      <c r="H1882" s="732"/>
      <c r="I1882" s="732"/>
      <c r="J1882" s="1230"/>
      <c r="K1882" s="733"/>
      <c r="L1882" s="732"/>
      <c r="M1882" s="732"/>
      <c r="N1882" s="732"/>
    </row>
    <row r="1883" spans="1:14" ht="15">
      <c r="A1883" s="705"/>
      <c r="B1883" s="705"/>
      <c r="C1883" s="1227">
        <v>42268</v>
      </c>
      <c r="D1883" s="703"/>
      <c r="E1883" s="1229"/>
      <c r="F1883" s="732"/>
      <c r="G1883" s="733"/>
      <c r="H1883" s="732"/>
      <c r="I1883" s="732"/>
      <c r="J1883" s="1230"/>
      <c r="K1883" s="733"/>
      <c r="L1883" s="732"/>
      <c r="M1883" s="732"/>
      <c r="N1883" s="732"/>
    </row>
    <row r="1884" spans="1:14" ht="15">
      <c r="A1884" s="705"/>
      <c r="B1884" s="705"/>
      <c r="C1884" s="1227">
        <v>42269</v>
      </c>
      <c r="D1884" s="703"/>
      <c r="E1884" s="1229"/>
      <c r="F1884" s="732"/>
      <c r="G1884" s="733"/>
      <c r="H1884" s="732"/>
      <c r="I1884" s="732"/>
      <c r="J1884" s="1230"/>
      <c r="K1884" s="733"/>
      <c r="L1884" s="732"/>
      <c r="M1884" s="732"/>
      <c r="N1884" s="732"/>
    </row>
    <row r="1885" spans="1:14" ht="15">
      <c r="A1885" s="705"/>
      <c r="B1885" s="705"/>
      <c r="C1885" s="1227">
        <v>42270</v>
      </c>
      <c r="D1885" s="703"/>
      <c r="E1885" s="1229"/>
      <c r="F1885" s="732"/>
      <c r="G1885" s="733"/>
      <c r="H1885" s="732"/>
      <c r="I1885" s="732"/>
      <c r="J1885" s="1230"/>
      <c r="K1885" s="733"/>
      <c r="L1885" s="732"/>
      <c r="M1885" s="732"/>
      <c r="N1885" s="732"/>
    </row>
    <row r="1886" spans="1:14" ht="15">
      <c r="A1886" s="705"/>
      <c r="B1886" s="705"/>
      <c r="C1886" s="1227">
        <v>42271</v>
      </c>
      <c r="D1886" s="703"/>
      <c r="E1886" s="1229"/>
      <c r="F1886" s="732"/>
      <c r="G1886" s="733"/>
      <c r="H1886" s="732"/>
      <c r="I1886" s="732"/>
      <c r="J1886" s="1230"/>
      <c r="K1886" s="733"/>
      <c r="L1886" s="732"/>
      <c r="M1886" s="732"/>
      <c r="N1886" s="732"/>
    </row>
    <row r="1887" spans="1:14" ht="15">
      <c r="A1887" s="705"/>
      <c r="B1887" s="705"/>
      <c r="C1887" s="1227">
        <v>42272</v>
      </c>
      <c r="D1887" s="703"/>
      <c r="E1887" s="1229"/>
      <c r="F1887" s="732"/>
      <c r="G1887" s="733"/>
      <c r="H1887" s="732"/>
      <c r="I1887" s="732"/>
      <c r="J1887" s="1230"/>
      <c r="K1887" s="733"/>
      <c r="L1887" s="732"/>
      <c r="M1887" s="732"/>
      <c r="N1887" s="732"/>
    </row>
    <row r="1888" spans="1:14" ht="15">
      <c r="A1888" s="705"/>
      <c r="B1888" s="705"/>
      <c r="C1888" s="1227">
        <v>42273</v>
      </c>
      <c r="D1888" s="703"/>
      <c r="E1888" s="1229"/>
      <c r="F1888" s="732"/>
      <c r="G1888" s="733"/>
      <c r="H1888" s="732"/>
      <c r="I1888" s="732"/>
      <c r="J1888" s="1230"/>
      <c r="K1888" s="733"/>
      <c r="L1888" s="732"/>
      <c r="M1888" s="732"/>
      <c r="N1888" s="732"/>
    </row>
    <row r="1889" spans="1:14" ht="15">
      <c r="A1889" s="705"/>
      <c r="B1889" s="705"/>
      <c r="C1889" s="1227">
        <v>42274</v>
      </c>
      <c r="D1889" s="703"/>
      <c r="E1889" s="1229"/>
      <c r="F1889" s="732"/>
      <c r="G1889" s="733"/>
      <c r="H1889" s="732"/>
      <c r="I1889" s="732"/>
      <c r="J1889" s="1230"/>
      <c r="K1889" s="733"/>
      <c r="L1889" s="732"/>
      <c r="M1889" s="732"/>
      <c r="N1889" s="732"/>
    </row>
    <row r="1890" spans="1:14" ht="15">
      <c r="A1890" s="705"/>
      <c r="B1890" s="705"/>
      <c r="C1890" s="1227">
        <v>42275</v>
      </c>
      <c r="D1890" s="703"/>
      <c r="E1890" s="1229"/>
      <c r="F1890" s="732"/>
      <c r="G1890" s="733"/>
      <c r="H1890" s="732"/>
      <c r="I1890" s="732"/>
      <c r="J1890" s="1230"/>
      <c r="K1890" s="733"/>
      <c r="L1890" s="732"/>
      <c r="M1890" s="732"/>
      <c r="N1890" s="732"/>
    </row>
    <row r="1891" spans="1:14" ht="15">
      <c r="A1891" s="705"/>
      <c r="B1891" s="705"/>
      <c r="C1891" s="1227">
        <v>42276</v>
      </c>
      <c r="D1891" s="703"/>
      <c r="E1891" s="1229"/>
      <c r="F1891" s="732"/>
      <c r="G1891" s="733"/>
      <c r="H1891" s="732"/>
      <c r="I1891" s="732"/>
      <c r="J1891" s="1230"/>
      <c r="K1891" s="733"/>
      <c r="L1891" s="732"/>
      <c r="M1891" s="732"/>
      <c r="N1891" s="732"/>
    </row>
    <row r="1892" spans="1:14" ht="15">
      <c r="A1892" s="705"/>
      <c r="B1892" s="705"/>
      <c r="C1892" s="1227">
        <v>42277</v>
      </c>
      <c r="D1892" s="703"/>
      <c r="E1892" s="1229"/>
      <c r="F1892" s="732"/>
      <c r="G1892" s="733"/>
      <c r="H1892" s="732"/>
      <c r="I1892" s="732"/>
      <c r="J1892" s="1230"/>
      <c r="K1892" s="733"/>
      <c r="L1892" s="732"/>
      <c r="M1892" s="732"/>
      <c r="N1892" s="732"/>
    </row>
    <row r="1893" spans="1:14" ht="15">
      <c r="A1893" s="705"/>
      <c r="B1893" s="705"/>
      <c r="C1893" s="1227">
        <v>42278</v>
      </c>
      <c r="D1893" s="703"/>
      <c r="E1893" s="1229"/>
      <c r="F1893" s="732"/>
      <c r="G1893" s="733"/>
      <c r="H1893" s="732"/>
      <c r="I1893" s="732"/>
      <c r="J1893" s="1230"/>
      <c r="K1893" s="733"/>
      <c r="L1893" s="732"/>
      <c r="M1893" s="732"/>
      <c r="N1893" s="732"/>
    </row>
    <row r="1894" spans="1:14" ht="15">
      <c r="A1894" s="705"/>
      <c r="B1894" s="705"/>
      <c r="C1894" s="1227">
        <v>42279</v>
      </c>
      <c r="D1894" s="703"/>
      <c r="E1894" s="1229"/>
      <c r="F1894" s="732"/>
      <c r="G1894" s="733"/>
      <c r="H1894" s="732"/>
      <c r="I1894" s="732"/>
      <c r="J1894" s="1230"/>
      <c r="K1894" s="733"/>
      <c r="L1894" s="732"/>
      <c r="M1894" s="732"/>
      <c r="N1894" s="732"/>
    </row>
    <row r="1895" spans="1:14" ht="15">
      <c r="A1895" s="705"/>
      <c r="B1895" s="705"/>
      <c r="C1895" s="1227">
        <v>42280</v>
      </c>
      <c r="D1895" s="703"/>
      <c r="E1895" s="1229"/>
      <c r="F1895" s="732"/>
      <c r="G1895" s="733"/>
      <c r="H1895" s="732"/>
      <c r="I1895" s="732"/>
      <c r="J1895" s="1230"/>
      <c r="K1895" s="733"/>
      <c r="L1895" s="732"/>
      <c r="M1895" s="732"/>
      <c r="N1895" s="732"/>
    </row>
    <row r="1896" spans="1:14" ht="15">
      <c r="A1896" s="705"/>
      <c r="B1896" s="705"/>
      <c r="C1896" s="1227">
        <v>42281</v>
      </c>
      <c r="D1896" s="703"/>
      <c r="E1896" s="1229"/>
      <c r="F1896" s="732"/>
      <c r="G1896" s="733"/>
      <c r="H1896" s="732"/>
      <c r="I1896" s="732"/>
      <c r="J1896" s="1230"/>
      <c r="K1896" s="733"/>
      <c r="L1896" s="732"/>
      <c r="M1896" s="732"/>
      <c r="N1896" s="732"/>
    </row>
    <row r="1897" spans="1:14" ht="15">
      <c r="A1897" s="705"/>
      <c r="B1897" s="705"/>
      <c r="C1897" s="1227">
        <v>42282</v>
      </c>
      <c r="D1897" s="703"/>
      <c r="E1897" s="1229"/>
      <c r="F1897" s="732"/>
      <c r="G1897" s="733"/>
      <c r="H1897" s="732"/>
      <c r="I1897" s="732"/>
      <c r="J1897" s="1230"/>
      <c r="K1897" s="733"/>
      <c r="L1897" s="732"/>
      <c r="M1897" s="732"/>
      <c r="N1897" s="732"/>
    </row>
    <row r="1898" spans="1:14" ht="15">
      <c r="A1898" s="705"/>
      <c r="B1898" s="705"/>
      <c r="C1898" s="1227">
        <v>42283</v>
      </c>
      <c r="D1898" s="703"/>
      <c r="E1898" s="1229"/>
      <c r="F1898" s="732"/>
      <c r="G1898" s="733"/>
      <c r="H1898" s="732"/>
      <c r="I1898" s="732"/>
      <c r="J1898" s="1230"/>
      <c r="K1898" s="733"/>
      <c r="L1898" s="732"/>
      <c r="M1898" s="732"/>
      <c r="N1898" s="732"/>
    </row>
    <row r="1899" spans="1:14" ht="15">
      <c r="A1899" s="705"/>
      <c r="B1899" s="705"/>
      <c r="C1899" s="1227">
        <v>42284</v>
      </c>
      <c r="D1899" s="703"/>
      <c r="E1899" s="1229"/>
      <c r="F1899" s="732"/>
      <c r="G1899" s="733"/>
      <c r="H1899" s="732"/>
      <c r="I1899" s="732"/>
      <c r="J1899" s="1230"/>
      <c r="K1899" s="733"/>
      <c r="L1899" s="732"/>
      <c r="M1899" s="732"/>
      <c r="N1899" s="732"/>
    </row>
    <row r="1900" spans="1:14" ht="15">
      <c r="A1900" s="705"/>
      <c r="B1900" s="705"/>
      <c r="C1900" s="1227">
        <v>42285</v>
      </c>
      <c r="D1900" s="703"/>
      <c r="E1900" s="1229"/>
      <c r="F1900" s="732"/>
      <c r="G1900" s="733"/>
      <c r="H1900" s="732"/>
      <c r="I1900" s="732"/>
      <c r="J1900" s="1230"/>
      <c r="K1900" s="733"/>
      <c r="L1900" s="732"/>
      <c r="M1900" s="732"/>
      <c r="N1900" s="732"/>
    </row>
    <row r="1901" spans="1:14" ht="15">
      <c r="A1901" s="705"/>
      <c r="B1901" s="705"/>
      <c r="C1901" s="1227">
        <v>42286</v>
      </c>
      <c r="D1901" s="703"/>
      <c r="E1901" s="1229"/>
      <c r="F1901" s="732"/>
      <c r="G1901" s="733"/>
      <c r="H1901" s="732"/>
      <c r="I1901" s="732"/>
      <c r="J1901" s="1230"/>
      <c r="K1901" s="733"/>
      <c r="L1901" s="732"/>
      <c r="M1901" s="732"/>
      <c r="N1901" s="732"/>
    </row>
    <row r="1902" spans="1:14" ht="15">
      <c r="A1902" s="705"/>
      <c r="B1902" s="705"/>
      <c r="C1902" s="1227">
        <v>42287</v>
      </c>
      <c r="D1902" s="703"/>
      <c r="E1902" s="1229"/>
      <c r="F1902" s="732"/>
      <c r="G1902" s="733"/>
      <c r="H1902" s="732"/>
      <c r="I1902" s="732"/>
      <c r="J1902" s="1230"/>
      <c r="K1902" s="733"/>
      <c r="L1902" s="732"/>
      <c r="M1902" s="732"/>
      <c r="N1902" s="732"/>
    </row>
    <row r="1903" spans="1:14" ht="15">
      <c r="A1903" s="705"/>
      <c r="B1903" s="705"/>
      <c r="C1903" s="1227">
        <v>42288</v>
      </c>
      <c r="D1903" s="703"/>
      <c r="E1903" s="1229"/>
      <c r="F1903" s="732"/>
      <c r="G1903" s="733"/>
      <c r="H1903" s="732"/>
      <c r="I1903" s="732"/>
      <c r="J1903" s="1230"/>
      <c r="K1903" s="733"/>
      <c r="L1903" s="732"/>
      <c r="M1903" s="732"/>
      <c r="N1903" s="732"/>
    </row>
    <row r="1904" spans="1:14" ht="15">
      <c r="A1904" s="705"/>
      <c r="B1904" s="705"/>
      <c r="C1904" s="1227">
        <v>42289</v>
      </c>
      <c r="D1904" s="703"/>
      <c r="E1904" s="1229"/>
      <c r="F1904" s="732"/>
      <c r="G1904" s="733"/>
      <c r="H1904" s="732"/>
      <c r="I1904" s="732"/>
      <c r="J1904" s="1230"/>
      <c r="K1904" s="733"/>
      <c r="L1904" s="732"/>
      <c r="M1904" s="732"/>
      <c r="N1904" s="732"/>
    </row>
    <row r="1905" spans="1:14" ht="15">
      <c r="A1905" s="705"/>
      <c r="B1905" s="705"/>
      <c r="C1905" s="1227">
        <v>42290</v>
      </c>
      <c r="D1905" s="703"/>
      <c r="E1905" s="1229"/>
      <c r="F1905" s="732"/>
      <c r="G1905" s="733"/>
      <c r="H1905" s="732"/>
      <c r="I1905" s="732"/>
      <c r="J1905" s="1230"/>
      <c r="K1905" s="733"/>
      <c r="L1905" s="732"/>
      <c r="M1905" s="732"/>
      <c r="N1905" s="732"/>
    </row>
    <row r="1906" spans="1:14" ht="15">
      <c r="A1906" s="705"/>
      <c r="B1906" s="705"/>
      <c r="C1906" s="1227">
        <v>42291</v>
      </c>
      <c r="D1906" s="703"/>
      <c r="E1906" s="1229"/>
      <c r="F1906" s="732"/>
      <c r="G1906" s="733"/>
      <c r="H1906" s="732"/>
      <c r="I1906" s="732"/>
      <c r="J1906" s="1230"/>
      <c r="K1906" s="733"/>
      <c r="L1906" s="732"/>
      <c r="M1906" s="732"/>
      <c r="N1906" s="732"/>
    </row>
    <row r="1907" spans="1:14" ht="15">
      <c r="A1907" s="705"/>
      <c r="B1907" s="705"/>
      <c r="C1907" s="1227">
        <v>42292</v>
      </c>
      <c r="D1907" s="703"/>
      <c r="E1907" s="1229"/>
      <c r="F1907" s="732"/>
      <c r="G1907" s="733"/>
      <c r="H1907" s="732"/>
      <c r="I1907" s="732"/>
      <c r="J1907" s="1230"/>
      <c r="K1907" s="733"/>
      <c r="L1907" s="732"/>
      <c r="M1907" s="732"/>
      <c r="N1907" s="732"/>
    </row>
    <row r="1908" spans="1:14" ht="15">
      <c r="A1908" s="705"/>
      <c r="B1908" s="705"/>
      <c r="C1908" s="1227">
        <v>42293</v>
      </c>
      <c r="D1908" s="703"/>
      <c r="E1908" s="1229"/>
      <c r="F1908" s="732"/>
      <c r="G1908" s="733"/>
      <c r="H1908" s="732"/>
      <c r="I1908" s="732"/>
      <c r="J1908" s="1230"/>
      <c r="K1908" s="733"/>
      <c r="L1908" s="732"/>
      <c r="M1908" s="732"/>
      <c r="N1908" s="732"/>
    </row>
    <row r="1909" spans="1:14" ht="15">
      <c r="A1909" s="705"/>
      <c r="B1909" s="705"/>
      <c r="C1909" s="1227">
        <v>42294</v>
      </c>
      <c r="D1909" s="703"/>
      <c r="E1909" s="1229"/>
      <c r="F1909" s="732"/>
      <c r="G1909" s="733"/>
      <c r="H1909" s="732"/>
      <c r="I1909" s="732"/>
      <c r="J1909" s="1230"/>
      <c r="K1909" s="733"/>
      <c r="L1909" s="732"/>
      <c r="M1909" s="732"/>
      <c r="N1909" s="732"/>
    </row>
    <row r="1910" spans="1:14" ht="15">
      <c r="A1910" s="705"/>
      <c r="B1910" s="705"/>
      <c r="C1910" s="1227">
        <v>42295</v>
      </c>
      <c r="D1910" s="703"/>
      <c r="E1910" s="1229"/>
      <c r="F1910" s="732"/>
      <c r="G1910" s="733"/>
      <c r="H1910" s="732"/>
      <c r="I1910" s="732"/>
      <c r="J1910" s="1230"/>
      <c r="K1910" s="733"/>
      <c r="L1910" s="732"/>
      <c r="M1910" s="732"/>
      <c r="N1910" s="732"/>
    </row>
    <row r="1911" spans="1:14" ht="15">
      <c r="A1911" s="705"/>
      <c r="B1911" s="705"/>
      <c r="C1911" s="1227">
        <v>42296</v>
      </c>
      <c r="D1911" s="703"/>
      <c r="E1911" s="1229"/>
      <c r="F1911" s="732"/>
      <c r="G1911" s="733"/>
      <c r="H1911" s="732"/>
      <c r="I1911" s="732"/>
      <c r="J1911" s="1230"/>
      <c r="K1911" s="733"/>
      <c r="L1911" s="732"/>
      <c r="M1911" s="732"/>
      <c r="N1911" s="732"/>
    </row>
    <row r="1912" spans="1:14" ht="15">
      <c r="A1912" s="705"/>
      <c r="B1912" s="705"/>
      <c r="C1912" s="1227">
        <v>42297</v>
      </c>
      <c r="D1912" s="703"/>
      <c r="E1912" s="1229"/>
      <c r="F1912" s="732"/>
      <c r="G1912" s="733"/>
      <c r="H1912" s="732"/>
      <c r="I1912" s="732"/>
      <c r="J1912" s="1230"/>
      <c r="K1912" s="733"/>
      <c r="L1912" s="732"/>
      <c r="M1912" s="732"/>
      <c r="N1912" s="732"/>
    </row>
    <row r="1913" spans="1:14" ht="15">
      <c r="A1913" s="705"/>
      <c r="B1913" s="705"/>
      <c r="C1913" s="1227">
        <v>42298</v>
      </c>
      <c r="D1913" s="703"/>
      <c r="E1913" s="1229"/>
      <c r="F1913" s="732"/>
      <c r="G1913" s="733"/>
      <c r="H1913" s="732"/>
      <c r="I1913" s="732"/>
      <c r="J1913" s="1230"/>
      <c r="K1913" s="733"/>
      <c r="L1913" s="732"/>
      <c r="M1913" s="732"/>
      <c r="N1913" s="732"/>
    </row>
    <row r="1914" spans="1:14" ht="15">
      <c r="A1914" s="705"/>
      <c r="B1914" s="705"/>
      <c r="C1914" s="1227">
        <v>42299</v>
      </c>
      <c r="D1914" s="703"/>
      <c r="E1914" s="1229"/>
      <c r="F1914" s="732"/>
      <c r="G1914" s="733"/>
      <c r="H1914" s="732"/>
      <c r="I1914" s="732"/>
      <c r="J1914" s="1230"/>
      <c r="K1914" s="733"/>
      <c r="L1914" s="732"/>
      <c r="M1914" s="732"/>
      <c r="N1914" s="732"/>
    </row>
    <row r="1915" spans="1:14" ht="15">
      <c r="A1915" s="705"/>
      <c r="B1915" s="705"/>
      <c r="C1915" s="1227">
        <v>42300</v>
      </c>
      <c r="D1915" s="703"/>
      <c r="E1915" s="1229"/>
      <c r="F1915" s="732"/>
      <c r="G1915" s="733"/>
      <c r="H1915" s="732"/>
      <c r="I1915" s="732"/>
      <c r="J1915" s="1230"/>
      <c r="K1915" s="733"/>
      <c r="L1915" s="732"/>
      <c r="M1915" s="732"/>
      <c r="N1915" s="732"/>
    </row>
    <row r="1916" spans="1:14" ht="15">
      <c r="A1916" s="705"/>
      <c r="B1916" s="705"/>
      <c r="C1916" s="1227">
        <v>42301</v>
      </c>
      <c r="D1916" s="703"/>
      <c r="E1916" s="1229"/>
      <c r="F1916" s="732"/>
      <c r="G1916" s="733"/>
      <c r="H1916" s="732"/>
      <c r="I1916" s="732"/>
      <c r="J1916" s="1230"/>
      <c r="K1916" s="733"/>
      <c r="L1916" s="732"/>
      <c r="M1916" s="732"/>
      <c r="N1916" s="732"/>
    </row>
    <row r="1917" spans="1:14" ht="15">
      <c r="A1917" s="705"/>
      <c r="B1917" s="705"/>
      <c r="C1917" s="1227">
        <v>42302</v>
      </c>
      <c r="D1917" s="703"/>
      <c r="E1917" s="1229"/>
      <c r="F1917" s="732"/>
      <c r="G1917" s="733"/>
      <c r="H1917" s="732"/>
      <c r="I1917" s="732"/>
      <c r="J1917" s="1230"/>
      <c r="K1917" s="733"/>
      <c r="L1917" s="732"/>
      <c r="M1917" s="732"/>
      <c r="N1917" s="732"/>
    </row>
    <row r="1918" spans="1:14" ht="15">
      <c r="A1918" s="705"/>
      <c r="B1918" s="705"/>
      <c r="C1918" s="1227">
        <v>42303</v>
      </c>
      <c r="D1918" s="703"/>
      <c r="E1918" s="1229"/>
      <c r="F1918" s="732"/>
      <c r="G1918" s="733"/>
      <c r="H1918" s="732"/>
      <c r="I1918" s="732"/>
      <c r="J1918" s="1230"/>
      <c r="K1918" s="733"/>
      <c r="L1918" s="732"/>
      <c r="M1918" s="732"/>
      <c r="N1918" s="732"/>
    </row>
    <row r="1919" spans="1:14" ht="15">
      <c r="A1919" s="705"/>
      <c r="B1919" s="705"/>
      <c r="C1919" s="1227">
        <v>42304</v>
      </c>
      <c r="D1919" s="703"/>
      <c r="E1919" s="1229"/>
      <c r="F1919" s="732"/>
      <c r="G1919" s="733"/>
      <c r="H1919" s="732"/>
      <c r="I1919" s="732"/>
      <c r="J1919" s="1230"/>
      <c r="K1919" s="733"/>
      <c r="L1919" s="732"/>
      <c r="M1919" s="732"/>
      <c r="N1919" s="732"/>
    </row>
    <row r="1920" spans="1:14" ht="15">
      <c r="A1920" s="705"/>
      <c r="B1920" s="705"/>
      <c r="C1920" s="1227">
        <v>42305</v>
      </c>
      <c r="D1920" s="703"/>
      <c r="E1920" s="1229"/>
      <c r="F1920" s="732"/>
      <c r="G1920" s="733"/>
      <c r="H1920" s="732"/>
      <c r="I1920" s="732"/>
      <c r="J1920" s="1230"/>
      <c r="K1920" s="733"/>
      <c r="L1920" s="732"/>
      <c r="M1920" s="732"/>
      <c r="N1920" s="732"/>
    </row>
    <row r="1921" spans="1:14" ht="15">
      <c r="A1921" s="705"/>
      <c r="B1921" s="705"/>
      <c r="C1921" s="1227">
        <v>42306</v>
      </c>
      <c r="D1921" s="703"/>
      <c r="E1921" s="1229"/>
      <c r="F1921" s="732"/>
      <c r="G1921" s="733"/>
      <c r="H1921" s="732"/>
      <c r="I1921" s="732"/>
      <c r="J1921" s="1230"/>
      <c r="K1921" s="733"/>
      <c r="L1921" s="732"/>
      <c r="M1921" s="732"/>
      <c r="N1921" s="732"/>
    </row>
    <row r="1922" spans="1:14" ht="15">
      <c r="A1922" s="705"/>
      <c r="B1922" s="705"/>
      <c r="C1922" s="1227">
        <v>42307</v>
      </c>
      <c r="D1922" s="703"/>
      <c r="E1922" s="1229"/>
      <c r="F1922" s="732"/>
      <c r="G1922" s="733"/>
      <c r="H1922" s="732"/>
      <c r="I1922" s="732"/>
      <c r="J1922" s="1230"/>
      <c r="K1922" s="733"/>
      <c r="L1922" s="732"/>
      <c r="M1922" s="732"/>
      <c r="N1922" s="732"/>
    </row>
    <row r="1923" spans="1:14" ht="15">
      <c r="A1923" s="705"/>
      <c r="B1923" s="705"/>
      <c r="C1923" s="1227">
        <v>42308</v>
      </c>
      <c r="D1923" s="703"/>
      <c r="E1923" s="1229"/>
      <c r="F1923" s="732"/>
      <c r="G1923" s="733"/>
      <c r="H1923" s="732"/>
      <c r="I1923" s="732"/>
      <c r="J1923" s="1230"/>
      <c r="K1923" s="733"/>
      <c r="L1923" s="732"/>
      <c r="M1923" s="732"/>
      <c r="N1923" s="732"/>
    </row>
    <row r="1924" spans="1:14" ht="15">
      <c r="A1924" s="705"/>
      <c r="B1924" s="705"/>
      <c r="C1924" s="1227">
        <v>42309</v>
      </c>
      <c r="D1924" s="703"/>
      <c r="E1924" s="1229"/>
      <c r="F1924" s="732"/>
      <c r="G1924" s="733"/>
      <c r="H1924" s="732"/>
      <c r="I1924" s="732"/>
      <c r="J1924" s="1230"/>
      <c r="K1924" s="733"/>
      <c r="L1924" s="732"/>
      <c r="M1924" s="732"/>
      <c r="N1924" s="732"/>
    </row>
    <row r="1925" spans="1:14" ht="15">
      <c r="A1925" s="705"/>
      <c r="B1925" s="705"/>
      <c r="C1925" s="1227">
        <v>42310</v>
      </c>
      <c r="D1925" s="703"/>
      <c r="E1925" s="1229"/>
      <c r="F1925" s="732"/>
      <c r="G1925" s="733"/>
      <c r="H1925" s="732"/>
      <c r="I1925" s="732"/>
      <c r="J1925" s="1230"/>
      <c r="K1925" s="733"/>
      <c r="L1925" s="732"/>
      <c r="M1925" s="732"/>
      <c r="N1925" s="732"/>
    </row>
    <row r="1926" spans="1:14" ht="15">
      <c r="A1926" s="705"/>
      <c r="B1926" s="705"/>
      <c r="C1926" s="1227">
        <v>42311</v>
      </c>
      <c r="D1926" s="703"/>
      <c r="E1926" s="1229"/>
      <c r="F1926" s="732"/>
      <c r="G1926" s="733"/>
      <c r="H1926" s="732"/>
      <c r="I1926" s="732"/>
      <c r="J1926" s="1230"/>
      <c r="K1926" s="733"/>
      <c r="L1926" s="732"/>
      <c r="M1926" s="732"/>
      <c r="N1926" s="732"/>
    </row>
    <row r="1927" spans="1:14" ht="15">
      <c r="A1927" s="705"/>
      <c r="B1927" s="705"/>
      <c r="C1927" s="1227">
        <v>42312</v>
      </c>
      <c r="D1927" s="703"/>
      <c r="E1927" s="1229"/>
      <c r="F1927" s="732"/>
      <c r="G1927" s="733"/>
      <c r="H1927" s="732"/>
      <c r="I1927" s="732"/>
      <c r="J1927" s="1230"/>
      <c r="K1927" s="733"/>
      <c r="L1927" s="732"/>
      <c r="M1927" s="732"/>
      <c r="N1927" s="732"/>
    </row>
    <row r="1928" spans="1:14" ht="15">
      <c r="A1928" s="705"/>
      <c r="B1928" s="705"/>
      <c r="C1928" s="1227">
        <v>42313</v>
      </c>
      <c r="D1928" s="703"/>
      <c r="E1928" s="1229"/>
      <c r="F1928" s="732"/>
      <c r="G1928" s="733"/>
      <c r="H1928" s="732"/>
      <c r="I1928" s="732"/>
      <c r="J1928" s="1230"/>
      <c r="K1928" s="733"/>
      <c r="L1928" s="732"/>
      <c r="M1928" s="732"/>
      <c r="N1928" s="732"/>
    </row>
    <row r="1929" spans="1:14" ht="15">
      <c r="A1929" s="705"/>
      <c r="B1929" s="705"/>
      <c r="C1929" s="1227">
        <v>42314</v>
      </c>
      <c r="D1929" s="703"/>
      <c r="E1929" s="1229"/>
      <c r="F1929" s="732"/>
      <c r="G1929" s="733"/>
      <c r="H1929" s="732"/>
      <c r="I1929" s="732"/>
      <c r="J1929" s="1230"/>
      <c r="K1929" s="733"/>
      <c r="L1929" s="732"/>
      <c r="M1929" s="732"/>
      <c r="N1929" s="732"/>
    </row>
    <row r="1930" spans="1:14" ht="15">
      <c r="A1930" s="705"/>
      <c r="B1930" s="705"/>
      <c r="C1930" s="1227">
        <v>42315</v>
      </c>
      <c r="D1930" s="703"/>
      <c r="E1930" s="1229"/>
      <c r="F1930" s="732"/>
      <c r="G1930" s="733"/>
      <c r="H1930" s="732"/>
      <c r="I1930" s="732"/>
      <c r="J1930" s="1230"/>
      <c r="K1930" s="733"/>
      <c r="L1930" s="732"/>
      <c r="M1930" s="732"/>
      <c r="N1930" s="732"/>
    </row>
    <row r="1931" spans="1:14" ht="15">
      <c r="A1931" s="705"/>
      <c r="B1931" s="705"/>
      <c r="C1931" s="1227">
        <v>42316</v>
      </c>
      <c r="D1931" s="703"/>
      <c r="E1931" s="1229"/>
      <c r="F1931" s="732"/>
      <c r="G1931" s="733"/>
      <c r="H1931" s="732"/>
      <c r="I1931" s="732"/>
      <c r="J1931" s="1230"/>
      <c r="K1931" s="733"/>
      <c r="L1931" s="732"/>
      <c r="M1931" s="732"/>
      <c r="N1931" s="732"/>
    </row>
    <row r="1932" spans="1:14" ht="15">
      <c r="A1932" s="705"/>
      <c r="B1932" s="705"/>
      <c r="C1932" s="1227">
        <v>42317</v>
      </c>
      <c r="D1932" s="703"/>
      <c r="E1932" s="1229"/>
      <c r="F1932" s="732"/>
      <c r="G1932" s="733"/>
      <c r="H1932" s="732"/>
      <c r="I1932" s="732"/>
      <c r="J1932" s="1230"/>
      <c r="K1932" s="733"/>
      <c r="L1932" s="732"/>
      <c r="M1932" s="732"/>
      <c r="N1932" s="732"/>
    </row>
    <row r="1933" spans="1:14" ht="15">
      <c r="A1933" s="705"/>
      <c r="B1933" s="705"/>
      <c r="C1933" s="1227">
        <v>42318</v>
      </c>
      <c r="D1933" s="703"/>
      <c r="E1933" s="1229"/>
      <c r="F1933" s="732"/>
      <c r="G1933" s="733"/>
      <c r="H1933" s="732"/>
      <c r="I1933" s="732"/>
      <c r="J1933" s="1230"/>
      <c r="K1933" s="733"/>
      <c r="L1933" s="732"/>
      <c r="M1933" s="732"/>
      <c r="N1933" s="732"/>
    </row>
    <row r="1934" spans="1:14" ht="15">
      <c r="A1934" s="705"/>
      <c r="B1934" s="705"/>
      <c r="C1934" s="1227">
        <v>42319</v>
      </c>
      <c r="D1934" s="703"/>
      <c r="E1934" s="1229"/>
      <c r="F1934" s="732"/>
      <c r="G1934" s="733"/>
      <c r="H1934" s="732"/>
      <c r="I1934" s="732"/>
      <c r="J1934" s="1230"/>
      <c r="K1934" s="733"/>
      <c r="L1934" s="732"/>
      <c r="M1934" s="732"/>
      <c r="N1934" s="732"/>
    </row>
    <row r="1935" spans="1:14" ht="15">
      <c r="A1935" s="705"/>
      <c r="B1935" s="705"/>
      <c r="C1935" s="1227">
        <v>42320</v>
      </c>
      <c r="D1935" s="703"/>
      <c r="E1935" s="1229"/>
      <c r="F1935" s="732"/>
      <c r="G1935" s="733"/>
      <c r="H1935" s="732"/>
      <c r="I1935" s="732"/>
      <c r="J1935" s="1230"/>
      <c r="K1935" s="733"/>
      <c r="L1935" s="732"/>
      <c r="M1935" s="732"/>
      <c r="N1935" s="732"/>
    </row>
    <row r="1936" spans="1:14" ht="15">
      <c r="A1936" s="705"/>
      <c r="B1936" s="705"/>
      <c r="C1936" s="1227">
        <v>42321</v>
      </c>
      <c r="D1936" s="703"/>
      <c r="E1936" s="1229"/>
      <c r="F1936" s="732"/>
      <c r="G1936" s="733"/>
      <c r="H1936" s="732"/>
      <c r="I1936" s="732"/>
      <c r="J1936" s="1230"/>
      <c r="K1936" s="733"/>
      <c r="L1936" s="732"/>
      <c r="M1936" s="732"/>
      <c r="N1936" s="732"/>
    </row>
    <row r="1937" spans="1:14" ht="15">
      <c r="A1937" s="705"/>
      <c r="B1937" s="705"/>
      <c r="C1937" s="1227">
        <v>42322</v>
      </c>
      <c r="D1937" s="703"/>
      <c r="E1937" s="1229"/>
      <c r="F1937" s="732"/>
      <c r="G1937" s="733"/>
      <c r="H1937" s="732"/>
      <c r="I1937" s="732"/>
      <c r="J1937" s="1230"/>
      <c r="K1937" s="733"/>
      <c r="L1937" s="732"/>
      <c r="M1937" s="732"/>
      <c r="N1937" s="732"/>
    </row>
    <row r="1938" spans="1:14" ht="15">
      <c r="A1938" s="705"/>
      <c r="B1938" s="705"/>
      <c r="C1938" s="1227">
        <v>42323</v>
      </c>
      <c r="D1938" s="703"/>
      <c r="E1938" s="1229"/>
      <c r="F1938" s="732"/>
      <c r="G1938" s="733"/>
      <c r="H1938" s="732"/>
      <c r="I1938" s="732"/>
      <c r="J1938" s="1230"/>
      <c r="K1938" s="733"/>
      <c r="L1938" s="732"/>
      <c r="M1938" s="732"/>
      <c r="N1938" s="732"/>
    </row>
    <row r="1939" spans="1:14" ht="15">
      <c r="A1939" s="705"/>
      <c r="B1939" s="705"/>
      <c r="C1939" s="1227">
        <v>42324</v>
      </c>
      <c r="D1939" s="703"/>
      <c r="E1939" s="1229"/>
      <c r="F1939" s="732"/>
      <c r="G1939" s="733"/>
      <c r="H1939" s="732"/>
      <c r="I1939" s="732"/>
      <c r="J1939" s="1230"/>
      <c r="K1939" s="733"/>
      <c r="L1939" s="732"/>
      <c r="M1939" s="732"/>
      <c r="N1939" s="732"/>
    </row>
    <row r="1940" spans="1:14" ht="15">
      <c r="A1940" s="705"/>
      <c r="B1940" s="705"/>
      <c r="C1940" s="1227">
        <v>42325</v>
      </c>
      <c r="D1940" s="703"/>
      <c r="E1940" s="1229"/>
      <c r="F1940" s="732"/>
      <c r="G1940" s="733"/>
      <c r="H1940" s="732"/>
      <c r="I1940" s="732"/>
      <c r="J1940" s="1230"/>
      <c r="K1940" s="733"/>
      <c r="L1940" s="732"/>
      <c r="M1940" s="732"/>
      <c r="N1940" s="732"/>
    </row>
    <row r="1941" spans="1:14" ht="15">
      <c r="A1941" s="705"/>
      <c r="B1941" s="705"/>
      <c r="C1941" s="1227">
        <v>42326</v>
      </c>
      <c r="D1941" s="703"/>
      <c r="E1941" s="1229"/>
      <c r="F1941" s="732"/>
      <c r="G1941" s="733"/>
      <c r="H1941" s="732"/>
      <c r="I1941" s="732"/>
      <c r="J1941" s="1230"/>
      <c r="K1941" s="733"/>
      <c r="L1941" s="732"/>
      <c r="M1941" s="732"/>
      <c r="N1941" s="732"/>
    </row>
    <row r="1942" spans="1:14" ht="15">
      <c r="A1942" s="705"/>
      <c r="B1942" s="705"/>
      <c r="C1942" s="1227">
        <v>42327</v>
      </c>
      <c r="D1942" s="703"/>
      <c r="E1942" s="1229"/>
      <c r="F1942" s="732"/>
      <c r="G1942" s="733"/>
      <c r="H1942" s="732"/>
      <c r="I1942" s="732"/>
      <c r="J1942" s="1230"/>
      <c r="K1942" s="733"/>
      <c r="L1942" s="732"/>
      <c r="M1942" s="732"/>
      <c r="N1942" s="732"/>
    </row>
    <row r="1943" spans="1:14" ht="15">
      <c r="A1943" s="705"/>
      <c r="B1943" s="705"/>
      <c r="C1943" s="1227">
        <v>42328</v>
      </c>
      <c r="D1943" s="703"/>
      <c r="E1943" s="1229"/>
      <c r="F1943" s="732"/>
      <c r="G1943" s="733"/>
      <c r="H1943" s="732"/>
      <c r="I1943" s="732"/>
      <c r="J1943" s="1230"/>
      <c r="K1943" s="733"/>
      <c r="L1943" s="732"/>
      <c r="M1943" s="732"/>
      <c r="N1943" s="732"/>
    </row>
    <row r="1944" spans="1:14" ht="15">
      <c r="A1944" s="705"/>
      <c r="B1944" s="705"/>
      <c r="C1944" s="1227">
        <v>42329</v>
      </c>
      <c r="D1944" s="703"/>
      <c r="E1944" s="1229"/>
      <c r="F1944" s="732"/>
      <c r="G1944" s="733"/>
      <c r="H1944" s="732"/>
      <c r="I1944" s="732"/>
      <c r="J1944" s="1230"/>
      <c r="K1944" s="733"/>
      <c r="L1944" s="732"/>
      <c r="M1944" s="732"/>
      <c r="N1944" s="732"/>
    </row>
    <row r="1945" spans="1:14" ht="15">
      <c r="A1945" s="705"/>
      <c r="B1945" s="705"/>
      <c r="C1945" s="1227">
        <v>42330</v>
      </c>
      <c r="D1945" s="703"/>
      <c r="E1945" s="1229"/>
      <c r="F1945" s="732"/>
      <c r="G1945" s="733"/>
      <c r="H1945" s="732"/>
      <c r="I1945" s="732"/>
      <c r="J1945" s="1230"/>
      <c r="K1945" s="733"/>
      <c r="L1945" s="732"/>
      <c r="M1945" s="732"/>
      <c r="N1945" s="732"/>
    </row>
    <row r="1946" spans="1:14" ht="15">
      <c r="A1946" s="705"/>
      <c r="B1946" s="705"/>
      <c r="C1946" s="1227">
        <v>42331</v>
      </c>
      <c r="D1946" s="703"/>
      <c r="E1946" s="1229"/>
      <c r="F1946" s="732"/>
      <c r="G1946" s="733"/>
      <c r="H1946" s="732"/>
      <c r="I1946" s="732"/>
      <c r="J1946" s="1230"/>
      <c r="K1946" s="733"/>
      <c r="L1946" s="732"/>
      <c r="M1946" s="732"/>
      <c r="N1946" s="732"/>
    </row>
    <row r="1947" spans="1:14" ht="15">
      <c r="A1947" s="705"/>
      <c r="B1947" s="705"/>
      <c r="C1947" s="1227">
        <v>42332</v>
      </c>
      <c r="D1947" s="703"/>
      <c r="E1947" s="1229"/>
      <c r="F1947" s="732"/>
      <c r="G1947" s="733"/>
      <c r="H1947" s="732"/>
      <c r="I1947" s="732"/>
      <c r="J1947" s="1230"/>
      <c r="K1947" s="733"/>
      <c r="L1947" s="732"/>
      <c r="M1947" s="732"/>
      <c r="N1947" s="732"/>
    </row>
    <row r="1948" spans="1:14" ht="15">
      <c r="A1948" s="705"/>
      <c r="B1948" s="705"/>
      <c r="C1948" s="1227">
        <v>42333</v>
      </c>
      <c r="D1948" s="703"/>
      <c r="E1948" s="1229"/>
      <c r="F1948" s="732"/>
      <c r="G1948" s="733"/>
      <c r="H1948" s="732"/>
      <c r="I1948" s="732"/>
      <c r="J1948" s="1230"/>
      <c r="K1948" s="733"/>
      <c r="L1948" s="732"/>
      <c r="M1948" s="732"/>
      <c r="N1948" s="732"/>
    </row>
    <row r="1949" spans="1:14" ht="15">
      <c r="A1949" s="705"/>
      <c r="B1949" s="705"/>
      <c r="C1949" s="1227">
        <v>42334</v>
      </c>
      <c r="D1949" s="703"/>
      <c r="E1949" s="1229"/>
      <c r="F1949" s="732"/>
      <c r="G1949" s="733"/>
      <c r="H1949" s="732"/>
      <c r="I1949" s="732"/>
      <c r="J1949" s="1230"/>
      <c r="K1949" s="733"/>
      <c r="L1949" s="732"/>
      <c r="M1949" s="732"/>
      <c r="N1949" s="732"/>
    </row>
    <row r="1950" spans="1:14" ht="15">
      <c r="A1950" s="705"/>
      <c r="B1950" s="705"/>
      <c r="C1950" s="1227">
        <v>42335</v>
      </c>
      <c r="D1950" s="703"/>
      <c r="E1950" s="1229"/>
      <c r="F1950" s="732"/>
      <c r="G1950" s="733"/>
      <c r="H1950" s="732"/>
      <c r="I1950" s="732"/>
      <c r="J1950" s="1230"/>
      <c r="K1950" s="733"/>
      <c r="L1950" s="732"/>
      <c r="M1950" s="732"/>
      <c r="N1950" s="732"/>
    </row>
    <row r="1951" spans="1:14" ht="15">
      <c r="A1951" s="705"/>
      <c r="B1951" s="705"/>
      <c r="C1951" s="1227">
        <v>42336</v>
      </c>
      <c r="D1951" s="703"/>
      <c r="E1951" s="1229"/>
      <c r="F1951" s="732"/>
      <c r="G1951" s="733"/>
      <c r="H1951" s="732"/>
      <c r="I1951" s="732"/>
      <c r="J1951" s="1230"/>
      <c r="K1951" s="733"/>
      <c r="L1951" s="732"/>
      <c r="M1951" s="732"/>
      <c r="N1951" s="732"/>
    </row>
    <row r="1952" spans="1:14" ht="15">
      <c r="A1952" s="705"/>
      <c r="B1952" s="705"/>
      <c r="C1952" s="1227">
        <v>42337</v>
      </c>
      <c r="D1952" s="703"/>
      <c r="E1952" s="1229"/>
      <c r="F1952" s="732"/>
      <c r="G1952" s="733"/>
      <c r="H1952" s="732"/>
      <c r="I1952" s="732"/>
      <c r="J1952" s="1230"/>
      <c r="K1952" s="733"/>
      <c r="L1952" s="732"/>
      <c r="M1952" s="732"/>
      <c r="N1952" s="732"/>
    </row>
    <row r="1953" spans="1:14" ht="15">
      <c r="A1953" s="705"/>
      <c r="B1953" s="705"/>
      <c r="C1953" s="1227">
        <v>42338</v>
      </c>
      <c r="D1953" s="703"/>
      <c r="E1953" s="1229"/>
      <c r="F1953" s="732"/>
      <c r="G1953" s="733"/>
      <c r="H1953" s="732"/>
      <c r="I1953" s="732"/>
      <c r="J1953" s="1230"/>
      <c r="K1953" s="733"/>
      <c r="L1953" s="732"/>
      <c r="M1953" s="732"/>
      <c r="N1953" s="732"/>
    </row>
    <row r="1954" spans="1:14" ht="15">
      <c r="A1954" s="705"/>
      <c r="B1954" s="705"/>
      <c r="C1954" s="1227">
        <v>42339</v>
      </c>
      <c r="D1954" s="703"/>
      <c r="E1954" s="1229"/>
      <c r="F1954" s="732"/>
      <c r="G1954" s="733"/>
      <c r="H1954" s="732"/>
      <c r="I1954" s="732"/>
      <c r="J1954" s="1230"/>
      <c r="K1954" s="733"/>
      <c r="L1954" s="732"/>
      <c r="M1954" s="732"/>
      <c r="N1954" s="732"/>
    </row>
    <row r="1955" spans="1:14" ht="15">
      <c r="A1955" s="705"/>
      <c r="B1955" s="705"/>
      <c r="C1955" s="1227">
        <v>42340</v>
      </c>
      <c r="D1955" s="703"/>
      <c r="E1955" s="1229"/>
      <c r="F1955" s="732"/>
      <c r="G1955" s="733"/>
      <c r="H1955" s="732"/>
      <c r="I1955" s="732"/>
      <c r="J1955" s="1230"/>
      <c r="K1955" s="733"/>
      <c r="L1955" s="732"/>
      <c r="M1955" s="732"/>
      <c r="N1955" s="732"/>
    </row>
    <row r="1956" spans="1:14" ht="15">
      <c r="A1956" s="705"/>
      <c r="B1956" s="705"/>
      <c r="C1956" s="1227">
        <v>42341</v>
      </c>
      <c r="D1956" s="703"/>
      <c r="E1956" s="1229"/>
      <c r="F1956" s="732"/>
      <c r="G1956" s="733"/>
      <c r="H1956" s="732"/>
      <c r="I1956" s="732"/>
      <c r="J1956" s="1230"/>
      <c r="K1956" s="733"/>
      <c r="L1956" s="732"/>
      <c r="M1956" s="732"/>
      <c r="N1956" s="732"/>
    </row>
    <row r="1957" spans="1:14" ht="15">
      <c r="A1957" s="705"/>
      <c r="B1957" s="705"/>
      <c r="C1957" s="1227">
        <v>42342</v>
      </c>
      <c r="D1957" s="703"/>
      <c r="E1957" s="1229"/>
      <c r="F1957" s="732"/>
      <c r="G1957" s="733"/>
      <c r="H1957" s="732"/>
      <c r="I1957" s="732"/>
      <c r="J1957" s="1230"/>
      <c r="K1957" s="733"/>
      <c r="L1957" s="732"/>
      <c r="M1957" s="732"/>
      <c r="N1957" s="732"/>
    </row>
    <row r="1958" spans="1:14" ht="15">
      <c r="A1958" s="705"/>
      <c r="B1958" s="705"/>
      <c r="C1958" s="1227">
        <v>42343</v>
      </c>
      <c r="D1958" s="703"/>
      <c r="E1958" s="1229"/>
      <c r="F1958" s="732"/>
      <c r="G1958" s="733"/>
      <c r="H1958" s="732"/>
      <c r="I1958" s="732"/>
      <c r="J1958" s="1230"/>
      <c r="K1958" s="733"/>
      <c r="L1958" s="732"/>
      <c r="M1958" s="732"/>
      <c r="N1958" s="732"/>
    </row>
    <row r="1959" spans="1:14" ht="15">
      <c r="A1959" s="705"/>
      <c r="B1959" s="705"/>
      <c r="C1959" s="1227">
        <v>42344</v>
      </c>
      <c r="D1959" s="703"/>
      <c r="E1959" s="1229"/>
      <c r="F1959" s="732"/>
      <c r="G1959" s="733"/>
      <c r="H1959" s="732"/>
      <c r="I1959" s="732"/>
      <c r="J1959" s="1230"/>
      <c r="K1959" s="733"/>
      <c r="L1959" s="732"/>
      <c r="M1959" s="732"/>
      <c r="N1959" s="732"/>
    </row>
    <row r="1960" spans="1:14" ht="15">
      <c r="A1960" s="705"/>
      <c r="B1960" s="705"/>
      <c r="C1960" s="1227">
        <v>42345</v>
      </c>
      <c r="D1960" s="703"/>
      <c r="E1960" s="1229"/>
      <c r="F1960" s="732"/>
      <c r="G1960" s="733"/>
      <c r="H1960" s="732"/>
      <c r="I1960" s="732"/>
      <c r="J1960" s="1230"/>
      <c r="K1960" s="733"/>
      <c r="L1960" s="732"/>
      <c r="M1960" s="732"/>
      <c r="N1960" s="732"/>
    </row>
    <row r="1961" spans="1:14" ht="15">
      <c r="A1961" s="705"/>
      <c r="B1961" s="705"/>
      <c r="C1961" s="1227">
        <v>42346</v>
      </c>
      <c r="D1961" s="703"/>
      <c r="E1961" s="1229"/>
      <c r="F1961" s="732"/>
      <c r="G1961" s="733"/>
      <c r="H1961" s="732"/>
      <c r="I1961" s="732"/>
      <c r="J1961" s="1230"/>
      <c r="K1961" s="733"/>
      <c r="L1961" s="732"/>
      <c r="M1961" s="732"/>
      <c r="N1961" s="732"/>
    </row>
    <row r="1962" spans="1:14" ht="15">
      <c r="A1962" s="705"/>
      <c r="B1962" s="705"/>
      <c r="C1962" s="1227">
        <v>42347</v>
      </c>
      <c r="D1962" s="703"/>
      <c r="E1962" s="1229"/>
      <c r="F1962" s="732"/>
      <c r="G1962" s="733"/>
      <c r="H1962" s="732"/>
      <c r="I1962" s="732"/>
      <c r="J1962" s="1230"/>
      <c r="K1962" s="733"/>
      <c r="L1962" s="732"/>
      <c r="M1962" s="732"/>
      <c r="N1962" s="732"/>
    </row>
    <row r="1963" spans="1:14" ht="15">
      <c r="A1963" s="705"/>
      <c r="B1963" s="705"/>
      <c r="C1963" s="1227">
        <v>42348</v>
      </c>
      <c r="D1963" s="703"/>
      <c r="E1963" s="1229"/>
      <c r="F1963" s="732"/>
      <c r="G1963" s="733"/>
      <c r="H1963" s="732"/>
      <c r="I1963" s="732"/>
      <c r="J1963" s="1230"/>
      <c r="K1963" s="733"/>
      <c r="L1963" s="732"/>
      <c r="M1963" s="732"/>
      <c r="N1963" s="732"/>
    </row>
    <row r="1964" spans="1:14" ht="15">
      <c r="A1964" s="705"/>
      <c r="B1964" s="705"/>
      <c r="C1964" s="1227">
        <v>42349</v>
      </c>
      <c r="D1964" s="703"/>
      <c r="E1964" s="1229"/>
      <c r="F1964" s="732"/>
      <c r="G1964" s="733"/>
      <c r="H1964" s="732"/>
      <c r="I1964" s="732"/>
      <c r="J1964" s="1230"/>
      <c r="K1964" s="733"/>
      <c r="L1964" s="732"/>
      <c r="M1964" s="732"/>
      <c r="N1964" s="732"/>
    </row>
    <row r="1965" spans="1:14" ht="15">
      <c r="A1965" s="705"/>
      <c r="B1965" s="705"/>
      <c r="C1965" s="1227">
        <v>42350</v>
      </c>
      <c r="D1965" s="703"/>
      <c r="E1965" s="1229"/>
      <c r="F1965" s="732"/>
      <c r="G1965" s="733"/>
      <c r="H1965" s="732"/>
      <c r="I1965" s="732"/>
      <c r="J1965" s="1230"/>
      <c r="K1965" s="733"/>
      <c r="L1965" s="732"/>
      <c r="M1965" s="732"/>
      <c r="N1965" s="732"/>
    </row>
    <row r="1966" spans="1:14" ht="15">
      <c r="A1966" s="705"/>
      <c r="B1966" s="705"/>
      <c r="C1966" s="1227">
        <v>42351</v>
      </c>
      <c r="D1966" s="703"/>
      <c r="E1966" s="1229"/>
      <c r="F1966" s="732"/>
      <c r="G1966" s="733"/>
      <c r="H1966" s="732"/>
      <c r="I1966" s="732"/>
      <c r="J1966" s="1230"/>
      <c r="K1966" s="733"/>
      <c r="L1966" s="732"/>
      <c r="M1966" s="732"/>
      <c r="N1966" s="732"/>
    </row>
    <row r="1967" spans="1:14" ht="15">
      <c r="A1967" s="705"/>
      <c r="B1967" s="705"/>
      <c r="C1967" s="1227">
        <v>42352</v>
      </c>
      <c r="D1967" s="703"/>
      <c r="E1967" s="1229"/>
      <c r="F1967" s="732"/>
      <c r="G1967" s="733"/>
      <c r="H1967" s="732"/>
      <c r="I1967" s="732"/>
      <c r="J1967" s="1230"/>
      <c r="K1967" s="733"/>
      <c r="L1967" s="732"/>
      <c r="M1967" s="732"/>
      <c r="N1967" s="732"/>
    </row>
    <row r="1968" spans="1:14" ht="15">
      <c r="A1968" s="705"/>
      <c r="B1968" s="705"/>
      <c r="C1968" s="1227">
        <v>42353</v>
      </c>
      <c r="D1968" s="703"/>
      <c r="E1968" s="1229"/>
      <c r="F1968" s="732"/>
      <c r="G1968" s="733"/>
      <c r="H1968" s="732"/>
      <c r="I1968" s="732"/>
      <c r="J1968" s="1230"/>
      <c r="K1968" s="733"/>
      <c r="L1968" s="732"/>
      <c r="M1968" s="732"/>
      <c r="N1968" s="732"/>
    </row>
    <row r="1969" spans="1:14" ht="15">
      <c r="A1969" s="705"/>
      <c r="B1969" s="705"/>
      <c r="C1969" s="1227">
        <v>42354</v>
      </c>
      <c r="D1969" s="703"/>
      <c r="E1969" s="1229"/>
      <c r="F1969" s="732"/>
      <c r="G1969" s="733"/>
      <c r="H1969" s="732"/>
      <c r="I1969" s="732"/>
      <c r="J1969" s="1230"/>
      <c r="K1969" s="733"/>
      <c r="L1969" s="732"/>
      <c r="M1969" s="732"/>
      <c r="N1969" s="732"/>
    </row>
    <row r="1970" spans="1:14" ht="15">
      <c r="A1970" s="705"/>
      <c r="B1970" s="705"/>
      <c r="C1970" s="1227">
        <v>42355</v>
      </c>
      <c r="D1970" s="703"/>
      <c r="E1970" s="1229"/>
      <c r="F1970" s="732"/>
      <c r="G1970" s="733"/>
      <c r="H1970" s="732"/>
      <c r="I1970" s="732"/>
      <c r="J1970" s="1230"/>
      <c r="K1970" s="733"/>
      <c r="L1970" s="732"/>
      <c r="M1970" s="732"/>
      <c r="N1970" s="732"/>
    </row>
    <row r="1971" spans="1:14" ht="15">
      <c r="A1971" s="705"/>
      <c r="B1971" s="705"/>
      <c r="C1971" s="1227">
        <v>42356</v>
      </c>
      <c r="D1971" s="703"/>
      <c r="E1971" s="1229"/>
      <c r="F1971" s="732"/>
      <c r="G1971" s="733"/>
      <c r="H1971" s="732"/>
      <c r="I1971" s="732"/>
      <c r="J1971" s="1230"/>
      <c r="K1971" s="733"/>
      <c r="L1971" s="732"/>
      <c r="M1971" s="732"/>
      <c r="N1971" s="732"/>
    </row>
    <row r="1972" spans="1:14" ht="15">
      <c r="A1972" s="705"/>
      <c r="B1972" s="705"/>
      <c r="C1972" s="1227">
        <v>42357</v>
      </c>
      <c r="D1972" s="703"/>
      <c r="E1972" s="1229"/>
      <c r="F1972" s="732"/>
      <c r="G1972" s="733"/>
      <c r="H1972" s="732"/>
      <c r="I1972" s="732"/>
      <c r="J1972" s="1230"/>
      <c r="K1972" s="733"/>
      <c r="L1972" s="732"/>
      <c r="M1972" s="732"/>
      <c r="N1972" s="732"/>
    </row>
    <row r="1973" spans="1:14" ht="15">
      <c r="A1973" s="705"/>
      <c r="B1973" s="705"/>
      <c r="C1973" s="1227">
        <v>42358</v>
      </c>
      <c r="D1973" s="703"/>
      <c r="E1973" s="1229"/>
      <c r="F1973" s="732"/>
      <c r="G1973" s="733"/>
      <c r="H1973" s="732"/>
      <c r="I1973" s="732"/>
      <c r="J1973" s="1230"/>
      <c r="K1973" s="733"/>
      <c r="L1973" s="732"/>
      <c r="M1973" s="732"/>
      <c r="N1973" s="732"/>
    </row>
    <row r="1974" spans="1:14" ht="15">
      <c r="A1974" s="705"/>
      <c r="B1974" s="705"/>
      <c r="C1974" s="1227">
        <v>42359</v>
      </c>
      <c r="D1974" s="703"/>
      <c r="E1974" s="1229"/>
      <c r="F1974" s="732"/>
      <c r="G1974" s="733"/>
      <c r="H1974" s="732"/>
      <c r="I1974" s="732"/>
      <c r="J1974" s="1230"/>
      <c r="K1974" s="733"/>
      <c r="L1974" s="732"/>
      <c r="M1974" s="732"/>
      <c r="N1974" s="732"/>
    </row>
    <row r="1975" spans="1:14" ht="15">
      <c r="A1975" s="705"/>
      <c r="B1975" s="705"/>
      <c r="C1975" s="1227">
        <v>42360</v>
      </c>
      <c r="D1975" s="703"/>
      <c r="E1975" s="1229"/>
      <c r="F1975" s="732"/>
      <c r="G1975" s="733"/>
      <c r="H1975" s="732"/>
      <c r="I1975" s="732"/>
      <c r="J1975" s="1230"/>
      <c r="K1975" s="733"/>
      <c r="L1975" s="732"/>
      <c r="M1975" s="732"/>
      <c r="N1975" s="732"/>
    </row>
    <row r="1976" spans="1:14" ht="15">
      <c r="A1976" s="705"/>
      <c r="B1976" s="705"/>
      <c r="C1976" s="1227">
        <v>42361</v>
      </c>
      <c r="D1976" s="703"/>
      <c r="E1976" s="1229"/>
      <c r="F1976" s="732"/>
      <c r="G1976" s="733"/>
      <c r="H1976" s="732"/>
      <c r="I1976" s="732"/>
      <c r="J1976" s="1230"/>
      <c r="K1976" s="733"/>
      <c r="L1976" s="732"/>
      <c r="M1976" s="732"/>
      <c r="N1976" s="732"/>
    </row>
    <row r="1977" spans="1:14" ht="15">
      <c r="A1977" s="705"/>
      <c r="B1977" s="705"/>
      <c r="C1977" s="1227">
        <v>42362</v>
      </c>
      <c r="D1977" s="703"/>
      <c r="E1977" s="1229"/>
      <c r="F1977" s="732"/>
      <c r="G1977" s="733"/>
      <c r="H1977" s="732"/>
      <c r="I1977" s="732"/>
      <c r="J1977" s="1230"/>
      <c r="K1977" s="733"/>
      <c r="L1977" s="732"/>
      <c r="M1977" s="732"/>
      <c r="N1977" s="732"/>
    </row>
    <row r="1978" spans="1:14" ht="15">
      <c r="A1978" s="705"/>
      <c r="B1978" s="705"/>
      <c r="C1978" s="1227">
        <v>42363</v>
      </c>
      <c r="D1978" s="703"/>
      <c r="E1978" s="1229"/>
      <c r="F1978" s="732"/>
      <c r="G1978" s="733"/>
      <c r="H1978" s="732"/>
      <c r="I1978" s="732"/>
      <c r="J1978" s="1230"/>
      <c r="K1978" s="733"/>
      <c r="L1978" s="732"/>
      <c r="M1978" s="732"/>
      <c r="N1978" s="732"/>
    </row>
    <row r="1979" spans="1:14" ht="15">
      <c r="A1979" s="705"/>
      <c r="B1979" s="705"/>
      <c r="C1979" s="1227">
        <v>42364</v>
      </c>
      <c r="D1979" s="703"/>
      <c r="E1979" s="1229"/>
      <c r="F1979" s="732"/>
      <c r="G1979" s="733"/>
      <c r="H1979" s="732"/>
      <c r="I1979" s="732"/>
      <c r="J1979" s="1230"/>
      <c r="K1979" s="733"/>
      <c r="L1979" s="732"/>
      <c r="M1979" s="732"/>
      <c r="N1979" s="732"/>
    </row>
    <row r="1980" spans="1:14" ht="15">
      <c r="A1980" s="705"/>
      <c r="B1980" s="705"/>
      <c r="C1980" s="1227">
        <v>42365</v>
      </c>
      <c r="D1980" s="703"/>
      <c r="E1980" s="1229"/>
      <c r="F1980" s="732"/>
      <c r="G1980" s="733"/>
      <c r="H1980" s="732"/>
      <c r="I1980" s="732"/>
      <c r="J1980" s="1230"/>
      <c r="K1980" s="733"/>
      <c r="L1980" s="732"/>
      <c r="M1980" s="732"/>
      <c r="N1980" s="732"/>
    </row>
    <row r="1981" spans="1:14" ht="15">
      <c r="A1981" s="705"/>
      <c r="B1981" s="705"/>
      <c r="C1981" s="1227">
        <v>42366</v>
      </c>
      <c r="D1981" s="703"/>
      <c r="E1981" s="1229"/>
      <c r="F1981" s="732"/>
      <c r="G1981" s="733"/>
      <c r="H1981" s="732"/>
      <c r="I1981" s="732"/>
      <c r="J1981" s="1230"/>
      <c r="K1981" s="733"/>
      <c r="L1981" s="732"/>
      <c r="M1981" s="732"/>
      <c r="N1981" s="732"/>
    </row>
    <row r="1982" spans="1:14" ht="15">
      <c r="A1982" s="705"/>
      <c r="B1982" s="705"/>
      <c r="C1982" s="1227">
        <v>42367</v>
      </c>
      <c r="D1982" s="703"/>
      <c r="E1982" s="1229"/>
      <c r="F1982" s="732"/>
      <c r="G1982" s="733"/>
      <c r="H1982" s="732"/>
      <c r="I1982" s="732"/>
      <c r="J1982" s="1230"/>
      <c r="K1982" s="733"/>
      <c r="L1982" s="732"/>
      <c r="M1982" s="732"/>
      <c r="N1982" s="732"/>
    </row>
    <row r="1983" spans="1:14" ht="15">
      <c r="A1983" s="705"/>
      <c r="B1983" s="705"/>
      <c r="C1983" s="1227">
        <v>42368</v>
      </c>
      <c r="D1983" s="703"/>
      <c r="E1983" s="1229"/>
      <c r="F1983" s="732"/>
      <c r="G1983" s="733"/>
      <c r="H1983" s="732"/>
      <c r="I1983" s="732"/>
      <c r="J1983" s="1230"/>
      <c r="K1983" s="733"/>
      <c r="L1983" s="732"/>
      <c r="M1983" s="732"/>
      <c r="N1983" s="732"/>
    </row>
    <row r="1984" spans="1:14" ht="15">
      <c r="A1984" s="705"/>
      <c r="B1984" s="705"/>
      <c r="C1984" s="1227">
        <v>42369</v>
      </c>
      <c r="D1984" s="703"/>
      <c r="E1984" s="1229"/>
      <c r="F1984" s="732"/>
      <c r="G1984" s="733"/>
      <c r="H1984" s="732"/>
      <c r="I1984" s="732"/>
      <c r="J1984" s="1230"/>
      <c r="K1984" s="733"/>
      <c r="L1984" s="732"/>
      <c r="M1984" s="732"/>
      <c r="N1984" s="732"/>
    </row>
    <row r="1985" spans="1:14" ht="15">
      <c r="A1985" s="705"/>
      <c r="B1985" s="705"/>
      <c r="C1985" s="716"/>
      <c r="D1985" s="703"/>
      <c r="E1985" s="1229"/>
      <c r="F1985" s="732"/>
      <c r="G1985" s="733"/>
      <c r="H1985" s="732"/>
      <c r="I1985" s="732"/>
      <c r="J1985" s="1230"/>
      <c r="K1985" s="733"/>
      <c r="L1985" s="732"/>
      <c r="M1985" s="732"/>
      <c r="N1985" s="732"/>
    </row>
    <row r="1986" spans="1:14" ht="15">
      <c r="A1986" s="705"/>
      <c r="B1986" s="715" t="s">
        <v>609</v>
      </c>
      <c r="C1986" s="722"/>
      <c r="D1986" s="717"/>
      <c r="E1986" s="1229"/>
      <c r="F1986" s="732"/>
      <c r="G1986" s="733"/>
      <c r="H1986" s="732"/>
      <c r="I1986" s="732"/>
      <c r="J1986" s="1231"/>
      <c r="K1986" s="733"/>
      <c r="L1986" s="732"/>
      <c r="M1986" s="732"/>
      <c r="N1986" s="732"/>
    </row>
    <row r="1987" spans="1:14" ht="15">
      <c r="A1987" s="705"/>
      <c r="B1987" s="705"/>
      <c r="C1987" s="741" t="s">
        <v>962</v>
      </c>
      <c r="D1987" s="717"/>
      <c r="E1987" s="1229"/>
      <c r="F1987" s="732"/>
      <c r="G1987" s="733"/>
      <c r="H1987" s="732"/>
      <c r="I1987" s="732"/>
      <c r="J1987" s="717"/>
      <c r="K1987" s="733"/>
      <c r="L1987" s="732"/>
      <c r="M1987" s="732"/>
      <c r="N1987" s="732"/>
    </row>
    <row r="1988" spans="1:14" ht="15">
      <c r="A1988" s="705"/>
      <c r="B1988" s="705"/>
      <c r="C1988" s="742" t="s">
        <v>963</v>
      </c>
      <c r="D1988" s="717"/>
      <c r="E1988" s="1229"/>
      <c r="F1988" s="732"/>
      <c r="G1988" s="733"/>
      <c r="H1988" s="732"/>
      <c r="I1988" s="732"/>
      <c r="J1988" s="717"/>
      <c r="K1988" s="733"/>
      <c r="L1988" s="732"/>
      <c r="M1988" s="732"/>
      <c r="N1988" s="732"/>
    </row>
    <row r="1989" spans="1:14" ht="15">
      <c r="A1989" s="705"/>
      <c r="B1989" s="705"/>
      <c r="C1989" s="742" t="s">
        <v>964</v>
      </c>
      <c r="D1989" s="717"/>
      <c r="E1989" s="1229"/>
      <c r="F1989" s="732"/>
      <c r="G1989" s="733"/>
      <c r="H1989" s="732"/>
      <c r="I1989" s="732"/>
      <c r="J1989" s="717"/>
      <c r="K1989" s="733"/>
      <c r="L1989" s="732"/>
      <c r="M1989" s="732"/>
      <c r="N1989" s="732"/>
    </row>
    <row r="1990" spans="1:14" ht="15">
      <c r="A1990" s="705"/>
      <c r="B1990" s="705"/>
      <c r="C1990" s="742" t="s">
        <v>965</v>
      </c>
      <c r="D1990" s="717"/>
      <c r="E1990" s="1229"/>
      <c r="F1990" s="732"/>
      <c r="G1990" s="733"/>
      <c r="H1990" s="732"/>
      <c r="I1990" s="732"/>
      <c r="J1990" s="717"/>
      <c r="K1990" s="733"/>
      <c r="L1990" s="732"/>
      <c r="M1990" s="732"/>
      <c r="N1990" s="732"/>
    </row>
    <row r="1991" spans="1:14" ht="15">
      <c r="A1991" s="705"/>
      <c r="B1991" s="705"/>
      <c r="C1991" s="742" t="s">
        <v>966</v>
      </c>
      <c r="D1991" s="717"/>
      <c r="E1991" s="1229"/>
      <c r="F1991" s="732"/>
      <c r="G1991" s="733"/>
      <c r="H1991" s="732"/>
      <c r="I1991" s="732"/>
      <c r="J1991" s="717"/>
      <c r="K1991" s="733"/>
      <c r="L1991" s="732"/>
      <c r="M1991" s="732"/>
      <c r="N1991" s="732"/>
    </row>
    <row r="1992" spans="1:14" ht="15">
      <c r="A1992" s="705"/>
      <c r="B1992" s="705"/>
      <c r="C1992" s="742" t="s">
        <v>967</v>
      </c>
      <c r="D1992" s="717"/>
      <c r="E1992" s="1229"/>
      <c r="F1992" s="732"/>
      <c r="G1992" s="733"/>
      <c r="H1992" s="732"/>
      <c r="I1992" s="732"/>
      <c r="J1992" s="717"/>
      <c r="K1992" s="733"/>
      <c r="L1992" s="732"/>
      <c r="M1992" s="732"/>
      <c r="N1992" s="732"/>
    </row>
    <row r="1993" spans="1:14" ht="15">
      <c r="A1993" s="705"/>
      <c r="B1993" s="705"/>
      <c r="C1993" s="742" t="s">
        <v>968</v>
      </c>
      <c r="D1993" s="1231"/>
      <c r="E1993" s="1229"/>
      <c r="F1993" s="732"/>
      <c r="G1993" s="733"/>
      <c r="H1993" s="732"/>
      <c r="I1993" s="732"/>
      <c r="J1993" s="1231"/>
      <c r="K1993" s="733"/>
      <c r="L1993" s="732"/>
      <c r="M1993" s="732"/>
      <c r="N1993" s="732"/>
    </row>
    <row r="1994" spans="1:14" ht="15">
      <c r="A1994" s="705"/>
      <c r="B1994" s="705"/>
      <c r="C1994" s="742" t="s">
        <v>969</v>
      </c>
      <c r="D1994" s="1231"/>
      <c r="E1994" s="1229"/>
      <c r="F1994" s="732"/>
      <c r="G1994" s="733"/>
      <c r="H1994" s="732"/>
      <c r="I1994" s="732"/>
      <c r="J1994" s="1231"/>
      <c r="K1994" s="733"/>
      <c r="L1994" s="732"/>
      <c r="M1994" s="732"/>
      <c r="N1994" s="732"/>
    </row>
    <row r="1995" spans="1:14" ht="15">
      <c r="A1995" s="705"/>
      <c r="B1995" s="705"/>
      <c r="C1995" s="742" t="s">
        <v>970</v>
      </c>
      <c r="D1995" s="1231"/>
      <c r="E1995" s="1229"/>
      <c r="F1995" s="732"/>
      <c r="G1995" s="733"/>
      <c r="H1995" s="732"/>
      <c r="I1995" s="732"/>
      <c r="J1995" s="1231"/>
      <c r="K1995" s="733"/>
      <c r="L1995" s="732"/>
      <c r="M1995" s="732"/>
      <c r="N1995" s="732"/>
    </row>
    <row r="1996" spans="1:14" ht="15">
      <c r="A1996" s="705"/>
      <c r="B1996" s="705"/>
      <c r="C1996" s="742" t="s">
        <v>971</v>
      </c>
      <c r="D1996" s="1231"/>
      <c r="E1996" s="1229"/>
      <c r="F1996" s="732"/>
      <c r="G1996" s="733"/>
      <c r="H1996" s="732"/>
      <c r="I1996" s="732"/>
      <c r="J1996" s="1231"/>
      <c r="K1996" s="733"/>
      <c r="L1996" s="732"/>
      <c r="M1996" s="732"/>
      <c r="N1996" s="732"/>
    </row>
    <row r="1997" spans="1:14" ht="15">
      <c r="A1997" s="705"/>
      <c r="B1997" s="705"/>
      <c r="C1997" s="741" t="s">
        <v>972</v>
      </c>
      <c r="D1997" s="1231"/>
      <c r="E1997" s="1229"/>
      <c r="F1997" s="732"/>
      <c r="G1997" s="733"/>
      <c r="H1997" s="732"/>
      <c r="I1997" s="732"/>
      <c r="J1997" s="1231"/>
      <c r="K1997" s="733"/>
      <c r="L1997" s="732"/>
      <c r="M1997" s="732"/>
      <c r="N1997" s="732"/>
    </row>
    <row r="1998" spans="1:14" ht="15">
      <c r="A1998" s="705"/>
      <c r="B1998" s="705"/>
      <c r="C1998" s="742" t="s">
        <v>973</v>
      </c>
      <c r="D1998" s="1231"/>
      <c r="E1998" s="1229"/>
      <c r="F1998" s="732"/>
      <c r="G1998" s="733"/>
      <c r="H1998" s="732"/>
      <c r="I1998" s="732"/>
      <c r="J1998" s="1231"/>
      <c r="K1998" s="733"/>
      <c r="L1998" s="732"/>
      <c r="M1998" s="732"/>
      <c r="N1998" s="732"/>
    </row>
    <row r="1999" spans="1:14" ht="15">
      <c r="A1999" s="705"/>
      <c r="B1999" s="705"/>
      <c r="C1999" s="742" t="s">
        <v>974</v>
      </c>
      <c r="D1999" s="1231"/>
      <c r="E1999" s="1229"/>
      <c r="F1999" s="732"/>
      <c r="G1999" s="733"/>
      <c r="H1999" s="732"/>
      <c r="I1999" s="732"/>
      <c r="J1999" s="1231"/>
      <c r="K1999" s="733"/>
      <c r="L1999" s="732"/>
      <c r="M1999" s="732"/>
      <c r="N1999" s="732"/>
    </row>
    <row r="2000" spans="1:14" ht="15">
      <c r="A2000" s="705"/>
      <c r="B2000" s="705"/>
      <c r="C2000" s="742" t="s">
        <v>975</v>
      </c>
      <c r="D2000" s="1231"/>
      <c r="E2000" s="1229"/>
      <c r="F2000" s="732"/>
      <c r="G2000" s="733"/>
      <c r="H2000" s="732"/>
      <c r="I2000" s="732"/>
      <c r="J2000" s="1231"/>
      <c r="K2000" s="733"/>
      <c r="L2000" s="732"/>
      <c r="M2000" s="732"/>
      <c r="N2000" s="732"/>
    </row>
    <row r="2001" spans="1:14" ht="15">
      <c r="A2001" s="705"/>
      <c r="B2001" s="705"/>
      <c r="C2001" s="742" t="s">
        <v>976</v>
      </c>
      <c r="D2001" s="1231"/>
      <c r="E2001" s="1229"/>
      <c r="F2001" s="732"/>
      <c r="G2001" s="733"/>
      <c r="H2001" s="732"/>
      <c r="I2001" s="732"/>
      <c r="J2001" s="1231"/>
      <c r="K2001" s="733"/>
      <c r="L2001" s="732"/>
      <c r="M2001" s="732"/>
      <c r="N2001" s="732"/>
    </row>
    <row r="2002" spans="1:14" ht="15">
      <c r="A2002" s="705"/>
      <c r="B2002" s="705"/>
      <c r="C2002" s="742" t="s">
        <v>977</v>
      </c>
      <c r="D2002" s="1231"/>
      <c r="E2002" s="1229"/>
      <c r="F2002" s="732"/>
      <c r="G2002" s="733"/>
      <c r="H2002" s="732"/>
      <c r="I2002" s="732"/>
      <c r="J2002" s="1231"/>
      <c r="K2002" s="733"/>
      <c r="L2002" s="732"/>
      <c r="M2002" s="732"/>
      <c r="N2002" s="732"/>
    </row>
    <row r="2003" spans="1:14" ht="15">
      <c r="A2003" s="705"/>
      <c r="B2003" s="705"/>
      <c r="C2003" s="742" t="s">
        <v>978</v>
      </c>
      <c r="D2003" s="1231"/>
      <c r="E2003" s="1229"/>
      <c r="F2003" s="732"/>
      <c r="G2003" s="733"/>
      <c r="H2003" s="732"/>
      <c r="I2003" s="732"/>
      <c r="J2003" s="1231"/>
      <c r="K2003" s="733"/>
      <c r="L2003" s="732"/>
      <c r="M2003" s="732"/>
      <c r="N2003" s="732"/>
    </row>
    <row r="2004" spans="1:14" ht="15">
      <c r="A2004" s="705"/>
      <c r="B2004" s="705"/>
      <c r="C2004" s="742" t="s">
        <v>979</v>
      </c>
      <c r="D2004" s="1231"/>
      <c r="E2004" s="1229"/>
      <c r="F2004" s="732"/>
      <c r="G2004" s="733"/>
      <c r="H2004" s="732"/>
      <c r="I2004" s="732"/>
      <c r="J2004" s="1231"/>
      <c r="K2004" s="733"/>
      <c r="L2004" s="732"/>
      <c r="M2004" s="732"/>
      <c r="N2004" s="732"/>
    </row>
    <row r="2005" spans="1:14" ht="15">
      <c r="A2005" s="705"/>
      <c r="B2005" s="705"/>
      <c r="C2005" s="742" t="s">
        <v>980</v>
      </c>
      <c r="D2005" s="1231"/>
      <c r="E2005" s="1229"/>
      <c r="F2005" s="732"/>
      <c r="G2005" s="733"/>
      <c r="H2005" s="732"/>
      <c r="I2005" s="732"/>
      <c r="J2005" s="1231"/>
      <c r="K2005" s="733"/>
      <c r="L2005" s="732"/>
      <c r="M2005" s="732"/>
      <c r="N2005" s="732"/>
    </row>
    <row r="2006" spans="1:14" ht="15">
      <c r="A2006" s="705"/>
      <c r="B2006" s="705"/>
      <c r="C2006" s="742" t="s">
        <v>981</v>
      </c>
      <c r="D2006" s="1231"/>
      <c r="E2006" s="1229"/>
      <c r="F2006" s="732"/>
      <c r="G2006" s="733"/>
      <c r="H2006" s="732"/>
      <c r="I2006" s="732"/>
      <c r="J2006" s="1231"/>
      <c r="K2006" s="733"/>
      <c r="L2006" s="732"/>
      <c r="M2006" s="732"/>
      <c r="N2006" s="732"/>
    </row>
    <row r="2007" spans="1:14" ht="15">
      <c r="A2007" s="705"/>
      <c r="B2007" s="705"/>
      <c r="C2007" s="742" t="s">
        <v>982</v>
      </c>
      <c r="D2007" s="1231"/>
      <c r="E2007" s="1229"/>
      <c r="F2007" s="732"/>
      <c r="G2007" s="733"/>
      <c r="H2007" s="732"/>
      <c r="I2007" s="732"/>
      <c r="J2007" s="1231"/>
      <c r="K2007" s="733"/>
      <c r="L2007" s="732"/>
      <c r="M2007" s="732"/>
      <c r="N2007" s="732"/>
    </row>
    <row r="2008" spans="1:14" ht="15">
      <c r="A2008" s="705"/>
      <c r="B2008" s="715" t="s">
        <v>702</v>
      </c>
      <c r="C2008" s="722"/>
      <c r="D2008" s="717"/>
      <c r="E2008" s="1229"/>
      <c r="F2008" s="732"/>
      <c r="G2008" s="733"/>
      <c r="H2008" s="732"/>
      <c r="I2008" s="732"/>
      <c r="J2008" s="1231"/>
      <c r="K2008" s="733"/>
      <c r="L2008" s="732"/>
      <c r="M2008" s="732"/>
      <c r="N2008" s="732"/>
    </row>
    <row r="2009" spans="1:14" ht="15">
      <c r="A2009" s="705"/>
      <c r="B2009" s="705"/>
      <c r="C2009" s="727" t="s">
        <v>983</v>
      </c>
      <c r="D2009" s="743"/>
      <c r="E2009" s="1229"/>
      <c r="F2009" s="732"/>
      <c r="G2009" s="733"/>
      <c r="H2009" s="732"/>
      <c r="I2009" s="732"/>
      <c r="J2009" s="717"/>
      <c r="K2009" s="733"/>
      <c r="L2009" s="732"/>
      <c r="M2009" s="732"/>
      <c r="N2009" s="732"/>
    </row>
    <row r="2010" spans="1:14" ht="15">
      <c r="A2010" s="705"/>
      <c r="B2010" s="705"/>
      <c r="C2010" s="727" t="s">
        <v>984</v>
      </c>
      <c r="D2010" s="743"/>
      <c r="E2010" s="1229"/>
      <c r="F2010" s="732"/>
      <c r="G2010" s="733"/>
      <c r="H2010" s="732"/>
      <c r="I2010" s="732"/>
      <c r="J2010" s="717"/>
      <c r="K2010" s="733"/>
      <c r="L2010" s="732"/>
      <c r="M2010" s="732"/>
      <c r="N2010" s="732"/>
    </row>
    <row r="2011" spans="1:14" ht="15">
      <c r="A2011" s="705"/>
      <c r="B2011" s="705"/>
      <c r="C2011" s="727" t="s">
        <v>985</v>
      </c>
      <c r="D2011" s="743"/>
      <c r="E2011" s="1229"/>
      <c r="F2011" s="732"/>
      <c r="G2011" s="733"/>
      <c r="H2011" s="732"/>
      <c r="I2011" s="732"/>
      <c r="J2011" s="717"/>
      <c r="K2011" s="733"/>
      <c r="L2011" s="732"/>
      <c r="M2011" s="732"/>
      <c r="N2011" s="732"/>
    </row>
    <row r="2012" spans="1:14" ht="15">
      <c r="A2012" s="705"/>
      <c r="B2012" s="705"/>
      <c r="C2012" s="727" t="s">
        <v>986</v>
      </c>
      <c r="D2012" s="743"/>
      <c r="E2012" s="1229"/>
      <c r="F2012" s="732"/>
      <c r="G2012" s="733"/>
      <c r="H2012" s="732"/>
      <c r="I2012" s="732"/>
      <c r="J2012" s="717"/>
      <c r="K2012" s="733"/>
      <c r="L2012" s="732"/>
      <c r="M2012" s="732"/>
      <c r="N2012" s="732"/>
    </row>
    <row r="2013" spans="1:14" ht="15">
      <c r="A2013" s="705"/>
      <c r="B2013" s="705"/>
      <c r="C2013" s="727" t="s">
        <v>987</v>
      </c>
      <c r="D2013" s="743"/>
      <c r="E2013" s="1229"/>
      <c r="F2013" s="732"/>
      <c r="G2013" s="733"/>
      <c r="H2013" s="732"/>
      <c r="I2013" s="732"/>
      <c r="J2013" s="717"/>
      <c r="K2013" s="733"/>
      <c r="L2013" s="732"/>
      <c r="M2013" s="732"/>
      <c r="N2013" s="732"/>
    </row>
    <row r="2014" spans="1:14" ht="15">
      <c r="A2014" s="705"/>
      <c r="B2014" s="705"/>
      <c r="C2014" s="727" t="s">
        <v>988</v>
      </c>
      <c r="D2014" s="743"/>
      <c r="E2014" s="1229"/>
      <c r="F2014" s="732"/>
      <c r="G2014" s="733"/>
      <c r="H2014" s="732"/>
      <c r="I2014" s="732"/>
      <c r="J2014" s="717"/>
      <c r="K2014" s="733"/>
      <c r="L2014" s="732"/>
      <c r="M2014" s="732"/>
      <c r="N2014" s="732"/>
    </row>
    <row r="2015" spans="1:14" ht="15">
      <c r="A2015" s="705"/>
      <c r="B2015" s="705"/>
      <c r="C2015" s="727" t="s">
        <v>989</v>
      </c>
      <c r="D2015" s="743"/>
      <c r="E2015" s="1229"/>
      <c r="F2015" s="732"/>
      <c r="G2015" s="733"/>
      <c r="H2015" s="732"/>
      <c r="I2015" s="732"/>
      <c r="J2015" s="717"/>
      <c r="K2015" s="733"/>
      <c r="L2015" s="732"/>
      <c r="M2015" s="732"/>
      <c r="N2015" s="732"/>
    </row>
    <row r="2016" spans="1:14" ht="15">
      <c r="A2016" s="705"/>
      <c r="B2016" s="705"/>
      <c r="C2016" s="727" t="s">
        <v>990</v>
      </c>
      <c r="D2016" s="743"/>
      <c r="E2016" s="1229"/>
      <c r="F2016" s="732"/>
      <c r="G2016" s="733"/>
      <c r="H2016" s="732"/>
      <c r="I2016" s="732"/>
      <c r="J2016" s="717"/>
      <c r="K2016" s="733"/>
      <c r="L2016" s="732"/>
      <c r="M2016" s="732"/>
      <c r="N2016" s="732"/>
    </row>
    <row r="2017" spans="1:14" ht="15">
      <c r="A2017" s="705"/>
      <c r="B2017" s="705"/>
      <c r="C2017" s="727" t="s">
        <v>991</v>
      </c>
      <c r="D2017" s="743"/>
      <c r="E2017" s="1229"/>
      <c r="F2017" s="732"/>
      <c r="G2017" s="733"/>
      <c r="H2017" s="732"/>
      <c r="I2017" s="732"/>
      <c r="J2017" s="717"/>
      <c r="K2017" s="733"/>
      <c r="L2017" s="732"/>
      <c r="M2017" s="732"/>
      <c r="N2017" s="732"/>
    </row>
    <row r="2018" spans="1:14" ht="15">
      <c r="A2018" s="705"/>
      <c r="B2018" s="705"/>
      <c r="C2018" s="727" t="s">
        <v>992</v>
      </c>
      <c r="D2018" s="743"/>
      <c r="E2018" s="1229"/>
      <c r="F2018" s="732"/>
      <c r="G2018" s="733"/>
      <c r="H2018" s="732"/>
      <c r="I2018" s="732"/>
      <c r="J2018" s="717"/>
      <c r="K2018" s="733"/>
      <c r="L2018" s="732"/>
      <c r="M2018" s="732"/>
      <c r="N2018" s="732"/>
    </row>
    <row r="2019" spans="1:14" ht="15">
      <c r="A2019" s="705"/>
      <c r="B2019" s="705"/>
      <c r="C2019" s="727" t="s">
        <v>993</v>
      </c>
      <c r="D2019" s="743"/>
      <c r="E2019" s="1229"/>
      <c r="F2019" s="732"/>
      <c r="G2019" s="733"/>
      <c r="H2019" s="732"/>
      <c r="I2019" s="732"/>
      <c r="J2019" s="717"/>
      <c r="K2019" s="733"/>
      <c r="L2019" s="732"/>
      <c r="M2019" s="732"/>
      <c r="N2019" s="732"/>
    </row>
    <row r="2020" spans="1:14" ht="15">
      <c r="A2020" s="705"/>
      <c r="B2020" s="705"/>
      <c r="C2020" s="727" t="s">
        <v>994</v>
      </c>
      <c r="D2020" s="743"/>
      <c r="E2020" s="1229"/>
      <c r="F2020" s="732"/>
      <c r="G2020" s="733"/>
      <c r="H2020" s="732"/>
      <c r="I2020" s="732"/>
      <c r="J2020" s="717"/>
      <c r="K2020" s="733"/>
      <c r="L2020" s="732"/>
      <c r="M2020" s="732"/>
      <c r="N2020" s="732"/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Tax Doc Content Type" ma:contentTypeID="0x010100718C9B4D4957A04881C83C5CA9F6B207000FCD08313F06DF4EA6E03E1B1798B66C" ma:contentTypeVersion="22" ma:contentTypeDescription="" ma:contentTypeScope="" ma:versionID="d9dea2a110cf82c537d319f6e89ae0b2">
  <xsd:schema xmlns:xsd="http://www.w3.org/2001/XMLSchema" xmlns:xs="http://www.w3.org/2001/XMLSchema" xmlns:p="http://schemas.microsoft.com/office/2006/metadata/properties" xmlns:ns2="80acccff-7c06-4f23-9d63-e83923c61c01" targetNamespace="http://schemas.microsoft.com/office/2006/metadata/properties" ma:root="true" ma:fieldsID="03e923a6dc42b0079f9c9489a197f904" ns2:_="">
    <xsd:import namespace="80acccff-7c06-4f23-9d63-e83923c61c01"/>
    <xsd:element name="properties">
      <xsd:complexType>
        <xsd:sequence>
          <xsd:element name="documentManagement">
            <xsd:complexType>
              <xsd:all>
                <xsd:element ref="ns2:CompanyName" minOccurs="0"/>
                <xsd:element ref="ns2:EmployeeName" minOccurs="0"/>
                <xsd:element ref="ns2:TrackerID" minOccurs="0"/>
                <xsd:element ref="ns2:YA" minOccurs="0"/>
                <xsd:element ref="ns2:ProcessPDF" minOccurs="0"/>
                <xsd:element ref="ns2:PDF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acccff-7c06-4f23-9d63-e83923c61c01" elementFormDefault="qualified">
    <xsd:import namespace="http://schemas.microsoft.com/office/2006/documentManagement/types"/>
    <xsd:import namespace="http://schemas.microsoft.com/office/infopath/2007/PartnerControls"/>
    <xsd:element name="CompanyName" ma:index="1" nillable="true" ma:displayName="Company Name" ma:indexed="true" ma:internalName="CompanyName" ma:readOnly="false">
      <xsd:simpleType>
        <xsd:restriction base="dms:Text">
          <xsd:maxLength value="255"/>
        </xsd:restriction>
      </xsd:simpleType>
    </xsd:element>
    <xsd:element name="EmployeeName" ma:index="2" nillable="true" ma:displayName="Employee Name/Description" ma:internalName="EmployeeName">
      <xsd:simpleType>
        <xsd:restriction base="dms:Note"/>
      </xsd:simpleType>
    </xsd:element>
    <xsd:element name="TrackerID" ma:index="3" nillable="true" ma:displayName="Tracker ID" ma:internalName="TrackerID">
      <xsd:simpleType>
        <xsd:restriction base="dms:Text">
          <xsd:maxLength value="255"/>
        </xsd:restriction>
      </xsd:simpleType>
    </xsd:element>
    <xsd:element name="YA" ma:index="4" nillable="true" ma:displayName="YA" ma:indexed="true" ma:internalName="YA" ma:readOnly="false">
      <xsd:simpleType>
        <xsd:restriction base="dms:Text">
          <xsd:maxLength value="255"/>
        </xsd:restriction>
      </xsd:simpleType>
    </xsd:element>
    <xsd:element name="ProcessPDF" ma:index="5" nillable="true" ma:displayName="ProcessPDF" ma:default="No" ma:indexed="true" ma:internalName="ProcessPDF" ma:readOnly="false">
      <xsd:simpleType>
        <xsd:restriction base="dms:Text">
          <xsd:maxLength value="255"/>
        </xsd:restriction>
      </xsd:simpleType>
    </xsd:element>
    <xsd:element name="PDFID" ma:index="6" nillable="true" ma:displayName="PDFID" ma:hidden="true" ma:internalName="PDFID" ma:readOnly="fal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9" ma:displayName="Content Type"/>
        <xsd:element ref="dc:title" minOccurs="0" maxOccurs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ProcessPDF xmlns="80acccff-7c06-4f23-9d63-e83923c61c01">No</ProcessPDF>
    <EmployeeName xmlns="80acccff-7c06-4f23-9d63-e83923c61c01" xsi:nil="true"/>
    <CompanyName xmlns="80acccff-7c06-4f23-9d63-e83923c61c01" xsi:nil="true"/>
    <PDFID xmlns="80acccff-7c06-4f23-9d63-e83923c61c01" xsi:nil="true"/>
    <YA xmlns="80acccff-7c06-4f23-9d63-e83923c61c01" xsi:nil="true"/>
    <TrackerID xmlns="80acccff-7c06-4f23-9d63-e83923c61c01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3903FD4-65F2-4476-9A31-ECCFCDC843A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0acccff-7c06-4f23-9d63-e83923c61c0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594BF3C-AC73-4019-ACB8-1ED90F888EDD}">
  <ds:schemaRefs>
    <ds:schemaRef ds:uri="80acccff-7c06-4f23-9d63-e83923c61c01"/>
    <ds:schemaRef ds:uri="http://purl.org/dc/terms/"/>
    <ds:schemaRef ds:uri="http://schemas.microsoft.com/office/infopath/2007/PartnerControls"/>
    <ds:schemaRef ds:uri="http://schemas.microsoft.com/office/2006/metadata/properties"/>
    <ds:schemaRef ds:uri="http://schemas.microsoft.com/office/2006/documentManagement/types"/>
    <ds:schemaRef ds:uri="http://www.w3.org/XML/1998/namespace"/>
    <ds:schemaRef ds:uri="http://schemas.openxmlformats.org/package/2006/metadata/core-properties"/>
    <ds:schemaRef ds:uri="http://purl.org/dc/dcmitype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48D55749-C70F-48E3-8C01-CF5ADDC9A26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70</vt:i4>
      </vt:variant>
    </vt:vector>
  </HeadingPairs>
  <TitlesOfParts>
    <vt:vector size="95" baseType="lpstr">
      <vt:lpstr>GENERAL INFO</vt:lpstr>
      <vt:lpstr>OVERSEAS INCOME</vt:lpstr>
      <vt:lpstr>A&amp;L</vt:lpstr>
      <vt:lpstr>DRAFT A&amp;L</vt:lpstr>
      <vt:lpstr>FE-1770</vt:lpstr>
      <vt:lpstr>FE-1770-I-hal 1</vt:lpstr>
      <vt:lpstr>FE-1770-II</vt:lpstr>
      <vt:lpstr>FE-1770-I-hal 2</vt:lpstr>
      <vt:lpstr>FE-1770-III</vt:lpstr>
      <vt:lpstr>FE-1770-IV</vt:lpstr>
      <vt:lpstr>Attachment</vt:lpstr>
      <vt:lpstr>SUMMARY NOTEKEEPING</vt:lpstr>
      <vt:lpstr>1770</vt:lpstr>
      <vt:lpstr>1770-I-hal 1</vt:lpstr>
      <vt:lpstr>1770-I-hal 2</vt:lpstr>
      <vt:lpstr>1770-II</vt:lpstr>
      <vt:lpstr>1770-III</vt:lpstr>
      <vt:lpstr>1770-IV</vt:lpstr>
      <vt:lpstr>LAMPIRAN.</vt:lpstr>
      <vt:lpstr>RINGKASAN CATATAN</vt:lpstr>
      <vt:lpstr>Daftar Pembayaran PP 46-2013</vt:lpstr>
      <vt:lpstr>Daftar Pembayaran OPPT</vt:lpstr>
      <vt:lpstr>CalculationSheet</vt:lpstr>
      <vt:lpstr>exch.rate</vt:lpstr>
      <vt:lpstr>MASTER</vt:lpstr>
      <vt:lpstr>_art21</vt:lpstr>
      <vt:lpstr>_art24</vt:lpstr>
      <vt:lpstr>AccPayable</vt:lpstr>
      <vt:lpstr>anndomesticnetincome</vt:lpstr>
      <vt:lpstr>annempbonus</vt:lpstr>
      <vt:lpstr>annempincome</vt:lpstr>
      <vt:lpstr>annoverseasincome</vt:lpstr>
      <vt:lpstr>BankAccount</vt:lpstr>
      <vt:lpstr>Cash</vt:lpstr>
      <vt:lpstr>CreditCard</vt:lpstr>
      <vt:lpstr>dateofdeparture</vt:lpstr>
      <vt:lpstr>dependant</vt:lpstr>
      <vt:lpstr>Deposit</vt:lpstr>
      <vt:lpstr>emp_taxID1</vt:lpstr>
      <vt:lpstr>emp_taxID2</vt:lpstr>
      <vt:lpstr>emp_taxID3</vt:lpstr>
      <vt:lpstr>empbonus</vt:lpstr>
      <vt:lpstr>employer1</vt:lpstr>
      <vt:lpstr>employer2</vt:lpstr>
      <vt:lpstr>employer3</vt:lpstr>
      <vt:lpstr>Giro</vt:lpstr>
      <vt:lpstr>irregulardomesticincome</vt:lpstr>
      <vt:lpstr>'OVERSEAS INCOME'!irregularincome</vt:lpstr>
      <vt:lpstr>irregularincome</vt:lpstr>
      <vt:lpstr>irregulartaxcredit</vt:lpstr>
      <vt:lpstr>LiabilitiesAffiliated</vt:lpstr>
      <vt:lpstr>marital</vt:lpstr>
      <vt:lpstr>name01</vt:lpstr>
      <vt:lpstr>name02</vt:lpstr>
      <vt:lpstr>netdomesticincome</vt:lpstr>
      <vt:lpstr>netempincome</vt:lpstr>
      <vt:lpstr>npwp01</vt:lpstr>
      <vt:lpstr>OtherCash</vt:lpstr>
      <vt:lpstr>OtherLiab</vt:lpstr>
      <vt:lpstr>personalreliefs</vt:lpstr>
      <vt:lpstr>'1770'!Print_Area</vt:lpstr>
      <vt:lpstr>'1770-I-hal 1'!Print_Area</vt:lpstr>
      <vt:lpstr>'1770-I-hal 2'!Print_Area</vt:lpstr>
      <vt:lpstr>'1770-II'!Print_Area</vt:lpstr>
      <vt:lpstr>'1770-III'!Print_Area</vt:lpstr>
      <vt:lpstr>'1770-IV'!Print_Area</vt:lpstr>
      <vt:lpstr>'A&amp;L'!Print_Area</vt:lpstr>
      <vt:lpstr>Attachment!Print_Area</vt:lpstr>
      <vt:lpstr>'Daftar Pembayaran OPPT'!Print_Area</vt:lpstr>
      <vt:lpstr>'Daftar Pembayaran PP 46-2013'!Print_Area</vt:lpstr>
      <vt:lpstr>'DRAFT A&amp;L'!Print_Area</vt:lpstr>
      <vt:lpstr>'FE-1770'!Print_Area</vt:lpstr>
      <vt:lpstr>'FE-1770-I-hal 1'!Print_Area</vt:lpstr>
      <vt:lpstr>'FE-1770-I-hal 2'!Print_Area</vt:lpstr>
      <vt:lpstr>'FE-1770-II'!Print_Area</vt:lpstr>
      <vt:lpstr>'FE-1770-III'!Print_Area</vt:lpstr>
      <vt:lpstr>'FE-1770-IV'!Print_Area</vt:lpstr>
      <vt:lpstr>'GENERAL INFO'!Print_Area</vt:lpstr>
      <vt:lpstr>LAMPIRAN.!Print_Area</vt:lpstr>
      <vt:lpstr>'OVERSEAS INCOME'!Print_Area</vt:lpstr>
      <vt:lpstr>'RINGKASAN CATATAN'!Print_Area</vt:lpstr>
      <vt:lpstr>'SUMMARY NOTEKEEPING'!Print_Area</vt:lpstr>
      <vt:lpstr>'OVERSEAS INCOME'!Print_Titles</vt:lpstr>
      <vt:lpstr>proxy01</vt:lpstr>
      <vt:lpstr>proxyid01</vt:lpstr>
      <vt:lpstr>taxyear</vt:lpstr>
      <vt:lpstr>taxyearend</vt:lpstr>
      <vt:lpstr>'A&amp;L'!TotalCash</vt:lpstr>
      <vt:lpstr>'A&amp;L'!TotalOtherLiab</vt:lpstr>
      <vt:lpstr>totaloverseasincome</vt:lpstr>
      <vt:lpstr>workperiod</vt:lpstr>
      <vt:lpstr>year01</vt:lpstr>
      <vt:lpstr>year02</vt:lpstr>
      <vt:lpstr>year03</vt:lpstr>
      <vt:lpstr>year04</vt:lpstr>
    </vt:vector>
  </TitlesOfParts>
  <Company>Direktorat Jenderal Pajak;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SPT 1770</dc:title>
  <dc:creator>Direktorat Jenderal Pajak</dc:creator>
  <cp:lastModifiedBy>Ihsan Saiful</cp:lastModifiedBy>
  <cp:lastPrinted>2020-12-14T13:34:40Z</cp:lastPrinted>
  <dcterms:created xsi:type="dcterms:W3CDTF">2007-05-11T13:25:56Z</dcterms:created>
  <dcterms:modified xsi:type="dcterms:W3CDTF">2020-12-14T13:39:16Z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0x010100718C9B4D4957A04881C83C5CA9F6B207000FCD08313F06DF4EA6E03E1B1798B66C</vt:lpwstr>
  </property>
</Properties>
</file>