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8FE84148-0040-440B-B0D9-246E46C5F42C}" xr6:coauthVersionLast="47" xr6:coauthVersionMax="47" xr10:uidLastSave="{00000000-0000-0000-0000-000000000000}"/>
  <bookViews>
    <workbookView xWindow="11175" yWindow="1125" windowWidth="23955" windowHeight="14880" firstSheet="3" activeTab="8" xr2:uid="{00000000-000D-0000-FFFF-FFFF00000000}"/>
  </bookViews>
  <sheets>
    <sheet name="Instructions" sheetId="1" r:id="rId1"/>
    <sheet name="Star" sheetId="11" r:id="rId2"/>
    <sheet name="Star CFG" sheetId="12" r:id="rId3"/>
    <sheet name="Gas Giant" sheetId="2" r:id="rId4"/>
    <sheet name="Gas Giant CFG" sheetId="3" r:id="rId5"/>
    <sheet name="Earthlike" sheetId="4" r:id="rId6"/>
    <sheet name="Earthlike CFG" sheetId="5" r:id="rId7"/>
    <sheet name="Other" sheetId="6" r:id="rId8"/>
    <sheet name="Other CFG" sheetId="7" r:id="rId9"/>
    <sheet name="Locked" sheetId="8" r:id="rId10"/>
    <sheet name="Locked CFG" sheetId="9" r:id="rId11"/>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9" l="1"/>
  <c r="B10" i="7"/>
  <c r="G47" i="11"/>
  <c r="G61" i="2" l="1"/>
  <c r="G97" i="8"/>
  <c r="G70" i="4" l="1"/>
  <c r="G99" i="6"/>
  <c r="G94" i="8"/>
  <c r="G96" i="6"/>
  <c r="G67" i="4"/>
  <c r="G58" i="2"/>
  <c r="G60" i="2" l="1"/>
  <c r="G69" i="4"/>
  <c r="G96" i="8"/>
  <c r="G98" i="6"/>
  <c r="H33" i="4" l="1"/>
  <c r="H32" i="4"/>
  <c r="H30" i="4"/>
  <c r="H33" i="6" l="1"/>
  <c r="H32" i="6"/>
  <c r="H30" i="6"/>
  <c r="K51" i="6" l="1"/>
  <c r="K56" i="6"/>
  <c r="K67" i="6"/>
  <c r="B150" i="6" l="1"/>
  <c r="U30" i="11" l="1"/>
  <c r="V30" i="11"/>
  <c r="W30" i="11"/>
  <c r="X30" i="11"/>
  <c r="U31" i="11"/>
  <c r="V31" i="11"/>
  <c r="W31" i="11"/>
  <c r="X31" i="11"/>
  <c r="U32" i="11"/>
  <c r="V32" i="11"/>
  <c r="W32" i="11"/>
  <c r="X32" i="11"/>
  <c r="U33" i="11"/>
  <c r="V33" i="11"/>
  <c r="W33" i="11"/>
  <c r="X33" i="11"/>
  <c r="U34" i="11"/>
  <c r="V34" i="11"/>
  <c r="W34" i="11"/>
  <c r="X34" i="11"/>
  <c r="U35" i="11"/>
  <c r="V35" i="11"/>
  <c r="W35" i="11"/>
  <c r="X35" i="11"/>
  <c r="U36" i="11"/>
  <c r="V36" i="11"/>
  <c r="W36" i="11"/>
  <c r="X36" i="11"/>
  <c r="U37" i="11"/>
  <c r="V37" i="11"/>
  <c r="W37" i="11"/>
  <c r="X37" i="11"/>
  <c r="U38" i="11"/>
  <c r="V38" i="11"/>
  <c r="W38" i="11"/>
  <c r="X38" i="11"/>
  <c r="B79" i="11"/>
  <c r="H79" i="11" s="1"/>
  <c r="G96" i="4" l="1"/>
  <c r="G84" i="2" l="1"/>
  <c r="L104" i="2" s="1"/>
  <c r="G121" i="8"/>
  <c r="L141" i="8" s="1"/>
  <c r="G124" i="6"/>
  <c r="L144" i="6" s="1"/>
  <c r="L116" i="4" l="1"/>
  <c r="X55" i="11"/>
  <c r="W55" i="11"/>
  <c r="V55" i="11"/>
  <c r="U55" i="11"/>
  <c r="U8" i="11" l="1"/>
  <c r="V8" i="11"/>
  <c r="W8" i="11"/>
  <c r="X8" i="11"/>
  <c r="U9" i="11"/>
  <c r="V9" i="11"/>
  <c r="W9" i="11"/>
  <c r="X9" i="11"/>
  <c r="U10" i="11"/>
  <c r="V10" i="11"/>
  <c r="W10" i="11"/>
  <c r="X10" i="11"/>
  <c r="U11" i="11"/>
  <c r="V11" i="11"/>
  <c r="W11" i="11"/>
  <c r="X11" i="11"/>
  <c r="U12" i="11"/>
  <c r="V12" i="11"/>
  <c r="W12" i="11"/>
  <c r="X12" i="11"/>
  <c r="U13" i="11"/>
  <c r="V13" i="11"/>
  <c r="W13" i="11"/>
  <c r="X13" i="11"/>
  <c r="U14" i="11"/>
  <c r="V14" i="11"/>
  <c r="W14" i="11"/>
  <c r="X14" i="11"/>
  <c r="U15" i="11"/>
  <c r="V15" i="11"/>
  <c r="W15" i="11"/>
  <c r="X15" i="11"/>
  <c r="U16" i="11"/>
  <c r="V16" i="11"/>
  <c r="W16" i="11"/>
  <c r="X16" i="11"/>
  <c r="U17" i="11"/>
  <c r="V17" i="11"/>
  <c r="W17" i="11"/>
  <c r="X17" i="11"/>
  <c r="U18" i="11"/>
  <c r="V18" i="11"/>
  <c r="W18" i="11"/>
  <c r="X18" i="11"/>
  <c r="U19" i="11"/>
  <c r="V19" i="11"/>
  <c r="W19" i="11"/>
  <c r="X19" i="11"/>
  <c r="U20" i="11"/>
  <c r="V20" i="11"/>
  <c r="W20" i="11"/>
  <c r="X20" i="11"/>
  <c r="U21" i="11"/>
  <c r="V21" i="11"/>
  <c r="W21" i="11"/>
  <c r="X21" i="11"/>
  <c r="U22" i="11"/>
  <c r="V22" i="11"/>
  <c r="W22" i="11"/>
  <c r="X22" i="11"/>
  <c r="U23" i="11"/>
  <c r="V23" i="11"/>
  <c r="W23" i="11"/>
  <c r="X23" i="11"/>
  <c r="U24" i="11"/>
  <c r="V24" i="11"/>
  <c r="W24" i="11"/>
  <c r="X24" i="11"/>
  <c r="U25" i="11"/>
  <c r="V25" i="11"/>
  <c r="W25" i="11"/>
  <c r="X25" i="11"/>
  <c r="U26" i="11"/>
  <c r="V26" i="11"/>
  <c r="W26" i="11"/>
  <c r="X26" i="11"/>
  <c r="U27" i="11"/>
  <c r="V27" i="11"/>
  <c r="W27" i="11"/>
  <c r="X27" i="11"/>
  <c r="U28" i="11"/>
  <c r="V28" i="11"/>
  <c r="W28" i="11"/>
  <c r="X28" i="11"/>
  <c r="U29" i="11"/>
  <c r="V29" i="11"/>
  <c r="W29" i="11"/>
  <c r="X29" i="11"/>
  <c r="U39" i="11"/>
  <c r="V39" i="11"/>
  <c r="W39" i="11"/>
  <c r="X39" i="11"/>
  <c r="U40" i="11"/>
  <c r="V40" i="11"/>
  <c r="W40" i="11"/>
  <c r="X40" i="11"/>
  <c r="U41" i="11"/>
  <c r="V41" i="11"/>
  <c r="W41" i="11"/>
  <c r="X41" i="11"/>
  <c r="U42" i="11"/>
  <c r="V42" i="11"/>
  <c r="W42" i="11"/>
  <c r="X42" i="11"/>
  <c r="U43" i="11"/>
  <c r="V43" i="11"/>
  <c r="W43" i="11"/>
  <c r="X43" i="11"/>
  <c r="U44" i="11"/>
  <c r="V44" i="11"/>
  <c r="W44" i="11"/>
  <c r="X44" i="11"/>
  <c r="U45" i="11"/>
  <c r="V45" i="11"/>
  <c r="W45" i="11"/>
  <c r="X45" i="11"/>
  <c r="U46" i="11"/>
  <c r="V46" i="11"/>
  <c r="W46" i="11"/>
  <c r="X46" i="11"/>
  <c r="U47" i="11"/>
  <c r="V47" i="11"/>
  <c r="W47" i="11"/>
  <c r="X47" i="11"/>
  <c r="U48" i="11"/>
  <c r="V48" i="11"/>
  <c r="W48" i="11"/>
  <c r="X48" i="11"/>
  <c r="U49" i="11"/>
  <c r="V49" i="11"/>
  <c r="W49" i="11"/>
  <c r="X49" i="11"/>
  <c r="U50" i="11"/>
  <c r="V50" i="11"/>
  <c r="W50" i="11"/>
  <c r="X50" i="11"/>
  <c r="U51" i="11"/>
  <c r="V51" i="11"/>
  <c r="W51" i="11"/>
  <c r="X51" i="11"/>
  <c r="U52" i="11"/>
  <c r="V52" i="11"/>
  <c r="W52" i="11"/>
  <c r="X52" i="11"/>
  <c r="U53" i="11"/>
  <c r="V53" i="11"/>
  <c r="W53" i="11"/>
  <c r="X53" i="11"/>
  <c r="U54" i="11"/>
  <c r="V54" i="11"/>
  <c r="W54" i="11"/>
  <c r="X54" i="11"/>
  <c r="U56" i="11"/>
  <c r="V56" i="11"/>
  <c r="W56" i="11"/>
  <c r="X56" i="11"/>
  <c r="U57" i="11"/>
  <c r="V57" i="11"/>
  <c r="W57" i="11"/>
  <c r="X57" i="11"/>
  <c r="U58" i="11"/>
  <c r="V58" i="11"/>
  <c r="W58" i="11"/>
  <c r="X58" i="11"/>
  <c r="U59" i="11"/>
  <c r="V59" i="11"/>
  <c r="W59" i="11"/>
  <c r="X59" i="11"/>
  <c r="U60" i="11"/>
  <c r="V60" i="11"/>
  <c r="W60" i="11"/>
  <c r="X60" i="11"/>
  <c r="U61" i="11"/>
  <c r="V61" i="11"/>
  <c r="W61" i="11"/>
  <c r="X61" i="11"/>
  <c r="U62" i="11"/>
  <c r="V62" i="11"/>
  <c r="W62" i="11"/>
  <c r="X62" i="11"/>
  <c r="U63" i="11"/>
  <c r="V63" i="11"/>
  <c r="W63" i="11"/>
  <c r="X63" i="11"/>
  <c r="U64" i="11"/>
  <c r="V64" i="11"/>
  <c r="W64" i="11"/>
  <c r="X64" i="11"/>
  <c r="U65" i="11"/>
  <c r="V65" i="11"/>
  <c r="W65" i="11"/>
  <c r="X65" i="11"/>
  <c r="U66" i="11"/>
  <c r="V66" i="11"/>
  <c r="W66" i="11"/>
  <c r="X66" i="11"/>
  <c r="U67" i="11"/>
  <c r="V67" i="11"/>
  <c r="W67" i="11"/>
  <c r="X67" i="11"/>
  <c r="U68" i="11"/>
  <c r="V68" i="11"/>
  <c r="W68" i="11"/>
  <c r="X68" i="11"/>
  <c r="U69" i="11"/>
  <c r="V69" i="11"/>
  <c r="W69" i="11"/>
  <c r="X69" i="11"/>
  <c r="U70" i="11"/>
  <c r="V70" i="11"/>
  <c r="W70" i="11"/>
  <c r="X70" i="11"/>
  <c r="U71" i="11"/>
  <c r="V71" i="11"/>
  <c r="W71" i="11"/>
  <c r="X71" i="11"/>
  <c r="U72" i="11"/>
  <c r="V72" i="11"/>
  <c r="W72" i="11"/>
  <c r="X72" i="11"/>
  <c r="U73" i="11"/>
  <c r="V73" i="11"/>
  <c r="W73" i="11"/>
  <c r="X73" i="11"/>
  <c r="U74" i="11"/>
  <c r="V74" i="11"/>
  <c r="W74" i="11"/>
  <c r="X74" i="11"/>
  <c r="U75" i="11"/>
  <c r="V75" i="11"/>
  <c r="W75" i="11"/>
  <c r="X75" i="11"/>
  <c r="U76" i="11"/>
  <c r="V76" i="11"/>
  <c r="W76" i="11"/>
  <c r="X76" i="11"/>
  <c r="U77" i="11"/>
  <c r="V77" i="11"/>
  <c r="W77" i="11"/>
  <c r="X77" i="11"/>
  <c r="U78" i="11"/>
  <c r="V78" i="11"/>
  <c r="W78" i="11"/>
  <c r="X78" i="11"/>
  <c r="U79" i="11"/>
  <c r="V79" i="11"/>
  <c r="W79" i="11"/>
  <c r="X79" i="11"/>
  <c r="U80" i="11"/>
  <c r="V80" i="11"/>
  <c r="W80" i="11"/>
  <c r="X80" i="11"/>
  <c r="U81" i="11"/>
  <c r="V81" i="11"/>
  <c r="W81" i="11"/>
  <c r="X81" i="11"/>
  <c r="U82" i="11"/>
  <c r="V82" i="11"/>
  <c r="W82" i="11"/>
  <c r="X82" i="11"/>
  <c r="U83" i="11"/>
  <c r="V83" i="11"/>
  <c r="W83" i="11"/>
  <c r="X83" i="11"/>
  <c r="U84" i="11"/>
  <c r="V84" i="11"/>
  <c r="W84" i="11"/>
  <c r="X84" i="11"/>
  <c r="U85" i="11"/>
  <c r="V85" i="11"/>
  <c r="W85" i="11"/>
  <c r="X85" i="11"/>
  <c r="U86" i="11"/>
  <c r="V86" i="11"/>
  <c r="W86" i="11"/>
  <c r="X86" i="11"/>
  <c r="U87" i="11"/>
  <c r="V87" i="11"/>
  <c r="W87" i="11"/>
  <c r="X87" i="11"/>
  <c r="U88" i="11"/>
  <c r="V88" i="11"/>
  <c r="W88" i="11"/>
  <c r="X88" i="11"/>
  <c r="U89" i="11"/>
  <c r="V89" i="11"/>
  <c r="W89" i="11"/>
  <c r="X89" i="11"/>
  <c r="X7" i="11"/>
  <c r="W7" i="11"/>
  <c r="V7" i="11"/>
  <c r="U7" i="11"/>
  <c r="V91" i="11" l="1"/>
  <c r="M18" i="11" s="1"/>
  <c r="M23" i="11" s="1"/>
  <c r="G56" i="11" s="1"/>
  <c r="U91" i="11"/>
  <c r="M17" i="11" s="1"/>
  <c r="M26" i="11" s="1"/>
  <c r="X91" i="11"/>
  <c r="M20" i="11" s="1"/>
  <c r="W91" i="11"/>
  <c r="M19" i="11" s="1"/>
  <c r="M24" i="11" s="1"/>
  <c r="G50" i="11" l="1"/>
  <c r="G51" i="11" s="1"/>
  <c r="B7" i="12" s="1"/>
  <c r="C90" i="11"/>
  <c r="C91" i="11"/>
  <c r="C81" i="11"/>
  <c r="C87" i="11"/>
  <c r="C94" i="11"/>
  <c r="C93" i="11"/>
  <c r="C92" i="11"/>
  <c r="C88" i="11"/>
  <c r="C89" i="11"/>
  <c r="C80" i="11"/>
  <c r="C79" i="11"/>
  <c r="C86" i="11"/>
  <c r="C85" i="11"/>
  <c r="C84" i="11"/>
  <c r="C83" i="11"/>
  <c r="C82" i="11"/>
  <c r="M22" i="11"/>
  <c r="M25" i="11"/>
  <c r="H34" i="11" l="1"/>
  <c r="H33" i="11"/>
  <c r="B80" i="11"/>
  <c r="F38" i="11"/>
  <c r="C21" i="12" l="1"/>
  <c r="C22" i="12"/>
  <c r="B81" i="11"/>
  <c r="G48" i="11"/>
  <c r="C58" i="3"/>
  <c r="C59" i="3"/>
  <c r="C60" i="3"/>
  <c r="C61" i="3"/>
  <c r="C62" i="3"/>
  <c r="C57" i="3"/>
  <c r="C56" i="3"/>
  <c r="C23" i="12" l="1"/>
  <c r="B82" i="11"/>
  <c r="B16" i="12"/>
  <c r="H82" i="11" l="1"/>
  <c r="C43" i="12" s="1"/>
  <c r="B83" i="11"/>
  <c r="C24" i="12"/>
  <c r="H81" i="11"/>
  <c r="C42" i="12" s="1"/>
  <c r="B17" i="12"/>
  <c r="B84" i="11" l="1"/>
  <c r="C25" i="12"/>
  <c r="H83" i="11"/>
  <c r="C44" i="12" s="1"/>
  <c r="H80" i="11"/>
  <c r="C41" i="12" s="1"/>
  <c r="G79" i="11"/>
  <c r="B85" i="11" l="1"/>
  <c r="C26" i="12"/>
  <c r="H84" i="11"/>
  <c r="C45" i="12" s="1"/>
  <c r="I79" i="11" l="1"/>
  <c r="C40" i="12"/>
  <c r="B86" i="11"/>
  <c r="C27" i="12"/>
  <c r="H85" i="11"/>
  <c r="C46" i="12" s="1"/>
  <c r="B87" i="11" l="1"/>
  <c r="C28" i="12"/>
  <c r="H86" i="11"/>
  <c r="C47" i="12" s="1"/>
  <c r="E139" i="9"/>
  <c r="B139" i="9"/>
  <c r="E134" i="9"/>
  <c r="E133" i="9"/>
  <c r="D134" i="9"/>
  <c r="D133" i="9"/>
  <c r="C134" i="9"/>
  <c r="C133" i="9"/>
  <c r="B134" i="9"/>
  <c r="B133" i="9"/>
  <c r="B88" i="11" l="1"/>
  <c r="C29" i="12"/>
  <c r="H87" i="11"/>
  <c r="C48" i="12" s="1"/>
  <c r="E128" i="9"/>
  <c r="B128" i="9"/>
  <c r="B124" i="9"/>
  <c r="G115" i="8"/>
  <c r="G99" i="8"/>
  <c r="B89" i="11" l="1"/>
  <c r="C30" i="12"/>
  <c r="H88" i="11"/>
  <c r="C49" i="12" s="1"/>
  <c r="G114" i="8"/>
  <c r="G100" i="8"/>
  <c r="G101" i="8"/>
  <c r="B125" i="9"/>
  <c r="A139" i="9"/>
  <c r="A134" i="9"/>
  <c r="A133" i="9"/>
  <c r="B5" i="9"/>
  <c r="B147" i="8"/>
  <c r="F70" i="8"/>
  <c r="J65" i="8"/>
  <c r="I65" i="8"/>
  <c r="K64" i="8"/>
  <c r="J64" i="8"/>
  <c r="I64" i="8"/>
  <c r="K63" i="8"/>
  <c r="J63" i="8"/>
  <c r="I63" i="8"/>
  <c r="J62" i="8"/>
  <c r="I62" i="8"/>
  <c r="J61" i="8"/>
  <c r="I61" i="8"/>
  <c r="J60" i="8"/>
  <c r="I60" i="8"/>
  <c r="J59" i="8"/>
  <c r="I59" i="8"/>
  <c r="K58" i="8"/>
  <c r="J58" i="8"/>
  <c r="I58" i="8"/>
  <c r="K57" i="8"/>
  <c r="J57" i="8"/>
  <c r="I57" i="8"/>
  <c r="J56" i="8"/>
  <c r="I56" i="8"/>
  <c r="K55" i="8"/>
  <c r="J55" i="8"/>
  <c r="I55" i="8"/>
  <c r="K54" i="8"/>
  <c r="J54" i="8"/>
  <c r="I54" i="8"/>
  <c r="J53" i="8"/>
  <c r="I53" i="8"/>
  <c r="K52" i="8"/>
  <c r="J52" i="8"/>
  <c r="I52" i="8"/>
  <c r="K51" i="8"/>
  <c r="J51" i="8"/>
  <c r="I51" i="8"/>
  <c r="K50" i="8"/>
  <c r="J50" i="8"/>
  <c r="I50" i="8"/>
  <c r="K49" i="8"/>
  <c r="J49" i="8"/>
  <c r="I49" i="8"/>
  <c r="K48" i="8"/>
  <c r="J48" i="8"/>
  <c r="I48" i="8"/>
  <c r="F111" i="8" l="1"/>
  <c r="G102" i="8"/>
  <c r="B14" i="9" s="1"/>
  <c r="G113" i="8"/>
  <c r="B90" i="11"/>
  <c r="C31" i="12"/>
  <c r="H89" i="11"/>
  <c r="C50" i="12" s="1"/>
  <c r="B148" i="8"/>
  <c r="B126" i="9"/>
  <c r="G98" i="8"/>
  <c r="G116" i="8" s="1"/>
  <c r="H147" i="8"/>
  <c r="G110" i="8"/>
  <c r="A125" i="9"/>
  <c r="A128" i="9"/>
  <c r="A124" i="9"/>
  <c r="G111" i="8" l="1"/>
  <c r="G112" i="8" s="1"/>
  <c r="C118" i="9"/>
  <c r="D118" i="9"/>
  <c r="E118" i="9" s="1"/>
  <c r="D119" i="9"/>
  <c r="D112" i="9"/>
  <c r="E112" i="9" s="1"/>
  <c r="C112" i="9"/>
  <c r="D113" i="9"/>
  <c r="C113" i="9"/>
  <c r="C117" i="9"/>
  <c r="B91" i="11"/>
  <c r="C32" i="12"/>
  <c r="H90" i="11"/>
  <c r="C51" i="12" s="1"/>
  <c r="B149" i="8"/>
  <c r="H148" i="8"/>
  <c r="C123" i="9"/>
  <c r="C128" i="9"/>
  <c r="D128" i="9"/>
  <c r="E123" i="9" s="1"/>
  <c r="C124" i="9"/>
  <c r="D124" i="9"/>
  <c r="E124" i="9" s="1"/>
  <c r="D125" i="9"/>
  <c r="E125" i="9" s="1"/>
  <c r="C125" i="9"/>
  <c r="D126" i="9"/>
  <c r="E126" i="9" s="1"/>
  <c r="B127" i="9"/>
  <c r="C126" i="9"/>
  <c r="A126" i="9"/>
  <c r="C138" i="9"/>
  <c r="G90" i="4"/>
  <c r="B92" i="11" l="1"/>
  <c r="C33" i="12"/>
  <c r="H91" i="11"/>
  <c r="C52" i="12" s="1"/>
  <c r="B150" i="8"/>
  <c r="H149" i="8"/>
  <c r="E138" i="9"/>
  <c r="D139" i="9" s="1"/>
  <c r="C139" i="9"/>
  <c r="D127" i="9"/>
  <c r="E127" i="9" s="1"/>
  <c r="C127" i="9"/>
  <c r="A127" i="9"/>
  <c r="B93" i="11" l="1"/>
  <c r="C34" i="12"/>
  <c r="H92" i="11"/>
  <c r="C53" i="12" s="1"/>
  <c r="H150" i="8"/>
  <c r="B151" i="8"/>
  <c r="J67" i="6"/>
  <c r="I67" i="6"/>
  <c r="J66" i="6"/>
  <c r="I66" i="6"/>
  <c r="J65" i="6"/>
  <c r="I65" i="6"/>
  <c r="J64" i="6"/>
  <c r="I64" i="6"/>
  <c r="J63" i="6"/>
  <c r="I63" i="6"/>
  <c r="J62" i="6"/>
  <c r="I62" i="6"/>
  <c r="J61" i="6"/>
  <c r="I61" i="6"/>
  <c r="J60" i="6"/>
  <c r="I60" i="6"/>
  <c r="J59" i="6"/>
  <c r="I59" i="6"/>
  <c r="J58" i="6"/>
  <c r="I58" i="6"/>
  <c r="J57" i="6"/>
  <c r="I57" i="6"/>
  <c r="J56" i="6"/>
  <c r="I56" i="6"/>
  <c r="J55" i="6"/>
  <c r="I55" i="6"/>
  <c r="J54" i="6"/>
  <c r="I54" i="6"/>
  <c r="J53" i="6"/>
  <c r="I53" i="6"/>
  <c r="J52" i="6"/>
  <c r="I52" i="6"/>
  <c r="J51" i="6"/>
  <c r="I51" i="6"/>
  <c r="J50" i="6"/>
  <c r="I50" i="6"/>
  <c r="B94" i="11" l="1"/>
  <c r="C35" i="12"/>
  <c r="H93" i="11"/>
  <c r="C54" i="12" s="1"/>
  <c r="B152" i="8"/>
  <c r="H151" i="8"/>
  <c r="C36" i="12" l="1"/>
  <c r="H94" i="11"/>
  <c r="H152" i="8"/>
  <c r="B153" i="8"/>
  <c r="F72" i="6"/>
  <c r="G103" i="6" s="1"/>
  <c r="F112" i="6"/>
  <c r="E138" i="7"/>
  <c r="B138" i="7"/>
  <c r="A138" i="7" s="1"/>
  <c r="E133" i="7"/>
  <c r="D133" i="7"/>
  <c r="C133" i="7"/>
  <c r="B133" i="7"/>
  <c r="A133" i="7" s="1"/>
  <c r="E132" i="7"/>
  <c r="D132" i="7"/>
  <c r="C132" i="7"/>
  <c r="B132" i="7"/>
  <c r="A132" i="7" s="1"/>
  <c r="E127" i="7"/>
  <c r="B127" i="7"/>
  <c r="A127" i="7" s="1"/>
  <c r="B123" i="7"/>
  <c r="A123" i="7" s="1"/>
  <c r="B5" i="7"/>
  <c r="G118" i="6"/>
  <c r="G101" i="6"/>
  <c r="B100" i="6"/>
  <c r="G100" i="6"/>
  <c r="G119" i="6" s="1"/>
  <c r="D33" i="6"/>
  <c r="B33" i="6"/>
  <c r="D32" i="6"/>
  <c r="B32" i="6"/>
  <c r="D31" i="6"/>
  <c r="B31" i="6"/>
  <c r="D30" i="6"/>
  <c r="B30" i="6"/>
  <c r="G102" i="6" l="1"/>
  <c r="G112" i="6" s="1"/>
  <c r="B154" i="8"/>
  <c r="H153" i="8"/>
  <c r="G111" i="6"/>
  <c r="B13" i="7"/>
  <c r="B124" i="7"/>
  <c r="C137" i="7"/>
  <c r="G117" i="6"/>
  <c r="B151" i="6"/>
  <c r="H150" i="6"/>
  <c r="B122" i="4"/>
  <c r="G113" i="6" l="1"/>
  <c r="H154" i="8"/>
  <c r="B155" i="8"/>
  <c r="C122" i="7"/>
  <c r="D124" i="7"/>
  <c r="E124" i="7" s="1"/>
  <c r="D123" i="7"/>
  <c r="E123" i="7" s="1"/>
  <c r="C124" i="7"/>
  <c r="D127" i="7"/>
  <c r="E122" i="7" s="1"/>
  <c r="C127" i="7"/>
  <c r="C123" i="7"/>
  <c r="A124" i="7"/>
  <c r="B125" i="7"/>
  <c r="E137" i="7"/>
  <c r="D138" i="7" s="1"/>
  <c r="C138" i="7"/>
  <c r="B152" i="6"/>
  <c r="H151" i="6"/>
  <c r="G77" i="4"/>
  <c r="E115" i="5"/>
  <c r="B111" i="5"/>
  <c r="B112" i="5" s="1"/>
  <c r="B113" i="5" s="1"/>
  <c r="B114" i="5" s="1"/>
  <c r="B115" i="5"/>
  <c r="E126" i="5"/>
  <c r="E121" i="5"/>
  <c r="E120" i="5"/>
  <c r="D121" i="5"/>
  <c r="D120" i="5"/>
  <c r="C121" i="5"/>
  <c r="C120" i="5"/>
  <c r="B126" i="5"/>
  <c r="A126" i="5" s="1"/>
  <c r="B121" i="5"/>
  <c r="A121" i="5" s="1"/>
  <c r="B120" i="5"/>
  <c r="A120" i="5" s="1"/>
  <c r="G115" i="6" l="1"/>
  <c r="B156" i="8"/>
  <c r="H155" i="8"/>
  <c r="G116" i="6"/>
  <c r="D112" i="7" s="1"/>
  <c r="G114" i="6"/>
  <c r="A125" i="7"/>
  <c r="B126" i="7"/>
  <c r="C125" i="7"/>
  <c r="D125" i="7"/>
  <c r="E125" i="7" s="1"/>
  <c r="B153" i="6"/>
  <c r="H152" i="6"/>
  <c r="B10" i="5"/>
  <c r="B5" i="5"/>
  <c r="A115" i="5"/>
  <c r="B157" i="8" l="1"/>
  <c r="B158" i="8" s="1"/>
  <c r="H156" i="8"/>
  <c r="E110" i="7"/>
  <c r="E111" i="7"/>
  <c r="C111" i="7"/>
  <c r="C112" i="7"/>
  <c r="D111" i="7"/>
  <c r="C110" i="7"/>
  <c r="E117" i="7"/>
  <c r="C118" i="7"/>
  <c r="C116" i="7"/>
  <c r="D118" i="7"/>
  <c r="E116" i="7"/>
  <c r="C117" i="7"/>
  <c r="D117" i="7"/>
  <c r="A126" i="7"/>
  <c r="C126" i="7"/>
  <c r="D126" i="7"/>
  <c r="E126" i="7" s="1"/>
  <c r="B154" i="6"/>
  <c r="H153" i="6"/>
  <c r="H122" i="4"/>
  <c r="A111" i="5"/>
  <c r="H157" i="8" l="1"/>
  <c r="B159" i="8"/>
  <c r="H158" i="8"/>
  <c r="B155" i="6"/>
  <c r="H154" i="6"/>
  <c r="A112" i="5"/>
  <c r="B160" i="8" l="1"/>
  <c r="H159" i="8"/>
  <c r="B156" i="6"/>
  <c r="H155" i="6"/>
  <c r="A113" i="5"/>
  <c r="B71" i="4"/>
  <c r="G72" i="4"/>
  <c r="D33" i="4"/>
  <c r="D32" i="4"/>
  <c r="D31" i="4"/>
  <c r="D30" i="4"/>
  <c r="B33" i="4"/>
  <c r="B32" i="4"/>
  <c r="B31" i="4"/>
  <c r="B30" i="4"/>
  <c r="B161" i="8" l="1"/>
  <c r="H160" i="8"/>
  <c r="G84" i="4"/>
  <c r="G89" i="4"/>
  <c r="B157" i="6"/>
  <c r="H156" i="6"/>
  <c r="A114" i="5"/>
  <c r="B123" i="4"/>
  <c r="F85" i="4"/>
  <c r="G71" i="4"/>
  <c r="G91" i="4" s="1"/>
  <c r="F55" i="4"/>
  <c r="G74" i="4" s="1"/>
  <c r="B162" i="8" l="1"/>
  <c r="H161" i="8"/>
  <c r="C125" i="5"/>
  <c r="B13" i="5"/>
  <c r="B158" i="6"/>
  <c r="H157" i="6"/>
  <c r="D112" i="5"/>
  <c r="E112" i="5" s="1"/>
  <c r="D111" i="5"/>
  <c r="E111" i="5" s="1"/>
  <c r="D113" i="5"/>
  <c r="E113" i="5" s="1"/>
  <c r="D115" i="5"/>
  <c r="E110" i="5" s="1"/>
  <c r="D114" i="5"/>
  <c r="E114" i="5" s="1"/>
  <c r="C115" i="5"/>
  <c r="C114" i="5"/>
  <c r="C113" i="5"/>
  <c r="C112" i="5"/>
  <c r="C111" i="5"/>
  <c r="B124" i="4"/>
  <c r="G73" i="4"/>
  <c r="G85" i="4" s="1"/>
  <c r="A55" i="3"/>
  <c r="G88" i="4" l="1"/>
  <c r="B163" i="8"/>
  <c r="H162" i="8"/>
  <c r="C110" i="5"/>
  <c r="C126" i="5"/>
  <c r="E125" i="5"/>
  <c r="D126" i="5" s="1"/>
  <c r="B159" i="6"/>
  <c r="H158" i="6"/>
  <c r="B125" i="4"/>
  <c r="B5" i="3"/>
  <c r="G63" i="2"/>
  <c r="C123" i="4" l="1"/>
  <c r="G123" i="4" s="1"/>
  <c r="G86" i="4"/>
  <c r="C124" i="4"/>
  <c r="G124" i="4" s="1"/>
  <c r="C125" i="4"/>
  <c r="G87" i="4"/>
  <c r="C105" i="5" s="1"/>
  <c r="C122" i="4"/>
  <c r="B164" i="8"/>
  <c r="H163" i="8"/>
  <c r="B160" i="6"/>
  <c r="H159" i="6"/>
  <c r="E98" i="5"/>
  <c r="D100" i="5"/>
  <c r="C99" i="5"/>
  <c r="D99" i="5"/>
  <c r="C100" i="5"/>
  <c r="E99" i="5"/>
  <c r="C98" i="5"/>
  <c r="B126" i="4"/>
  <c r="C126" i="4" s="1"/>
  <c r="H125" i="4"/>
  <c r="G64" i="2"/>
  <c r="G77" i="2"/>
  <c r="G78" i="2"/>
  <c r="G122" i="4" l="1"/>
  <c r="G78" i="4"/>
  <c r="C106" i="5"/>
  <c r="E104" i="5"/>
  <c r="D105" i="5"/>
  <c r="D106" i="5"/>
  <c r="E105" i="5"/>
  <c r="I50" i="4"/>
  <c r="C104" i="5"/>
  <c r="B14" i="5"/>
  <c r="B165" i="8"/>
  <c r="H164" i="8"/>
  <c r="H160" i="6"/>
  <c r="B161" i="6"/>
  <c r="G125" i="4"/>
  <c r="G76" i="2"/>
  <c r="G74" i="2"/>
  <c r="G75" i="2"/>
  <c r="B127" i="4"/>
  <c r="C127" i="4" s="1"/>
  <c r="H126" i="4"/>
  <c r="I125" i="4"/>
  <c r="H124" i="4"/>
  <c r="E84" i="3"/>
  <c r="B84" i="3"/>
  <c r="A84" i="3" s="1"/>
  <c r="E95" i="3"/>
  <c r="E90" i="3"/>
  <c r="E89" i="3"/>
  <c r="D90" i="3"/>
  <c r="D89" i="3"/>
  <c r="C90" i="3"/>
  <c r="C89" i="3"/>
  <c r="B95" i="3"/>
  <c r="A95" i="3" s="1"/>
  <c r="B90" i="3"/>
  <c r="A90" i="3" s="1"/>
  <c r="B89" i="3"/>
  <c r="A89" i="3" s="1"/>
  <c r="B80" i="3"/>
  <c r="H165" i="8" l="1"/>
  <c r="B166" i="8"/>
  <c r="H161" i="6"/>
  <c r="B162" i="6"/>
  <c r="I124" i="4"/>
  <c r="B81" i="3"/>
  <c r="A80" i="3"/>
  <c r="G126" i="4"/>
  <c r="I126" i="4"/>
  <c r="H127" i="4"/>
  <c r="B128" i="4"/>
  <c r="C128" i="4" s="1"/>
  <c r="H123" i="4"/>
  <c r="K110" i="2"/>
  <c r="H166" i="8" l="1"/>
  <c r="B167" i="8"/>
  <c r="B163" i="6"/>
  <c r="H162" i="6"/>
  <c r="I122" i="4"/>
  <c r="I123" i="4"/>
  <c r="B82" i="3"/>
  <c r="A81" i="3"/>
  <c r="G127" i="4"/>
  <c r="I127" i="4"/>
  <c r="H128" i="4"/>
  <c r="B129" i="4"/>
  <c r="C129" i="4" s="1"/>
  <c r="H116" i="2"/>
  <c r="B168" i="8" l="1"/>
  <c r="H167" i="8"/>
  <c r="H163" i="6"/>
  <c r="B164" i="6"/>
  <c r="B83" i="3"/>
  <c r="A83" i="3" s="1"/>
  <c r="A82" i="3"/>
  <c r="I128" i="4"/>
  <c r="H129" i="4"/>
  <c r="B130" i="4"/>
  <c r="C130" i="4" s="1"/>
  <c r="G128" i="4"/>
  <c r="B169" i="8" l="1"/>
  <c r="H168" i="8"/>
  <c r="H164" i="6"/>
  <c r="B165" i="6"/>
  <c r="G129" i="4"/>
  <c r="I129" i="4"/>
  <c r="H130" i="4"/>
  <c r="B131" i="4"/>
  <c r="C131" i="4" s="1"/>
  <c r="F46" i="2"/>
  <c r="G65" i="2" s="1"/>
  <c r="B170" i="8" l="1"/>
  <c r="H169" i="8"/>
  <c r="B166" i="6"/>
  <c r="H165" i="6"/>
  <c r="G130" i="4"/>
  <c r="I130" i="4"/>
  <c r="H131" i="4"/>
  <c r="B132" i="4"/>
  <c r="C132" i="4" s="1"/>
  <c r="B13" i="3"/>
  <c r="G62" i="2"/>
  <c r="G79" i="2" s="1"/>
  <c r="B171" i="8" l="1"/>
  <c r="H170" i="8"/>
  <c r="H166" i="6"/>
  <c r="B167" i="6"/>
  <c r="G131" i="4"/>
  <c r="I131" i="4"/>
  <c r="B133" i="4"/>
  <c r="C133" i="4" s="1"/>
  <c r="H132" i="4"/>
  <c r="D80" i="3"/>
  <c r="E80" i="3" s="1"/>
  <c r="C94" i="3"/>
  <c r="C84" i="3"/>
  <c r="D82" i="3"/>
  <c r="E82" i="3" s="1"/>
  <c r="D83" i="3"/>
  <c r="E83" i="3" s="1"/>
  <c r="D84" i="3"/>
  <c r="E79" i="3" s="1"/>
  <c r="C79" i="3"/>
  <c r="C82" i="3"/>
  <c r="D81" i="3"/>
  <c r="E81" i="3" s="1"/>
  <c r="C80" i="3"/>
  <c r="C83" i="3"/>
  <c r="C81" i="3"/>
  <c r="B172" i="8" l="1"/>
  <c r="H171" i="8"/>
  <c r="B168" i="6"/>
  <c r="H167" i="6"/>
  <c r="G132" i="4"/>
  <c r="I132" i="4"/>
  <c r="B134" i="4"/>
  <c r="C134" i="4" s="1"/>
  <c r="H133" i="4"/>
  <c r="C95" i="3"/>
  <c r="E94" i="3"/>
  <c r="D95" i="3" s="1"/>
  <c r="B173" i="8" l="1"/>
  <c r="H172" i="8"/>
  <c r="B169" i="6"/>
  <c r="H168" i="6"/>
  <c r="I133" i="4"/>
  <c r="B135" i="4"/>
  <c r="C135" i="4" s="1"/>
  <c r="H134" i="4"/>
  <c r="G133" i="4"/>
  <c r="B117" i="2"/>
  <c r="B115" i="2"/>
  <c r="H115" i="2" l="1"/>
  <c r="H117" i="2"/>
  <c r="B174" i="8"/>
  <c r="H173" i="8"/>
  <c r="H169" i="6"/>
  <c r="B170" i="6"/>
  <c r="I134" i="4"/>
  <c r="G75" i="4" s="1"/>
  <c r="B136" i="4"/>
  <c r="C136" i="4" s="1"/>
  <c r="H135" i="4"/>
  <c r="G134" i="4"/>
  <c r="B118" i="2"/>
  <c r="B114" i="2"/>
  <c r="H114" i="2" l="1"/>
  <c r="H118" i="2"/>
  <c r="B175" i="8"/>
  <c r="H174" i="8"/>
  <c r="H170" i="6"/>
  <c r="B171" i="6"/>
  <c r="I135" i="4"/>
  <c r="H136" i="4"/>
  <c r="B137" i="4"/>
  <c r="C137" i="4" s="1"/>
  <c r="G135" i="4"/>
  <c r="C127" i="2"/>
  <c r="C128" i="2"/>
  <c r="C130" i="2"/>
  <c r="C119" i="2"/>
  <c r="C129" i="2"/>
  <c r="C120" i="2"/>
  <c r="G73" i="2"/>
  <c r="G72" i="2"/>
  <c r="B119" i="2"/>
  <c r="B113" i="2"/>
  <c r="C142" i="2" l="1"/>
  <c r="C140" i="2"/>
  <c r="C143" i="2"/>
  <c r="C141" i="2"/>
  <c r="H113" i="2"/>
  <c r="H119" i="2"/>
  <c r="I119" i="2" s="1"/>
  <c r="O119" i="2"/>
  <c r="B176" i="8"/>
  <c r="H175" i="8"/>
  <c r="G129" i="2"/>
  <c r="G119" i="2"/>
  <c r="G128" i="2"/>
  <c r="G127" i="2"/>
  <c r="G130" i="2"/>
  <c r="G120" i="2"/>
  <c r="H171" i="6"/>
  <c r="B172" i="6"/>
  <c r="G136" i="4"/>
  <c r="B138" i="4"/>
  <c r="C138" i="4" s="1"/>
  <c r="H137" i="4"/>
  <c r="I136" i="4"/>
  <c r="C121" i="2"/>
  <c r="C123" i="2"/>
  <c r="C125" i="2"/>
  <c r="C122" i="2"/>
  <c r="C124" i="2"/>
  <c r="C126" i="2"/>
  <c r="C135" i="2"/>
  <c r="C137" i="2"/>
  <c r="C134" i="2"/>
  <c r="C136" i="2"/>
  <c r="C139" i="2"/>
  <c r="C132" i="2"/>
  <c r="C138" i="2"/>
  <c r="C131" i="2"/>
  <c r="C133" i="2"/>
  <c r="C117" i="2"/>
  <c r="C110" i="2"/>
  <c r="B14" i="3" s="1"/>
  <c r="C118" i="2"/>
  <c r="O118" i="2" s="1"/>
  <c r="C111" i="2"/>
  <c r="C112" i="2"/>
  <c r="C113" i="2"/>
  <c r="C114" i="2"/>
  <c r="C115" i="2"/>
  <c r="C116" i="2"/>
  <c r="B120" i="2"/>
  <c r="B112" i="2"/>
  <c r="G142" i="2" l="1"/>
  <c r="G141" i="2"/>
  <c r="G140" i="2"/>
  <c r="G143" i="2"/>
  <c r="H112" i="2"/>
  <c r="I112" i="2" s="1"/>
  <c r="O112" i="2"/>
  <c r="H120" i="2"/>
  <c r="I120" i="2" s="1"/>
  <c r="O120" i="2"/>
  <c r="B177" i="8"/>
  <c r="H176" i="8"/>
  <c r="G135" i="2"/>
  <c r="G138" i="2"/>
  <c r="G132" i="2"/>
  <c r="G133" i="2"/>
  <c r="G139" i="2"/>
  <c r="G137" i="2"/>
  <c r="G136" i="2"/>
  <c r="G134" i="2"/>
  <c r="H172" i="6"/>
  <c r="B173" i="6"/>
  <c r="G117" i="2"/>
  <c r="O117" i="2"/>
  <c r="G114" i="2"/>
  <c r="O114" i="2"/>
  <c r="G112" i="2"/>
  <c r="G116" i="2"/>
  <c r="O116" i="2"/>
  <c r="G115" i="2"/>
  <c r="O115" i="2"/>
  <c r="G111" i="2"/>
  <c r="G113" i="2"/>
  <c r="O113" i="2"/>
  <c r="G110" i="2"/>
  <c r="G137" i="4"/>
  <c r="I137" i="4"/>
  <c r="B139" i="4"/>
  <c r="C139" i="4" s="1"/>
  <c r="H138" i="4"/>
  <c r="G125" i="2"/>
  <c r="G123" i="2"/>
  <c r="G131" i="2"/>
  <c r="G121" i="2"/>
  <c r="G126" i="2"/>
  <c r="G124" i="2"/>
  <c r="G118" i="2"/>
  <c r="G122" i="2"/>
  <c r="I113" i="2"/>
  <c r="I117" i="2"/>
  <c r="I116" i="2"/>
  <c r="I118" i="2"/>
  <c r="I115" i="2"/>
  <c r="I114" i="2"/>
  <c r="B121" i="2"/>
  <c r="B111" i="2"/>
  <c r="H121" i="2" l="1"/>
  <c r="I121" i="2" s="1"/>
  <c r="O121" i="2"/>
  <c r="H111" i="2"/>
  <c r="I111" i="2" s="1"/>
  <c r="O111" i="2"/>
  <c r="B178" i="8"/>
  <c r="H177" i="8"/>
  <c r="H173" i="6"/>
  <c r="B174" i="6"/>
  <c r="G138" i="4"/>
  <c r="I138" i="4"/>
  <c r="B140" i="4"/>
  <c r="C140" i="4" s="1"/>
  <c r="H139" i="4"/>
  <c r="B122" i="2"/>
  <c r="B110" i="2"/>
  <c r="H122" i="2" l="1"/>
  <c r="I122" i="2" s="1"/>
  <c r="G66" i="2" s="1"/>
  <c r="H41" i="2" s="1"/>
  <c r="H110" i="2"/>
  <c r="I110" i="2" s="1"/>
  <c r="L110" i="2" s="1"/>
  <c r="B179" i="8"/>
  <c r="H178" i="8"/>
  <c r="B175" i="6"/>
  <c r="H174" i="6"/>
  <c r="H47" i="4"/>
  <c r="H48" i="4"/>
  <c r="H50" i="4"/>
  <c r="H51" i="4"/>
  <c r="I139" i="4"/>
  <c r="B141" i="4"/>
  <c r="C141" i="4" s="1"/>
  <c r="H140" i="4"/>
  <c r="G139" i="4"/>
  <c r="B123" i="2"/>
  <c r="H123" i="2" s="1"/>
  <c r="I123" i="2" s="1"/>
  <c r="B176" i="6" l="1"/>
  <c r="M110" i="2"/>
  <c r="H38" i="2"/>
  <c r="H40" i="2"/>
  <c r="H42" i="2"/>
  <c r="O110" i="2"/>
  <c r="O122" i="2"/>
  <c r="B180" i="8"/>
  <c r="H179" i="8"/>
  <c r="H175" i="6"/>
  <c r="G76" i="4"/>
  <c r="I140" i="4"/>
  <c r="G140" i="4"/>
  <c r="H141" i="4"/>
  <c r="B142" i="4"/>
  <c r="B124" i="2"/>
  <c r="H124" i="2" s="1"/>
  <c r="I124" i="2" s="1"/>
  <c r="B177" i="6" l="1"/>
  <c r="C142" i="4"/>
  <c r="Q110" i="2"/>
  <c r="B99" i="3" s="1"/>
  <c r="A99" i="3" s="1"/>
  <c r="J140" i="4"/>
  <c r="G67" i="2"/>
  <c r="B181" i="8"/>
  <c r="H180" i="8"/>
  <c r="H176" i="6"/>
  <c r="J127" i="4"/>
  <c r="B12" i="5"/>
  <c r="J126" i="4"/>
  <c r="J124" i="4"/>
  <c r="J125" i="4"/>
  <c r="J130" i="4"/>
  <c r="J122" i="4"/>
  <c r="J132" i="4"/>
  <c r="J123" i="4"/>
  <c r="J128" i="4"/>
  <c r="J129" i="4"/>
  <c r="J131" i="4"/>
  <c r="J133" i="4"/>
  <c r="J134" i="4"/>
  <c r="J135" i="4"/>
  <c r="J136" i="4"/>
  <c r="J137" i="4"/>
  <c r="J138" i="4"/>
  <c r="J139" i="4"/>
  <c r="I141" i="4"/>
  <c r="B143" i="4"/>
  <c r="H142" i="4"/>
  <c r="G141" i="4"/>
  <c r="J141" i="4"/>
  <c r="B125" i="2"/>
  <c r="H125" i="2" s="1"/>
  <c r="I125" i="2" s="1"/>
  <c r="B182" i="8" l="1"/>
  <c r="B178" i="6"/>
  <c r="C143" i="4"/>
  <c r="J123" i="2"/>
  <c r="J140" i="2"/>
  <c r="J143" i="2"/>
  <c r="J141" i="2"/>
  <c r="J142" i="2"/>
  <c r="B18" i="3"/>
  <c r="A18" i="3" s="1"/>
  <c r="J126" i="2"/>
  <c r="J110" i="2"/>
  <c r="J137" i="2"/>
  <c r="J120" i="2"/>
  <c r="J129" i="2"/>
  <c r="J116" i="2"/>
  <c r="J127" i="2"/>
  <c r="J133" i="2"/>
  <c r="J138" i="2"/>
  <c r="J135" i="2"/>
  <c r="J113" i="2"/>
  <c r="J122" i="2"/>
  <c r="J131" i="2"/>
  <c r="B12" i="3"/>
  <c r="J125" i="2"/>
  <c r="J121" i="2"/>
  <c r="J111" i="2"/>
  <c r="J136" i="2"/>
  <c r="J114" i="2"/>
  <c r="J128" i="2"/>
  <c r="J119" i="2"/>
  <c r="J139" i="2"/>
  <c r="J124" i="2"/>
  <c r="J130" i="2"/>
  <c r="J132" i="2"/>
  <c r="J115" i="2"/>
  <c r="J134" i="2"/>
  <c r="J118" i="2"/>
  <c r="J117" i="2"/>
  <c r="J112" i="2"/>
  <c r="H181" i="8"/>
  <c r="H177" i="6"/>
  <c r="I142" i="4"/>
  <c r="B144" i="4"/>
  <c r="H143" i="4"/>
  <c r="G142" i="4"/>
  <c r="J142" i="4"/>
  <c r="B126" i="2"/>
  <c r="H126" i="2" s="1"/>
  <c r="I126" i="2" s="1"/>
  <c r="B183" i="8" l="1"/>
  <c r="H182" i="8"/>
  <c r="B179" i="6"/>
  <c r="C144" i="4"/>
  <c r="H178" i="6"/>
  <c r="I143" i="4"/>
  <c r="H144" i="4"/>
  <c r="B145" i="4"/>
  <c r="J143" i="4"/>
  <c r="G143" i="4"/>
  <c r="B127" i="2"/>
  <c r="H127" i="2" s="1"/>
  <c r="I127" i="2" s="1"/>
  <c r="H183" i="8" l="1"/>
  <c r="B184" i="8"/>
  <c r="B180" i="6"/>
  <c r="C145" i="4"/>
  <c r="H179" i="6"/>
  <c r="B146" i="4"/>
  <c r="H145" i="4"/>
  <c r="I144" i="4"/>
  <c r="J144" i="4"/>
  <c r="G144" i="4"/>
  <c r="B128" i="2"/>
  <c r="H128" i="2" s="1"/>
  <c r="I128" i="2" s="1"/>
  <c r="B185" i="8" l="1"/>
  <c r="H184" i="8"/>
  <c r="B181" i="6"/>
  <c r="C146" i="4"/>
  <c r="H180" i="6"/>
  <c r="J145" i="4"/>
  <c r="G145" i="4"/>
  <c r="I145" i="4"/>
  <c r="H146" i="4"/>
  <c r="B147" i="4"/>
  <c r="B129" i="2"/>
  <c r="H129" i="2" s="1"/>
  <c r="I129" i="2" s="1"/>
  <c r="B186" i="8" l="1"/>
  <c r="B187" i="8" s="1"/>
  <c r="H185" i="8"/>
  <c r="B182" i="6"/>
  <c r="C147" i="4"/>
  <c r="H181" i="6"/>
  <c r="B148" i="4"/>
  <c r="H147" i="4"/>
  <c r="J146" i="4"/>
  <c r="G146" i="4"/>
  <c r="I146" i="4"/>
  <c r="B130" i="2"/>
  <c r="H130" i="2" s="1"/>
  <c r="I130" i="2" s="1"/>
  <c r="H186" i="8" l="1"/>
  <c r="B183" i="6"/>
  <c r="C148" i="4"/>
  <c r="B188" i="8"/>
  <c r="H187" i="8"/>
  <c r="H182" i="6"/>
  <c r="I147" i="4"/>
  <c r="B149" i="4"/>
  <c r="H148" i="4"/>
  <c r="J147" i="4"/>
  <c r="G147" i="4"/>
  <c r="B131" i="2"/>
  <c r="H131" i="2" s="1"/>
  <c r="I131" i="2" s="1"/>
  <c r="B184" i="6" l="1"/>
  <c r="C149" i="4"/>
  <c r="H188" i="8"/>
  <c r="B189" i="8"/>
  <c r="H183" i="6"/>
  <c r="I148" i="4"/>
  <c r="B150" i="4"/>
  <c r="H149" i="4"/>
  <c r="J148" i="4"/>
  <c r="G148" i="4"/>
  <c r="B132" i="2"/>
  <c r="H132" i="2" s="1"/>
  <c r="I132" i="2" s="1"/>
  <c r="H189" i="8" l="1"/>
  <c r="B185" i="6"/>
  <c r="C150" i="4"/>
  <c r="H184" i="6"/>
  <c r="I149" i="4"/>
  <c r="B151" i="4"/>
  <c r="H150" i="4"/>
  <c r="J149" i="4"/>
  <c r="G149" i="4"/>
  <c r="B133" i="2"/>
  <c r="H133" i="2" s="1"/>
  <c r="I133" i="2" s="1"/>
  <c r="B186" i="6" l="1"/>
  <c r="C151" i="4"/>
  <c r="H185" i="6"/>
  <c r="I150" i="4"/>
  <c r="B152" i="4"/>
  <c r="C152" i="4" s="1"/>
  <c r="H151" i="4"/>
  <c r="J150" i="4"/>
  <c r="G150" i="4"/>
  <c r="B134" i="2"/>
  <c r="B187" i="6" l="1"/>
  <c r="H134" i="2"/>
  <c r="H186" i="6"/>
  <c r="B153" i="4"/>
  <c r="C153" i="4" s="1"/>
  <c r="I151" i="4"/>
  <c r="H152" i="4"/>
  <c r="G151" i="4"/>
  <c r="J151" i="4"/>
  <c r="B135" i="2"/>
  <c r="B188" i="6" l="1"/>
  <c r="H135" i="2"/>
  <c r="I135" i="2" s="1"/>
  <c r="I134" i="2"/>
  <c r="H187" i="6"/>
  <c r="H153" i="4"/>
  <c r="B154" i="4"/>
  <c r="C154" i="4" s="1"/>
  <c r="I152" i="4"/>
  <c r="G152" i="4"/>
  <c r="J152" i="4"/>
  <c r="B136" i="2"/>
  <c r="B189" i="6" l="1"/>
  <c r="H136" i="2"/>
  <c r="I136" i="2" s="1"/>
  <c r="H188" i="6"/>
  <c r="I153" i="4"/>
  <c r="G153" i="4"/>
  <c r="J153" i="4"/>
  <c r="H154" i="4"/>
  <c r="B155" i="4"/>
  <c r="C155" i="4" s="1"/>
  <c r="B137" i="2"/>
  <c r="B190" i="6" l="1"/>
  <c r="H137" i="2"/>
  <c r="I137" i="2" s="1"/>
  <c r="H189" i="6"/>
  <c r="B156" i="4"/>
  <c r="H155" i="4"/>
  <c r="G154" i="4"/>
  <c r="J154" i="4"/>
  <c r="I154" i="4"/>
  <c r="B138" i="2"/>
  <c r="B191" i="6" l="1"/>
  <c r="C156" i="4"/>
  <c r="B157" i="4"/>
  <c r="H138" i="2"/>
  <c r="I138" i="2" s="1"/>
  <c r="H190" i="6"/>
  <c r="G155" i="4"/>
  <c r="J155" i="4"/>
  <c r="I155" i="4"/>
  <c r="H156" i="4"/>
  <c r="B139" i="2"/>
  <c r="B192" i="6" l="1"/>
  <c r="C157" i="4"/>
  <c r="H157" i="4"/>
  <c r="B158" i="4"/>
  <c r="H139" i="2"/>
  <c r="I139" i="2" s="1"/>
  <c r="B140" i="2"/>
  <c r="H191" i="6"/>
  <c r="G156" i="4"/>
  <c r="J156" i="4"/>
  <c r="I156" i="4"/>
  <c r="C18" i="3"/>
  <c r="C73" i="3"/>
  <c r="E73" i="3"/>
  <c r="C74" i="3"/>
  <c r="D74" i="3"/>
  <c r="E74" i="3"/>
  <c r="C75" i="3"/>
  <c r="D75" i="3"/>
  <c r="C67" i="3"/>
  <c r="E67" i="3"/>
  <c r="C68" i="3"/>
  <c r="D68" i="3"/>
  <c r="E68" i="3"/>
  <c r="C69" i="3"/>
  <c r="D69" i="3"/>
  <c r="H192" i="6" l="1"/>
  <c r="C158" i="4"/>
  <c r="G157" i="4"/>
  <c r="J157" i="4"/>
  <c r="H158" i="4"/>
  <c r="I157" i="4"/>
  <c r="H140" i="2"/>
  <c r="I140" i="2" s="1"/>
  <c r="B141" i="2"/>
  <c r="G158" i="4" l="1"/>
  <c r="J158" i="4"/>
  <c r="I158" i="4"/>
  <c r="H141" i="2"/>
  <c r="I141" i="2" s="1"/>
  <c r="B142" i="2"/>
  <c r="G80" i="11"/>
  <c r="I80" i="11"/>
  <c r="G81" i="11"/>
  <c r="I81" i="11"/>
  <c r="G82" i="11"/>
  <c r="I82" i="11"/>
  <c r="G83" i="11"/>
  <c r="I83" i="11"/>
  <c r="G84" i="11"/>
  <c r="I84" i="11"/>
  <c r="G85" i="11"/>
  <c r="I85" i="11"/>
  <c r="G86" i="11"/>
  <c r="I86" i="11"/>
  <c r="G87" i="11"/>
  <c r="I87" i="11"/>
  <c r="G88" i="11"/>
  <c r="I88" i="11"/>
  <c r="G89" i="11"/>
  <c r="I89" i="11"/>
  <c r="G90" i="11"/>
  <c r="I90" i="11"/>
  <c r="G91" i="11"/>
  <c r="I91" i="11"/>
  <c r="G92" i="11"/>
  <c r="I92" i="11"/>
  <c r="G93" i="11"/>
  <c r="I93" i="11"/>
  <c r="G94" i="11"/>
  <c r="I94" i="11"/>
  <c r="H142" i="2" l="1"/>
  <c r="I142" i="2" s="1"/>
  <c r="B143" i="2"/>
  <c r="H143" i="2" s="1"/>
  <c r="I143" i="2" s="1"/>
  <c r="G49" i="11"/>
  <c r="B15" i="12" s="1"/>
  <c r="B18" i="12" l="1"/>
  <c r="K63" i="6" l="1"/>
  <c r="K65" i="6"/>
  <c r="K62" i="6"/>
  <c r="K59" i="6"/>
  <c r="K66" i="6"/>
  <c r="K57" i="6"/>
  <c r="K60" i="8"/>
  <c r="K65" i="8"/>
  <c r="K60" i="6" l="1"/>
  <c r="K59" i="8" l="1"/>
  <c r="K61" i="8"/>
  <c r="K64" i="6"/>
  <c r="K58" i="6"/>
  <c r="K61" i="6"/>
  <c r="G97" i="4"/>
  <c r="G98" i="4"/>
  <c r="G100" i="4"/>
  <c r="G101" i="4"/>
  <c r="K122" i="4"/>
  <c r="L122" i="4"/>
  <c r="M122" i="4"/>
  <c r="N122" i="4"/>
  <c r="O122" i="4"/>
  <c r="P122" i="4"/>
  <c r="Q122" i="4"/>
  <c r="R122" i="4"/>
  <c r="D123" i="4"/>
  <c r="E123" i="4"/>
  <c r="F123" i="4"/>
  <c r="K123" i="4"/>
  <c r="L123" i="4"/>
  <c r="M123" i="4"/>
  <c r="N123" i="4"/>
  <c r="O123" i="4"/>
  <c r="P123" i="4"/>
  <c r="Q123" i="4"/>
  <c r="R123" i="4"/>
  <c r="D124" i="4"/>
  <c r="E124" i="4"/>
  <c r="F124" i="4"/>
  <c r="K124" i="4"/>
  <c r="L124" i="4"/>
  <c r="M124" i="4"/>
  <c r="N124" i="4"/>
  <c r="O124" i="4"/>
  <c r="P124" i="4"/>
  <c r="Q124" i="4"/>
  <c r="R124" i="4"/>
  <c r="D125" i="4"/>
  <c r="E125" i="4"/>
  <c r="F125" i="4"/>
  <c r="K125" i="4"/>
  <c r="L125" i="4"/>
  <c r="M125" i="4"/>
  <c r="N125" i="4"/>
  <c r="O125" i="4"/>
  <c r="P125" i="4"/>
  <c r="Q125" i="4"/>
  <c r="R125" i="4"/>
  <c r="D126" i="4"/>
  <c r="E126" i="4"/>
  <c r="F126" i="4"/>
  <c r="K126" i="4"/>
  <c r="L126" i="4"/>
  <c r="M126" i="4"/>
  <c r="N126" i="4"/>
  <c r="O126" i="4"/>
  <c r="P126" i="4"/>
  <c r="Q126" i="4"/>
  <c r="R126" i="4"/>
  <c r="D127" i="4"/>
  <c r="E127" i="4"/>
  <c r="F127" i="4"/>
  <c r="K127" i="4"/>
  <c r="L127" i="4"/>
  <c r="M127" i="4"/>
  <c r="N127" i="4"/>
  <c r="O127" i="4"/>
  <c r="P127" i="4"/>
  <c r="Q127" i="4"/>
  <c r="R127" i="4"/>
  <c r="D128" i="4"/>
  <c r="E128" i="4"/>
  <c r="F128" i="4"/>
  <c r="K128" i="4"/>
  <c r="L128" i="4"/>
  <c r="M128" i="4"/>
  <c r="N128" i="4"/>
  <c r="O128" i="4"/>
  <c r="P128" i="4"/>
  <c r="Q128" i="4"/>
  <c r="R128" i="4"/>
  <c r="D129" i="4"/>
  <c r="E129" i="4"/>
  <c r="F129" i="4"/>
  <c r="K129" i="4"/>
  <c r="L129" i="4"/>
  <c r="M129" i="4"/>
  <c r="N129" i="4"/>
  <c r="O129" i="4"/>
  <c r="P129" i="4"/>
  <c r="Q129" i="4"/>
  <c r="R129" i="4"/>
  <c r="D130" i="4"/>
  <c r="E130" i="4"/>
  <c r="F130" i="4"/>
  <c r="K130" i="4"/>
  <c r="L130" i="4"/>
  <c r="M130" i="4"/>
  <c r="N130" i="4"/>
  <c r="O130" i="4"/>
  <c r="P130" i="4"/>
  <c r="Q130" i="4"/>
  <c r="R130" i="4"/>
  <c r="D131" i="4"/>
  <c r="E131" i="4"/>
  <c r="F131" i="4"/>
  <c r="K131" i="4"/>
  <c r="L131" i="4"/>
  <c r="M131" i="4"/>
  <c r="N131" i="4"/>
  <c r="O131" i="4"/>
  <c r="P131" i="4"/>
  <c r="Q131" i="4"/>
  <c r="R131" i="4"/>
  <c r="D132" i="4"/>
  <c r="E132" i="4"/>
  <c r="F132" i="4"/>
  <c r="K132" i="4"/>
  <c r="L132" i="4"/>
  <c r="M132" i="4"/>
  <c r="N132" i="4"/>
  <c r="O132" i="4"/>
  <c r="P132" i="4"/>
  <c r="Q132" i="4"/>
  <c r="R132" i="4"/>
  <c r="D133" i="4"/>
  <c r="E133" i="4"/>
  <c r="F133" i="4"/>
  <c r="K133" i="4"/>
  <c r="L133" i="4"/>
  <c r="M133" i="4"/>
  <c r="N133" i="4"/>
  <c r="O133" i="4"/>
  <c r="P133" i="4"/>
  <c r="Q133" i="4"/>
  <c r="R133" i="4"/>
  <c r="D134" i="4"/>
  <c r="E134" i="4"/>
  <c r="F134" i="4"/>
  <c r="K134" i="4"/>
  <c r="L134" i="4"/>
  <c r="M134" i="4"/>
  <c r="N134" i="4"/>
  <c r="O134" i="4"/>
  <c r="P134" i="4"/>
  <c r="Q134" i="4"/>
  <c r="R134" i="4"/>
  <c r="D135" i="4"/>
  <c r="E135" i="4"/>
  <c r="F135" i="4"/>
  <c r="K135" i="4"/>
  <c r="L135" i="4"/>
  <c r="M135" i="4"/>
  <c r="N135" i="4"/>
  <c r="O135" i="4"/>
  <c r="P135" i="4"/>
  <c r="Q135" i="4"/>
  <c r="R135" i="4"/>
  <c r="D136" i="4"/>
  <c r="E136" i="4"/>
  <c r="F136" i="4"/>
  <c r="K136" i="4"/>
  <c r="L136" i="4"/>
  <c r="M136" i="4"/>
  <c r="N136" i="4"/>
  <c r="O136" i="4"/>
  <c r="P136" i="4"/>
  <c r="Q136" i="4"/>
  <c r="R136" i="4"/>
  <c r="D137" i="4"/>
  <c r="E137" i="4"/>
  <c r="F137" i="4"/>
  <c r="K137" i="4"/>
  <c r="L137" i="4"/>
  <c r="M137" i="4"/>
  <c r="N137" i="4"/>
  <c r="O137" i="4"/>
  <c r="P137" i="4"/>
  <c r="Q137" i="4"/>
  <c r="R137" i="4"/>
  <c r="D138" i="4"/>
  <c r="E138" i="4"/>
  <c r="F138" i="4"/>
  <c r="K138" i="4"/>
  <c r="L138" i="4"/>
  <c r="M138" i="4"/>
  <c r="N138" i="4"/>
  <c r="O138" i="4"/>
  <c r="P138" i="4"/>
  <c r="Q138" i="4"/>
  <c r="R138" i="4"/>
  <c r="D139" i="4"/>
  <c r="E139" i="4"/>
  <c r="F139" i="4"/>
  <c r="K139" i="4"/>
  <c r="L139" i="4"/>
  <c r="M139" i="4"/>
  <c r="N139" i="4"/>
  <c r="O139" i="4"/>
  <c r="P139" i="4"/>
  <c r="Q139" i="4"/>
  <c r="R139" i="4"/>
  <c r="D140" i="4"/>
  <c r="E140" i="4"/>
  <c r="F140" i="4"/>
  <c r="K140" i="4"/>
  <c r="L140" i="4"/>
  <c r="M140" i="4"/>
  <c r="N140" i="4"/>
  <c r="O140" i="4"/>
  <c r="P140" i="4"/>
  <c r="Q140" i="4"/>
  <c r="R140" i="4"/>
  <c r="D141" i="4"/>
  <c r="E141" i="4"/>
  <c r="F141" i="4"/>
  <c r="K141" i="4"/>
  <c r="L141" i="4"/>
  <c r="M141" i="4"/>
  <c r="N141" i="4"/>
  <c r="O141" i="4"/>
  <c r="P141" i="4"/>
  <c r="Q141" i="4"/>
  <c r="R141" i="4"/>
  <c r="D142" i="4"/>
  <c r="E142" i="4"/>
  <c r="F142" i="4"/>
  <c r="K142" i="4"/>
  <c r="L142" i="4"/>
  <c r="M142" i="4"/>
  <c r="N142" i="4"/>
  <c r="O142" i="4"/>
  <c r="P142" i="4"/>
  <c r="Q142" i="4"/>
  <c r="R142" i="4"/>
  <c r="D143" i="4"/>
  <c r="E143" i="4"/>
  <c r="F143" i="4"/>
  <c r="K143" i="4"/>
  <c r="L143" i="4"/>
  <c r="M143" i="4"/>
  <c r="N143" i="4"/>
  <c r="O143" i="4"/>
  <c r="P143" i="4"/>
  <c r="Q143" i="4"/>
  <c r="R143" i="4"/>
  <c r="D144" i="4"/>
  <c r="E144" i="4"/>
  <c r="F144" i="4"/>
  <c r="K144" i="4"/>
  <c r="L144" i="4"/>
  <c r="M144" i="4"/>
  <c r="N144" i="4"/>
  <c r="O144" i="4"/>
  <c r="P144" i="4"/>
  <c r="Q144" i="4"/>
  <c r="R144" i="4"/>
  <c r="D145" i="4"/>
  <c r="E145" i="4"/>
  <c r="F145" i="4"/>
  <c r="K145" i="4"/>
  <c r="L145" i="4"/>
  <c r="M145" i="4"/>
  <c r="N145" i="4"/>
  <c r="O145" i="4"/>
  <c r="P145" i="4"/>
  <c r="Q145" i="4"/>
  <c r="R145" i="4"/>
  <c r="D146" i="4"/>
  <c r="E146" i="4"/>
  <c r="F146" i="4"/>
  <c r="K146" i="4"/>
  <c r="L146" i="4"/>
  <c r="M146" i="4"/>
  <c r="N146" i="4"/>
  <c r="O146" i="4"/>
  <c r="P146" i="4"/>
  <c r="Q146" i="4"/>
  <c r="R146" i="4"/>
  <c r="D147" i="4"/>
  <c r="E147" i="4"/>
  <c r="F147" i="4"/>
  <c r="K147" i="4"/>
  <c r="L147" i="4"/>
  <c r="M147" i="4"/>
  <c r="N147" i="4"/>
  <c r="O147" i="4"/>
  <c r="P147" i="4"/>
  <c r="Q147" i="4"/>
  <c r="R147" i="4"/>
  <c r="D148" i="4"/>
  <c r="E148" i="4"/>
  <c r="F148" i="4"/>
  <c r="K148" i="4"/>
  <c r="L148" i="4"/>
  <c r="M148" i="4"/>
  <c r="N148" i="4"/>
  <c r="O148" i="4"/>
  <c r="P148" i="4"/>
  <c r="Q148" i="4"/>
  <c r="R148" i="4"/>
  <c r="D149" i="4"/>
  <c r="E149" i="4"/>
  <c r="F149" i="4"/>
  <c r="K149" i="4"/>
  <c r="L149" i="4"/>
  <c r="M149" i="4"/>
  <c r="N149" i="4"/>
  <c r="O149" i="4"/>
  <c r="P149" i="4"/>
  <c r="Q149" i="4"/>
  <c r="R149" i="4"/>
  <c r="D150" i="4"/>
  <c r="E150" i="4"/>
  <c r="F150" i="4"/>
  <c r="K150" i="4"/>
  <c r="L150" i="4"/>
  <c r="M150" i="4"/>
  <c r="N150" i="4"/>
  <c r="O150" i="4"/>
  <c r="P150" i="4"/>
  <c r="Q150" i="4"/>
  <c r="R150" i="4"/>
  <c r="D151" i="4"/>
  <c r="E151" i="4"/>
  <c r="F151" i="4"/>
  <c r="K151" i="4"/>
  <c r="L151" i="4"/>
  <c r="M151" i="4"/>
  <c r="N151" i="4"/>
  <c r="O151" i="4"/>
  <c r="P151" i="4"/>
  <c r="Q151" i="4"/>
  <c r="R151" i="4"/>
  <c r="D152" i="4"/>
  <c r="E152" i="4"/>
  <c r="F152" i="4"/>
  <c r="K152" i="4"/>
  <c r="L152" i="4"/>
  <c r="M152" i="4"/>
  <c r="N152" i="4"/>
  <c r="O152" i="4"/>
  <c r="P152" i="4"/>
  <c r="Q152" i="4"/>
  <c r="R152" i="4"/>
  <c r="D153" i="4"/>
  <c r="E153" i="4"/>
  <c r="F153" i="4"/>
  <c r="K153" i="4"/>
  <c r="L153" i="4"/>
  <c r="M153" i="4"/>
  <c r="N153" i="4"/>
  <c r="O153" i="4"/>
  <c r="P153" i="4"/>
  <c r="Q153" i="4"/>
  <c r="R153" i="4"/>
  <c r="D154" i="4"/>
  <c r="E154" i="4"/>
  <c r="F154" i="4"/>
  <c r="K154" i="4"/>
  <c r="L154" i="4"/>
  <c r="M154" i="4"/>
  <c r="N154" i="4"/>
  <c r="O154" i="4"/>
  <c r="P154" i="4"/>
  <c r="Q154" i="4"/>
  <c r="R154" i="4"/>
  <c r="D155" i="4"/>
  <c r="E155" i="4"/>
  <c r="F155" i="4"/>
  <c r="K155" i="4"/>
  <c r="L155" i="4"/>
  <c r="M155" i="4"/>
  <c r="N155" i="4"/>
  <c r="O155" i="4"/>
  <c r="P155" i="4"/>
  <c r="Q155" i="4"/>
  <c r="R155" i="4"/>
  <c r="D156" i="4"/>
  <c r="E156" i="4"/>
  <c r="F156" i="4"/>
  <c r="K156" i="4"/>
  <c r="L156" i="4"/>
  <c r="M156" i="4"/>
  <c r="N156" i="4"/>
  <c r="O156" i="4"/>
  <c r="P156" i="4"/>
  <c r="Q156" i="4"/>
  <c r="R156" i="4"/>
  <c r="D157" i="4"/>
  <c r="E157" i="4"/>
  <c r="F157" i="4"/>
  <c r="K157" i="4"/>
  <c r="L157" i="4"/>
  <c r="M157" i="4"/>
  <c r="N157" i="4"/>
  <c r="O157" i="4"/>
  <c r="P157" i="4"/>
  <c r="Q157" i="4"/>
  <c r="R157" i="4"/>
  <c r="D158" i="4"/>
  <c r="E158" i="4"/>
  <c r="F158" i="4"/>
  <c r="K158" i="4"/>
  <c r="L158" i="4"/>
  <c r="M158" i="4"/>
  <c r="N158" i="4"/>
  <c r="O158" i="4"/>
  <c r="P158" i="4"/>
  <c r="Q158" i="4"/>
  <c r="R158" i="4"/>
  <c r="R160" i="4"/>
  <c r="B11" i="5"/>
  <c r="B15" i="5"/>
  <c r="A18" i="5"/>
  <c r="B18" i="5"/>
  <c r="C18" i="5"/>
  <c r="E18" i="5"/>
  <c r="A19" i="5"/>
  <c r="B19" i="5"/>
  <c r="C19" i="5"/>
  <c r="D19" i="5"/>
  <c r="E19" i="5"/>
  <c r="A20" i="5"/>
  <c r="B20" i="5"/>
  <c r="C20" i="5"/>
  <c r="D20" i="5"/>
  <c r="E20" i="5"/>
  <c r="A21" i="5"/>
  <c r="B21" i="5"/>
  <c r="C21" i="5"/>
  <c r="D21" i="5"/>
  <c r="E21" i="5"/>
  <c r="A22" i="5"/>
  <c r="B22" i="5"/>
  <c r="C22" i="5"/>
  <c r="D22" i="5"/>
  <c r="E22" i="5"/>
  <c r="A23" i="5"/>
  <c r="B23" i="5"/>
  <c r="C23" i="5"/>
  <c r="D23" i="5"/>
  <c r="E23" i="5"/>
  <c r="A24" i="5"/>
  <c r="B24" i="5"/>
  <c r="C24" i="5"/>
  <c r="D24" i="5"/>
  <c r="E24" i="5"/>
  <c r="A25" i="5"/>
  <c r="B25" i="5"/>
  <c r="C25" i="5"/>
  <c r="D25" i="5"/>
  <c r="E25" i="5"/>
  <c r="A26" i="5"/>
  <c r="B26" i="5"/>
  <c r="C26" i="5"/>
  <c r="D26" i="5"/>
  <c r="E26" i="5"/>
  <c r="A27" i="5"/>
  <c r="B27" i="5"/>
  <c r="C27" i="5"/>
  <c r="D27" i="5"/>
  <c r="E27" i="5"/>
  <c r="A28" i="5"/>
  <c r="B28" i="5"/>
  <c r="C28" i="5"/>
  <c r="D28" i="5"/>
  <c r="E28" i="5"/>
  <c r="A29" i="5"/>
  <c r="B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A44" i="5"/>
  <c r="B44" i="5"/>
  <c r="C44" i="5"/>
  <c r="D44" i="5"/>
  <c r="E44" i="5"/>
  <c r="A45" i="5"/>
  <c r="B45" i="5"/>
  <c r="C45" i="5"/>
  <c r="D45" i="5"/>
  <c r="E45" i="5"/>
  <c r="A46" i="5"/>
  <c r="B46" i="5"/>
  <c r="C46" i="5"/>
  <c r="D46" i="5"/>
  <c r="E46" i="5"/>
  <c r="A47" i="5"/>
  <c r="B47" i="5"/>
  <c r="C47" i="5"/>
  <c r="D47" i="5"/>
  <c r="E47" i="5"/>
  <c r="A48" i="5"/>
  <c r="B48" i="5"/>
  <c r="C48" i="5"/>
  <c r="D48" i="5"/>
  <c r="E48" i="5"/>
  <c r="A49" i="5"/>
  <c r="B49" i="5"/>
  <c r="C49" i="5"/>
  <c r="D49" i="5"/>
  <c r="E49" i="5"/>
  <c r="A50" i="5"/>
  <c r="B50" i="5"/>
  <c r="C50" i="5"/>
  <c r="D50" i="5"/>
  <c r="E50" i="5"/>
  <c r="A51" i="5"/>
  <c r="B51" i="5"/>
  <c r="C51" i="5"/>
  <c r="D51" i="5"/>
  <c r="E51" i="5"/>
  <c r="A52" i="5"/>
  <c r="B52" i="5"/>
  <c r="C52" i="5"/>
  <c r="D52" i="5"/>
  <c r="E52" i="5"/>
  <c r="A53" i="5"/>
  <c r="B53" i="5"/>
  <c r="C53" i="5"/>
  <c r="D53" i="5"/>
  <c r="E53" i="5"/>
  <c r="A54" i="5"/>
  <c r="B54" i="5"/>
  <c r="C54" i="5"/>
  <c r="D54" i="5"/>
  <c r="E54" i="5"/>
  <c r="A58" i="5"/>
  <c r="B58" i="5"/>
  <c r="C58" i="5"/>
  <c r="E58" i="5"/>
  <c r="A59" i="5"/>
  <c r="B59" i="5"/>
  <c r="C59" i="5"/>
  <c r="D59" i="5"/>
  <c r="E59" i="5"/>
  <c r="A60" i="5"/>
  <c r="B60" i="5"/>
  <c r="C60" i="5"/>
  <c r="D60" i="5"/>
  <c r="E60" i="5"/>
  <c r="A61" i="5"/>
  <c r="B61" i="5"/>
  <c r="C61" i="5"/>
  <c r="D61" i="5"/>
  <c r="E61" i="5"/>
  <c r="A62" i="5"/>
  <c r="B62" i="5"/>
  <c r="C62" i="5"/>
  <c r="D62" i="5"/>
  <c r="E62" i="5"/>
  <c r="A63" i="5"/>
  <c r="B63" i="5"/>
  <c r="C63" i="5"/>
  <c r="D63" i="5"/>
  <c r="E63" i="5"/>
  <c r="A64" i="5"/>
  <c r="B64" i="5"/>
  <c r="C64" i="5"/>
  <c r="D64" i="5"/>
  <c r="E64" i="5"/>
  <c r="A65" i="5"/>
  <c r="B65" i="5"/>
  <c r="C65" i="5"/>
  <c r="D65" i="5"/>
  <c r="E65" i="5"/>
  <c r="A66" i="5"/>
  <c r="B66" i="5"/>
  <c r="C66" i="5"/>
  <c r="D66" i="5"/>
  <c r="E66" i="5"/>
  <c r="A67" i="5"/>
  <c r="B67" i="5"/>
  <c r="C67" i="5"/>
  <c r="D67" i="5"/>
  <c r="E67" i="5"/>
  <c r="A68" i="5"/>
  <c r="B68" i="5"/>
  <c r="C68" i="5"/>
  <c r="D68" i="5"/>
  <c r="E68" i="5"/>
  <c r="A69" i="5"/>
  <c r="B69" i="5"/>
  <c r="C69" i="5"/>
  <c r="D69" i="5"/>
  <c r="E69" i="5"/>
  <c r="A70" i="5"/>
  <c r="B70" i="5"/>
  <c r="C70" i="5"/>
  <c r="D70" i="5"/>
  <c r="E70" i="5"/>
  <c r="A71" i="5"/>
  <c r="B71" i="5"/>
  <c r="C71" i="5"/>
  <c r="D71" i="5"/>
  <c r="E71" i="5"/>
  <c r="A72" i="5"/>
  <c r="B72" i="5"/>
  <c r="C72" i="5"/>
  <c r="D72" i="5"/>
  <c r="E72" i="5"/>
  <c r="A73" i="5"/>
  <c r="B73" i="5"/>
  <c r="C73" i="5"/>
  <c r="D73" i="5"/>
  <c r="E73" i="5"/>
  <c r="A74" i="5"/>
  <c r="B74" i="5"/>
  <c r="C74" i="5"/>
  <c r="D74" i="5"/>
  <c r="E74" i="5"/>
  <c r="A75" i="5"/>
  <c r="B75" i="5"/>
  <c r="C75" i="5"/>
  <c r="D75" i="5"/>
  <c r="E75" i="5"/>
  <c r="A76" i="5"/>
  <c r="B76" i="5"/>
  <c r="C76" i="5"/>
  <c r="D76" i="5"/>
  <c r="E76" i="5"/>
  <c r="A77" i="5"/>
  <c r="B77" i="5"/>
  <c r="C77" i="5"/>
  <c r="D77" i="5"/>
  <c r="E77" i="5"/>
  <c r="A78" i="5"/>
  <c r="B78" i="5"/>
  <c r="C78" i="5"/>
  <c r="D78" i="5"/>
  <c r="E78" i="5"/>
  <c r="A79" i="5"/>
  <c r="B79" i="5"/>
  <c r="C79" i="5"/>
  <c r="D79" i="5"/>
  <c r="E79" i="5"/>
  <c r="A80" i="5"/>
  <c r="B80" i="5"/>
  <c r="C80" i="5"/>
  <c r="D80" i="5"/>
  <c r="E80" i="5"/>
  <c r="A81" i="5"/>
  <c r="B81" i="5"/>
  <c r="C81" i="5"/>
  <c r="D81" i="5"/>
  <c r="E81" i="5"/>
  <c r="A82" i="5"/>
  <c r="B82" i="5"/>
  <c r="C82" i="5"/>
  <c r="D82" i="5"/>
  <c r="E82" i="5"/>
  <c r="A83" i="5"/>
  <c r="B83" i="5"/>
  <c r="C83" i="5"/>
  <c r="D83" i="5"/>
  <c r="E83" i="5"/>
  <c r="A84" i="5"/>
  <c r="B84" i="5"/>
  <c r="C84" i="5"/>
  <c r="D84" i="5"/>
  <c r="E84" i="5"/>
  <c r="A85" i="5"/>
  <c r="B85" i="5"/>
  <c r="C85" i="5"/>
  <c r="D85" i="5"/>
  <c r="E85" i="5"/>
  <c r="A86" i="5"/>
  <c r="B86" i="5"/>
  <c r="C86" i="5"/>
  <c r="D86" i="5"/>
  <c r="E86" i="5"/>
  <c r="A87" i="5"/>
  <c r="B87" i="5"/>
  <c r="C87" i="5"/>
  <c r="D87" i="5"/>
  <c r="E87" i="5"/>
  <c r="A88" i="5"/>
  <c r="B88" i="5"/>
  <c r="C88" i="5"/>
  <c r="D88" i="5"/>
  <c r="E88" i="5"/>
  <c r="A89" i="5"/>
  <c r="B89" i="5"/>
  <c r="C89" i="5"/>
  <c r="D89" i="5"/>
  <c r="E89" i="5"/>
  <c r="A90" i="5"/>
  <c r="B90" i="5"/>
  <c r="C90" i="5"/>
  <c r="D90" i="5"/>
  <c r="E90" i="5"/>
  <c r="A91" i="5"/>
  <c r="B91" i="5"/>
  <c r="C91" i="5"/>
  <c r="D91" i="5"/>
  <c r="E91" i="5"/>
  <c r="A92" i="5"/>
  <c r="B92" i="5"/>
  <c r="C92" i="5"/>
  <c r="D92" i="5"/>
  <c r="E92" i="5"/>
  <c r="A93" i="5"/>
  <c r="B93" i="5"/>
  <c r="C93" i="5"/>
  <c r="D93" i="5"/>
  <c r="E93" i="5"/>
  <c r="A94" i="5"/>
  <c r="B94" i="5"/>
  <c r="C94" i="5"/>
  <c r="D94" i="5"/>
  <c r="E94" i="5"/>
  <c r="A130" i="5"/>
  <c r="B130" i="5"/>
  <c r="C130" i="5"/>
  <c r="E130" i="5"/>
  <c r="A131" i="5"/>
  <c r="B131" i="5"/>
  <c r="C131" i="5"/>
  <c r="D131" i="5"/>
  <c r="E131" i="5"/>
  <c r="A132" i="5"/>
  <c r="B132" i="5"/>
  <c r="C132" i="5"/>
  <c r="D132" i="5"/>
  <c r="E132" i="5"/>
  <c r="A133" i="5"/>
  <c r="B133" i="5"/>
  <c r="C133" i="5"/>
  <c r="D133" i="5"/>
  <c r="E133" i="5"/>
  <c r="A134" i="5"/>
  <c r="B134" i="5"/>
  <c r="C134" i="5"/>
  <c r="D134" i="5"/>
  <c r="E134" i="5"/>
  <c r="A135" i="5"/>
  <c r="B135" i="5"/>
  <c r="C135" i="5"/>
  <c r="D135" i="5"/>
  <c r="E135" i="5"/>
  <c r="A136" i="5"/>
  <c r="B136" i="5"/>
  <c r="C136" i="5"/>
  <c r="D136" i="5"/>
  <c r="E136" i="5"/>
  <c r="A137" i="5"/>
  <c r="B137" i="5"/>
  <c r="C137" i="5"/>
  <c r="D137" i="5"/>
  <c r="E137" i="5"/>
  <c r="A138" i="5"/>
  <c r="B138" i="5"/>
  <c r="C138" i="5"/>
  <c r="D138" i="5"/>
  <c r="E138" i="5"/>
  <c r="A139" i="5"/>
  <c r="B139" i="5"/>
  <c r="C139" i="5"/>
  <c r="D139" i="5"/>
  <c r="E139" i="5"/>
  <c r="A140" i="5"/>
  <c r="B140" i="5"/>
  <c r="C140" i="5"/>
  <c r="D140" i="5"/>
  <c r="E140" i="5"/>
  <c r="A141" i="5"/>
  <c r="B141" i="5"/>
  <c r="C141" i="5"/>
  <c r="D141" i="5"/>
  <c r="E141" i="5"/>
  <c r="A142" i="5"/>
  <c r="B142" i="5"/>
  <c r="C142" i="5"/>
  <c r="D142" i="5"/>
  <c r="E142" i="5"/>
  <c r="A143" i="5"/>
  <c r="B143" i="5"/>
  <c r="C143" i="5"/>
  <c r="D143" i="5"/>
  <c r="E143" i="5"/>
  <c r="A144" i="5"/>
  <c r="B144" i="5"/>
  <c r="C144" i="5"/>
  <c r="D144" i="5"/>
  <c r="E144" i="5"/>
  <c r="A145" i="5"/>
  <c r="B145" i="5"/>
  <c r="C145" i="5"/>
  <c r="D145" i="5"/>
  <c r="E145" i="5"/>
  <c r="A146" i="5"/>
  <c r="B146" i="5"/>
  <c r="C146" i="5"/>
  <c r="D146" i="5"/>
  <c r="E146" i="5"/>
  <c r="A147" i="5"/>
  <c r="B147" i="5"/>
  <c r="C147" i="5"/>
  <c r="D147" i="5"/>
  <c r="E147" i="5"/>
  <c r="A148" i="5"/>
  <c r="B148" i="5"/>
  <c r="C148" i="5"/>
  <c r="D148" i="5"/>
  <c r="E148" i="5"/>
  <c r="A149" i="5"/>
  <c r="B149" i="5"/>
  <c r="C149" i="5"/>
  <c r="D149" i="5"/>
  <c r="E149" i="5"/>
  <c r="A150" i="5"/>
  <c r="B150" i="5"/>
  <c r="C150" i="5"/>
  <c r="D150" i="5"/>
  <c r="E150" i="5"/>
  <c r="A151" i="5"/>
  <c r="B151" i="5"/>
  <c r="C151" i="5"/>
  <c r="D151" i="5"/>
  <c r="E151" i="5"/>
  <c r="A152" i="5"/>
  <c r="B152" i="5"/>
  <c r="C152" i="5"/>
  <c r="D152" i="5"/>
  <c r="E152" i="5"/>
  <c r="A153" i="5"/>
  <c r="B153" i="5"/>
  <c r="C153" i="5"/>
  <c r="D153" i="5"/>
  <c r="E153" i="5"/>
  <c r="A154" i="5"/>
  <c r="B154" i="5"/>
  <c r="C154" i="5"/>
  <c r="D154" i="5"/>
  <c r="E154" i="5"/>
  <c r="A155" i="5"/>
  <c r="B155" i="5"/>
  <c r="C155" i="5"/>
  <c r="D155" i="5"/>
  <c r="E155" i="5"/>
  <c r="A156" i="5"/>
  <c r="B156" i="5"/>
  <c r="C156" i="5"/>
  <c r="D156" i="5"/>
  <c r="E156" i="5"/>
  <c r="A157" i="5"/>
  <c r="B157" i="5"/>
  <c r="C157" i="5"/>
  <c r="D157" i="5"/>
  <c r="E157" i="5"/>
  <c r="A158" i="5"/>
  <c r="B158" i="5"/>
  <c r="C158" i="5"/>
  <c r="D158" i="5"/>
  <c r="E158" i="5"/>
  <c r="A159" i="5"/>
  <c r="B159" i="5"/>
  <c r="C159" i="5"/>
  <c r="D159" i="5"/>
  <c r="E159" i="5"/>
  <c r="A160" i="5"/>
  <c r="B160" i="5"/>
  <c r="C160" i="5"/>
  <c r="D160" i="5"/>
  <c r="E160" i="5"/>
  <c r="A161" i="5"/>
  <c r="B161" i="5"/>
  <c r="C161" i="5"/>
  <c r="D161" i="5"/>
  <c r="E161" i="5"/>
  <c r="A162" i="5"/>
  <c r="B162" i="5"/>
  <c r="C162" i="5"/>
  <c r="D162" i="5"/>
  <c r="E162" i="5"/>
  <c r="A163" i="5"/>
  <c r="B163" i="5"/>
  <c r="C163" i="5"/>
  <c r="D163" i="5"/>
  <c r="E163" i="5"/>
  <c r="A164" i="5"/>
  <c r="B164" i="5"/>
  <c r="C164" i="5"/>
  <c r="D164" i="5"/>
  <c r="E164" i="5"/>
  <c r="A165" i="5"/>
  <c r="B165" i="5"/>
  <c r="C165" i="5"/>
  <c r="D165" i="5"/>
  <c r="E165" i="5"/>
  <c r="A166" i="5"/>
  <c r="B166" i="5"/>
  <c r="C166" i="5"/>
  <c r="D166" i="5"/>
  <c r="E166" i="5"/>
  <c r="G85" i="2"/>
  <c r="G86" i="2"/>
  <c r="G88" i="2"/>
  <c r="G89" i="2"/>
  <c r="D111" i="2"/>
  <c r="E111" i="2"/>
  <c r="F111" i="2"/>
  <c r="K111" i="2"/>
  <c r="L111" i="2"/>
  <c r="M111" i="2"/>
  <c r="N111" i="2"/>
  <c r="Q111" i="2"/>
  <c r="D112" i="2"/>
  <c r="E112" i="2"/>
  <c r="F112" i="2"/>
  <c r="K112" i="2"/>
  <c r="L112" i="2"/>
  <c r="M112" i="2"/>
  <c r="N112" i="2"/>
  <c r="Q112" i="2"/>
  <c r="D113" i="2"/>
  <c r="E113" i="2"/>
  <c r="F113" i="2"/>
  <c r="K113" i="2"/>
  <c r="L113" i="2"/>
  <c r="M113" i="2"/>
  <c r="N113" i="2"/>
  <c r="Q113" i="2"/>
  <c r="D114" i="2"/>
  <c r="E114" i="2"/>
  <c r="F114" i="2"/>
  <c r="K114" i="2"/>
  <c r="L114" i="2"/>
  <c r="M114" i="2"/>
  <c r="N114" i="2"/>
  <c r="Q114" i="2"/>
  <c r="D115" i="2"/>
  <c r="E115" i="2"/>
  <c r="F115" i="2"/>
  <c r="K115" i="2"/>
  <c r="L115" i="2"/>
  <c r="M115" i="2"/>
  <c r="N115" i="2"/>
  <c r="Q115" i="2"/>
  <c r="D116" i="2"/>
  <c r="E116" i="2"/>
  <c r="F116" i="2"/>
  <c r="K116" i="2"/>
  <c r="L116" i="2"/>
  <c r="M116" i="2"/>
  <c r="N116" i="2"/>
  <c r="Q116" i="2"/>
  <c r="D117" i="2"/>
  <c r="E117" i="2"/>
  <c r="F117" i="2"/>
  <c r="K117" i="2"/>
  <c r="L117" i="2"/>
  <c r="M117" i="2"/>
  <c r="N117" i="2"/>
  <c r="Q117" i="2"/>
  <c r="D118" i="2"/>
  <c r="E118" i="2"/>
  <c r="F118" i="2"/>
  <c r="K118" i="2"/>
  <c r="L118" i="2"/>
  <c r="M118" i="2"/>
  <c r="N118" i="2"/>
  <c r="Q118" i="2"/>
  <c r="D119" i="2"/>
  <c r="E119" i="2"/>
  <c r="F119" i="2"/>
  <c r="K119" i="2"/>
  <c r="L119" i="2"/>
  <c r="M119" i="2"/>
  <c r="N119" i="2"/>
  <c r="Q119" i="2"/>
  <c r="D120" i="2"/>
  <c r="E120" i="2"/>
  <c r="F120" i="2"/>
  <c r="K120" i="2"/>
  <c r="L120" i="2"/>
  <c r="M120" i="2"/>
  <c r="N120" i="2"/>
  <c r="Q120" i="2"/>
  <c r="D121" i="2"/>
  <c r="E121" i="2"/>
  <c r="F121" i="2"/>
  <c r="K121" i="2"/>
  <c r="L121" i="2"/>
  <c r="M121" i="2"/>
  <c r="N121" i="2"/>
  <c r="Q121" i="2"/>
  <c r="D122" i="2"/>
  <c r="E122" i="2"/>
  <c r="F122" i="2"/>
  <c r="K122" i="2"/>
  <c r="L122" i="2"/>
  <c r="M122" i="2"/>
  <c r="N122" i="2"/>
  <c r="Q122" i="2"/>
  <c r="D123" i="2"/>
  <c r="E123" i="2"/>
  <c r="F123" i="2"/>
  <c r="K123" i="2"/>
  <c r="L123" i="2"/>
  <c r="M123" i="2"/>
  <c r="N123" i="2"/>
  <c r="O123" i="2"/>
  <c r="P123" i="2"/>
  <c r="Q123" i="2"/>
  <c r="D124" i="2"/>
  <c r="E124" i="2"/>
  <c r="F124" i="2"/>
  <c r="K124" i="2"/>
  <c r="L124" i="2"/>
  <c r="M124" i="2"/>
  <c r="N124" i="2"/>
  <c r="O124" i="2"/>
  <c r="P124" i="2"/>
  <c r="Q124" i="2"/>
  <c r="D125" i="2"/>
  <c r="E125" i="2"/>
  <c r="F125" i="2"/>
  <c r="K125" i="2"/>
  <c r="L125" i="2"/>
  <c r="M125" i="2"/>
  <c r="N125" i="2"/>
  <c r="O125" i="2"/>
  <c r="P125" i="2"/>
  <c r="Q125" i="2"/>
  <c r="D126" i="2"/>
  <c r="E126" i="2"/>
  <c r="F126" i="2"/>
  <c r="K126" i="2"/>
  <c r="L126" i="2"/>
  <c r="M126" i="2"/>
  <c r="N126" i="2"/>
  <c r="O126" i="2"/>
  <c r="P126" i="2"/>
  <c r="Q126" i="2"/>
  <c r="D127" i="2"/>
  <c r="E127" i="2"/>
  <c r="F127" i="2"/>
  <c r="K127" i="2"/>
  <c r="L127" i="2"/>
  <c r="M127" i="2"/>
  <c r="N127" i="2"/>
  <c r="O127" i="2"/>
  <c r="P127" i="2"/>
  <c r="Q127" i="2"/>
  <c r="D128" i="2"/>
  <c r="E128" i="2"/>
  <c r="F128" i="2"/>
  <c r="K128" i="2"/>
  <c r="L128" i="2"/>
  <c r="M128" i="2"/>
  <c r="N128" i="2"/>
  <c r="O128" i="2"/>
  <c r="P128" i="2"/>
  <c r="Q128" i="2"/>
  <c r="D129" i="2"/>
  <c r="E129" i="2"/>
  <c r="F129" i="2"/>
  <c r="K129" i="2"/>
  <c r="L129" i="2"/>
  <c r="M129" i="2"/>
  <c r="N129" i="2"/>
  <c r="O129" i="2"/>
  <c r="P129" i="2"/>
  <c r="Q129" i="2"/>
  <c r="D130" i="2"/>
  <c r="E130" i="2"/>
  <c r="F130" i="2"/>
  <c r="K130" i="2"/>
  <c r="L130" i="2"/>
  <c r="M130" i="2"/>
  <c r="N130" i="2"/>
  <c r="O130" i="2"/>
  <c r="P130" i="2"/>
  <c r="Q130" i="2"/>
  <c r="D131" i="2"/>
  <c r="E131" i="2"/>
  <c r="F131" i="2"/>
  <c r="K131" i="2"/>
  <c r="L131" i="2"/>
  <c r="M131" i="2"/>
  <c r="N131" i="2"/>
  <c r="O131" i="2"/>
  <c r="P131" i="2"/>
  <c r="Q131" i="2"/>
  <c r="D132" i="2"/>
  <c r="E132" i="2"/>
  <c r="F132" i="2"/>
  <c r="K132" i="2"/>
  <c r="L132" i="2"/>
  <c r="M132" i="2"/>
  <c r="N132" i="2"/>
  <c r="O132" i="2"/>
  <c r="P132" i="2"/>
  <c r="Q132" i="2"/>
  <c r="D133" i="2"/>
  <c r="E133" i="2"/>
  <c r="F133" i="2"/>
  <c r="K133" i="2"/>
  <c r="L133" i="2"/>
  <c r="M133" i="2"/>
  <c r="N133" i="2"/>
  <c r="O133" i="2"/>
  <c r="P133" i="2"/>
  <c r="Q133" i="2"/>
  <c r="D134" i="2"/>
  <c r="E134" i="2"/>
  <c r="F134" i="2"/>
  <c r="K134" i="2"/>
  <c r="L134" i="2"/>
  <c r="M134" i="2"/>
  <c r="N134" i="2"/>
  <c r="O134" i="2"/>
  <c r="P134" i="2"/>
  <c r="Q134" i="2"/>
  <c r="D135" i="2"/>
  <c r="E135" i="2"/>
  <c r="F135" i="2"/>
  <c r="K135" i="2"/>
  <c r="L135" i="2"/>
  <c r="M135" i="2"/>
  <c r="N135" i="2"/>
  <c r="O135" i="2"/>
  <c r="P135" i="2"/>
  <c r="Q135" i="2"/>
  <c r="D136" i="2"/>
  <c r="E136" i="2"/>
  <c r="F136" i="2"/>
  <c r="K136" i="2"/>
  <c r="L136" i="2"/>
  <c r="M136" i="2"/>
  <c r="N136" i="2"/>
  <c r="O136" i="2"/>
  <c r="P136" i="2"/>
  <c r="Q136" i="2"/>
  <c r="D137" i="2"/>
  <c r="E137" i="2"/>
  <c r="F137" i="2"/>
  <c r="K137" i="2"/>
  <c r="L137" i="2"/>
  <c r="M137" i="2"/>
  <c r="N137" i="2"/>
  <c r="O137" i="2"/>
  <c r="P137" i="2"/>
  <c r="Q137" i="2"/>
  <c r="D138" i="2"/>
  <c r="E138" i="2"/>
  <c r="F138" i="2"/>
  <c r="K138" i="2"/>
  <c r="L138" i="2"/>
  <c r="M138" i="2"/>
  <c r="N138" i="2"/>
  <c r="O138" i="2"/>
  <c r="P138" i="2"/>
  <c r="Q138" i="2"/>
  <c r="D139" i="2"/>
  <c r="E139" i="2"/>
  <c r="F139" i="2"/>
  <c r="K139" i="2"/>
  <c r="L139" i="2"/>
  <c r="M139" i="2"/>
  <c r="N139" i="2"/>
  <c r="O139" i="2"/>
  <c r="P139" i="2"/>
  <c r="Q139" i="2"/>
  <c r="D140" i="2"/>
  <c r="E140" i="2"/>
  <c r="F140" i="2"/>
  <c r="K140" i="2"/>
  <c r="L140" i="2"/>
  <c r="M140" i="2"/>
  <c r="N140" i="2"/>
  <c r="O140" i="2"/>
  <c r="P140" i="2"/>
  <c r="Q140" i="2"/>
  <c r="D141" i="2"/>
  <c r="E141" i="2"/>
  <c r="F141" i="2"/>
  <c r="K141" i="2"/>
  <c r="L141" i="2"/>
  <c r="M141" i="2"/>
  <c r="N141" i="2"/>
  <c r="O141" i="2"/>
  <c r="P141" i="2"/>
  <c r="Q141" i="2"/>
  <c r="D142" i="2"/>
  <c r="E142" i="2"/>
  <c r="F142" i="2"/>
  <c r="K142" i="2"/>
  <c r="L142" i="2"/>
  <c r="M142" i="2"/>
  <c r="N142" i="2"/>
  <c r="O142" i="2"/>
  <c r="P142" i="2"/>
  <c r="Q142" i="2"/>
  <c r="D143" i="2"/>
  <c r="E143" i="2"/>
  <c r="F143" i="2"/>
  <c r="K143" i="2"/>
  <c r="L143" i="2"/>
  <c r="M143" i="2"/>
  <c r="N143" i="2"/>
  <c r="O143" i="2"/>
  <c r="P143" i="2"/>
  <c r="Q143" i="2"/>
  <c r="B11" i="3"/>
  <c r="B15" i="3"/>
  <c r="E18" i="3"/>
  <c r="A19" i="3"/>
  <c r="B19" i="3"/>
  <c r="C19" i="3"/>
  <c r="D19" i="3"/>
  <c r="E19" i="3"/>
  <c r="A20" i="3"/>
  <c r="B20" i="3"/>
  <c r="C20" i="3"/>
  <c r="D20" i="3"/>
  <c r="E20" i="3"/>
  <c r="A21" i="3"/>
  <c r="B21" i="3"/>
  <c r="C21" i="3"/>
  <c r="D21" i="3"/>
  <c r="E21" i="3"/>
  <c r="A22" i="3"/>
  <c r="B22" i="3"/>
  <c r="C22" i="3"/>
  <c r="D22" i="3"/>
  <c r="E22" i="3"/>
  <c r="A23" i="3"/>
  <c r="B23" i="3"/>
  <c r="C23" i="3"/>
  <c r="D23" i="3"/>
  <c r="E23" i="3"/>
  <c r="A24" i="3"/>
  <c r="B24" i="3"/>
  <c r="C24" i="3"/>
  <c r="D24" i="3"/>
  <c r="E24" i="3"/>
  <c r="A25" i="3"/>
  <c r="B25" i="3"/>
  <c r="C25" i="3"/>
  <c r="D25" i="3"/>
  <c r="E25" i="3"/>
  <c r="A26" i="3"/>
  <c r="B26" i="3"/>
  <c r="C26" i="3"/>
  <c r="D26" i="3"/>
  <c r="E26" i="3"/>
  <c r="A27" i="3"/>
  <c r="B27" i="3"/>
  <c r="C27" i="3"/>
  <c r="D27" i="3"/>
  <c r="E27" i="3"/>
  <c r="A28" i="3"/>
  <c r="B28" i="3"/>
  <c r="C28" i="3"/>
  <c r="D28" i="3"/>
  <c r="E28" i="3"/>
  <c r="A29" i="3"/>
  <c r="B29" i="3"/>
  <c r="C29" i="3"/>
  <c r="D29" i="3"/>
  <c r="E29" i="3"/>
  <c r="A30" i="3"/>
  <c r="B30" i="3"/>
  <c r="C30" i="3"/>
  <c r="D30" i="3"/>
  <c r="E30" i="3"/>
  <c r="A31" i="3"/>
  <c r="B31" i="3"/>
  <c r="C31" i="3"/>
  <c r="D31" i="3"/>
  <c r="E31" i="3"/>
  <c r="A32" i="3"/>
  <c r="B32" i="3"/>
  <c r="C32" i="3"/>
  <c r="D32" i="3"/>
  <c r="E32" i="3"/>
  <c r="A33" i="3"/>
  <c r="B33" i="3"/>
  <c r="C33" i="3"/>
  <c r="D33" i="3"/>
  <c r="E33" i="3"/>
  <c r="A34" i="3"/>
  <c r="B34" i="3"/>
  <c r="C34" i="3"/>
  <c r="D34" i="3"/>
  <c r="E34" i="3"/>
  <c r="A35" i="3"/>
  <c r="B35" i="3"/>
  <c r="C35" i="3"/>
  <c r="D35" i="3"/>
  <c r="E35" i="3"/>
  <c r="A36" i="3"/>
  <c r="B36" i="3"/>
  <c r="C36" i="3"/>
  <c r="D36" i="3"/>
  <c r="E36" i="3"/>
  <c r="A37" i="3"/>
  <c r="B37" i="3"/>
  <c r="C37" i="3"/>
  <c r="D37" i="3"/>
  <c r="E37" i="3"/>
  <c r="A38" i="3"/>
  <c r="B38" i="3"/>
  <c r="C38" i="3"/>
  <c r="D38" i="3"/>
  <c r="E38" i="3"/>
  <c r="A39" i="3"/>
  <c r="B39" i="3"/>
  <c r="C39" i="3"/>
  <c r="D39" i="3"/>
  <c r="E39" i="3"/>
  <c r="A40" i="3"/>
  <c r="B40" i="3"/>
  <c r="C40" i="3"/>
  <c r="D40" i="3"/>
  <c r="E40" i="3"/>
  <c r="A41" i="3"/>
  <c r="B41" i="3"/>
  <c r="C41" i="3"/>
  <c r="D41" i="3"/>
  <c r="E41" i="3"/>
  <c r="A42" i="3"/>
  <c r="B42" i="3"/>
  <c r="C42" i="3"/>
  <c r="D42" i="3"/>
  <c r="E42" i="3"/>
  <c r="A43" i="3"/>
  <c r="B43" i="3"/>
  <c r="C43" i="3"/>
  <c r="D43" i="3"/>
  <c r="E43" i="3"/>
  <c r="A44" i="3"/>
  <c r="B44" i="3"/>
  <c r="C44" i="3"/>
  <c r="D44" i="3"/>
  <c r="E44" i="3"/>
  <c r="A45" i="3"/>
  <c r="B45" i="3"/>
  <c r="C45" i="3"/>
  <c r="D45" i="3"/>
  <c r="E45" i="3"/>
  <c r="A46" i="3"/>
  <c r="B46" i="3"/>
  <c r="C46" i="3"/>
  <c r="D46" i="3"/>
  <c r="E46" i="3"/>
  <c r="A47" i="3"/>
  <c r="B47" i="3"/>
  <c r="C47" i="3"/>
  <c r="D47" i="3"/>
  <c r="E47" i="3"/>
  <c r="A48" i="3"/>
  <c r="B48" i="3"/>
  <c r="C48" i="3"/>
  <c r="D48" i="3"/>
  <c r="E48" i="3"/>
  <c r="A49" i="3"/>
  <c r="B49" i="3"/>
  <c r="C49" i="3"/>
  <c r="D49" i="3"/>
  <c r="E49" i="3"/>
  <c r="A50" i="3"/>
  <c r="B50" i="3"/>
  <c r="C50" i="3"/>
  <c r="D50" i="3"/>
  <c r="E50" i="3"/>
  <c r="A51" i="3"/>
  <c r="B51" i="3"/>
  <c r="C51" i="3"/>
  <c r="D51" i="3"/>
  <c r="E51" i="3"/>
  <c r="E55" i="3"/>
  <c r="A56" i="3"/>
  <c r="B56" i="3"/>
  <c r="D56" i="3"/>
  <c r="E56" i="3"/>
  <c r="A57" i="3"/>
  <c r="B57" i="3"/>
  <c r="D57" i="3"/>
  <c r="E57" i="3"/>
  <c r="A58" i="3"/>
  <c r="B58" i="3"/>
  <c r="D58" i="3"/>
  <c r="E58" i="3"/>
  <c r="A59" i="3"/>
  <c r="B59" i="3"/>
  <c r="D59" i="3"/>
  <c r="E59" i="3"/>
  <c r="A60" i="3"/>
  <c r="B60" i="3"/>
  <c r="D60" i="3"/>
  <c r="E60" i="3"/>
  <c r="A61" i="3"/>
  <c r="B61" i="3"/>
  <c r="D61" i="3"/>
  <c r="E61" i="3"/>
  <c r="A62" i="3"/>
  <c r="B62" i="3"/>
  <c r="D62" i="3"/>
  <c r="E62" i="3"/>
  <c r="A63" i="3"/>
  <c r="B63" i="3"/>
  <c r="D63" i="3"/>
  <c r="C99" i="3"/>
  <c r="E99" i="3"/>
  <c r="A100" i="3"/>
  <c r="B100" i="3"/>
  <c r="C100" i="3"/>
  <c r="D100" i="3"/>
  <c r="E100" i="3"/>
  <c r="A101" i="3"/>
  <c r="B101" i="3"/>
  <c r="C101" i="3"/>
  <c r="D101" i="3"/>
  <c r="E101" i="3"/>
  <c r="A102" i="3"/>
  <c r="B102" i="3"/>
  <c r="C102" i="3"/>
  <c r="D102" i="3"/>
  <c r="E102" i="3"/>
  <c r="A103" i="3"/>
  <c r="B103" i="3"/>
  <c r="C103" i="3"/>
  <c r="D103" i="3"/>
  <c r="E103" i="3"/>
  <c r="A104" i="3"/>
  <c r="B104" i="3"/>
  <c r="C104" i="3"/>
  <c r="D104" i="3"/>
  <c r="E104" i="3"/>
  <c r="A105" i="3"/>
  <c r="B105" i="3"/>
  <c r="C105" i="3"/>
  <c r="D105" i="3"/>
  <c r="E105" i="3"/>
  <c r="A106" i="3"/>
  <c r="B106" i="3"/>
  <c r="C106" i="3"/>
  <c r="D106" i="3"/>
  <c r="E106" i="3"/>
  <c r="A107" i="3"/>
  <c r="B107" i="3"/>
  <c r="C107" i="3"/>
  <c r="D107" i="3"/>
  <c r="E107" i="3"/>
  <c r="A108" i="3"/>
  <c r="B108" i="3"/>
  <c r="C108" i="3"/>
  <c r="D108" i="3"/>
  <c r="E108" i="3"/>
  <c r="A109" i="3"/>
  <c r="B109" i="3"/>
  <c r="C109" i="3"/>
  <c r="D109" i="3"/>
  <c r="E109" i="3"/>
  <c r="A110" i="3"/>
  <c r="B110" i="3"/>
  <c r="C110" i="3"/>
  <c r="D110" i="3"/>
  <c r="E110" i="3"/>
  <c r="A111" i="3"/>
  <c r="B111" i="3"/>
  <c r="C111" i="3"/>
  <c r="D111" i="3"/>
  <c r="E111" i="3"/>
  <c r="A112" i="3"/>
  <c r="B112" i="3"/>
  <c r="C112" i="3"/>
  <c r="D112" i="3"/>
  <c r="E112" i="3"/>
  <c r="A113" i="3"/>
  <c r="B113" i="3"/>
  <c r="C113" i="3"/>
  <c r="D113" i="3"/>
  <c r="E113" i="3"/>
  <c r="A114" i="3"/>
  <c r="B114" i="3"/>
  <c r="C114" i="3"/>
  <c r="D114" i="3"/>
  <c r="E114" i="3"/>
  <c r="A115" i="3"/>
  <c r="B115" i="3"/>
  <c r="C115" i="3"/>
  <c r="D115" i="3"/>
  <c r="E115" i="3"/>
  <c r="A116" i="3"/>
  <c r="B116" i="3"/>
  <c r="C116" i="3"/>
  <c r="D116" i="3"/>
  <c r="E116" i="3"/>
  <c r="A117" i="3"/>
  <c r="B117" i="3"/>
  <c r="C117" i="3"/>
  <c r="D117" i="3"/>
  <c r="E117" i="3"/>
  <c r="A118" i="3"/>
  <c r="B118" i="3"/>
  <c r="C118" i="3"/>
  <c r="D118" i="3"/>
  <c r="E118" i="3"/>
  <c r="A119" i="3"/>
  <c r="B119" i="3"/>
  <c r="C119" i="3"/>
  <c r="D119" i="3"/>
  <c r="E119" i="3"/>
  <c r="A120" i="3"/>
  <c r="B120" i="3"/>
  <c r="C120" i="3"/>
  <c r="D120" i="3"/>
  <c r="E120" i="3"/>
  <c r="A121" i="3"/>
  <c r="B121" i="3"/>
  <c r="C121" i="3"/>
  <c r="D121" i="3"/>
  <c r="E121" i="3"/>
  <c r="A122" i="3"/>
  <c r="B122" i="3"/>
  <c r="C122" i="3"/>
  <c r="D122" i="3"/>
  <c r="E122" i="3"/>
  <c r="A123" i="3"/>
  <c r="B123" i="3"/>
  <c r="C123" i="3"/>
  <c r="D123" i="3"/>
  <c r="E123" i="3"/>
  <c r="A124" i="3"/>
  <c r="B124" i="3"/>
  <c r="C124" i="3"/>
  <c r="D124" i="3"/>
  <c r="E124" i="3"/>
  <c r="A125" i="3"/>
  <c r="B125" i="3"/>
  <c r="C125" i="3"/>
  <c r="D125" i="3"/>
  <c r="E125" i="3"/>
  <c r="A126" i="3"/>
  <c r="B126" i="3"/>
  <c r="C126" i="3"/>
  <c r="D126" i="3"/>
  <c r="E126" i="3"/>
  <c r="A127" i="3"/>
  <c r="B127" i="3"/>
  <c r="C127" i="3"/>
  <c r="D127" i="3"/>
  <c r="E127" i="3"/>
  <c r="A128" i="3"/>
  <c r="B128" i="3"/>
  <c r="C128" i="3"/>
  <c r="D128" i="3"/>
  <c r="E128" i="3"/>
  <c r="A129" i="3"/>
  <c r="B129" i="3"/>
  <c r="C129" i="3"/>
  <c r="D129" i="3"/>
  <c r="E129" i="3"/>
  <c r="A130" i="3"/>
  <c r="B130" i="3"/>
  <c r="C130" i="3"/>
  <c r="D130" i="3"/>
  <c r="E130" i="3"/>
  <c r="A131" i="3"/>
  <c r="B131" i="3"/>
  <c r="C131" i="3"/>
  <c r="D131" i="3"/>
  <c r="E131" i="3"/>
  <c r="A132" i="3"/>
  <c r="B132" i="3"/>
  <c r="C132" i="3"/>
  <c r="D132" i="3"/>
  <c r="E132" i="3"/>
  <c r="G43" i="8"/>
  <c r="G44" i="8"/>
  <c r="H48" i="8"/>
  <c r="H49" i="8"/>
  <c r="H51" i="8"/>
  <c r="H52" i="8"/>
  <c r="H53" i="8"/>
  <c r="K53" i="8"/>
  <c r="H55" i="8"/>
  <c r="H56" i="8"/>
  <c r="K56" i="8"/>
  <c r="H57" i="8"/>
  <c r="H58" i="8"/>
  <c r="H59" i="8"/>
  <c r="H60" i="8"/>
  <c r="H62" i="8"/>
  <c r="K62" i="8"/>
  <c r="H63" i="8"/>
  <c r="H64" i="8"/>
  <c r="G103" i="8"/>
  <c r="G104" i="8"/>
  <c r="G105" i="8"/>
  <c r="G122" i="8"/>
  <c r="G123" i="8"/>
  <c r="G125" i="8"/>
  <c r="G126" i="8"/>
  <c r="C147" i="8"/>
  <c r="G147" i="8"/>
  <c r="I147" i="8"/>
  <c r="J147" i="8"/>
  <c r="K147" i="8"/>
  <c r="L147" i="8"/>
  <c r="M147" i="8"/>
  <c r="N147" i="8"/>
  <c r="O147" i="8"/>
  <c r="P147" i="8"/>
  <c r="Q147" i="8"/>
  <c r="C148" i="8"/>
  <c r="D148" i="8"/>
  <c r="E148" i="8"/>
  <c r="F148" i="8"/>
  <c r="G148" i="8"/>
  <c r="I148" i="8"/>
  <c r="J148" i="8"/>
  <c r="K148" i="8"/>
  <c r="L148" i="8"/>
  <c r="M148" i="8"/>
  <c r="N148" i="8"/>
  <c r="O148" i="8"/>
  <c r="P148" i="8"/>
  <c r="Q148" i="8"/>
  <c r="C149" i="8"/>
  <c r="D149" i="8"/>
  <c r="E149" i="8"/>
  <c r="F149" i="8"/>
  <c r="G149" i="8"/>
  <c r="I149" i="8"/>
  <c r="J149" i="8"/>
  <c r="K149" i="8"/>
  <c r="L149" i="8"/>
  <c r="M149" i="8"/>
  <c r="N149" i="8"/>
  <c r="O149" i="8"/>
  <c r="P149" i="8"/>
  <c r="Q149" i="8"/>
  <c r="C150" i="8"/>
  <c r="D150" i="8"/>
  <c r="E150" i="8"/>
  <c r="F150" i="8"/>
  <c r="G150" i="8"/>
  <c r="I150" i="8"/>
  <c r="J150" i="8"/>
  <c r="K150" i="8"/>
  <c r="L150" i="8"/>
  <c r="M150" i="8"/>
  <c r="N150" i="8"/>
  <c r="O150" i="8"/>
  <c r="P150" i="8"/>
  <c r="Q150" i="8"/>
  <c r="C151" i="8"/>
  <c r="D151" i="8"/>
  <c r="E151" i="8"/>
  <c r="F151" i="8"/>
  <c r="G151" i="8"/>
  <c r="I151" i="8"/>
  <c r="J151" i="8"/>
  <c r="K151" i="8"/>
  <c r="L151" i="8"/>
  <c r="M151" i="8"/>
  <c r="N151" i="8"/>
  <c r="O151" i="8"/>
  <c r="P151" i="8"/>
  <c r="Q151" i="8"/>
  <c r="C152" i="8"/>
  <c r="D152" i="8"/>
  <c r="E152" i="8"/>
  <c r="F152" i="8"/>
  <c r="G152" i="8"/>
  <c r="I152" i="8"/>
  <c r="J152" i="8"/>
  <c r="K152" i="8"/>
  <c r="L152" i="8"/>
  <c r="M152" i="8"/>
  <c r="N152" i="8"/>
  <c r="O152" i="8"/>
  <c r="P152" i="8"/>
  <c r="Q152" i="8"/>
  <c r="C153" i="8"/>
  <c r="D153" i="8"/>
  <c r="E153" i="8"/>
  <c r="F153" i="8"/>
  <c r="G153" i="8"/>
  <c r="I153" i="8"/>
  <c r="J153" i="8"/>
  <c r="K153" i="8"/>
  <c r="L153" i="8"/>
  <c r="M153" i="8"/>
  <c r="N153" i="8"/>
  <c r="O153" i="8"/>
  <c r="P153" i="8"/>
  <c r="Q153" i="8"/>
  <c r="C154" i="8"/>
  <c r="D154" i="8"/>
  <c r="E154" i="8"/>
  <c r="F154" i="8"/>
  <c r="G154" i="8"/>
  <c r="I154" i="8"/>
  <c r="J154" i="8"/>
  <c r="K154" i="8"/>
  <c r="L154" i="8"/>
  <c r="M154" i="8"/>
  <c r="N154" i="8"/>
  <c r="O154" i="8"/>
  <c r="P154" i="8"/>
  <c r="Q154" i="8"/>
  <c r="C155" i="8"/>
  <c r="D155" i="8"/>
  <c r="E155" i="8"/>
  <c r="F155" i="8"/>
  <c r="G155" i="8"/>
  <c r="I155" i="8"/>
  <c r="J155" i="8"/>
  <c r="K155" i="8"/>
  <c r="L155" i="8"/>
  <c r="M155" i="8"/>
  <c r="N155" i="8"/>
  <c r="O155" i="8"/>
  <c r="P155" i="8"/>
  <c r="Q155" i="8"/>
  <c r="C156" i="8"/>
  <c r="D156" i="8"/>
  <c r="E156" i="8"/>
  <c r="F156" i="8"/>
  <c r="G156" i="8"/>
  <c r="I156" i="8"/>
  <c r="J156" i="8"/>
  <c r="K156" i="8"/>
  <c r="L156" i="8"/>
  <c r="M156" i="8"/>
  <c r="N156" i="8"/>
  <c r="O156" i="8"/>
  <c r="P156" i="8"/>
  <c r="Q156" i="8"/>
  <c r="C157" i="8"/>
  <c r="E157" i="8"/>
  <c r="F157" i="8"/>
  <c r="G157" i="8"/>
  <c r="I157" i="8"/>
  <c r="J157" i="8"/>
  <c r="K157" i="8"/>
  <c r="L157" i="8"/>
  <c r="M157" i="8"/>
  <c r="N157" i="8"/>
  <c r="O157" i="8"/>
  <c r="P157" i="8"/>
  <c r="Q157" i="8"/>
  <c r="C158" i="8"/>
  <c r="D158" i="8"/>
  <c r="E158" i="8"/>
  <c r="F158" i="8"/>
  <c r="G158" i="8"/>
  <c r="I158" i="8"/>
  <c r="J158" i="8"/>
  <c r="K158" i="8"/>
  <c r="L158" i="8"/>
  <c r="M158" i="8"/>
  <c r="N158" i="8"/>
  <c r="O158" i="8"/>
  <c r="P158" i="8"/>
  <c r="Q158" i="8"/>
  <c r="C159" i="8"/>
  <c r="D159" i="8"/>
  <c r="E159" i="8"/>
  <c r="F159" i="8"/>
  <c r="G159" i="8"/>
  <c r="I159" i="8"/>
  <c r="J159" i="8"/>
  <c r="K159" i="8"/>
  <c r="L159" i="8"/>
  <c r="M159" i="8"/>
  <c r="N159" i="8"/>
  <c r="O159" i="8"/>
  <c r="P159" i="8"/>
  <c r="Q159" i="8"/>
  <c r="C160" i="8"/>
  <c r="D160" i="8"/>
  <c r="E160" i="8"/>
  <c r="F160" i="8"/>
  <c r="G160" i="8"/>
  <c r="I160" i="8"/>
  <c r="J160" i="8"/>
  <c r="K160" i="8"/>
  <c r="L160" i="8"/>
  <c r="M160" i="8"/>
  <c r="N160" i="8"/>
  <c r="O160" i="8"/>
  <c r="P160" i="8"/>
  <c r="Q160" i="8"/>
  <c r="C161" i="8"/>
  <c r="D161" i="8"/>
  <c r="E161" i="8"/>
  <c r="F161" i="8"/>
  <c r="G161" i="8"/>
  <c r="I161" i="8"/>
  <c r="J161" i="8"/>
  <c r="K161" i="8"/>
  <c r="L161" i="8"/>
  <c r="M161" i="8"/>
  <c r="N161" i="8"/>
  <c r="O161" i="8"/>
  <c r="P161" i="8"/>
  <c r="Q161" i="8"/>
  <c r="C162" i="8"/>
  <c r="D162" i="8"/>
  <c r="E162" i="8"/>
  <c r="F162" i="8"/>
  <c r="G162" i="8"/>
  <c r="I162" i="8"/>
  <c r="J162" i="8"/>
  <c r="K162" i="8"/>
  <c r="L162" i="8"/>
  <c r="M162" i="8"/>
  <c r="N162" i="8"/>
  <c r="O162" i="8"/>
  <c r="P162" i="8"/>
  <c r="Q162" i="8"/>
  <c r="C163" i="8"/>
  <c r="D163" i="8"/>
  <c r="E163" i="8"/>
  <c r="F163" i="8"/>
  <c r="G163" i="8"/>
  <c r="I163" i="8"/>
  <c r="J163" i="8"/>
  <c r="K163" i="8"/>
  <c r="L163" i="8"/>
  <c r="M163" i="8"/>
  <c r="N163" i="8"/>
  <c r="O163" i="8"/>
  <c r="P163" i="8"/>
  <c r="Q163" i="8"/>
  <c r="C164" i="8"/>
  <c r="E164" i="8"/>
  <c r="F164" i="8"/>
  <c r="G164" i="8"/>
  <c r="I164" i="8"/>
  <c r="J164" i="8"/>
  <c r="K164" i="8"/>
  <c r="L164" i="8"/>
  <c r="M164" i="8"/>
  <c r="N164" i="8"/>
  <c r="O164" i="8"/>
  <c r="P164" i="8"/>
  <c r="Q164" i="8"/>
  <c r="C165" i="8"/>
  <c r="E165" i="8"/>
  <c r="F165" i="8"/>
  <c r="G165" i="8"/>
  <c r="I165" i="8"/>
  <c r="J165" i="8"/>
  <c r="K165" i="8"/>
  <c r="L165" i="8"/>
  <c r="M165" i="8"/>
  <c r="N165" i="8"/>
  <c r="O165" i="8"/>
  <c r="P165" i="8"/>
  <c r="Q165" i="8"/>
  <c r="C166" i="8"/>
  <c r="E166" i="8"/>
  <c r="F166" i="8"/>
  <c r="G166" i="8"/>
  <c r="I166" i="8"/>
  <c r="J166" i="8"/>
  <c r="K166" i="8"/>
  <c r="L166" i="8"/>
  <c r="M166" i="8"/>
  <c r="N166" i="8"/>
  <c r="O166" i="8"/>
  <c r="P166" i="8"/>
  <c r="Q166" i="8"/>
  <c r="C167" i="8"/>
  <c r="E167" i="8"/>
  <c r="F167" i="8"/>
  <c r="G167" i="8"/>
  <c r="I167" i="8"/>
  <c r="J167" i="8"/>
  <c r="K167" i="8"/>
  <c r="L167" i="8"/>
  <c r="M167" i="8"/>
  <c r="N167" i="8"/>
  <c r="O167" i="8"/>
  <c r="P167" i="8"/>
  <c r="Q167" i="8"/>
  <c r="C168" i="8"/>
  <c r="D168" i="8"/>
  <c r="E168" i="8"/>
  <c r="F168" i="8"/>
  <c r="G168" i="8"/>
  <c r="I168" i="8"/>
  <c r="J168" i="8"/>
  <c r="K168" i="8"/>
  <c r="L168" i="8"/>
  <c r="M168" i="8"/>
  <c r="N168" i="8"/>
  <c r="O168" i="8"/>
  <c r="P168" i="8"/>
  <c r="Q168" i="8"/>
  <c r="C169" i="8"/>
  <c r="D169" i="8"/>
  <c r="E169" i="8"/>
  <c r="F169" i="8"/>
  <c r="G169" i="8"/>
  <c r="I169" i="8"/>
  <c r="J169" i="8"/>
  <c r="K169" i="8"/>
  <c r="L169" i="8"/>
  <c r="M169" i="8"/>
  <c r="N169" i="8"/>
  <c r="O169" i="8"/>
  <c r="P169" i="8"/>
  <c r="Q169" i="8"/>
  <c r="C170" i="8"/>
  <c r="D170" i="8"/>
  <c r="E170" i="8"/>
  <c r="F170" i="8"/>
  <c r="G170" i="8"/>
  <c r="I170" i="8"/>
  <c r="J170" i="8"/>
  <c r="K170" i="8"/>
  <c r="L170" i="8"/>
  <c r="M170" i="8"/>
  <c r="N170" i="8"/>
  <c r="O170" i="8"/>
  <c r="P170" i="8"/>
  <c r="Q170" i="8"/>
  <c r="C171" i="8"/>
  <c r="D171" i="8"/>
  <c r="E171" i="8"/>
  <c r="F171" i="8"/>
  <c r="G171" i="8"/>
  <c r="I171" i="8"/>
  <c r="J171" i="8"/>
  <c r="K171" i="8"/>
  <c r="L171" i="8"/>
  <c r="M171" i="8"/>
  <c r="N171" i="8"/>
  <c r="O171" i="8"/>
  <c r="P171" i="8"/>
  <c r="Q171" i="8"/>
  <c r="C172" i="8"/>
  <c r="D172" i="8"/>
  <c r="E172" i="8"/>
  <c r="F172" i="8"/>
  <c r="G172" i="8"/>
  <c r="I172" i="8"/>
  <c r="J172" i="8"/>
  <c r="K172" i="8"/>
  <c r="L172" i="8"/>
  <c r="M172" i="8"/>
  <c r="N172" i="8"/>
  <c r="O172" i="8"/>
  <c r="P172" i="8"/>
  <c r="Q172" i="8"/>
  <c r="C173" i="8"/>
  <c r="D173" i="8"/>
  <c r="E173" i="8"/>
  <c r="F173" i="8"/>
  <c r="G173" i="8"/>
  <c r="I173" i="8"/>
  <c r="J173" i="8"/>
  <c r="K173" i="8"/>
  <c r="L173" i="8"/>
  <c r="M173" i="8"/>
  <c r="N173" i="8"/>
  <c r="O173" i="8"/>
  <c r="P173" i="8"/>
  <c r="Q173" i="8"/>
  <c r="C174" i="8"/>
  <c r="D174" i="8"/>
  <c r="E174" i="8"/>
  <c r="F174" i="8"/>
  <c r="G174" i="8"/>
  <c r="I174" i="8"/>
  <c r="J174" i="8"/>
  <c r="K174" i="8"/>
  <c r="L174" i="8"/>
  <c r="M174" i="8"/>
  <c r="N174" i="8"/>
  <c r="O174" i="8"/>
  <c r="P174" i="8"/>
  <c r="Q174" i="8"/>
  <c r="C175" i="8"/>
  <c r="D175" i="8"/>
  <c r="E175" i="8"/>
  <c r="F175" i="8"/>
  <c r="G175" i="8"/>
  <c r="I175" i="8"/>
  <c r="J175" i="8"/>
  <c r="K175" i="8"/>
  <c r="L175" i="8"/>
  <c r="M175" i="8"/>
  <c r="N175" i="8"/>
  <c r="O175" i="8"/>
  <c r="P175" i="8"/>
  <c r="Q175" i="8"/>
  <c r="C176" i="8"/>
  <c r="D176" i="8"/>
  <c r="E176" i="8"/>
  <c r="F176" i="8"/>
  <c r="G176" i="8"/>
  <c r="I176" i="8"/>
  <c r="J176" i="8"/>
  <c r="K176" i="8"/>
  <c r="L176" i="8"/>
  <c r="M176" i="8"/>
  <c r="N176" i="8"/>
  <c r="O176" i="8"/>
  <c r="P176" i="8"/>
  <c r="Q176" i="8"/>
  <c r="C177" i="8"/>
  <c r="D177" i="8"/>
  <c r="E177" i="8"/>
  <c r="F177" i="8"/>
  <c r="G177" i="8"/>
  <c r="I177" i="8"/>
  <c r="J177" i="8"/>
  <c r="K177" i="8"/>
  <c r="L177" i="8"/>
  <c r="M177" i="8"/>
  <c r="N177" i="8"/>
  <c r="O177" i="8"/>
  <c r="P177" i="8"/>
  <c r="Q177" i="8"/>
  <c r="C178" i="8"/>
  <c r="D178" i="8"/>
  <c r="E178" i="8"/>
  <c r="F178" i="8"/>
  <c r="G178" i="8"/>
  <c r="I178" i="8"/>
  <c r="J178" i="8"/>
  <c r="K178" i="8"/>
  <c r="L178" i="8"/>
  <c r="M178" i="8"/>
  <c r="N178" i="8"/>
  <c r="O178" i="8"/>
  <c r="P178" i="8"/>
  <c r="Q178" i="8"/>
  <c r="C179" i="8"/>
  <c r="D179" i="8"/>
  <c r="E179" i="8"/>
  <c r="F179" i="8"/>
  <c r="G179" i="8"/>
  <c r="I179" i="8"/>
  <c r="J179" i="8"/>
  <c r="K179" i="8"/>
  <c r="L179" i="8"/>
  <c r="M179" i="8"/>
  <c r="N179" i="8"/>
  <c r="O179" i="8"/>
  <c r="P179" i="8"/>
  <c r="Q179" i="8"/>
  <c r="C180" i="8"/>
  <c r="D180" i="8"/>
  <c r="E180" i="8"/>
  <c r="F180" i="8"/>
  <c r="G180" i="8"/>
  <c r="I180" i="8"/>
  <c r="J180" i="8"/>
  <c r="K180" i="8"/>
  <c r="L180" i="8"/>
  <c r="M180" i="8"/>
  <c r="N180" i="8"/>
  <c r="O180" i="8"/>
  <c r="P180" i="8"/>
  <c r="Q180" i="8"/>
  <c r="C181" i="8"/>
  <c r="D181" i="8"/>
  <c r="E181" i="8"/>
  <c r="F181" i="8"/>
  <c r="G181" i="8"/>
  <c r="I181" i="8"/>
  <c r="J181" i="8"/>
  <c r="K181" i="8"/>
  <c r="L181" i="8"/>
  <c r="M181" i="8"/>
  <c r="N181" i="8"/>
  <c r="O181" i="8"/>
  <c r="P181" i="8"/>
  <c r="Q181" i="8"/>
  <c r="C182" i="8"/>
  <c r="D182" i="8"/>
  <c r="E182" i="8"/>
  <c r="F182" i="8"/>
  <c r="G182" i="8"/>
  <c r="I182" i="8"/>
  <c r="J182" i="8"/>
  <c r="K182" i="8"/>
  <c r="L182" i="8"/>
  <c r="M182" i="8"/>
  <c r="N182" i="8"/>
  <c r="O182" i="8"/>
  <c r="P182" i="8"/>
  <c r="Q182" i="8"/>
  <c r="C183" i="8"/>
  <c r="D183" i="8"/>
  <c r="E183" i="8"/>
  <c r="F183" i="8"/>
  <c r="G183" i="8"/>
  <c r="I183" i="8"/>
  <c r="J183" i="8"/>
  <c r="K183" i="8"/>
  <c r="L183" i="8"/>
  <c r="M183" i="8"/>
  <c r="N183" i="8"/>
  <c r="O183" i="8"/>
  <c r="P183" i="8"/>
  <c r="Q183" i="8"/>
  <c r="C184" i="8"/>
  <c r="D184" i="8"/>
  <c r="E184" i="8"/>
  <c r="F184" i="8"/>
  <c r="G184" i="8"/>
  <c r="I184" i="8"/>
  <c r="J184" i="8"/>
  <c r="K184" i="8"/>
  <c r="L184" i="8"/>
  <c r="M184" i="8"/>
  <c r="N184" i="8"/>
  <c r="O184" i="8"/>
  <c r="P184" i="8"/>
  <c r="Q184" i="8"/>
  <c r="C185" i="8"/>
  <c r="D185" i="8"/>
  <c r="E185" i="8"/>
  <c r="F185" i="8"/>
  <c r="G185" i="8"/>
  <c r="I185" i="8"/>
  <c r="J185" i="8"/>
  <c r="K185" i="8"/>
  <c r="L185" i="8"/>
  <c r="M185" i="8"/>
  <c r="N185" i="8"/>
  <c r="O185" i="8"/>
  <c r="P185" i="8"/>
  <c r="Q185" i="8"/>
  <c r="C186" i="8"/>
  <c r="D186" i="8"/>
  <c r="E186" i="8"/>
  <c r="F186" i="8"/>
  <c r="G186" i="8"/>
  <c r="I186" i="8"/>
  <c r="J186" i="8"/>
  <c r="K186" i="8"/>
  <c r="L186" i="8"/>
  <c r="M186" i="8"/>
  <c r="N186" i="8"/>
  <c r="O186" i="8"/>
  <c r="P186" i="8"/>
  <c r="Q186" i="8"/>
  <c r="C187" i="8"/>
  <c r="D187" i="8"/>
  <c r="E187" i="8"/>
  <c r="F187" i="8"/>
  <c r="G187" i="8"/>
  <c r="I187" i="8"/>
  <c r="J187" i="8"/>
  <c r="K187" i="8"/>
  <c r="L187" i="8"/>
  <c r="M187" i="8"/>
  <c r="N187" i="8"/>
  <c r="O187" i="8"/>
  <c r="P187" i="8"/>
  <c r="Q187" i="8"/>
  <c r="C188" i="8"/>
  <c r="D188" i="8"/>
  <c r="E188" i="8"/>
  <c r="F188" i="8"/>
  <c r="G188" i="8"/>
  <c r="I188" i="8"/>
  <c r="J188" i="8"/>
  <c r="K188" i="8"/>
  <c r="L188" i="8"/>
  <c r="M188" i="8"/>
  <c r="N188" i="8"/>
  <c r="O188" i="8"/>
  <c r="P188" i="8"/>
  <c r="Q188" i="8"/>
  <c r="C189" i="8"/>
  <c r="D189" i="8"/>
  <c r="E189" i="8"/>
  <c r="F189" i="8"/>
  <c r="G189" i="8"/>
  <c r="I189" i="8"/>
  <c r="J189" i="8"/>
  <c r="K189" i="8"/>
  <c r="L189" i="8"/>
  <c r="M189" i="8"/>
  <c r="N189" i="8"/>
  <c r="O189" i="8"/>
  <c r="P189" i="8"/>
  <c r="Q189" i="8"/>
  <c r="B12" i="9"/>
  <c r="B13" i="9"/>
  <c r="B15" i="9"/>
  <c r="B16" i="9"/>
  <c r="A19" i="9"/>
  <c r="B19" i="9"/>
  <c r="C19" i="9"/>
  <c r="E19" i="9"/>
  <c r="A20" i="9"/>
  <c r="B20" i="9"/>
  <c r="C20" i="9"/>
  <c r="D20" i="9"/>
  <c r="E20" i="9"/>
  <c r="A21" i="9"/>
  <c r="B21" i="9"/>
  <c r="C21" i="9"/>
  <c r="D21" i="9"/>
  <c r="E21" i="9"/>
  <c r="A22" i="9"/>
  <c r="B22" i="9"/>
  <c r="C22" i="9"/>
  <c r="D22" i="9"/>
  <c r="E22" i="9"/>
  <c r="A23" i="9"/>
  <c r="B23" i="9"/>
  <c r="C23" i="9"/>
  <c r="D23" i="9"/>
  <c r="E23" i="9"/>
  <c r="A24" i="9"/>
  <c r="B24" i="9"/>
  <c r="C24" i="9"/>
  <c r="D24" i="9"/>
  <c r="E24" i="9"/>
  <c r="A25" i="9"/>
  <c r="B25" i="9"/>
  <c r="C25" i="9"/>
  <c r="D25" i="9"/>
  <c r="E25" i="9"/>
  <c r="A26" i="9"/>
  <c r="B26" i="9"/>
  <c r="C26" i="9"/>
  <c r="D26" i="9"/>
  <c r="E26" i="9"/>
  <c r="A27" i="9"/>
  <c r="B27" i="9"/>
  <c r="C27" i="9"/>
  <c r="D27" i="9"/>
  <c r="E27" i="9"/>
  <c r="A28" i="9"/>
  <c r="B28" i="9"/>
  <c r="C28" i="9"/>
  <c r="D28" i="9"/>
  <c r="E28" i="9"/>
  <c r="A29" i="9"/>
  <c r="B29" i="9"/>
  <c r="C29" i="9"/>
  <c r="D29" i="9"/>
  <c r="E29" i="9"/>
  <c r="A30" i="9"/>
  <c r="B30" i="9"/>
  <c r="C30" i="9"/>
  <c r="D30" i="9"/>
  <c r="E30" i="9"/>
  <c r="A31" i="9"/>
  <c r="B31" i="9"/>
  <c r="C31" i="9"/>
  <c r="D31" i="9"/>
  <c r="E31" i="9"/>
  <c r="A32" i="9"/>
  <c r="B32" i="9"/>
  <c r="C32" i="9"/>
  <c r="D32" i="9"/>
  <c r="E32" i="9"/>
  <c r="A33" i="9"/>
  <c r="B33" i="9"/>
  <c r="C33" i="9"/>
  <c r="D33" i="9"/>
  <c r="E33" i="9"/>
  <c r="A34" i="9"/>
  <c r="B34" i="9"/>
  <c r="C34" i="9"/>
  <c r="D34" i="9"/>
  <c r="E34" i="9"/>
  <c r="A35" i="9"/>
  <c r="B35" i="9"/>
  <c r="C35" i="9"/>
  <c r="D35" i="9"/>
  <c r="E35" i="9"/>
  <c r="A36" i="9"/>
  <c r="B36" i="9"/>
  <c r="C36" i="9"/>
  <c r="D36" i="9"/>
  <c r="E36" i="9"/>
  <c r="A37" i="9"/>
  <c r="B37" i="9"/>
  <c r="C37" i="9"/>
  <c r="D37" i="9"/>
  <c r="E37" i="9"/>
  <c r="A38" i="9"/>
  <c r="B38" i="9"/>
  <c r="C38" i="9"/>
  <c r="D38" i="9"/>
  <c r="E38" i="9"/>
  <c r="A39" i="9"/>
  <c r="B39" i="9"/>
  <c r="C39" i="9"/>
  <c r="D39" i="9"/>
  <c r="E39" i="9"/>
  <c r="A40" i="9"/>
  <c r="B40" i="9"/>
  <c r="C40" i="9"/>
  <c r="D40" i="9"/>
  <c r="E40" i="9"/>
  <c r="A41" i="9"/>
  <c r="B41" i="9"/>
  <c r="C41" i="9"/>
  <c r="D41" i="9"/>
  <c r="E41" i="9"/>
  <c r="A42" i="9"/>
  <c r="B42" i="9"/>
  <c r="C42" i="9"/>
  <c r="D42" i="9"/>
  <c r="E42" i="9"/>
  <c r="A43" i="9"/>
  <c r="B43" i="9"/>
  <c r="C43" i="9"/>
  <c r="D43" i="9"/>
  <c r="E43" i="9"/>
  <c r="A44" i="9"/>
  <c r="B44" i="9"/>
  <c r="C44" i="9"/>
  <c r="D44" i="9"/>
  <c r="E44" i="9"/>
  <c r="A45" i="9"/>
  <c r="B45" i="9"/>
  <c r="C45" i="9"/>
  <c r="D45" i="9"/>
  <c r="E45" i="9"/>
  <c r="A46" i="9"/>
  <c r="B46" i="9"/>
  <c r="C46" i="9"/>
  <c r="D46" i="9"/>
  <c r="E46" i="9"/>
  <c r="A47" i="9"/>
  <c r="B47" i="9"/>
  <c r="C47" i="9"/>
  <c r="D47" i="9"/>
  <c r="E47" i="9"/>
  <c r="A48" i="9"/>
  <c r="B48" i="9"/>
  <c r="C48" i="9"/>
  <c r="D48" i="9"/>
  <c r="E48" i="9"/>
  <c r="A49" i="9"/>
  <c r="B49" i="9"/>
  <c r="C49" i="9"/>
  <c r="D49" i="9"/>
  <c r="E49" i="9"/>
  <c r="A50" i="9"/>
  <c r="B50" i="9"/>
  <c r="C50" i="9"/>
  <c r="D50" i="9"/>
  <c r="E50" i="9"/>
  <c r="A51" i="9"/>
  <c r="B51" i="9"/>
  <c r="C51" i="9"/>
  <c r="D51" i="9"/>
  <c r="E51" i="9"/>
  <c r="A52" i="9"/>
  <c r="B52" i="9"/>
  <c r="C52" i="9"/>
  <c r="D52" i="9"/>
  <c r="E52" i="9"/>
  <c r="A53" i="9"/>
  <c r="B53" i="9"/>
  <c r="C53" i="9"/>
  <c r="D53" i="9"/>
  <c r="E53" i="9"/>
  <c r="A54" i="9"/>
  <c r="B54" i="9"/>
  <c r="C54" i="9"/>
  <c r="D54" i="9"/>
  <c r="E54" i="9"/>
  <c r="A55" i="9"/>
  <c r="B55" i="9"/>
  <c r="C55" i="9"/>
  <c r="D55" i="9"/>
  <c r="E55" i="9"/>
  <c r="A56" i="9"/>
  <c r="B56" i="9"/>
  <c r="C56" i="9"/>
  <c r="D56" i="9"/>
  <c r="E56" i="9"/>
  <c r="A57" i="9"/>
  <c r="B57" i="9"/>
  <c r="C57" i="9"/>
  <c r="D57" i="9"/>
  <c r="E57" i="9"/>
  <c r="A58" i="9"/>
  <c r="B58" i="9"/>
  <c r="C58" i="9"/>
  <c r="D58" i="9"/>
  <c r="E58" i="9"/>
  <c r="A59" i="9"/>
  <c r="B59" i="9"/>
  <c r="C59" i="9"/>
  <c r="D59" i="9"/>
  <c r="E59" i="9"/>
  <c r="A60" i="9"/>
  <c r="B60" i="9"/>
  <c r="C60" i="9"/>
  <c r="D60" i="9"/>
  <c r="E60" i="9"/>
  <c r="A61" i="9"/>
  <c r="B61" i="9"/>
  <c r="C61" i="9"/>
  <c r="D61" i="9"/>
  <c r="E61" i="9"/>
  <c r="A65" i="9"/>
  <c r="B65" i="9"/>
  <c r="C65" i="9"/>
  <c r="E65" i="9"/>
  <c r="A66" i="9"/>
  <c r="B66" i="9"/>
  <c r="C66" i="9"/>
  <c r="D66" i="9"/>
  <c r="E66" i="9"/>
  <c r="A67" i="9"/>
  <c r="B67" i="9"/>
  <c r="C67" i="9"/>
  <c r="D67" i="9"/>
  <c r="E67" i="9"/>
  <c r="A68" i="9"/>
  <c r="B68" i="9"/>
  <c r="C68" i="9"/>
  <c r="D68" i="9"/>
  <c r="E68" i="9"/>
  <c r="A69" i="9"/>
  <c r="B69" i="9"/>
  <c r="C69" i="9"/>
  <c r="D69" i="9"/>
  <c r="E69" i="9"/>
  <c r="A70" i="9"/>
  <c r="B70" i="9"/>
  <c r="C70" i="9"/>
  <c r="D70" i="9"/>
  <c r="E70" i="9"/>
  <c r="A71" i="9"/>
  <c r="B71" i="9"/>
  <c r="C71" i="9"/>
  <c r="D71" i="9"/>
  <c r="E71" i="9"/>
  <c r="A72" i="9"/>
  <c r="B72" i="9"/>
  <c r="C72" i="9"/>
  <c r="D72" i="9"/>
  <c r="E72" i="9"/>
  <c r="A73" i="9"/>
  <c r="B73" i="9"/>
  <c r="C73" i="9"/>
  <c r="D73" i="9"/>
  <c r="E73" i="9"/>
  <c r="A74" i="9"/>
  <c r="B74" i="9"/>
  <c r="C74" i="9"/>
  <c r="D74" i="9"/>
  <c r="E74" i="9"/>
  <c r="A75" i="9"/>
  <c r="B75" i="9"/>
  <c r="C75" i="9"/>
  <c r="D75" i="9"/>
  <c r="E75" i="9"/>
  <c r="A76" i="9"/>
  <c r="B76" i="9"/>
  <c r="C76" i="9"/>
  <c r="D76" i="9"/>
  <c r="E76" i="9"/>
  <c r="A77" i="9"/>
  <c r="B77" i="9"/>
  <c r="C77" i="9"/>
  <c r="D77" i="9"/>
  <c r="E77" i="9"/>
  <c r="A78" i="9"/>
  <c r="B78" i="9"/>
  <c r="C78" i="9"/>
  <c r="D78" i="9"/>
  <c r="E78" i="9"/>
  <c r="A79" i="9"/>
  <c r="B79" i="9"/>
  <c r="C79" i="9"/>
  <c r="D79" i="9"/>
  <c r="E79" i="9"/>
  <c r="A80" i="9"/>
  <c r="B80" i="9"/>
  <c r="C80" i="9"/>
  <c r="D80" i="9"/>
  <c r="E80" i="9"/>
  <c r="A81" i="9"/>
  <c r="B81" i="9"/>
  <c r="C81" i="9"/>
  <c r="D81" i="9"/>
  <c r="E81" i="9"/>
  <c r="A82" i="9"/>
  <c r="B82" i="9"/>
  <c r="C82" i="9"/>
  <c r="D82" i="9"/>
  <c r="E82" i="9"/>
  <c r="A83" i="9"/>
  <c r="B83" i="9"/>
  <c r="C83" i="9"/>
  <c r="D83" i="9"/>
  <c r="E83" i="9"/>
  <c r="A84" i="9"/>
  <c r="B84" i="9"/>
  <c r="C84" i="9"/>
  <c r="D84" i="9"/>
  <c r="E84" i="9"/>
  <c r="A85" i="9"/>
  <c r="B85" i="9"/>
  <c r="C85" i="9"/>
  <c r="D85" i="9"/>
  <c r="E85" i="9"/>
  <c r="A86" i="9"/>
  <c r="B86" i="9"/>
  <c r="C86" i="9"/>
  <c r="D86" i="9"/>
  <c r="E86" i="9"/>
  <c r="A87" i="9"/>
  <c r="B87" i="9"/>
  <c r="C87" i="9"/>
  <c r="D87" i="9"/>
  <c r="E87" i="9"/>
  <c r="A88" i="9"/>
  <c r="B88" i="9"/>
  <c r="C88" i="9"/>
  <c r="D88" i="9"/>
  <c r="E88" i="9"/>
  <c r="A89" i="9"/>
  <c r="B89" i="9"/>
  <c r="C89" i="9"/>
  <c r="D89" i="9"/>
  <c r="E89" i="9"/>
  <c r="A90" i="9"/>
  <c r="B90" i="9"/>
  <c r="C90" i="9"/>
  <c r="D90" i="9"/>
  <c r="E90" i="9"/>
  <c r="A91" i="9"/>
  <c r="B91" i="9"/>
  <c r="C91" i="9"/>
  <c r="D91" i="9"/>
  <c r="E91" i="9"/>
  <c r="A92" i="9"/>
  <c r="B92" i="9"/>
  <c r="C92" i="9"/>
  <c r="D92" i="9"/>
  <c r="E92" i="9"/>
  <c r="A93" i="9"/>
  <c r="B93" i="9"/>
  <c r="C93" i="9"/>
  <c r="D93" i="9"/>
  <c r="E93" i="9"/>
  <c r="A94" i="9"/>
  <c r="B94" i="9"/>
  <c r="C94" i="9"/>
  <c r="D94" i="9"/>
  <c r="E94" i="9"/>
  <c r="A95" i="9"/>
  <c r="B95" i="9"/>
  <c r="C95" i="9"/>
  <c r="D95" i="9"/>
  <c r="E95" i="9"/>
  <c r="A96" i="9"/>
  <c r="B96" i="9"/>
  <c r="C96" i="9"/>
  <c r="D96" i="9"/>
  <c r="E96" i="9"/>
  <c r="A97" i="9"/>
  <c r="B97" i="9"/>
  <c r="C97" i="9"/>
  <c r="D97" i="9"/>
  <c r="E97" i="9"/>
  <c r="A98" i="9"/>
  <c r="B98" i="9"/>
  <c r="C98" i="9"/>
  <c r="D98" i="9"/>
  <c r="E98" i="9"/>
  <c r="A99" i="9"/>
  <c r="B99" i="9"/>
  <c r="C99" i="9"/>
  <c r="D99" i="9"/>
  <c r="E99" i="9"/>
  <c r="A100" i="9"/>
  <c r="B100" i="9"/>
  <c r="C100" i="9"/>
  <c r="D100" i="9"/>
  <c r="E100" i="9"/>
  <c r="A101" i="9"/>
  <c r="B101" i="9"/>
  <c r="C101" i="9"/>
  <c r="D101" i="9"/>
  <c r="E101" i="9"/>
  <c r="A102" i="9"/>
  <c r="B102" i="9"/>
  <c r="C102" i="9"/>
  <c r="D102" i="9"/>
  <c r="E102" i="9"/>
  <c r="A103" i="9"/>
  <c r="B103" i="9"/>
  <c r="C103" i="9"/>
  <c r="D103" i="9"/>
  <c r="E103" i="9"/>
  <c r="A104" i="9"/>
  <c r="B104" i="9"/>
  <c r="C104" i="9"/>
  <c r="D104" i="9"/>
  <c r="E104" i="9"/>
  <c r="A105" i="9"/>
  <c r="B105" i="9"/>
  <c r="C105" i="9"/>
  <c r="D105" i="9"/>
  <c r="E105" i="9"/>
  <c r="A106" i="9"/>
  <c r="B106" i="9"/>
  <c r="C106" i="9"/>
  <c r="D106" i="9"/>
  <c r="E106" i="9"/>
  <c r="A107" i="9"/>
  <c r="B107" i="9"/>
  <c r="C107" i="9"/>
  <c r="D107" i="9"/>
  <c r="E107" i="9"/>
  <c r="A143" i="9"/>
  <c r="B143" i="9"/>
  <c r="C143" i="9"/>
  <c r="E143" i="9"/>
  <c r="A144" i="9"/>
  <c r="B144" i="9"/>
  <c r="C144" i="9"/>
  <c r="D144" i="9"/>
  <c r="E144" i="9"/>
  <c r="A145" i="9"/>
  <c r="B145" i="9"/>
  <c r="C145" i="9"/>
  <c r="D145" i="9"/>
  <c r="E145" i="9"/>
  <c r="A146" i="9"/>
  <c r="B146" i="9"/>
  <c r="C146" i="9"/>
  <c r="D146" i="9"/>
  <c r="E146" i="9"/>
  <c r="A147" i="9"/>
  <c r="B147" i="9"/>
  <c r="C147" i="9"/>
  <c r="D147" i="9"/>
  <c r="E147" i="9"/>
  <c r="A148" i="9"/>
  <c r="B148" i="9"/>
  <c r="C148" i="9"/>
  <c r="D148" i="9"/>
  <c r="E148" i="9"/>
  <c r="A149" i="9"/>
  <c r="B149" i="9"/>
  <c r="C149" i="9"/>
  <c r="D149" i="9"/>
  <c r="E149" i="9"/>
  <c r="A150" i="9"/>
  <c r="B150" i="9"/>
  <c r="C150" i="9"/>
  <c r="D150" i="9"/>
  <c r="E150" i="9"/>
  <c r="A151" i="9"/>
  <c r="B151" i="9"/>
  <c r="C151" i="9"/>
  <c r="D151" i="9"/>
  <c r="E151" i="9"/>
  <c r="A152" i="9"/>
  <c r="B152" i="9"/>
  <c r="C152" i="9"/>
  <c r="D152" i="9"/>
  <c r="E152" i="9"/>
  <c r="A153" i="9"/>
  <c r="B153" i="9"/>
  <c r="C153" i="9"/>
  <c r="D153" i="9"/>
  <c r="E153" i="9"/>
  <c r="A154" i="9"/>
  <c r="B154" i="9"/>
  <c r="C154" i="9"/>
  <c r="D154" i="9"/>
  <c r="E154" i="9"/>
  <c r="A155" i="9"/>
  <c r="B155" i="9"/>
  <c r="C155" i="9"/>
  <c r="D155" i="9"/>
  <c r="E155" i="9"/>
  <c r="A156" i="9"/>
  <c r="B156" i="9"/>
  <c r="C156" i="9"/>
  <c r="D156" i="9"/>
  <c r="E156" i="9"/>
  <c r="A157" i="9"/>
  <c r="B157" i="9"/>
  <c r="C157" i="9"/>
  <c r="D157" i="9"/>
  <c r="E157" i="9"/>
  <c r="A158" i="9"/>
  <c r="B158" i="9"/>
  <c r="C158" i="9"/>
  <c r="D158" i="9"/>
  <c r="E158" i="9"/>
  <c r="A159" i="9"/>
  <c r="B159" i="9"/>
  <c r="C159" i="9"/>
  <c r="D159" i="9"/>
  <c r="E159" i="9"/>
  <c r="A160" i="9"/>
  <c r="B160" i="9"/>
  <c r="C160" i="9"/>
  <c r="D160" i="9"/>
  <c r="E160" i="9"/>
  <c r="A161" i="9"/>
  <c r="B161" i="9"/>
  <c r="C161" i="9"/>
  <c r="D161" i="9"/>
  <c r="E161" i="9"/>
  <c r="A162" i="9"/>
  <c r="B162" i="9"/>
  <c r="C162" i="9"/>
  <c r="D162" i="9"/>
  <c r="E162" i="9"/>
  <c r="A163" i="9"/>
  <c r="B163" i="9"/>
  <c r="C163" i="9"/>
  <c r="D163" i="9"/>
  <c r="E163" i="9"/>
  <c r="A164" i="9"/>
  <c r="B164" i="9"/>
  <c r="C164" i="9"/>
  <c r="D164" i="9"/>
  <c r="E164" i="9"/>
  <c r="A165" i="9"/>
  <c r="B165" i="9"/>
  <c r="C165" i="9"/>
  <c r="D165" i="9"/>
  <c r="E165" i="9"/>
  <c r="A166" i="9"/>
  <c r="B166" i="9"/>
  <c r="C166" i="9"/>
  <c r="D166" i="9"/>
  <c r="E166" i="9"/>
  <c r="A167" i="9"/>
  <c r="B167" i="9"/>
  <c r="C167" i="9"/>
  <c r="D167" i="9"/>
  <c r="E167" i="9"/>
  <c r="A168" i="9"/>
  <c r="B168" i="9"/>
  <c r="C168" i="9"/>
  <c r="D168" i="9"/>
  <c r="E168" i="9"/>
  <c r="A169" i="9"/>
  <c r="B169" i="9"/>
  <c r="C169" i="9"/>
  <c r="D169" i="9"/>
  <c r="E169" i="9"/>
  <c r="A170" i="9"/>
  <c r="B170" i="9"/>
  <c r="C170" i="9"/>
  <c r="D170" i="9"/>
  <c r="E170" i="9"/>
  <c r="A171" i="9"/>
  <c r="B171" i="9"/>
  <c r="C171" i="9"/>
  <c r="D171" i="9"/>
  <c r="E171" i="9"/>
  <c r="A172" i="9"/>
  <c r="B172" i="9"/>
  <c r="C172" i="9"/>
  <c r="D172" i="9"/>
  <c r="E172" i="9"/>
  <c r="A173" i="9"/>
  <c r="B173" i="9"/>
  <c r="C173" i="9"/>
  <c r="D173" i="9"/>
  <c r="E173" i="9"/>
  <c r="A174" i="9"/>
  <c r="B174" i="9"/>
  <c r="C174" i="9"/>
  <c r="D174" i="9"/>
  <c r="E174" i="9"/>
  <c r="A175" i="9"/>
  <c r="B175" i="9"/>
  <c r="C175" i="9"/>
  <c r="D175" i="9"/>
  <c r="E175" i="9"/>
  <c r="A176" i="9"/>
  <c r="B176" i="9"/>
  <c r="C176" i="9"/>
  <c r="D176" i="9"/>
  <c r="E176" i="9"/>
  <c r="A177" i="9"/>
  <c r="B177" i="9"/>
  <c r="C177" i="9"/>
  <c r="D177" i="9"/>
  <c r="E177" i="9"/>
  <c r="A178" i="9"/>
  <c r="B178" i="9"/>
  <c r="C178" i="9"/>
  <c r="D178" i="9"/>
  <c r="E178" i="9"/>
  <c r="A179" i="9"/>
  <c r="B179" i="9"/>
  <c r="C179" i="9"/>
  <c r="D179" i="9"/>
  <c r="E179" i="9"/>
  <c r="A180" i="9"/>
  <c r="B180" i="9"/>
  <c r="C180" i="9"/>
  <c r="D180" i="9"/>
  <c r="E180" i="9"/>
  <c r="A181" i="9"/>
  <c r="B181" i="9"/>
  <c r="C181" i="9"/>
  <c r="D181" i="9"/>
  <c r="E181" i="9"/>
  <c r="A182" i="9"/>
  <c r="B182" i="9"/>
  <c r="C182" i="9"/>
  <c r="D182" i="9"/>
  <c r="E182" i="9"/>
  <c r="A183" i="9"/>
  <c r="B183" i="9"/>
  <c r="C183" i="9"/>
  <c r="D183" i="9"/>
  <c r="E183" i="9"/>
  <c r="A184" i="9"/>
  <c r="B184" i="9"/>
  <c r="C184" i="9"/>
  <c r="D184" i="9"/>
  <c r="E184" i="9"/>
  <c r="A185" i="9"/>
  <c r="B185" i="9"/>
  <c r="C185" i="9"/>
  <c r="D185" i="9"/>
  <c r="E185" i="9"/>
  <c r="G45" i="6"/>
  <c r="G46" i="6"/>
  <c r="H50" i="6"/>
  <c r="K50" i="6"/>
  <c r="H51" i="6"/>
  <c r="K52" i="6"/>
  <c r="H53" i="6"/>
  <c r="K53" i="6"/>
  <c r="H54" i="6"/>
  <c r="K54" i="6"/>
  <c r="H55" i="6"/>
  <c r="K55" i="6"/>
  <c r="H57" i="6"/>
  <c r="H58" i="6"/>
  <c r="H59" i="6"/>
  <c r="H60" i="6"/>
  <c r="H61" i="6"/>
  <c r="H62" i="6"/>
  <c r="H64" i="6"/>
  <c r="H65" i="6"/>
  <c r="H66" i="6"/>
  <c r="G104" i="6"/>
  <c r="G105" i="6"/>
  <c r="G106" i="6"/>
  <c r="G125" i="6"/>
  <c r="G126" i="6"/>
  <c r="G128" i="6"/>
  <c r="G129" i="6"/>
  <c r="C150" i="6"/>
  <c r="G150" i="6"/>
  <c r="I150" i="6"/>
  <c r="J150" i="6"/>
  <c r="K150" i="6"/>
  <c r="L150" i="6"/>
  <c r="M150" i="6"/>
  <c r="N150" i="6"/>
  <c r="O150" i="6"/>
  <c r="P150" i="6"/>
  <c r="Q150" i="6"/>
  <c r="C151" i="6"/>
  <c r="D151" i="6"/>
  <c r="E151" i="6"/>
  <c r="F151" i="6"/>
  <c r="G151" i="6"/>
  <c r="I151" i="6"/>
  <c r="J151" i="6"/>
  <c r="K151" i="6"/>
  <c r="L151" i="6"/>
  <c r="M151" i="6"/>
  <c r="N151" i="6"/>
  <c r="O151" i="6"/>
  <c r="P151" i="6"/>
  <c r="Q151" i="6"/>
  <c r="C152" i="6"/>
  <c r="D152" i="6"/>
  <c r="E152" i="6"/>
  <c r="F152" i="6"/>
  <c r="G152" i="6"/>
  <c r="I152" i="6"/>
  <c r="J152" i="6"/>
  <c r="K152" i="6"/>
  <c r="L152" i="6"/>
  <c r="M152" i="6"/>
  <c r="N152" i="6"/>
  <c r="O152" i="6"/>
  <c r="P152" i="6"/>
  <c r="Q152" i="6"/>
  <c r="C153" i="6"/>
  <c r="D153" i="6"/>
  <c r="E153" i="6"/>
  <c r="F153" i="6"/>
  <c r="G153" i="6"/>
  <c r="I153" i="6"/>
  <c r="J153" i="6"/>
  <c r="K153" i="6"/>
  <c r="L153" i="6"/>
  <c r="M153" i="6"/>
  <c r="N153" i="6"/>
  <c r="O153" i="6"/>
  <c r="P153" i="6"/>
  <c r="Q153" i="6"/>
  <c r="C154" i="6"/>
  <c r="D154" i="6"/>
  <c r="E154" i="6"/>
  <c r="F154" i="6"/>
  <c r="G154" i="6"/>
  <c r="I154" i="6"/>
  <c r="J154" i="6"/>
  <c r="K154" i="6"/>
  <c r="L154" i="6"/>
  <c r="M154" i="6"/>
  <c r="N154" i="6"/>
  <c r="O154" i="6"/>
  <c r="P154" i="6"/>
  <c r="Q154" i="6"/>
  <c r="C155" i="6"/>
  <c r="D155" i="6"/>
  <c r="E155" i="6"/>
  <c r="F155" i="6"/>
  <c r="G155" i="6"/>
  <c r="I155" i="6"/>
  <c r="J155" i="6"/>
  <c r="K155" i="6"/>
  <c r="L155" i="6"/>
  <c r="M155" i="6"/>
  <c r="N155" i="6"/>
  <c r="O155" i="6"/>
  <c r="P155" i="6"/>
  <c r="Q155" i="6"/>
  <c r="C156" i="6"/>
  <c r="D156" i="6"/>
  <c r="E156" i="6"/>
  <c r="F156" i="6"/>
  <c r="G156" i="6"/>
  <c r="I156" i="6"/>
  <c r="J156" i="6"/>
  <c r="K156" i="6"/>
  <c r="L156" i="6"/>
  <c r="M156" i="6"/>
  <c r="N156" i="6"/>
  <c r="O156" i="6"/>
  <c r="P156" i="6"/>
  <c r="Q156" i="6"/>
  <c r="C157" i="6"/>
  <c r="D157" i="6"/>
  <c r="E157" i="6"/>
  <c r="F157" i="6"/>
  <c r="G157" i="6"/>
  <c r="I157" i="6"/>
  <c r="J157" i="6"/>
  <c r="K157" i="6"/>
  <c r="L157" i="6"/>
  <c r="M157" i="6"/>
  <c r="N157" i="6"/>
  <c r="O157" i="6"/>
  <c r="P157" i="6"/>
  <c r="Q157" i="6"/>
  <c r="C158" i="6"/>
  <c r="D158" i="6"/>
  <c r="E158" i="6"/>
  <c r="F158" i="6"/>
  <c r="G158" i="6"/>
  <c r="I158" i="6"/>
  <c r="J158" i="6"/>
  <c r="K158" i="6"/>
  <c r="L158" i="6"/>
  <c r="M158" i="6"/>
  <c r="N158" i="6"/>
  <c r="O158" i="6"/>
  <c r="P158" i="6"/>
  <c r="Q158" i="6"/>
  <c r="C159" i="6"/>
  <c r="D159" i="6"/>
  <c r="E159" i="6"/>
  <c r="F159" i="6"/>
  <c r="G159" i="6"/>
  <c r="I159" i="6"/>
  <c r="J159" i="6"/>
  <c r="K159" i="6"/>
  <c r="L159" i="6"/>
  <c r="M159" i="6"/>
  <c r="N159" i="6"/>
  <c r="O159" i="6"/>
  <c r="P159" i="6"/>
  <c r="Q159" i="6"/>
  <c r="C160" i="6"/>
  <c r="D160" i="6"/>
  <c r="E160" i="6"/>
  <c r="F160" i="6"/>
  <c r="G160" i="6"/>
  <c r="I160" i="6"/>
  <c r="J160" i="6"/>
  <c r="K160" i="6"/>
  <c r="L160" i="6"/>
  <c r="M160" i="6"/>
  <c r="N160" i="6"/>
  <c r="O160" i="6"/>
  <c r="P160" i="6"/>
  <c r="Q160" i="6"/>
  <c r="C161" i="6"/>
  <c r="D161" i="6"/>
  <c r="E161" i="6"/>
  <c r="F161" i="6"/>
  <c r="G161" i="6"/>
  <c r="I161" i="6"/>
  <c r="J161" i="6"/>
  <c r="K161" i="6"/>
  <c r="L161" i="6"/>
  <c r="M161" i="6"/>
  <c r="N161" i="6"/>
  <c r="O161" i="6"/>
  <c r="P161" i="6"/>
  <c r="Q161" i="6"/>
  <c r="C162" i="6"/>
  <c r="D162" i="6"/>
  <c r="E162" i="6"/>
  <c r="F162" i="6"/>
  <c r="G162" i="6"/>
  <c r="I162" i="6"/>
  <c r="J162" i="6"/>
  <c r="K162" i="6"/>
  <c r="L162" i="6"/>
  <c r="M162" i="6"/>
  <c r="N162" i="6"/>
  <c r="O162" i="6"/>
  <c r="P162" i="6"/>
  <c r="Q162" i="6"/>
  <c r="C163" i="6"/>
  <c r="D163" i="6"/>
  <c r="E163" i="6"/>
  <c r="F163" i="6"/>
  <c r="G163" i="6"/>
  <c r="I163" i="6"/>
  <c r="J163" i="6"/>
  <c r="K163" i="6"/>
  <c r="L163" i="6"/>
  <c r="M163" i="6"/>
  <c r="N163" i="6"/>
  <c r="O163" i="6"/>
  <c r="P163" i="6"/>
  <c r="Q163" i="6"/>
  <c r="C164" i="6"/>
  <c r="D164" i="6"/>
  <c r="E164" i="6"/>
  <c r="F164" i="6"/>
  <c r="G164" i="6"/>
  <c r="I164" i="6"/>
  <c r="J164" i="6"/>
  <c r="K164" i="6"/>
  <c r="L164" i="6"/>
  <c r="M164" i="6"/>
  <c r="N164" i="6"/>
  <c r="O164" i="6"/>
  <c r="P164" i="6"/>
  <c r="Q164" i="6"/>
  <c r="C165" i="6"/>
  <c r="D165" i="6"/>
  <c r="E165" i="6"/>
  <c r="F165" i="6"/>
  <c r="G165" i="6"/>
  <c r="I165" i="6"/>
  <c r="J165" i="6"/>
  <c r="K165" i="6"/>
  <c r="L165" i="6"/>
  <c r="M165" i="6"/>
  <c r="N165" i="6"/>
  <c r="O165" i="6"/>
  <c r="P165" i="6"/>
  <c r="Q165" i="6"/>
  <c r="C166" i="6"/>
  <c r="D166" i="6"/>
  <c r="E166" i="6"/>
  <c r="F166" i="6"/>
  <c r="G166" i="6"/>
  <c r="I166" i="6"/>
  <c r="J166" i="6"/>
  <c r="K166" i="6"/>
  <c r="L166" i="6"/>
  <c r="M166" i="6"/>
  <c r="N166" i="6"/>
  <c r="O166" i="6"/>
  <c r="P166" i="6"/>
  <c r="Q166" i="6"/>
  <c r="C167" i="6"/>
  <c r="D167" i="6"/>
  <c r="E167" i="6"/>
  <c r="F167" i="6"/>
  <c r="G167" i="6"/>
  <c r="I167" i="6"/>
  <c r="J167" i="6"/>
  <c r="K167" i="6"/>
  <c r="L167" i="6"/>
  <c r="M167" i="6"/>
  <c r="N167" i="6"/>
  <c r="O167" i="6"/>
  <c r="P167" i="6"/>
  <c r="Q167" i="6"/>
  <c r="C168" i="6"/>
  <c r="D168" i="6"/>
  <c r="E168" i="6"/>
  <c r="F168" i="6"/>
  <c r="G168" i="6"/>
  <c r="I168" i="6"/>
  <c r="J168" i="6"/>
  <c r="K168" i="6"/>
  <c r="L168" i="6"/>
  <c r="M168" i="6"/>
  <c r="N168" i="6"/>
  <c r="O168" i="6"/>
  <c r="P168" i="6"/>
  <c r="Q168" i="6"/>
  <c r="C169" i="6"/>
  <c r="D169" i="6"/>
  <c r="E169" i="6"/>
  <c r="F169" i="6"/>
  <c r="G169" i="6"/>
  <c r="I169" i="6"/>
  <c r="J169" i="6"/>
  <c r="K169" i="6"/>
  <c r="L169" i="6"/>
  <c r="M169" i="6"/>
  <c r="N169" i="6"/>
  <c r="O169" i="6"/>
  <c r="P169" i="6"/>
  <c r="Q169" i="6"/>
  <c r="C170" i="6"/>
  <c r="D170" i="6"/>
  <c r="E170" i="6"/>
  <c r="F170" i="6"/>
  <c r="G170" i="6"/>
  <c r="I170" i="6"/>
  <c r="J170" i="6"/>
  <c r="K170" i="6"/>
  <c r="L170" i="6"/>
  <c r="M170" i="6"/>
  <c r="N170" i="6"/>
  <c r="O170" i="6"/>
  <c r="P170" i="6"/>
  <c r="Q170" i="6"/>
  <c r="C171" i="6"/>
  <c r="D171" i="6"/>
  <c r="E171" i="6"/>
  <c r="F171" i="6"/>
  <c r="G171" i="6"/>
  <c r="I171" i="6"/>
  <c r="J171" i="6"/>
  <c r="K171" i="6"/>
  <c r="L171" i="6"/>
  <c r="M171" i="6"/>
  <c r="N171" i="6"/>
  <c r="O171" i="6"/>
  <c r="P171" i="6"/>
  <c r="Q171" i="6"/>
  <c r="C172" i="6"/>
  <c r="D172" i="6"/>
  <c r="E172" i="6"/>
  <c r="F172" i="6"/>
  <c r="G172" i="6"/>
  <c r="I172" i="6"/>
  <c r="J172" i="6"/>
  <c r="K172" i="6"/>
  <c r="L172" i="6"/>
  <c r="M172" i="6"/>
  <c r="N172" i="6"/>
  <c r="O172" i="6"/>
  <c r="P172" i="6"/>
  <c r="Q172" i="6"/>
  <c r="C173" i="6"/>
  <c r="D173" i="6"/>
  <c r="E173" i="6"/>
  <c r="F173" i="6"/>
  <c r="G173" i="6"/>
  <c r="I173" i="6"/>
  <c r="J173" i="6"/>
  <c r="K173" i="6"/>
  <c r="L173" i="6"/>
  <c r="M173" i="6"/>
  <c r="N173" i="6"/>
  <c r="O173" i="6"/>
  <c r="P173" i="6"/>
  <c r="Q173" i="6"/>
  <c r="C174" i="6"/>
  <c r="D174" i="6"/>
  <c r="E174" i="6"/>
  <c r="F174" i="6"/>
  <c r="G174" i="6"/>
  <c r="I174" i="6"/>
  <c r="J174" i="6"/>
  <c r="K174" i="6"/>
  <c r="L174" i="6"/>
  <c r="M174" i="6"/>
  <c r="N174" i="6"/>
  <c r="O174" i="6"/>
  <c r="P174" i="6"/>
  <c r="Q174" i="6"/>
  <c r="C175" i="6"/>
  <c r="D175" i="6"/>
  <c r="E175" i="6"/>
  <c r="F175" i="6"/>
  <c r="G175" i="6"/>
  <c r="I175" i="6"/>
  <c r="J175" i="6"/>
  <c r="K175" i="6"/>
  <c r="L175" i="6"/>
  <c r="M175" i="6"/>
  <c r="N175" i="6"/>
  <c r="O175" i="6"/>
  <c r="P175" i="6"/>
  <c r="Q175" i="6"/>
  <c r="C176" i="6"/>
  <c r="D176" i="6"/>
  <c r="E176" i="6"/>
  <c r="F176" i="6"/>
  <c r="G176" i="6"/>
  <c r="I176" i="6"/>
  <c r="J176" i="6"/>
  <c r="K176" i="6"/>
  <c r="L176" i="6"/>
  <c r="M176" i="6"/>
  <c r="N176" i="6"/>
  <c r="O176" i="6"/>
  <c r="P176" i="6"/>
  <c r="Q176" i="6"/>
  <c r="C177" i="6"/>
  <c r="D177" i="6"/>
  <c r="E177" i="6"/>
  <c r="F177" i="6"/>
  <c r="G177" i="6"/>
  <c r="I177" i="6"/>
  <c r="J177" i="6"/>
  <c r="K177" i="6"/>
  <c r="L177" i="6"/>
  <c r="M177" i="6"/>
  <c r="N177" i="6"/>
  <c r="O177" i="6"/>
  <c r="P177" i="6"/>
  <c r="Q177" i="6"/>
  <c r="C178" i="6"/>
  <c r="D178" i="6"/>
  <c r="E178" i="6"/>
  <c r="F178" i="6"/>
  <c r="G178" i="6"/>
  <c r="I178" i="6"/>
  <c r="J178" i="6"/>
  <c r="K178" i="6"/>
  <c r="L178" i="6"/>
  <c r="M178" i="6"/>
  <c r="N178" i="6"/>
  <c r="O178" i="6"/>
  <c r="P178" i="6"/>
  <c r="Q178" i="6"/>
  <c r="C179" i="6"/>
  <c r="D179" i="6"/>
  <c r="E179" i="6"/>
  <c r="F179" i="6"/>
  <c r="G179" i="6"/>
  <c r="I179" i="6"/>
  <c r="J179" i="6"/>
  <c r="K179" i="6"/>
  <c r="L179" i="6"/>
  <c r="M179" i="6"/>
  <c r="N179" i="6"/>
  <c r="O179" i="6"/>
  <c r="P179" i="6"/>
  <c r="Q179" i="6"/>
  <c r="C180" i="6"/>
  <c r="D180" i="6"/>
  <c r="E180" i="6"/>
  <c r="F180" i="6"/>
  <c r="G180" i="6"/>
  <c r="I180" i="6"/>
  <c r="J180" i="6"/>
  <c r="K180" i="6"/>
  <c r="L180" i="6"/>
  <c r="M180" i="6"/>
  <c r="N180" i="6"/>
  <c r="O180" i="6"/>
  <c r="P180" i="6"/>
  <c r="Q180" i="6"/>
  <c r="C181" i="6"/>
  <c r="D181" i="6"/>
  <c r="E181" i="6"/>
  <c r="F181" i="6"/>
  <c r="G181" i="6"/>
  <c r="I181" i="6"/>
  <c r="J181" i="6"/>
  <c r="K181" i="6"/>
  <c r="L181" i="6"/>
  <c r="M181" i="6"/>
  <c r="N181" i="6"/>
  <c r="O181" i="6"/>
  <c r="P181" i="6"/>
  <c r="Q181" i="6"/>
  <c r="C182" i="6"/>
  <c r="D182" i="6"/>
  <c r="E182" i="6"/>
  <c r="F182" i="6"/>
  <c r="G182" i="6"/>
  <c r="I182" i="6"/>
  <c r="J182" i="6"/>
  <c r="K182" i="6"/>
  <c r="L182" i="6"/>
  <c r="M182" i="6"/>
  <c r="N182" i="6"/>
  <c r="O182" i="6"/>
  <c r="P182" i="6"/>
  <c r="Q182" i="6"/>
  <c r="C183" i="6"/>
  <c r="D183" i="6"/>
  <c r="E183" i="6"/>
  <c r="F183" i="6"/>
  <c r="G183" i="6"/>
  <c r="I183" i="6"/>
  <c r="J183" i="6"/>
  <c r="K183" i="6"/>
  <c r="L183" i="6"/>
  <c r="M183" i="6"/>
  <c r="N183" i="6"/>
  <c r="O183" i="6"/>
  <c r="P183" i="6"/>
  <c r="Q183" i="6"/>
  <c r="C184" i="6"/>
  <c r="D184" i="6"/>
  <c r="E184" i="6"/>
  <c r="F184" i="6"/>
  <c r="G184" i="6"/>
  <c r="I184" i="6"/>
  <c r="J184" i="6"/>
  <c r="K184" i="6"/>
  <c r="L184" i="6"/>
  <c r="M184" i="6"/>
  <c r="N184" i="6"/>
  <c r="O184" i="6"/>
  <c r="P184" i="6"/>
  <c r="Q184" i="6"/>
  <c r="C185" i="6"/>
  <c r="D185" i="6"/>
  <c r="E185" i="6"/>
  <c r="F185" i="6"/>
  <c r="G185" i="6"/>
  <c r="I185" i="6"/>
  <c r="J185" i="6"/>
  <c r="K185" i="6"/>
  <c r="L185" i="6"/>
  <c r="M185" i="6"/>
  <c r="N185" i="6"/>
  <c r="O185" i="6"/>
  <c r="P185" i="6"/>
  <c r="Q185" i="6"/>
  <c r="C186" i="6"/>
  <c r="D186" i="6"/>
  <c r="E186" i="6"/>
  <c r="F186" i="6"/>
  <c r="G186" i="6"/>
  <c r="I186" i="6"/>
  <c r="J186" i="6"/>
  <c r="K186" i="6"/>
  <c r="L186" i="6"/>
  <c r="M186" i="6"/>
  <c r="N186" i="6"/>
  <c r="O186" i="6"/>
  <c r="P186" i="6"/>
  <c r="Q186" i="6"/>
  <c r="C187" i="6"/>
  <c r="D187" i="6"/>
  <c r="E187" i="6"/>
  <c r="F187" i="6"/>
  <c r="G187" i="6"/>
  <c r="I187" i="6"/>
  <c r="J187" i="6"/>
  <c r="K187" i="6"/>
  <c r="L187" i="6"/>
  <c r="M187" i="6"/>
  <c r="N187" i="6"/>
  <c r="O187" i="6"/>
  <c r="P187" i="6"/>
  <c r="Q187" i="6"/>
  <c r="C188" i="6"/>
  <c r="D188" i="6"/>
  <c r="E188" i="6"/>
  <c r="F188" i="6"/>
  <c r="G188" i="6"/>
  <c r="I188" i="6"/>
  <c r="J188" i="6"/>
  <c r="K188" i="6"/>
  <c r="L188" i="6"/>
  <c r="M188" i="6"/>
  <c r="N188" i="6"/>
  <c r="O188" i="6"/>
  <c r="P188" i="6"/>
  <c r="Q188" i="6"/>
  <c r="C189" i="6"/>
  <c r="D189" i="6"/>
  <c r="E189" i="6"/>
  <c r="F189" i="6"/>
  <c r="G189" i="6"/>
  <c r="I189" i="6"/>
  <c r="J189" i="6"/>
  <c r="K189" i="6"/>
  <c r="L189" i="6"/>
  <c r="M189" i="6"/>
  <c r="N189" i="6"/>
  <c r="O189" i="6"/>
  <c r="P189" i="6"/>
  <c r="Q189" i="6"/>
  <c r="C190" i="6"/>
  <c r="D190" i="6"/>
  <c r="E190" i="6"/>
  <c r="F190" i="6"/>
  <c r="G190" i="6"/>
  <c r="I190" i="6"/>
  <c r="J190" i="6"/>
  <c r="K190" i="6"/>
  <c r="L190" i="6"/>
  <c r="M190" i="6"/>
  <c r="N190" i="6"/>
  <c r="O190" i="6"/>
  <c r="P190" i="6"/>
  <c r="Q190" i="6"/>
  <c r="C191" i="6"/>
  <c r="D191" i="6"/>
  <c r="E191" i="6"/>
  <c r="F191" i="6"/>
  <c r="G191" i="6"/>
  <c r="I191" i="6"/>
  <c r="J191" i="6"/>
  <c r="K191" i="6"/>
  <c r="L191" i="6"/>
  <c r="M191" i="6"/>
  <c r="N191" i="6"/>
  <c r="O191" i="6"/>
  <c r="P191" i="6"/>
  <c r="Q191" i="6"/>
  <c r="C192" i="6"/>
  <c r="D192" i="6"/>
  <c r="E192" i="6"/>
  <c r="F192" i="6"/>
  <c r="G192" i="6"/>
  <c r="I192" i="6"/>
  <c r="J192" i="6"/>
  <c r="K192" i="6"/>
  <c r="L192" i="6"/>
  <c r="M192" i="6"/>
  <c r="N192" i="6"/>
  <c r="O192" i="6"/>
  <c r="P192" i="6"/>
  <c r="Q192" i="6"/>
  <c r="B11" i="7"/>
  <c r="B12" i="7"/>
  <c r="B14" i="7"/>
  <c r="B15" i="7"/>
  <c r="A18" i="7"/>
  <c r="B18" i="7"/>
  <c r="C18" i="7"/>
  <c r="E18" i="7"/>
  <c r="A19" i="7"/>
  <c r="B19" i="7"/>
  <c r="C19" i="7"/>
  <c r="D19" i="7"/>
  <c r="E19" i="7"/>
  <c r="A20" i="7"/>
  <c r="B20" i="7"/>
  <c r="C20" i="7"/>
  <c r="D20" i="7"/>
  <c r="E20" i="7"/>
  <c r="A21" i="7"/>
  <c r="B21" i="7"/>
  <c r="C21" i="7"/>
  <c r="D21" i="7"/>
  <c r="E21" i="7"/>
  <c r="A22" i="7"/>
  <c r="B22" i="7"/>
  <c r="C22" i="7"/>
  <c r="D22" i="7"/>
  <c r="E22" i="7"/>
  <c r="A23" i="7"/>
  <c r="B23" i="7"/>
  <c r="C23" i="7"/>
  <c r="D23" i="7"/>
  <c r="E23" i="7"/>
  <c r="A24" i="7"/>
  <c r="B24" i="7"/>
  <c r="C24" i="7"/>
  <c r="D24" i="7"/>
  <c r="E24" i="7"/>
  <c r="A25" i="7"/>
  <c r="B25" i="7"/>
  <c r="C25" i="7"/>
  <c r="D25" i="7"/>
  <c r="E25" i="7"/>
  <c r="A26" i="7"/>
  <c r="B26" i="7"/>
  <c r="C26" i="7"/>
  <c r="D26" i="7"/>
  <c r="E26" i="7"/>
  <c r="A27" i="7"/>
  <c r="B27" i="7"/>
  <c r="C27" i="7"/>
  <c r="D27" i="7"/>
  <c r="E27" i="7"/>
  <c r="A28" i="7"/>
  <c r="B28" i="7"/>
  <c r="C28" i="7"/>
  <c r="D28" i="7"/>
  <c r="E28" i="7"/>
  <c r="A29" i="7"/>
  <c r="B29" i="7"/>
  <c r="C29" i="7"/>
  <c r="D29" i="7"/>
  <c r="E29" i="7"/>
  <c r="A30" i="7"/>
  <c r="B30" i="7"/>
  <c r="C30" i="7"/>
  <c r="D30" i="7"/>
  <c r="E30" i="7"/>
  <c r="A31" i="7"/>
  <c r="B31" i="7"/>
  <c r="C31" i="7"/>
  <c r="D31" i="7"/>
  <c r="E31" i="7"/>
  <c r="A32" i="7"/>
  <c r="B32" i="7"/>
  <c r="C32" i="7"/>
  <c r="D32" i="7"/>
  <c r="E32" i="7"/>
  <c r="A33" i="7"/>
  <c r="B33" i="7"/>
  <c r="C33" i="7"/>
  <c r="D33" i="7"/>
  <c r="E33" i="7"/>
  <c r="A34" i="7"/>
  <c r="B34" i="7"/>
  <c r="C34" i="7"/>
  <c r="D34" i="7"/>
  <c r="E34" i="7"/>
  <c r="A35" i="7"/>
  <c r="B35" i="7"/>
  <c r="C35" i="7"/>
  <c r="D35" i="7"/>
  <c r="E35" i="7"/>
  <c r="A36" i="7"/>
  <c r="B36" i="7"/>
  <c r="C36" i="7"/>
  <c r="D36" i="7"/>
  <c r="E36" i="7"/>
  <c r="A37" i="7"/>
  <c r="B37" i="7"/>
  <c r="C37" i="7"/>
  <c r="D37" i="7"/>
  <c r="E37" i="7"/>
  <c r="A38" i="7"/>
  <c r="B38" i="7"/>
  <c r="C38" i="7"/>
  <c r="D38" i="7"/>
  <c r="E38" i="7"/>
  <c r="A39" i="7"/>
  <c r="B39" i="7"/>
  <c r="C39" i="7"/>
  <c r="D39" i="7"/>
  <c r="E39" i="7"/>
  <c r="A40" i="7"/>
  <c r="B40" i="7"/>
  <c r="C40" i="7"/>
  <c r="D40" i="7"/>
  <c r="E40" i="7"/>
  <c r="A41" i="7"/>
  <c r="B41" i="7"/>
  <c r="C41" i="7"/>
  <c r="D41" i="7"/>
  <c r="E41" i="7"/>
  <c r="A42" i="7"/>
  <c r="B42" i="7"/>
  <c r="C42" i="7"/>
  <c r="D42" i="7"/>
  <c r="E42" i="7"/>
  <c r="A43" i="7"/>
  <c r="B43" i="7"/>
  <c r="C43" i="7"/>
  <c r="D43" i="7"/>
  <c r="E43" i="7"/>
  <c r="A44" i="7"/>
  <c r="B44" i="7"/>
  <c r="C44" i="7"/>
  <c r="D44" i="7"/>
  <c r="E44" i="7"/>
  <c r="A45" i="7"/>
  <c r="B45" i="7"/>
  <c r="C45" i="7"/>
  <c r="D45" i="7"/>
  <c r="E45" i="7"/>
  <c r="A46" i="7"/>
  <c r="B46" i="7"/>
  <c r="C46" i="7"/>
  <c r="D46" i="7"/>
  <c r="E46" i="7"/>
  <c r="A47" i="7"/>
  <c r="B47" i="7"/>
  <c r="C47" i="7"/>
  <c r="D47" i="7"/>
  <c r="E47" i="7"/>
  <c r="A48" i="7"/>
  <c r="B48" i="7"/>
  <c r="C48" i="7"/>
  <c r="D48" i="7"/>
  <c r="E48" i="7"/>
  <c r="A49" i="7"/>
  <c r="B49" i="7"/>
  <c r="C49" i="7"/>
  <c r="D49" i="7"/>
  <c r="E49" i="7"/>
  <c r="A50" i="7"/>
  <c r="B50" i="7"/>
  <c r="C50" i="7"/>
  <c r="D50" i="7"/>
  <c r="E50" i="7"/>
  <c r="A51" i="7"/>
  <c r="B51" i="7"/>
  <c r="C51" i="7"/>
  <c r="D51" i="7"/>
  <c r="E51" i="7"/>
  <c r="A52" i="7"/>
  <c r="B52" i="7"/>
  <c r="C52" i="7"/>
  <c r="D52" i="7"/>
  <c r="E52" i="7"/>
  <c r="A53" i="7"/>
  <c r="B53" i="7"/>
  <c r="C53" i="7"/>
  <c r="D53" i="7"/>
  <c r="E53" i="7"/>
  <c r="A54" i="7"/>
  <c r="B54" i="7"/>
  <c r="C54" i="7"/>
  <c r="D54" i="7"/>
  <c r="E54" i="7"/>
  <c r="A55" i="7"/>
  <c r="B55" i="7"/>
  <c r="C55" i="7"/>
  <c r="D55" i="7"/>
  <c r="E55" i="7"/>
  <c r="A56" i="7"/>
  <c r="B56" i="7"/>
  <c r="C56" i="7"/>
  <c r="D56" i="7"/>
  <c r="E56" i="7"/>
  <c r="A57" i="7"/>
  <c r="B57" i="7"/>
  <c r="C57" i="7"/>
  <c r="D57" i="7"/>
  <c r="E57" i="7"/>
  <c r="A58" i="7"/>
  <c r="B58" i="7"/>
  <c r="C58" i="7"/>
  <c r="D58" i="7"/>
  <c r="E58" i="7"/>
  <c r="A59" i="7"/>
  <c r="B59" i="7"/>
  <c r="C59" i="7"/>
  <c r="D59" i="7"/>
  <c r="E59" i="7"/>
  <c r="A60" i="7"/>
  <c r="B60" i="7"/>
  <c r="C60" i="7"/>
  <c r="D60" i="7"/>
  <c r="E60" i="7"/>
  <c r="A64" i="7"/>
  <c r="B64" i="7"/>
  <c r="C64" i="7"/>
  <c r="E64" i="7"/>
  <c r="A65" i="7"/>
  <c r="B65" i="7"/>
  <c r="C65" i="7"/>
  <c r="D65" i="7"/>
  <c r="E65" i="7"/>
  <c r="A66" i="7"/>
  <c r="B66" i="7"/>
  <c r="C66" i="7"/>
  <c r="D66" i="7"/>
  <c r="E66" i="7"/>
  <c r="A67" i="7"/>
  <c r="B67" i="7"/>
  <c r="C67" i="7"/>
  <c r="D67" i="7"/>
  <c r="E67" i="7"/>
  <c r="A68" i="7"/>
  <c r="B68" i="7"/>
  <c r="C68" i="7"/>
  <c r="D68" i="7"/>
  <c r="E68" i="7"/>
  <c r="A69" i="7"/>
  <c r="B69" i="7"/>
  <c r="C69" i="7"/>
  <c r="D69" i="7"/>
  <c r="E69" i="7"/>
  <c r="A70" i="7"/>
  <c r="B70" i="7"/>
  <c r="C70" i="7"/>
  <c r="D70" i="7"/>
  <c r="E70" i="7"/>
  <c r="A71" i="7"/>
  <c r="B71" i="7"/>
  <c r="C71" i="7"/>
  <c r="D71" i="7"/>
  <c r="E71" i="7"/>
  <c r="A72" i="7"/>
  <c r="B72" i="7"/>
  <c r="C72" i="7"/>
  <c r="D72" i="7"/>
  <c r="E72" i="7"/>
  <c r="A73" i="7"/>
  <c r="B73" i="7"/>
  <c r="C73" i="7"/>
  <c r="D73" i="7"/>
  <c r="E73" i="7"/>
  <c r="A74" i="7"/>
  <c r="B74" i="7"/>
  <c r="C74" i="7"/>
  <c r="D74" i="7"/>
  <c r="E74" i="7"/>
  <c r="A75" i="7"/>
  <c r="B75" i="7"/>
  <c r="C75" i="7"/>
  <c r="D75" i="7"/>
  <c r="E75" i="7"/>
  <c r="A76" i="7"/>
  <c r="B76" i="7"/>
  <c r="C76" i="7"/>
  <c r="D76" i="7"/>
  <c r="E76" i="7"/>
  <c r="A77" i="7"/>
  <c r="B77" i="7"/>
  <c r="C77" i="7"/>
  <c r="D77" i="7"/>
  <c r="E77" i="7"/>
  <c r="A78" i="7"/>
  <c r="B78" i="7"/>
  <c r="C78" i="7"/>
  <c r="D78" i="7"/>
  <c r="E78" i="7"/>
  <c r="A79" i="7"/>
  <c r="B79" i="7"/>
  <c r="C79" i="7"/>
  <c r="D79" i="7"/>
  <c r="E79" i="7"/>
  <c r="A80" i="7"/>
  <c r="B80" i="7"/>
  <c r="C80" i="7"/>
  <c r="D80" i="7"/>
  <c r="E80" i="7"/>
  <c r="A81" i="7"/>
  <c r="B81" i="7"/>
  <c r="C81" i="7"/>
  <c r="D81" i="7"/>
  <c r="E81" i="7"/>
  <c r="A82" i="7"/>
  <c r="B82" i="7"/>
  <c r="C82" i="7"/>
  <c r="D82" i="7"/>
  <c r="E82" i="7"/>
  <c r="A83" i="7"/>
  <c r="B83" i="7"/>
  <c r="C83" i="7"/>
  <c r="D83" i="7"/>
  <c r="E83" i="7"/>
  <c r="A84" i="7"/>
  <c r="B84" i="7"/>
  <c r="C84" i="7"/>
  <c r="D84" i="7"/>
  <c r="E84" i="7"/>
  <c r="A85" i="7"/>
  <c r="B85" i="7"/>
  <c r="C85" i="7"/>
  <c r="D85" i="7"/>
  <c r="E85" i="7"/>
  <c r="A86" i="7"/>
  <c r="B86" i="7"/>
  <c r="C86" i="7"/>
  <c r="D86" i="7"/>
  <c r="E86" i="7"/>
  <c r="A87" i="7"/>
  <c r="B87" i="7"/>
  <c r="C87" i="7"/>
  <c r="D87" i="7"/>
  <c r="E87" i="7"/>
  <c r="A88" i="7"/>
  <c r="B88" i="7"/>
  <c r="C88" i="7"/>
  <c r="D88" i="7"/>
  <c r="E88" i="7"/>
  <c r="A89" i="7"/>
  <c r="B89" i="7"/>
  <c r="C89" i="7"/>
  <c r="D89" i="7"/>
  <c r="E89" i="7"/>
  <c r="A90" i="7"/>
  <c r="B90" i="7"/>
  <c r="C90" i="7"/>
  <c r="D90" i="7"/>
  <c r="E90" i="7"/>
  <c r="A91" i="7"/>
  <c r="B91" i="7"/>
  <c r="C91" i="7"/>
  <c r="D91" i="7"/>
  <c r="E91" i="7"/>
  <c r="A92" i="7"/>
  <c r="B92" i="7"/>
  <c r="C92" i="7"/>
  <c r="D92" i="7"/>
  <c r="E92" i="7"/>
  <c r="A93" i="7"/>
  <c r="B93" i="7"/>
  <c r="C93" i="7"/>
  <c r="D93" i="7"/>
  <c r="E93" i="7"/>
  <c r="A94" i="7"/>
  <c r="B94" i="7"/>
  <c r="C94" i="7"/>
  <c r="D94" i="7"/>
  <c r="E94" i="7"/>
  <c r="A95" i="7"/>
  <c r="B95" i="7"/>
  <c r="C95" i="7"/>
  <c r="D95" i="7"/>
  <c r="E95" i="7"/>
  <c r="A96" i="7"/>
  <c r="B96" i="7"/>
  <c r="C96" i="7"/>
  <c r="D96" i="7"/>
  <c r="E96" i="7"/>
  <c r="A97" i="7"/>
  <c r="B97" i="7"/>
  <c r="C97" i="7"/>
  <c r="D97" i="7"/>
  <c r="E97" i="7"/>
  <c r="A98" i="7"/>
  <c r="B98" i="7"/>
  <c r="C98" i="7"/>
  <c r="D98" i="7"/>
  <c r="E98" i="7"/>
  <c r="A99" i="7"/>
  <c r="B99" i="7"/>
  <c r="C99" i="7"/>
  <c r="D99" i="7"/>
  <c r="E99" i="7"/>
  <c r="A100" i="7"/>
  <c r="B100" i="7"/>
  <c r="C100" i="7"/>
  <c r="D100" i="7"/>
  <c r="E100" i="7"/>
  <c r="A101" i="7"/>
  <c r="B101" i="7"/>
  <c r="C101" i="7"/>
  <c r="D101" i="7"/>
  <c r="E101" i="7"/>
  <c r="A102" i="7"/>
  <c r="B102" i="7"/>
  <c r="C102" i="7"/>
  <c r="D102" i="7"/>
  <c r="E102" i="7"/>
  <c r="A103" i="7"/>
  <c r="B103" i="7"/>
  <c r="C103" i="7"/>
  <c r="D103" i="7"/>
  <c r="E103" i="7"/>
  <c r="A104" i="7"/>
  <c r="B104" i="7"/>
  <c r="C104" i="7"/>
  <c r="D104" i="7"/>
  <c r="E104" i="7"/>
  <c r="A105" i="7"/>
  <c r="B105" i="7"/>
  <c r="C105" i="7"/>
  <c r="D105" i="7"/>
  <c r="E105" i="7"/>
  <c r="A106" i="7"/>
  <c r="B106" i="7"/>
  <c r="C106" i="7"/>
  <c r="D106" i="7"/>
  <c r="E106" i="7"/>
  <c r="A142" i="7"/>
  <c r="B142" i="7"/>
  <c r="C142" i="7"/>
  <c r="E142" i="7"/>
  <c r="A143" i="7"/>
  <c r="B143" i="7"/>
  <c r="C143" i="7"/>
  <c r="D143" i="7"/>
  <c r="E143" i="7"/>
  <c r="A144" i="7"/>
  <c r="B144" i="7"/>
  <c r="C144" i="7"/>
  <c r="D144" i="7"/>
  <c r="E144" i="7"/>
  <c r="A145" i="7"/>
  <c r="B145" i="7"/>
  <c r="C145" i="7"/>
  <c r="D145" i="7"/>
  <c r="E145" i="7"/>
  <c r="A146" i="7"/>
  <c r="B146" i="7"/>
  <c r="C146" i="7"/>
  <c r="D146" i="7"/>
  <c r="E146" i="7"/>
  <c r="A147" i="7"/>
  <c r="B147" i="7"/>
  <c r="C147" i="7"/>
  <c r="D147" i="7"/>
  <c r="E147" i="7"/>
  <c r="A148" i="7"/>
  <c r="B148" i="7"/>
  <c r="C148" i="7"/>
  <c r="D148" i="7"/>
  <c r="E148" i="7"/>
  <c r="A149" i="7"/>
  <c r="B149" i="7"/>
  <c r="C149" i="7"/>
  <c r="D149" i="7"/>
  <c r="E149" i="7"/>
  <c r="A150" i="7"/>
  <c r="B150" i="7"/>
  <c r="C150" i="7"/>
  <c r="D150" i="7"/>
  <c r="E150" i="7"/>
  <c r="A151" i="7"/>
  <c r="B151" i="7"/>
  <c r="C151" i="7"/>
  <c r="D151" i="7"/>
  <c r="E151" i="7"/>
  <c r="A152" i="7"/>
  <c r="B152" i="7"/>
  <c r="C152" i="7"/>
  <c r="D152" i="7"/>
  <c r="E152" i="7"/>
  <c r="A153" i="7"/>
  <c r="B153" i="7"/>
  <c r="C153" i="7"/>
  <c r="D153" i="7"/>
  <c r="E153" i="7"/>
  <c r="A154" i="7"/>
  <c r="B154" i="7"/>
  <c r="C154" i="7"/>
  <c r="D154" i="7"/>
  <c r="E154" i="7"/>
  <c r="A155" i="7"/>
  <c r="B155" i="7"/>
  <c r="C155" i="7"/>
  <c r="D155" i="7"/>
  <c r="E155" i="7"/>
  <c r="A156" i="7"/>
  <c r="B156" i="7"/>
  <c r="C156" i="7"/>
  <c r="D156" i="7"/>
  <c r="E156" i="7"/>
  <c r="A157" i="7"/>
  <c r="B157" i="7"/>
  <c r="C157" i="7"/>
  <c r="D157" i="7"/>
  <c r="E157" i="7"/>
  <c r="A158" i="7"/>
  <c r="B158" i="7"/>
  <c r="C158" i="7"/>
  <c r="D158" i="7"/>
  <c r="E158" i="7"/>
  <c r="A159" i="7"/>
  <c r="B159" i="7"/>
  <c r="C159" i="7"/>
  <c r="D159" i="7"/>
  <c r="E159" i="7"/>
  <c r="A160" i="7"/>
  <c r="B160" i="7"/>
  <c r="C160" i="7"/>
  <c r="D160" i="7"/>
  <c r="E160" i="7"/>
  <c r="A161" i="7"/>
  <c r="B161" i="7"/>
  <c r="C161" i="7"/>
  <c r="D161" i="7"/>
  <c r="E161" i="7"/>
  <c r="A162" i="7"/>
  <c r="B162" i="7"/>
  <c r="C162" i="7"/>
  <c r="D162" i="7"/>
  <c r="E162" i="7"/>
  <c r="A163" i="7"/>
  <c r="B163" i="7"/>
  <c r="C163" i="7"/>
  <c r="D163" i="7"/>
  <c r="E163" i="7"/>
  <c r="A164" i="7"/>
  <c r="B164" i="7"/>
  <c r="C164" i="7"/>
  <c r="D164" i="7"/>
  <c r="E164" i="7"/>
  <c r="A165" i="7"/>
  <c r="B165" i="7"/>
  <c r="C165" i="7"/>
  <c r="D165" i="7"/>
  <c r="E165" i="7"/>
  <c r="A166" i="7"/>
  <c r="B166" i="7"/>
  <c r="C166" i="7"/>
  <c r="D166" i="7"/>
  <c r="E166" i="7"/>
  <c r="A167" i="7"/>
  <c r="B167" i="7"/>
  <c r="C167" i="7"/>
  <c r="D167" i="7"/>
  <c r="E167" i="7"/>
  <c r="A168" i="7"/>
  <c r="B168" i="7"/>
  <c r="C168" i="7"/>
  <c r="D168" i="7"/>
  <c r="E168" i="7"/>
  <c r="A169" i="7"/>
  <c r="B169" i="7"/>
  <c r="C169" i="7"/>
  <c r="D169" i="7"/>
  <c r="E169" i="7"/>
  <c r="A170" i="7"/>
  <c r="B170" i="7"/>
  <c r="C170" i="7"/>
  <c r="D170" i="7"/>
  <c r="E170" i="7"/>
  <c r="A171" i="7"/>
  <c r="B171" i="7"/>
  <c r="C171" i="7"/>
  <c r="D171" i="7"/>
  <c r="E171" i="7"/>
  <c r="A172" i="7"/>
  <c r="B172" i="7"/>
  <c r="C172" i="7"/>
  <c r="D172" i="7"/>
  <c r="E172" i="7"/>
  <c r="A173" i="7"/>
  <c r="B173" i="7"/>
  <c r="C173" i="7"/>
  <c r="D173" i="7"/>
  <c r="E173" i="7"/>
  <c r="A174" i="7"/>
  <c r="B174" i="7"/>
  <c r="C174" i="7"/>
  <c r="D174" i="7"/>
  <c r="E174" i="7"/>
  <c r="A175" i="7"/>
  <c r="B175" i="7"/>
  <c r="C175" i="7"/>
  <c r="D175" i="7"/>
  <c r="E175" i="7"/>
  <c r="A176" i="7"/>
  <c r="B176" i="7"/>
  <c r="C176" i="7"/>
  <c r="D176" i="7"/>
  <c r="E176" i="7"/>
  <c r="A177" i="7"/>
  <c r="B177" i="7"/>
  <c r="C177" i="7"/>
  <c r="D177" i="7"/>
  <c r="E177" i="7"/>
  <c r="A178" i="7"/>
  <c r="B178" i="7"/>
  <c r="C178" i="7"/>
  <c r="D178" i="7"/>
  <c r="E178" i="7"/>
  <c r="A179" i="7"/>
  <c r="B179" i="7"/>
  <c r="C179" i="7"/>
  <c r="D179" i="7"/>
  <c r="E179" i="7"/>
  <c r="A180" i="7"/>
  <c r="B180" i="7"/>
  <c r="C180" i="7"/>
  <c r="D180" i="7"/>
  <c r="E180" i="7"/>
  <c r="A181" i="7"/>
  <c r="B181" i="7"/>
  <c r="C181" i="7"/>
  <c r="D181" i="7"/>
  <c r="E181" i="7"/>
  <c r="A182" i="7"/>
  <c r="B182" i="7"/>
  <c r="C182" i="7"/>
  <c r="D182" i="7"/>
  <c r="E182" i="7"/>
  <c r="A183" i="7"/>
  <c r="B183" i="7"/>
  <c r="C183" i="7"/>
  <c r="D183" i="7"/>
  <c r="E183" i="7"/>
  <c r="A184" i="7"/>
  <c r="B184" i="7"/>
  <c r="C184" i="7"/>
  <c r="D184" i="7"/>
  <c r="E184" i="7"/>
  <c r="G57" i="11"/>
  <c r="G58" i="11"/>
  <c r="G60" i="11"/>
  <c r="G61" i="11"/>
  <c r="J79" i="11"/>
  <c r="D80" i="11"/>
  <c r="E80" i="11"/>
  <c r="F80" i="11"/>
  <c r="J80" i="11"/>
  <c r="D81" i="11"/>
  <c r="E81" i="11"/>
  <c r="F81" i="11"/>
  <c r="J81" i="11"/>
  <c r="D82" i="11"/>
  <c r="E82" i="11"/>
  <c r="F82" i="11"/>
  <c r="J82" i="11"/>
  <c r="D83" i="11"/>
  <c r="E83" i="11"/>
  <c r="F83" i="11"/>
  <c r="J83" i="11"/>
  <c r="D84" i="11"/>
  <c r="E84" i="11"/>
  <c r="F84" i="11"/>
  <c r="J84" i="11"/>
  <c r="D85" i="11"/>
  <c r="E85" i="11"/>
  <c r="F85" i="11"/>
  <c r="J85" i="11"/>
  <c r="D86" i="11"/>
  <c r="E86" i="11"/>
  <c r="F86" i="11"/>
  <c r="J86" i="11"/>
  <c r="D87" i="11"/>
  <c r="E87" i="11"/>
  <c r="F87" i="11"/>
  <c r="J87" i="11"/>
  <c r="D88" i="11"/>
  <c r="E88" i="11"/>
  <c r="F88" i="11"/>
  <c r="J88" i="11"/>
  <c r="D89" i="11"/>
  <c r="E89" i="11"/>
  <c r="F89" i="11"/>
  <c r="J89" i="11"/>
  <c r="D90" i="11"/>
  <c r="E90" i="11"/>
  <c r="F90" i="11"/>
  <c r="J90" i="11"/>
  <c r="D91" i="11"/>
  <c r="E91" i="11"/>
  <c r="F91" i="11"/>
  <c r="J91" i="11"/>
  <c r="D92" i="11"/>
  <c r="E92" i="11"/>
  <c r="F92" i="11"/>
  <c r="J92" i="11"/>
  <c r="D93" i="11"/>
  <c r="E93" i="11"/>
  <c r="F93" i="11"/>
  <c r="J93" i="11"/>
  <c r="D94" i="11"/>
  <c r="E94" i="11"/>
  <c r="F94" i="11"/>
  <c r="J94" i="11"/>
  <c r="B14" i="12"/>
  <c r="B21" i="12"/>
  <c r="E21" i="12"/>
  <c r="B22" i="12"/>
  <c r="D22" i="12"/>
  <c r="E22" i="12"/>
  <c r="B23" i="12"/>
  <c r="D23" i="12"/>
  <c r="E23" i="12"/>
  <c r="B24" i="12"/>
  <c r="D24" i="12"/>
  <c r="E24" i="12"/>
  <c r="B25" i="12"/>
  <c r="D25" i="12"/>
  <c r="E25" i="12"/>
  <c r="B26" i="12"/>
  <c r="D26" i="12"/>
  <c r="E26" i="12"/>
  <c r="B27" i="12"/>
  <c r="D27" i="12"/>
  <c r="E27" i="12"/>
  <c r="B28" i="12"/>
  <c r="D28" i="12"/>
  <c r="E28" i="12"/>
  <c r="B29" i="12"/>
  <c r="D29" i="12"/>
  <c r="E29" i="12"/>
  <c r="B30" i="12"/>
  <c r="D30" i="12"/>
  <c r="E30" i="12"/>
  <c r="B31" i="12"/>
  <c r="D31" i="12"/>
  <c r="E31" i="12"/>
  <c r="B32" i="12"/>
  <c r="D32" i="12"/>
  <c r="E32" i="12"/>
  <c r="B33" i="12"/>
  <c r="D33" i="12"/>
  <c r="E33" i="12"/>
  <c r="B34" i="12"/>
  <c r="D34" i="12"/>
  <c r="E34" i="12"/>
  <c r="B35" i="12"/>
  <c r="D35" i="12"/>
  <c r="E35" i="12"/>
  <c r="B36" i="12"/>
  <c r="D36" i="12"/>
  <c r="B40" i="12"/>
  <c r="E40" i="12"/>
  <c r="B41" i="12"/>
  <c r="D41" i="12"/>
  <c r="E41" i="12"/>
  <c r="B42" i="12"/>
  <c r="D42" i="12"/>
  <c r="E42" i="12"/>
  <c r="B43" i="12"/>
  <c r="D43" i="12"/>
  <c r="E43" i="12"/>
  <c r="B44" i="12"/>
  <c r="D44" i="12"/>
  <c r="E44" i="12"/>
  <c r="B45" i="12"/>
  <c r="D45" i="12"/>
  <c r="E45" i="12"/>
  <c r="B46" i="12"/>
  <c r="D46" i="12"/>
  <c r="E46" i="12"/>
  <c r="B47" i="12"/>
  <c r="D47" i="12"/>
  <c r="E47" i="12"/>
  <c r="B48" i="12"/>
  <c r="D48" i="12"/>
  <c r="E48" i="12"/>
  <c r="B49" i="12"/>
  <c r="D49" i="12"/>
  <c r="E49" i="12"/>
  <c r="B50" i="12"/>
  <c r="D50" i="12"/>
  <c r="E50" i="12"/>
  <c r="B51" i="12"/>
  <c r="D51" i="12"/>
  <c r="E51" i="12"/>
  <c r="B52" i="12"/>
  <c r="D52" i="12"/>
  <c r="E52" i="12"/>
  <c r="B53" i="12"/>
  <c r="D53" i="12"/>
  <c r="E53" i="12"/>
  <c r="B54" i="12"/>
  <c r="D54" i="12"/>
  <c r="E54" i="12"/>
  <c r="B55" i="12"/>
</calcChain>
</file>

<file path=xl/sharedStrings.xml><?xml version="1.0" encoding="utf-8"?>
<sst xmlns="http://schemas.openxmlformats.org/spreadsheetml/2006/main" count="1298" uniqueCount="380">
  <si>
    <t>m</t>
  </si>
  <si>
    <t>K</t>
  </si>
  <si>
    <t>Temp</t>
  </si>
  <si>
    <t>mass</t>
  </si>
  <si>
    <t>geeASL</t>
  </si>
  <si>
    <t>gravParameter</t>
  </si>
  <si>
    <t>Home world</t>
  </si>
  <si>
    <t>semiMajorAxis</t>
  </si>
  <si>
    <t>Current star</t>
  </si>
  <si>
    <t>radius</t>
  </si>
  <si>
    <t>kg</t>
  </si>
  <si>
    <t>albedo (bond)</t>
  </si>
  <si>
    <t>Current body</t>
  </si>
  <si>
    <t>eccentricity</t>
  </si>
  <si>
    <t>inclination</t>
  </si>
  <si>
    <t>argumentOfPeriapsis</t>
  </si>
  <si>
    <t>luminosity</t>
  </si>
  <si>
    <t>Mult</t>
  </si>
  <si>
    <t>Mean</t>
  </si>
  <si>
    <t>Base</t>
  </si>
  <si>
    <t>Exospheric temperature</t>
  </si>
  <si>
    <t>Orbital period</t>
  </si>
  <si>
    <t>Solar irradiance</t>
  </si>
  <si>
    <t>Temperature at 1000 atm pressure level</t>
  </si>
  <si>
    <t>Current body, real life radius</t>
  </si>
  <si>
    <t>Diurnal temperature range at equator</t>
  </si>
  <si>
    <t>Diurnal temperature range at poles</t>
  </si>
  <si>
    <t>Latitudinal temperature range</t>
  </si>
  <si>
    <t>Sun</t>
  </si>
  <si>
    <t>Seasonal range due to inclination</t>
  </si>
  <si>
    <t>Seasonal range due to eccentricity</t>
  </si>
  <si>
    <t>h</t>
  </si>
  <si>
    <t>L</t>
  </si>
  <si>
    <t>Hydrogen</t>
  </si>
  <si>
    <t>Helium</t>
  </si>
  <si>
    <t>Methane</t>
  </si>
  <si>
    <t>Ammonia</t>
  </si>
  <si>
    <t>He</t>
  </si>
  <si>
    <t>% by</t>
  </si>
  <si>
    <t>volume</t>
  </si>
  <si>
    <t>M</t>
  </si>
  <si>
    <t>g/mol</t>
  </si>
  <si>
    <t>J/mol-K</t>
  </si>
  <si>
    <t>g/ml</t>
  </si>
  <si>
    <t>HD</t>
  </si>
  <si>
    <t>Average gas molecular weight</t>
  </si>
  <si>
    <t>z</t>
  </si>
  <si>
    <t>q</t>
  </si>
  <si>
    <t>ρ</t>
  </si>
  <si>
    <t>Log(P)</t>
  </si>
  <si>
    <t>atm</t>
  </si>
  <si>
    <t>---</t>
  </si>
  <si>
    <t>m'</t>
  </si>
  <si>
    <t>P</t>
  </si>
  <si>
    <t>Pa</t>
  </si>
  <si>
    <t>Q</t>
  </si>
  <si>
    <t>m/s</t>
  </si>
  <si>
    <t>W/m²</t>
  </si>
  <si>
    <t>Ve</t>
  </si>
  <si>
    <t>H</t>
  </si>
  <si>
    <t>Atmosphere scaling factor</t>
  </si>
  <si>
    <t>K/m'</t>
  </si>
  <si>
    <t>Rescaled</t>
  </si>
  <si>
    <t>Height</t>
  </si>
  <si>
    <t>Atmo</t>
  </si>
  <si>
    <t>Range</t>
  </si>
  <si>
    <t>{</t>
  </si>
  <si>
    <t>}</t>
  </si>
  <si>
    <t>Atmosphere</t>
  </si>
  <si>
    <t>enabled =</t>
  </si>
  <si>
    <t>True</t>
  </si>
  <si>
    <t>oxygen =</t>
  </si>
  <si>
    <t>altitude =</t>
  </si>
  <si>
    <t>adiabaticIndex =</t>
  </si>
  <si>
    <t>atmosphereMolarMass =</t>
  </si>
  <si>
    <t>temperatureSeaLevel =</t>
  </si>
  <si>
    <t>staticPressureASL =</t>
  </si>
  <si>
    <t>temperatureCurve</t>
  </si>
  <si>
    <t>key =</t>
  </si>
  <si>
    <t>temperatureSunMultCurve</t>
  </si>
  <si>
    <t>temperatureLatitudeBiasCurve</t>
  </si>
  <si>
    <t>temperatureLatitudeSunMultCurve</t>
  </si>
  <si>
    <t>temperatureAxialSunBiasCurve</t>
  </si>
  <si>
    <t>temperatureAxialSunMultCurve</t>
  </si>
  <si>
    <t>temperatureEccentricityBiasCurve</t>
  </si>
  <si>
    <t>pressureCurve</t>
  </si>
  <si>
    <t>False</t>
  </si>
  <si>
    <t>Formula</t>
  </si>
  <si>
    <t>Gas Species</t>
  </si>
  <si>
    <r>
      <t>m</t>
    </r>
    <r>
      <rPr>
        <sz val="12"/>
        <color theme="1"/>
        <rFont val="Calibri"/>
        <family val="2"/>
      </rPr>
      <t>³/s²</t>
    </r>
  </si>
  <si>
    <r>
      <t>g</t>
    </r>
    <r>
      <rPr>
        <sz val="12"/>
        <color theme="1"/>
        <rFont val="Calibri"/>
        <family val="2"/>
      </rPr>
      <t>₀</t>
    </r>
  </si>
  <si>
    <r>
      <t>W/m</t>
    </r>
    <r>
      <rPr>
        <sz val="12"/>
        <color theme="1"/>
        <rFont val="Calibri"/>
        <family val="2"/>
      </rPr>
      <t>²</t>
    </r>
  </si>
  <si>
    <r>
      <t>H</t>
    </r>
    <r>
      <rPr>
        <sz val="12"/>
        <color theme="1"/>
        <rFont val="Calibri"/>
        <family val="2"/>
      </rPr>
      <t>₂</t>
    </r>
  </si>
  <si>
    <r>
      <t>CH</t>
    </r>
    <r>
      <rPr>
        <sz val="12"/>
        <color theme="1"/>
        <rFont val="Calibri"/>
        <family val="2"/>
      </rPr>
      <t>₄</t>
    </r>
  </si>
  <si>
    <r>
      <t>NH</t>
    </r>
    <r>
      <rPr>
        <sz val="12"/>
        <color theme="1"/>
        <rFont val="Calibri"/>
        <family val="2"/>
      </rPr>
      <t>₃</t>
    </r>
  </si>
  <si>
    <r>
      <t>kg/m</t>
    </r>
    <r>
      <rPr>
        <sz val="12"/>
        <color theme="1"/>
        <rFont val="Calibri"/>
        <family val="2"/>
      </rPr>
      <t>³</t>
    </r>
  </si>
  <si>
    <t>Gas Giant Atmosphere</t>
  </si>
  <si>
    <t>Properties</t>
  </si>
  <si>
    <t>albedo =</t>
  </si>
  <si>
    <t>M = molecular weight</t>
  </si>
  <si>
    <r>
      <t>Cp</t>
    </r>
    <r>
      <rPr>
        <sz val="12"/>
        <color theme="1"/>
        <rFont val="Calibri"/>
        <family val="2"/>
      </rPr>
      <t>°</t>
    </r>
  </si>
  <si>
    <t>°</t>
  </si>
  <si>
    <t>Only one of these is needed, though if more than one is provided, enter all.</t>
  </si>
  <si>
    <r>
      <t>Cp</t>
    </r>
    <r>
      <rPr>
        <sz val="12"/>
        <color theme="1"/>
        <rFont val="Calibri"/>
        <family val="2"/>
      </rPr>
      <t>°</t>
    </r>
    <r>
      <rPr>
        <sz val="12"/>
        <color theme="1"/>
        <rFont val="宋体"/>
        <family val="2"/>
        <scheme val="minor"/>
      </rPr>
      <t xml:space="preserve"> - constant pressure specific heat</t>
    </r>
  </si>
  <si>
    <t>** The following are exact calculations, do not change.</t>
  </si>
  <si>
    <t>Black body temperature</t>
  </si>
  <si>
    <t>Adiabatic index</t>
  </si>
  <si>
    <t>Adjusted atmosphere scaling factor</t>
  </si>
  <si>
    <r>
      <t xml:space="preserve">Change here </t>
    </r>
    <r>
      <rPr>
        <b/>
        <i/>
        <sz val="12"/>
        <color theme="1"/>
        <rFont val="Calibri"/>
        <family val="2"/>
      </rPr>
      <t>→</t>
    </r>
  </si>
  <si>
    <t>h = geopotential height</t>
  </si>
  <si>
    <t>z = geometric height</t>
  </si>
  <si>
    <t>H = scale height</t>
  </si>
  <si>
    <t>P = pressure</t>
  </si>
  <si>
    <r>
      <rPr>
        <sz val="12"/>
        <color theme="1"/>
        <rFont val="Calibri"/>
        <family val="2"/>
      </rPr>
      <t>ρ</t>
    </r>
    <r>
      <rPr>
        <sz val="12"/>
        <color theme="1"/>
        <rFont val="宋体"/>
        <family val="2"/>
        <scheme val="minor"/>
      </rPr>
      <t xml:space="preserve"> = density</t>
    </r>
  </si>
  <si>
    <t>Ve = escape velocity</t>
  </si>
  <si>
    <t>c = speed of sound</t>
  </si>
  <si>
    <t>c</t>
  </si>
  <si>
    <t>q = dynamic pressure at Ve</t>
  </si>
  <si>
    <t>Q = aerodynamic heating at Ve</t>
  </si>
  <si>
    <t>L = temperature gradient</t>
  </si>
  <si>
    <t>** The following are rough approximations, change at your own risk.</t>
  </si>
  <si>
    <t>Earthlike Atmosphere</t>
  </si>
  <si>
    <t>Nitrogen</t>
  </si>
  <si>
    <t>Oxygen</t>
  </si>
  <si>
    <t>Argon</t>
  </si>
  <si>
    <t>Water</t>
  </si>
  <si>
    <r>
      <t>N</t>
    </r>
    <r>
      <rPr>
        <sz val="12"/>
        <color theme="1"/>
        <rFont val="Calibri"/>
        <family val="2"/>
      </rPr>
      <t>₂</t>
    </r>
  </si>
  <si>
    <r>
      <t>O</t>
    </r>
    <r>
      <rPr>
        <sz val="12"/>
        <color theme="1"/>
        <rFont val="Calibri"/>
        <family val="2"/>
      </rPr>
      <t>₂</t>
    </r>
  </si>
  <si>
    <r>
      <t>CO</t>
    </r>
    <r>
      <rPr>
        <sz val="12"/>
        <color theme="1"/>
        <rFont val="Calibri"/>
        <family val="2"/>
      </rPr>
      <t>₂</t>
    </r>
  </si>
  <si>
    <t>H₂O</t>
  </si>
  <si>
    <t>Ar</t>
  </si>
  <si>
    <t>Planet or moon?</t>
  </si>
  <si>
    <t>Parent planet</t>
  </si>
  <si>
    <t>Air pressure at sea level</t>
  </si>
  <si>
    <t>Greenhouse effect</t>
  </si>
  <si>
    <t>Planet</t>
  </si>
  <si>
    <t>Average air temperature</t>
  </si>
  <si>
    <t>Seasonal factor (adjusts for short orbital periods)</t>
  </si>
  <si>
    <r>
      <t>Partial pressure of O</t>
    </r>
    <r>
      <rPr>
        <sz val="12"/>
        <color theme="1"/>
        <rFont val="Calibri"/>
        <family val="2"/>
      </rPr>
      <t>₂</t>
    </r>
    <r>
      <rPr>
        <sz val="12"/>
        <color theme="1"/>
        <rFont val="宋体"/>
        <family val="2"/>
        <scheme val="minor"/>
      </rPr>
      <t xml:space="preserve"> @ sea level</t>
    </r>
  </si>
  <si>
    <t>mbar</t>
  </si>
  <si>
    <t>H₂</t>
  </si>
  <si>
    <t>Hydrogen Deuteride</t>
  </si>
  <si>
    <t>CH₄</t>
  </si>
  <si>
    <t>NH₃</t>
  </si>
  <si>
    <t>Neon</t>
  </si>
  <si>
    <t>Ne</t>
  </si>
  <si>
    <t>Carbon Monoxide</t>
  </si>
  <si>
    <t>CO</t>
  </si>
  <si>
    <t>N₂</t>
  </si>
  <si>
    <t>Nitric Oxide</t>
  </si>
  <si>
    <t>NO</t>
  </si>
  <si>
    <t>Ethane</t>
  </si>
  <si>
    <t>C₂H₆</t>
  </si>
  <si>
    <t>O₂</t>
  </si>
  <si>
    <t>Hydrogen Sulfide</t>
  </si>
  <si>
    <t>H₂S</t>
  </si>
  <si>
    <t>Carbon Dioxide</t>
  </si>
  <si>
    <t>CO₂</t>
  </si>
  <si>
    <t>Sulfur Dioxide</t>
  </si>
  <si>
    <t>SO₂</t>
  </si>
  <si>
    <t>Chlorine</t>
  </si>
  <si>
    <t>Cl₂</t>
  </si>
  <si>
    <t>Krypton</t>
  </si>
  <si>
    <t>Kr</t>
  </si>
  <si>
    <t>B.P.</t>
  </si>
  <si>
    <t>M.P.</t>
  </si>
  <si>
    <t>B.P. = boiling point</t>
  </si>
  <si>
    <t>Total (must equal 100%)</t>
  </si>
  <si>
    <t>Air pressure at datum (elevation = 0)</t>
  </si>
  <si>
    <t>M.P. = melting point</t>
  </si>
  <si>
    <t>% Ocean (approximate if unknown)</t>
  </si>
  <si>
    <t>Relative humidity @ sea level *</t>
  </si>
  <si>
    <t>Relative humidity</t>
  </si>
  <si>
    <t>maxTempAngleOffset =</t>
  </si>
  <si>
    <t>Tidally Locked Atmosphere</t>
  </si>
  <si>
    <t>Black body temperature, sunlit side</t>
  </si>
  <si>
    <t>Black body temperature, sub-solar point</t>
  </si>
  <si>
    <t>* water content at surface assumed 4x atmospheric mean.</t>
  </si>
  <si>
    <t>Teff</t>
  </si>
  <si>
    <t>Maximum temperature range</t>
  </si>
  <si>
    <t>Sigma HeatShifter</t>
  </si>
  <si>
    <t>Other Atmosphere</t>
  </si>
  <si>
    <t>Hydrogen, atomic</t>
  </si>
  <si>
    <t>Oxygen, atomic</t>
  </si>
  <si>
    <t>Carbon</t>
  </si>
  <si>
    <t>O</t>
  </si>
  <si>
    <t>C</t>
  </si>
  <si>
    <t>Star Atmosphere</t>
  </si>
  <si>
    <t>Effective temperature</t>
  </si>
  <si>
    <t>True luminosity (from radius &amp; temperature)</t>
  </si>
  <si>
    <t>W</t>
  </si>
  <si>
    <t>ScaledVersion</t>
  </si>
  <si>
    <t>Light</t>
  </si>
  <si>
    <t>luminosity =</t>
  </si>
  <si>
    <t>universe.  Enter what the radius of the current star would be in real life.</t>
  </si>
  <si>
    <t>Atmospheres are developed at real life scale and then modified to fit the smaller KSP</t>
  </si>
  <si>
    <t>compute the star's atmosphere.  Changes are not allowed.</t>
  </si>
  <si>
    <t>You have entered all the required data.  What follows are some numbers needed to</t>
  </si>
  <si>
    <t>recommended; however, if you want to modify or replace the built-in curve,  you can overwrite the numbers  in</t>
  </si>
  <si>
    <t>column C inside the bordered area.  DO NOT CHANGE ANYTHING ELSE.</t>
  </si>
  <si>
    <t>O7V</t>
  </si>
  <si>
    <t>O8V</t>
  </si>
  <si>
    <t>O9V</t>
  </si>
  <si>
    <t>B0V</t>
  </si>
  <si>
    <t>B1V</t>
  </si>
  <si>
    <t>B2V</t>
  </si>
  <si>
    <t>B3V</t>
  </si>
  <si>
    <t>B4V</t>
  </si>
  <si>
    <t>B5V</t>
  </si>
  <si>
    <t>B6V</t>
  </si>
  <si>
    <t>B7V</t>
  </si>
  <si>
    <t>B8V</t>
  </si>
  <si>
    <t>B9V</t>
  </si>
  <si>
    <t>A0V</t>
  </si>
  <si>
    <t>A1V</t>
  </si>
  <si>
    <t>A2V</t>
  </si>
  <si>
    <t>A3V</t>
  </si>
  <si>
    <t>A4V</t>
  </si>
  <si>
    <t>A5V</t>
  </si>
  <si>
    <t>A6V</t>
  </si>
  <si>
    <t>A7V</t>
  </si>
  <si>
    <t>A8V</t>
  </si>
  <si>
    <t>A9V</t>
  </si>
  <si>
    <t>F0V</t>
  </si>
  <si>
    <t>F1V</t>
  </si>
  <si>
    <t>F2V</t>
  </si>
  <si>
    <t>F3V</t>
  </si>
  <si>
    <t>F4V</t>
  </si>
  <si>
    <t>F5V</t>
  </si>
  <si>
    <t>F6V</t>
  </si>
  <si>
    <t>F7V</t>
  </si>
  <si>
    <t>F8V</t>
  </si>
  <si>
    <t>F9V</t>
  </si>
  <si>
    <t>G0V</t>
  </si>
  <si>
    <t>G1V</t>
  </si>
  <si>
    <t>G2V</t>
  </si>
  <si>
    <t>G3V</t>
  </si>
  <si>
    <t>G4V</t>
  </si>
  <si>
    <t>G5V</t>
  </si>
  <si>
    <t>G6V</t>
  </si>
  <si>
    <t>G7V</t>
  </si>
  <si>
    <t>G8V</t>
  </si>
  <si>
    <t>G9V</t>
  </si>
  <si>
    <t>K0V</t>
  </si>
  <si>
    <t>K1V</t>
  </si>
  <si>
    <t>K2V</t>
  </si>
  <si>
    <t>K3V</t>
  </si>
  <si>
    <t>K4V</t>
  </si>
  <si>
    <t>K5V</t>
  </si>
  <si>
    <t>K6V</t>
  </si>
  <si>
    <t>K7V</t>
  </si>
  <si>
    <t>K8V</t>
  </si>
  <si>
    <t>K9V</t>
  </si>
  <si>
    <t>M0V</t>
  </si>
  <si>
    <t>M1V</t>
  </si>
  <si>
    <t>M2V</t>
  </si>
  <si>
    <t>M3V</t>
  </si>
  <si>
    <t>M4V</t>
  </si>
  <si>
    <t>M5V</t>
  </si>
  <si>
    <t>M6V</t>
  </si>
  <si>
    <t>M7V</t>
  </si>
  <si>
    <t>M8V</t>
  </si>
  <si>
    <t>M9V</t>
  </si>
  <si>
    <t>L0V</t>
  </si>
  <si>
    <t>L1V</t>
  </si>
  <si>
    <t>L2V</t>
  </si>
  <si>
    <t>L3V</t>
  </si>
  <si>
    <t>L4V</t>
  </si>
  <si>
    <t>L5V</t>
  </si>
  <si>
    <t>L6V</t>
  </si>
  <si>
    <t>L7V</t>
  </si>
  <si>
    <t>L8V</t>
  </si>
  <si>
    <t>L9V</t>
  </si>
  <si>
    <t>T0V</t>
  </si>
  <si>
    <t>T1V</t>
  </si>
  <si>
    <t>T2V</t>
  </si>
  <si>
    <t>T3V</t>
  </si>
  <si>
    <t>T4V</t>
  </si>
  <si>
    <t>T5V</t>
  </si>
  <si>
    <t>T6V</t>
  </si>
  <si>
    <t>T7V</t>
  </si>
  <si>
    <t>T8V</t>
  </si>
  <si>
    <t>T9V</t>
  </si>
  <si>
    <t>mass-radius-luminosity relationships.</t>
  </si>
  <si>
    <t>Enter the current star's effective temperature.  Should be consistent with normal</t>
  </si>
  <si>
    <t>the atmosphere.</t>
  </si>
  <si>
    <t>Enter the following information as found in the celestial body .cfg files.  All fields are</t>
  </si>
  <si>
    <t>Msun</t>
  </si>
  <si>
    <t>Rsun</t>
  </si>
  <si>
    <t>Lsun</t>
  </si>
  <si>
    <t>Spectral type</t>
  </si>
  <si>
    <t>Ratios (real-life Sun = 1)</t>
  </si>
  <si>
    <t>Mass</t>
  </si>
  <si>
    <t>Radius</t>
  </si>
  <si>
    <t>Luminosity</t>
  </si>
  <si>
    <t>Properties @ real-life scale</t>
  </si>
  <si>
    <t>Surface gravity</t>
  </si>
  <si>
    <t>Main Sequence Stars</t>
  </si>
  <si>
    <t>The following are the properties of real life</t>
  </si>
  <si>
    <t>main sequence stars.  The data is provided</t>
  </si>
  <si>
    <t>properties.  Just select the spectral type</t>
  </si>
  <si>
    <t>as a guideline for use in choosing your star's</t>
  </si>
  <si>
    <t>from the drop-down list.</t>
  </si>
  <si>
    <t>required unless noted otherwise.  Current star is the body for which we are developing</t>
  </si>
  <si>
    <t>Lifetime</t>
  </si>
  <si>
    <t>tread carefully.  The mean temperature curve uses a built-in model based on the real life Sun. Changes are not</t>
  </si>
  <si>
    <t>gases are included, though there is space to add others.</t>
  </si>
  <si>
    <t>Enter below the composition of the atmosphere.  Only the most common and applicable</t>
  </si>
  <si>
    <t>Provide an estimate of how much of the body's surface is covered by ocean.</t>
  </si>
  <si>
    <t>not be the parent star of the home world.</t>
  </si>
  <si>
    <t>the atmosphere.  Current star is the star that the current body orbits, which may or may</t>
  </si>
  <si>
    <t>required unless noted otherwise.  Current body is the planet for which we are developing</t>
  </si>
  <si>
    <t>universe.  Enter what the radius of the current body would be in real life.</t>
  </si>
  <si>
    <t>compute the body's atmosphere.  Changes are allowed where indicated, but not</t>
  </si>
  <si>
    <t>known atmospheres of real life gas giants, along with some guesswork.  Temperature is initially a function of pressure, which is converted to height.  Changes are not recommended; however, if you want</t>
  </si>
  <si>
    <t>Average scale height</t>
  </si>
  <si>
    <t>may or may not be the parent star of the home world.</t>
  </si>
  <si>
    <t>Current star is the star that the current body, or its parent planet, orbits.  The current star</t>
  </si>
  <si>
    <t>the atmosphere.  If the current body is a moon, parent planet is the planet that it orbits.</t>
  </si>
  <si>
    <t>required unless noted otherwise.  Current body is the body for which we are developing</t>
  </si>
  <si>
    <t>the most common and applicable gases are included, though there is space to add others.</t>
  </si>
  <si>
    <t>Enter below the air pressure at sea level and the composition of the atmosphere.  Only</t>
  </si>
  <si>
    <t>gases are able to exist in the given environment.</t>
  </si>
  <si>
    <t>included, though not all are probable.  Check the boiling points and molecular weights to confirm that the selected</t>
  </si>
  <si>
    <t>Enter below the air pressure at the datum (sea level) and the composition of the atmosphere.  Many gases are</t>
  </si>
  <si>
    <t>however, if you want to modify or replace the built-in curve, you can overwrite the numbers in column C inside the bordered area.  DO NOT CHANGE ANYTHING ELSE.</t>
  </si>
  <si>
    <t>approximation based on the few known examples of atmospheres in our own solar system.  Temperature is initially a function of pressure, which is converted to height.  Changes are not recommended;</t>
  </si>
  <si>
    <t>proper tidally locked atmospheres, the following mod is a required dependency:</t>
  </si>
  <si>
    <t>This calculator is for planets tidally locked to their star, not tidally locked moons.  For</t>
  </si>
  <si>
    <t>Atmosphere scaling factor reduces the atmosphere height from real life scale to KSP scale.</t>
  </si>
  <si>
    <t>By adjusting the factor you can tweak the final height of the atmosphere.</t>
  </si>
  <si>
    <t>Atmosphere Calculator for Celestial Bodies in Kerbal Space Program</t>
  </si>
  <si>
    <t>Locked  –  Similar to "Other" but for planets that are tidally locked to their parent star.</t>
  </si>
  <si>
    <t>Gas Giant  –  Hydrogen-helium atmospheres for large gaseous planets, including gas giants and ice giants.</t>
  </si>
  <si>
    <t>Earthlike  –  Nitrogen-oxygen atmospheres for celestial bodies located within the habitable zone of their parent star.</t>
  </si>
  <si>
    <t>Other  –  Atmospheres not falling into the any other group; can vary greatly in composition, pressure and temperature.</t>
  </si>
  <si>
    <t>Four different types of atmospheres are possible:</t>
  </si>
  <si>
    <t>This spreadsheet creates atmospheres for KSP celestial bodies using real life ideal gas equations and standard modeling methods.</t>
  </si>
  <si>
    <t>yr.</t>
  </si>
  <si>
    <t>Final atmosphere height</t>
  </si>
  <si>
    <t>The following is where the real action takes place.  Making changes here can have catastrophic consequences, so</t>
  </si>
  <si>
    <t>recommended unless you know what you are doing.</t>
  </si>
  <si>
    <t>hr.</t>
  </si>
  <si>
    <t>The following is where the real action takes place.  Making changes here can have catastrophic consequences, so tread carefully.  The mean temperature curve uses a built-in model that is based on the</t>
  </si>
  <si>
    <t>to modify or replace the built-in curve, you can overwrite the numbers in column C inside the bordered area.  DO NOT CHANGE ANYTHING ELSE.</t>
  </si>
  <si>
    <t>Lowest molecular weight retained</t>
  </si>
  <si>
    <t>The following is where the real action takes place.  Making changes here can have catastrophic consequences, so tread carefully.  The mean temperature curve uses a built-in model that is a rough</t>
  </si>
  <si>
    <t>If you overwrite any calculated data with your own data, be sure not to save over the original file.  Reload the spreadsheet to</t>
  </si>
  <si>
    <t>Universe scale factor</t>
  </si>
  <si>
    <t>kPa</t>
  </si>
  <si>
    <r>
      <t>kW/m</t>
    </r>
    <r>
      <rPr>
        <sz val="12"/>
        <color theme="1"/>
        <rFont val="Calibri"/>
        <family val="2"/>
      </rPr>
      <t>²</t>
    </r>
  </si>
  <si>
    <t>Atmosphere ends when aerodynamic heating drops below:</t>
  </si>
  <si>
    <t>Star  –  Stellar atmospheres, consisting primarily the chromosphere.</t>
  </si>
  <si>
    <t>Solar irradiance @ 1 au (called "luminosity" in cfg)</t>
  </si>
  <si>
    <t>restore any overwritten formulas before starting a new atmosphere.</t>
  </si>
  <si>
    <t>None</t>
  </si>
  <si>
    <t>Atmosphere ends when dynamic pressure drops below:</t>
  </si>
  <si>
    <t>Aerosol cooling effect</t>
  </si>
  <si>
    <t>Aerosols in the atmosphere (haze) can produce an anti-greenhouse effect while</t>
  </si>
  <si>
    <t>substantially warming the atmosphere (think Titan).</t>
  </si>
  <si>
    <t>Is there an aerosol layer, and if so, % radiation blocked?</t>
  </si>
  <si>
    <t>The following is where the real action takes place.  Making changes here can have catastrophic consequences, so tread carefully.  The mean temperature curve uses a built-in model that is based on real</t>
  </si>
  <si>
    <t>curve, you can overwrite the numbers in column C inside the bordered area.  DO NOT CHANGE ANYTHING ELSE.</t>
  </si>
  <si>
    <t>life models of Earth's atmosphere.  Temperature is initially a function of pressure, which is converted to height.  Changes are not recommended; however, if you want to modify or replace the built-in</t>
  </si>
  <si>
    <t>if you want to modify or replace the built-in curve, you can overwrite the numbers in column C inside the bordered area.  DO NOT CHANGE ANYTHING ELSE.</t>
  </si>
  <si>
    <t>approximation based partly on science and partly on educated guesswork.  Temperature is initially a function of pressure, which is converted to height.  Changes are not recommended; however,</t>
  </si>
  <si>
    <t>* does not include normal cloud cover</t>
  </si>
  <si>
    <t>Iterative calculation must be enabled.  It should be on by default, but if not, go to File &gt; Options &gt; Formulas and make sure</t>
  </si>
  <si>
    <t>"Enable iterative calculation" is checked.</t>
  </si>
  <si>
    <t>For each type of atmosphere there are two sheets, one for the input and one for the output.  To create an atmosphere, simply select the</t>
  </si>
  <si>
    <t>appropriate input sheet, for instance "Gas Giant", and answer all the questions by inputting the requested data.  After all the questions</t>
  </si>
  <si>
    <t>have been answered, switch to the output sheet, for instance "Gas Giant CFG".  The output sheet includes the final text ready to copy</t>
  </si>
  <si>
    <t>and paste into the celestial body's .cfg file.</t>
  </si>
  <si>
    <t>Additional detailed instructions are included on each sheet.  Follow these instructions step by step.</t>
  </si>
  <si>
    <t>Each input sheet includes sample input.  Replace this sample data with your own.</t>
  </si>
  <si>
    <t>No greenhouse</t>
  </si>
  <si>
    <t>The following should be copied into the celestial body's .cfg file.  Luminosity is placed in the Light subnode as indicated.  The Atmosphere node should be copied in its entirety and placed inside the Body node.  After copying, it is recommended that all tabs be replaced with spaces.</t>
  </si>
  <si>
    <t>The following should be copied into the celestial body's .cfg file.  Albedo is placed in the Properties node.  The Atmosphere node should be copied in its entirety and placed inside the Body node.  Any "Unused" lines should be deleted.  After copying, it is recommended that all tabs be replaced with spaces.  For sky color and other visual settings, an AtmosphereFromGround subnode should be added.</t>
  </si>
  <si>
    <t>Version 2.0.6</t>
  </si>
  <si>
    <t>Strong greenhouse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</si>
</sst>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00"/>
    <numFmt numFmtId="177" formatCode="0.0"/>
    <numFmt numFmtId="178" formatCode="0.00000E+00"/>
    <numFmt numFmtId="179" formatCode="0.000"/>
    <numFmt numFmtId="180" formatCode="0.000E+00"/>
    <numFmt numFmtId="181" formatCode="0.0000E+00"/>
  </numFmts>
  <fonts count="19" x14ac:knownFonts="1">
    <font>
      <sz val="11"/>
      <color theme="1"/>
      <name val="宋体"/>
      <family val="2"/>
      <scheme val="minor"/>
    </font>
    <font>
      <sz val="11"/>
      <color theme="1"/>
      <name val="Calibri"/>
      <family val="2"/>
    </font>
    <font>
      <sz val="11"/>
      <color theme="1"/>
      <name val="宋体"/>
      <family val="2"/>
      <scheme val="minor"/>
    </font>
    <font>
      <sz val="12"/>
      <color theme="1"/>
      <name val="宋体"/>
      <family val="2"/>
      <scheme val="minor"/>
    </font>
    <font>
      <sz val="12"/>
      <color theme="1"/>
      <name val="Calibri"/>
      <family val="2"/>
    </font>
    <font>
      <sz val="24"/>
      <color theme="1"/>
      <name val="宋体"/>
      <family val="2"/>
      <scheme val="minor"/>
    </font>
    <font>
      <sz val="12"/>
      <name val="宋体"/>
      <family val="2"/>
      <scheme val="minor"/>
    </font>
    <font>
      <b/>
      <sz val="12"/>
      <color theme="1"/>
      <name val="宋体"/>
      <family val="2"/>
      <scheme val="minor"/>
    </font>
    <font>
      <i/>
      <sz val="11"/>
      <color theme="1"/>
      <name val="宋体"/>
      <family val="2"/>
      <scheme val="minor"/>
    </font>
    <font>
      <b/>
      <i/>
      <sz val="12"/>
      <color theme="1"/>
      <name val="宋体"/>
      <family val="2"/>
      <scheme val="minor"/>
    </font>
    <font>
      <b/>
      <i/>
      <sz val="12"/>
      <color theme="1"/>
      <name val="Calibri"/>
      <family val="2"/>
    </font>
    <font>
      <i/>
      <sz val="10"/>
      <color theme="1"/>
      <name val="宋体"/>
      <family val="2"/>
      <scheme val="minor"/>
    </font>
    <font>
      <u/>
      <sz val="11"/>
      <color theme="10"/>
      <name val="宋体"/>
      <family val="2"/>
      <scheme val="minor"/>
    </font>
    <font>
      <u/>
      <sz val="14"/>
      <color theme="10"/>
      <name val="宋体"/>
      <family val="2"/>
      <scheme val="minor"/>
    </font>
    <font>
      <b/>
      <sz val="11"/>
      <color theme="1"/>
      <name val="Calibri"/>
      <family val="2"/>
    </font>
    <font>
      <sz val="18"/>
      <color theme="1"/>
      <name val="宋体"/>
      <family val="2"/>
      <scheme val="minor"/>
    </font>
    <font>
      <sz val="22"/>
      <color theme="1"/>
      <name val="宋体"/>
      <family val="2"/>
      <scheme val="minor"/>
    </font>
    <font>
      <sz val="12"/>
      <color theme="0" tint="-0.14999847407452621"/>
      <name val="宋体"/>
      <family val="2"/>
      <scheme val="minor"/>
    </font>
    <font>
      <sz val="9"/>
      <name val="宋体"/>
      <family val="3"/>
      <charset val="134"/>
      <scheme val="minor"/>
    </font>
  </fonts>
  <fills count="3">
    <fill>
      <patternFill patternType="none"/>
    </fill>
    <fill>
      <patternFill patternType="gray125"/>
    </fill>
    <fill>
      <patternFill patternType="solid">
        <fgColor theme="0" tint="-0.14999847407452621"/>
        <bgColor indexed="64"/>
      </patternFill>
    </fill>
  </fills>
  <borders count="20">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2" fillId="0" borderId="0" applyFont="0" applyFill="0" applyBorder="0" applyAlignment="0" applyProtection="0"/>
    <xf numFmtId="0" fontId="12" fillId="0" borderId="0" applyNumberFormat="0" applyFill="0" applyBorder="0" applyAlignment="0" applyProtection="0"/>
  </cellStyleXfs>
  <cellXfs count="107">
    <xf numFmtId="0" fontId="0" fillId="0" borderId="0" xfId="0"/>
    <xf numFmtId="0" fontId="1" fillId="0" borderId="0" xfId="0" applyFont="1"/>
    <xf numFmtId="0" fontId="1" fillId="0" borderId="0" xfId="0" applyFont="1" applyProtection="1">
      <protection locked="0"/>
    </xf>
    <xf numFmtId="0" fontId="1" fillId="0" borderId="0" xfId="0" applyFont="1" applyAlignment="1">
      <alignment horizontal="center"/>
    </xf>
    <xf numFmtId="0" fontId="1" fillId="0" borderId="0" xfId="0" quotePrefix="1" applyFont="1" applyAlignment="1">
      <alignment horizontal="center"/>
    </xf>
    <xf numFmtId="2" fontId="1" fillId="0" borderId="0" xfId="0" applyNumberFormat="1" applyFont="1" applyAlignment="1">
      <alignment horizontal="center"/>
    </xf>
    <xf numFmtId="178" fontId="1" fillId="0" borderId="0" xfId="0" applyNumberFormat="1" applyFont="1" applyAlignment="1">
      <alignment horizontal="center"/>
    </xf>
    <xf numFmtId="1" fontId="1" fillId="0" borderId="0" xfId="0" applyNumberFormat="1" applyFont="1" applyAlignment="1">
      <alignment horizontal="center"/>
    </xf>
    <xf numFmtId="11" fontId="1" fillId="0" borderId="0" xfId="0" applyNumberFormat="1" applyFont="1" applyProtection="1">
      <protection locked="0"/>
    </xf>
    <xf numFmtId="181" fontId="1" fillId="0" borderId="0" xfId="0" applyNumberFormat="1" applyFont="1" applyProtection="1">
      <protection locked="0"/>
    </xf>
    <xf numFmtId="0" fontId="1" fillId="0" borderId="0" xfId="0" applyFont="1" applyAlignment="1">
      <alignment horizontal="left" indent="2"/>
    </xf>
    <xf numFmtId="0" fontId="3" fillId="2" borderId="0" xfId="0" applyFont="1" applyFill="1"/>
    <xf numFmtId="0" fontId="3" fillId="2" borderId="0" xfId="0" applyFont="1" applyFill="1" applyAlignment="1">
      <alignment horizontal="left" indent="2"/>
    </xf>
    <xf numFmtId="0" fontId="3" fillId="2" borderId="0" xfId="0" applyFont="1" applyFill="1" applyAlignment="1">
      <alignment horizontal="left"/>
    </xf>
    <xf numFmtId="0" fontId="3" fillId="2" borderId="0" xfId="0" applyFont="1" applyFill="1" applyAlignment="1">
      <alignment horizontal="center"/>
    </xf>
    <xf numFmtId="0" fontId="3" fillId="2" borderId="1" xfId="0" applyFont="1" applyFill="1" applyBorder="1"/>
    <xf numFmtId="0" fontId="3" fillId="2" borderId="1" xfId="0" applyFont="1" applyFill="1" applyBorder="1" applyAlignment="1">
      <alignment horizontal="center"/>
    </xf>
    <xf numFmtId="2" fontId="3" fillId="2" borderId="0" xfId="0" applyNumberFormat="1" applyFont="1" applyFill="1" applyAlignment="1">
      <alignment horizontal="center"/>
    </xf>
    <xf numFmtId="10" fontId="3" fillId="2" borderId="0" xfId="0" applyNumberFormat="1" applyFont="1" applyFill="1" applyAlignment="1">
      <alignment horizontal="center"/>
    </xf>
    <xf numFmtId="179" fontId="3" fillId="2" borderId="0" xfId="0" applyNumberFormat="1" applyFont="1" applyFill="1"/>
    <xf numFmtId="1" fontId="3" fillId="2" borderId="0" xfId="0" applyNumberFormat="1" applyFont="1" applyFill="1"/>
    <xf numFmtId="2" fontId="3" fillId="2" borderId="0" xfId="0" applyNumberFormat="1" applyFont="1" applyFill="1"/>
    <xf numFmtId="181" fontId="3" fillId="2" borderId="0" xfId="0" applyNumberFormat="1" applyFont="1" applyFill="1"/>
    <xf numFmtId="177" fontId="3" fillId="2" borderId="0" xfId="0" applyNumberFormat="1" applyFont="1" applyFill="1"/>
    <xf numFmtId="0" fontId="4" fillId="2" borderId="0" xfId="0" applyFont="1" applyFill="1" applyAlignment="1">
      <alignment horizontal="center"/>
    </xf>
    <xf numFmtId="0" fontId="3" fillId="2" borderId="0" xfId="0" quotePrefix="1" applyFont="1" applyFill="1" applyAlignment="1">
      <alignment horizontal="center"/>
    </xf>
    <xf numFmtId="1" fontId="3" fillId="2" borderId="0" xfId="0" applyNumberFormat="1" applyFont="1" applyFill="1" applyAlignment="1">
      <alignment horizontal="center"/>
    </xf>
    <xf numFmtId="176" fontId="3" fillId="2" borderId="0" xfId="0" applyNumberFormat="1" applyFont="1" applyFill="1" applyAlignment="1">
      <alignment horizontal="center"/>
    </xf>
    <xf numFmtId="11" fontId="3" fillId="2" borderId="0" xfId="0" applyNumberFormat="1" applyFont="1" applyFill="1" applyAlignment="1">
      <alignment horizontal="center"/>
    </xf>
    <xf numFmtId="179" fontId="3" fillId="2" borderId="0" xfId="0" applyNumberFormat="1" applyFont="1" applyFill="1" applyAlignment="1">
      <alignment horizontal="center"/>
    </xf>
    <xf numFmtId="0" fontId="6" fillId="2" borderId="0" xfId="0" applyFont="1" applyFill="1"/>
    <xf numFmtId="0" fontId="6" fillId="0" borderId="0" xfId="0" applyFont="1"/>
    <xf numFmtId="0" fontId="3" fillId="0" borderId="0" xfId="0" applyFont="1"/>
    <xf numFmtId="2" fontId="3" fillId="0" borderId="0" xfId="0" applyNumberFormat="1" applyFont="1" applyAlignment="1">
      <alignment horizontal="center"/>
    </xf>
    <xf numFmtId="0" fontId="3" fillId="0" borderId="1" xfId="0" applyFont="1" applyBorder="1"/>
    <xf numFmtId="0" fontId="3" fillId="0" borderId="1" xfId="0" applyFont="1" applyBorder="1" applyAlignment="1">
      <alignment horizontal="center"/>
    </xf>
    <xf numFmtId="10" fontId="6" fillId="0" borderId="0" xfId="1" applyNumberFormat="1" applyFont="1" applyFill="1" applyAlignment="1">
      <alignment horizontal="center"/>
    </xf>
    <xf numFmtId="0" fontId="6" fillId="0" borderId="1" xfId="0" applyFont="1" applyBorder="1" applyAlignment="1">
      <alignment horizontal="center"/>
    </xf>
    <xf numFmtId="0" fontId="4" fillId="2" borderId="0" xfId="0" applyFont="1" applyFill="1"/>
    <xf numFmtId="0" fontId="4" fillId="2" borderId="0" xfId="0" applyFont="1" applyFill="1" applyAlignment="1">
      <alignment horizontal="left" indent="2"/>
    </xf>
    <xf numFmtId="179" fontId="3" fillId="0" borderId="0" xfId="0" applyNumberFormat="1" applyFont="1"/>
    <xf numFmtId="3" fontId="3" fillId="2" borderId="0" xfId="0" applyNumberFormat="1" applyFont="1" applyFill="1"/>
    <xf numFmtId="0" fontId="9" fillId="2" borderId="0" xfId="0" applyFont="1" applyFill="1" applyAlignment="1">
      <alignment horizontal="right"/>
    </xf>
    <xf numFmtId="0" fontId="6" fillId="0" borderId="0" xfId="0" applyFont="1" applyAlignment="1">
      <alignment horizontal="right"/>
    </xf>
    <xf numFmtId="1" fontId="3" fillId="2" borderId="0" xfId="0" applyNumberFormat="1" applyFont="1" applyFill="1" applyAlignment="1">
      <alignment horizontal="right"/>
    </xf>
    <xf numFmtId="177" fontId="6" fillId="2" borderId="0" xfId="0" applyNumberFormat="1" applyFont="1" applyFill="1"/>
    <xf numFmtId="3" fontId="6" fillId="2" borderId="0" xfId="0" applyNumberFormat="1" applyFont="1" applyFill="1"/>
    <xf numFmtId="0" fontId="6" fillId="2" borderId="0" xfId="0" applyFont="1" applyFill="1" applyAlignment="1">
      <alignment horizontal="left" indent="2"/>
    </xf>
    <xf numFmtId="1" fontId="6" fillId="2" borderId="0" xfId="0" applyNumberFormat="1" applyFont="1" applyFill="1"/>
    <xf numFmtId="179" fontId="1" fillId="0" borderId="0" xfId="0" applyNumberFormat="1" applyFont="1" applyAlignment="1">
      <alignment horizontal="center"/>
    </xf>
    <xf numFmtId="0" fontId="3" fillId="2" borderId="6" xfId="0" applyFont="1" applyFill="1" applyBorder="1" applyAlignment="1">
      <alignment horizontal="left" indent="2"/>
    </xf>
    <xf numFmtId="0" fontId="3" fillId="2" borderId="7" xfId="0" applyFont="1" applyFill="1" applyBorder="1"/>
    <xf numFmtId="0" fontId="6" fillId="2" borderId="7" xfId="0" applyFont="1" applyFill="1" applyBorder="1"/>
    <xf numFmtId="0" fontId="3" fillId="2" borderId="9" xfId="0" applyFont="1" applyFill="1" applyBorder="1" applyAlignment="1">
      <alignment horizontal="left" indent="2"/>
    </xf>
    <xf numFmtId="180" fontId="6" fillId="0" borderId="10" xfId="0" applyNumberFormat="1" applyFont="1" applyBorder="1"/>
    <xf numFmtId="0" fontId="3" fillId="2" borderId="11" xfId="0" applyFont="1" applyFill="1" applyBorder="1" applyAlignment="1">
      <alignment horizontal="left" indent="2"/>
    </xf>
    <xf numFmtId="0" fontId="3" fillId="2" borderId="12" xfId="0" applyFont="1" applyFill="1" applyBorder="1"/>
    <xf numFmtId="0" fontId="6" fillId="2" borderId="12" xfId="0" applyFont="1" applyFill="1" applyBorder="1"/>
    <xf numFmtId="0" fontId="6" fillId="0" borderId="13" xfId="0" applyFont="1" applyBorder="1"/>
    <xf numFmtId="2" fontId="3" fillId="0" borderId="1" xfId="0" applyNumberFormat="1" applyFont="1" applyBorder="1" applyAlignment="1">
      <alignment horizontal="center"/>
    </xf>
    <xf numFmtId="10" fontId="6" fillId="0" borderId="1" xfId="1" applyNumberFormat="1" applyFont="1" applyFill="1" applyBorder="1" applyAlignment="1">
      <alignment horizontal="center"/>
    </xf>
    <xf numFmtId="1" fontId="3" fillId="2" borderId="3" xfId="0" applyNumberFormat="1" applyFont="1" applyFill="1" applyBorder="1" applyAlignment="1">
      <alignment horizontal="center"/>
    </xf>
    <xf numFmtId="1" fontId="3" fillId="2" borderId="4" xfId="0" applyNumberFormat="1" applyFont="1" applyFill="1" applyBorder="1" applyAlignment="1">
      <alignment horizontal="center"/>
    </xf>
    <xf numFmtId="1" fontId="3" fillId="2" borderId="5" xfId="0" applyNumberFormat="1" applyFont="1" applyFill="1" applyBorder="1" applyAlignment="1">
      <alignment horizontal="center"/>
    </xf>
    <xf numFmtId="0" fontId="3" fillId="2" borderId="0" xfId="0" quotePrefix="1" applyFont="1" applyFill="1"/>
    <xf numFmtId="9" fontId="6" fillId="0" borderId="0" xfId="1" applyFont="1" applyFill="1" applyBorder="1"/>
    <xf numFmtId="9" fontId="3" fillId="2" borderId="0" xfId="1" applyFont="1" applyFill="1"/>
    <xf numFmtId="0" fontId="11" fillId="2" borderId="0" xfId="0" applyFont="1" applyFill="1" applyAlignment="1">
      <alignment horizontal="left" indent="3"/>
    </xf>
    <xf numFmtId="0" fontId="13" fillId="2" borderId="0" xfId="2" applyFont="1" applyFill="1" applyAlignment="1">
      <alignment horizontal="left" indent="2"/>
    </xf>
    <xf numFmtId="0" fontId="1" fillId="0" borderId="0" xfId="0" applyFont="1" applyAlignment="1">
      <alignment horizontal="left" indent="4"/>
    </xf>
    <xf numFmtId="11" fontId="3" fillId="2" borderId="0" xfId="0" applyNumberFormat="1" applyFont="1" applyFill="1"/>
    <xf numFmtId="0" fontId="3" fillId="2" borderId="14" xfId="0" applyFont="1" applyFill="1" applyBorder="1"/>
    <xf numFmtId="0" fontId="3" fillId="2" borderId="15" xfId="0" applyFont="1" applyFill="1" applyBorder="1"/>
    <xf numFmtId="0" fontId="3" fillId="2" borderId="16" xfId="0" applyFont="1" applyFill="1" applyBorder="1"/>
    <xf numFmtId="0" fontId="3" fillId="2" borderId="17" xfId="0" applyFont="1" applyFill="1" applyBorder="1"/>
    <xf numFmtId="0" fontId="3" fillId="0" borderId="0" xfId="0" applyFont="1" applyAlignment="1">
      <alignment horizontal="right"/>
    </xf>
    <xf numFmtId="0" fontId="3" fillId="2" borderId="18" xfId="0" applyFont="1" applyFill="1" applyBorder="1"/>
    <xf numFmtId="0" fontId="3" fillId="2" borderId="19" xfId="0" applyFont="1" applyFill="1" applyBorder="1"/>
    <xf numFmtId="0" fontId="16" fillId="2" borderId="0" xfId="0" applyFont="1" applyFill="1"/>
    <xf numFmtId="177" fontId="3" fillId="2" borderId="0" xfId="0" applyNumberFormat="1" applyFont="1" applyFill="1" applyAlignment="1">
      <alignment horizontal="right"/>
    </xf>
    <xf numFmtId="180" fontId="3" fillId="2" borderId="0" xfId="0" applyNumberFormat="1" applyFont="1" applyFill="1"/>
    <xf numFmtId="9" fontId="3" fillId="0" borderId="0" xfId="0" applyNumberFormat="1" applyFont="1" applyAlignment="1">
      <alignment horizontal="right"/>
    </xf>
    <xf numFmtId="0" fontId="3" fillId="2" borderId="0" xfId="1" applyNumberFormat="1" applyFont="1" applyFill="1"/>
    <xf numFmtId="179" fontId="17" fillId="2" borderId="0" xfId="0" applyNumberFormat="1" applyFont="1" applyFill="1"/>
    <xf numFmtId="10" fontId="6" fillId="0" borderId="0" xfId="1" applyNumberFormat="1" applyFont="1" applyFill="1" applyAlignment="1" applyProtection="1">
      <alignment horizontal="center"/>
    </xf>
    <xf numFmtId="9" fontId="3" fillId="2" borderId="0" xfId="1" applyFont="1" applyFill="1" applyProtection="1"/>
    <xf numFmtId="180" fontId="6" fillId="0" borderId="8" xfId="0" applyNumberFormat="1" applyFont="1" applyBorder="1"/>
    <xf numFmtId="11" fontId="6" fillId="0" borderId="0" xfId="0" applyNumberFormat="1" applyFont="1"/>
    <xf numFmtId="0" fontId="15" fillId="2" borderId="2" xfId="0" applyFont="1" applyFill="1" applyBorder="1" applyAlignment="1">
      <alignment horizontal="center"/>
    </xf>
    <xf numFmtId="0" fontId="15" fillId="2" borderId="0" xfId="0" applyFont="1" applyFill="1" applyAlignment="1">
      <alignment horizontal="center"/>
    </xf>
    <xf numFmtId="0" fontId="7" fillId="2" borderId="0" xfId="0" applyFont="1" applyFill="1" applyAlignment="1">
      <alignment horizontal="left"/>
    </xf>
    <xf numFmtId="0" fontId="7" fillId="2" borderId="0" xfId="0" applyFont="1" applyFill="1"/>
    <xf numFmtId="0" fontId="3" fillId="0" borderId="1" xfId="0" applyFont="1" applyBorder="1"/>
    <xf numFmtId="0" fontId="3" fillId="2" borderId="2" xfId="0" applyFont="1" applyFill="1" applyBorder="1"/>
    <xf numFmtId="0" fontId="3" fillId="2" borderId="0" xfId="0" applyFont="1" applyFill="1"/>
    <xf numFmtId="0" fontId="5" fillId="2" borderId="0" xfId="0" applyFont="1" applyFill="1" applyAlignment="1">
      <alignment horizontal="left"/>
    </xf>
    <xf numFmtId="3" fontId="6" fillId="0" borderId="0" xfId="0" applyNumberFormat="1" applyFont="1" applyAlignment="1">
      <alignment horizontal="right"/>
    </xf>
    <xf numFmtId="0" fontId="8" fillId="2" borderId="7" xfId="0" applyFont="1" applyFill="1" applyBorder="1" applyAlignment="1">
      <alignment horizontal="left" vertical="center" wrapText="1"/>
    </xf>
    <xf numFmtId="0" fontId="8" fillId="2" borderId="0" xfId="0" applyFont="1" applyFill="1" applyAlignment="1">
      <alignment horizontal="left" vertical="center" wrapText="1"/>
    </xf>
    <xf numFmtId="0" fontId="8" fillId="2" borderId="12" xfId="0" applyFont="1" applyFill="1" applyBorder="1" applyAlignment="1">
      <alignment horizontal="left" vertical="center" wrapText="1"/>
    </xf>
    <xf numFmtId="0" fontId="3" fillId="0" borderId="0" xfId="0" applyFont="1"/>
    <xf numFmtId="3" fontId="6" fillId="0" borderId="0" xfId="0" applyNumberFormat="1" applyFont="1"/>
    <xf numFmtId="0" fontId="14" fillId="0" borderId="0" xfId="0" applyFont="1" applyAlignment="1" applyProtection="1">
      <alignment horizontal="left" wrapText="1"/>
      <protection locked="0"/>
    </xf>
    <xf numFmtId="0" fontId="9" fillId="2" borderId="0" xfId="0" applyFont="1" applyFill="1" applyAlignment="1">
      <alignment horizontal="left" wrapText="1"/>
    </xf>
    <xf numFmtId="0" fontId="9" fillId="2" borderId="0" xfId="0" applyFont="1" applyFill="1" applyAlignment="1">
      <alignment horizontal="left"/>
    </xf>
    <xf numFmtId="1" fontId="0" fillId="0" borderId="0" xfId="0" applyNumberFormat="1" applyAlignment="1">
      <alignment horizontal="center"/>
    </xf>
    <xf numFmtId="1" fontId="0" fillId="0" borderId="1" xfId="0" applyNumberFormat="1" applyBorder="1" applyAlignment="1">
      <alignment horizontal="center"/>
    </xf>
  </cellXfs>
  <cellStyles count="3">
    <cellStyle name="百分比" xfId="1" builtinId="5"/>
    <cellStyle name="常规" xfId="0" builtinId="0"/>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github.com/Sigma88/Sigma-HeatShifter/releas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32"/>
  <sheetViews>
    <sheetView workbookViewId="0"/>
  </sheetViews>
  <sheetFormatPr defaultColWidth="9.125" defaultRowHeight="14.25" x14ac:dyDescent="0.15"/>
  <cols>
    <col min="1" max="16384" width="9.125" style="11"/>
  </cols>
  <sheetData>
    <row r="2" spans="2:2" ht="27" x14ac:dyDescent="0.3">
      <c r="B2" s="78" t="s">
        <v>331</v>
      </c>
    </row>
    <row r="4" spans="2:2" x14ac:dyDescent="0.15">
      <c r="B4" s="11" t="s">
        <v>378</v>
      </c>
    </row>
    <row r="6" spans="2:2" x14ac:dyDescent="0.15">
      <c r="B6" s="11" t="s">
        <v>337</v>
      </c>
    </row>
    <row r="7" spans="2:2" x14ac:dyDescent="0.15">
      <c r="B7" s="11" t="s">
        <v>336</v>
      </c>
    </row>
    <row r="9" spans="2:2" x14ac:dyDescent="0.15">
      <c r="B9" s="12" t="s">
        <v>352</v>
      </c>
    </row>
    <row r="11" spans="2:2" x14ac:dyDescent="0.15">
      <c r="B11" s="12" t="s">
        <v>333</v>
      </c>
    </row>
    <row r="13" spans="2:2" x14ac:dyDescent="0.15">
      <c r="B13" s="12" t="s">
        <v>334</v>
      </c>
    </row>
    <row r="15" spans="2:2" x14ac:dyDescent="0.15">
      <c r="B15" s="12" t="s">
        <v>335</v>
      </c>
    </row>
    <row r="17" spans="2:2" x14ac:dyDescent="0.15">
      <c r="B17" s="12" t="s">
        <v>332</v>
      </c>
    </row>
    <row r="19" spans="2:2" x14ac:dyDescent="0.15">
      <c r="B19" s="11" t="s">
        <v>369</v>
      </c>
    </row>
    <row r="20" spans="2:2" x14ac:dyDescent="0.15">
      <c r="B20" s="11" t="s">
        <v>370</v>
      </c>
    </row>
    <row r="21" spans="2:2" x14ac:dyDescent="0.15">
      <c r="B21" s="11" t="s">
        <v>371</v>
      </c>
    </row>
    <row r="22" spans="2:2" x14ac:dyDescent="0.15">
      <c r="B22" s="11" t="s">
        <v>372</v>
      </c>
    </row>
    <row r="24" spans="2:2" x14ac:dyDescent="0.15">
      <c r="B24" s="11" t="s">
        <v>373</v>
      </c>
    </row>
    <row r="26" spans="2:2" x14ac:dyDescent="0.15">
      <c r="B26" s="11" t="s">
        <v>374</v>
      </c>
    </row>
    <row r="28" spans="2:2" x14ac:dyDescent="0.15">
      <c r="B28" s="11" t="s">
        <v>347</v>
      </c>
    </row>
    <row r="29" spans="2:2" x14ac:dyDescent="0.15">
      <c r="B29" s="11" t="s">
        <v>354</v>
      </c>
    </row>
    <row r="31" spans="2:2" x14ac:dyDescent="0.15">
      <c r="B31" s="11" t="s">
        <v>367</v>
      </c>
    </row>
    <row r="32" spans="2:2" x14ac:dyDescent="0.15">
      <c r="B32" s="11" t="s">
        <v>368</v>
      </c>
    </row>
  </sheetData>
  <phoneticPr fontId="18" type="noConversion"/>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Q189"/>
  <sheetViews>
    <sheetView zoomScaleNormal="100" workbookViewId="0"/>
  </sheetViews>
  <sheetFormatPr defaultColWidth="9.125" defaultRowHeight="14.25" x14ac:dyDescent="0.15"/>
  <cols>
    <col min="1" max="1" width="3.625" style="11" customWidth="1"/>
    <col min="2" max="16" width="12.625" style="11" customWidth="1"/>
    <col min="17" max="17" width="13.625" style="11" bestFit="1" customWidth="1"/>
    <col min="18" max="16384" width="9.125" style="11"/>
  </cols>
  <sheetData>
    <row r="2" spans="2:8" ht="31.5" x14ac:dyDescent="0.4">
      <c r="B2" s="95" t="s">
        <v>174</v>
      </c>
      <c r="C2" s="95"/>
      <c r="D2" s="95"/>
      <c r="E2" s="95"/>
      <c r="F2" s="95"/>
      <c r="G2" s="95"/>
      <c r="H2" s="95"/>
    </row>
    <row r="4" spans="2:8" x14ac:dyDescent="0.15">
      <c r="B4" s="91" t="s">
        <v>328</v>
      </c>
      <c r="C4" s="91"/>
      <c r="D4" s="91"/>
      <c r="E4" s="91"/>
      <c r="F4" s="91"/>
      <c r="G4" s="91"/>
      <c r="H4" s="91"/>
    </row>
    <row r="5" spans="2:8" x14ac:dyDescent="0.15">
      <c r="B5" s="91" t="s">
        <v>327</v>
      </c>
      <c r="C5" s="91"/>
      <c r="D5" s="91"/>
      <c r="E5" s="91"/>
      <c r="F5" s="91"/>
      <c r="G5" s="91"/>
      <c r="H5" s="91"/>
    </row>
    <row r="7" spans="2:8" ht="18.75" x14ac:dyDescent="0.25">
      <c r="B7" s="68" t="s">
        <v>180</v>
      </c>
    </row>
    <row r="9" spans="2:8" x14ac:dyDescent="0.15">
      <c r="B9" s="90" t="s">
        <v>286</v>
      </c>
      <c r="C9" s="90"/>
      <c r="D9" s="90"/>
      <c r="E9" s="90"/>
      <c r="F9" s="90"/>
      <c r="G9" s="90"/>
      <c r="H9" s="90"/>
    </row>
    <row r="10" spans="2:8" x14ac:dyDescent="0.15">
      <c r="B10" s="90" t="s">
        <v>311</v>
      </c>
      <c r="C10" s="90"/>
      <c r="D10" s="90"/>
      <c r="E10" s="90"/>
      <c r="F10" s="90"/>
      <c r="G10" s="90"/>
      <c r="H10" s="90"/>
    </row>
    <row r="11" spans="2:8" x14ac:dyDescent="0.15">
      <c r="B11" s="90" t="s">
        <v>310</v>
      </c>
      <c r="C11" s="90"/>
      <c r="D11" s="90"/>
      <c r="E11" s="90"/>
      <c r="F11" s="90"/>
      <c r="G11" s="90"/>
      <c r="H11" s="90"/>
    </row>
    <row r="12" spans="2:8" x14ac:dyDescent="0.15">
      <c r="B12" s="90" t="s">
        <v>309</v>
      </c>
      <c r="C12" s="90"/>
      <c r="D12" s="90"/>
      <c r="E12" s="90"/>
      <c r="F12" s="90"/>
      <c r="G12" s="90"/>
      <c r="H12" s="90"/>
    </row>
    <row r="14" spans="2:8" x14ac:dyDescent="0.15">
      <c r="B14" s="11" t="s">
        <v>6</v>
      </c>
    </row>
    <row r="15" spans="2:8" x14ac:dyDescent="0.15">
      <c r="B15" s="12" t="s">
        <v>7</v>
      </c>
      <c r="F15" s="96">
        <v>13599840256</v>
      </c>
      <c r="G15" s="96"/>
      <c r="H15" s="11" t="s">
        <v>0</v>
      </c>
    </row>
    <row r="16" spans="2:8" x14ac:dyDescent="0.15">
      <c r="B16" s="11" t="s">
        <v>8</v>
      </c>
      <c r="F16" s="30"/>
      <c r="G16" s="30"/>
    </row>
    <row r="17" spans="2:8" x14ac:dyDescent="0.15">
      <c r="B17" s="12" t="s">
        <v>9</v>
      </c>
      <c r="F17" s="96">
        <v>46000000</v>
      </c>
      <c r="G17" s="96"/>
      <c r="H17" s="11" t="s">
        <v>0</v>
      </c>
    </row>
    <row r="18" spans="2:8" ht="15" customHeight="1" x14ac:dyDescent="0.25">
      <c r="B18" s="50" t="s">
        <v>5</v>
      </c>
      <c r="C18" s="51"/>
      <c r="D18" s="97" t="s">
        <v>102</v>
      </c>
      <c r="E18" s="97"/>
      <c r="F18" s="52"/>
      <c r="G18" s="86"/>
      <c r="H18" s="11" t="s">
        <v>89</v>
      </c>
    </row>
    <row r="19" spans="2:8" x14ac:dyDescent="0.15">
      <c r="B19" s="53" t="s">
        <v>3</v>
      </c>
      <c r="D19" s="98"/>
      <c r="E19" s="98"/>
      <c r="F19" s="30"/>
      <c r="G19" s="54"/>
      <c r="H19" s="11" t="s">
        <v>10</v>
      </c>
    </row>
    <row r="20" spans="2:8" ht="15.75" x14ac:dyDescent="0.25">
      <c r="B20" s="55" t="s">
        <v>4</v>
      </c>
      <c r="C20" s="56"/>
      <c r="D20" s="99"/>
      <c r="E20" s="99"/>
      <c r="F20" s="57"/>
      <c r="G20" s="58">
        <v>39.799999999999997</v>
      </c>
      <c r="H20" s="11" t="s">
        <v>90</v>
      </c>
    </row>
    <row r="21" spans="2:8" ht="15.75" x14ac:dyDescent="0.25">
      <c r="B21" s="12" t="s">
        <v>16</v>
      </c>
      <c r="F21" s="30"/>
      <c r="G21" s="31">
        <v>252</v>
      </c>
      <c r="H21" s="11" t="s">
        <v>91</v>
      </c>
    </row>
    <row r="22" spans="2:8" x14ac:dyDescent="0.15">
      <c r="B22" s="11" t="s">
        <v>12</v>
      </c>
      <c r="F22" s="30"/>
      <c r="G22" s="30"/>
    </row>
    <row r="23" spans="2:8" x14ac:dyDescent="0.15">
      <c r="B23" s="12" t="s">
        <v>9</v>
      </c>
      <c r="F23" s="96">
        <v>480000</v>
      </c>
      <c r="G23" s="96"/>
      <c r="H23" s="11" t="s">
        <v>0</v>
      </c>
    </row>
    <row r="24" spans="2:8" ht="15" customHeight="1" x14ac:dyDescent="0.25">
      <c r="B24" s="50" t="s">
        <v>5</v>
      </c>
      <c r="C24" s="51"/>
      <c r="D24" s="97" t="s">
        <v>102</v>
      </c>
      <c r="E24" s="97"/>
      <c r="F24" s="52"/>
      <c r="G24" s="86"/>
      <c r="H24" s="11" t="s">
        <v>89</v>
      </c>
    </row>
    <row r="25" spans="2:8" x14ac:dyDescent="0.15">
      <c r="B25" s="53" t="s">
        <v>3</v>
      </c>
      <c r="D25" s="98"/>
      <c r="E25" s="98"/>
      <c r="F25" s="30"/>
      <c r="G25" s="54"/>
      <c r="H25" s="11" t="s">
        <v>10</v>
      </c>
    </row>
    <row r="26" spans="2:8" ht="15.75" x14ac:dyDescent="0.25">
      <c r="B26" s="55" t="s">
        <v>4</v>
      </c>
      <c r="C26" s="56"/>
      <c r="D26" s="99"/>
      <c r="E26" s="99"/>
      <c r="F26" s="57"/>
      <c r="G26" s="58">
        <v>0.7</v>
      </c>
      <c r="H26" s="11" t="s">
        <v>90</v>
      </c>
    </row>
    <row r="27" spans="2:8" x14ac:dyDescent="0.15">
      <c r="B27" s="12" t="s">
        <v>11</v>
      </c>
      <c r="F27" s="30"/>
      <c r="G27" s="31">
        <v>0.25</v>
      </c>
    </row>
    <row r="28" spans="2:8" x14ac:dyDescent="0.15">
      <c r="B28" s="12" t="s">
        <v>7</v>
      </c>
      <c r="F28" s="96">
        <v>5000000000</v>
      </c>
      <c r="G28" s="96"/>
      <c r="H28" s="11" t="s">
        <v>0</v>
      </c>
    </row>
    <row r="29" spans="2:8" x14ac:dyDescent="0.15">
      <c r="B29" s="12" t="s">
        <v>13</v>
      </c>
      <c r="F29" s="30"/>
      <c r="G29" s="31">
        <v>0.03</v>
      </c>
    </row>
    <row r="30" spans="2:8" ht="15.75" x14ac:dyDescent="0.25">
      <c r="B30" s="12" t="s">
        <v>14</v>
      </c>
      <c r="F30" s="30"/>
      <c r="G30" s="31">
        <v>2</v>
      </c>
      <c r="H30" s="38" t="s">
        <v>101</v>
      </c>
    </row>
    <row r="31" spans="2:8" ht="15.75" x14ac:dyDescent="0.25">
      <c r="B31" s="12" t="s">
        <v>15</v>
      </c>
      <c r="F31" s="30"/>
      <c r="G31" s="31">
        <v>0</v>
      </c>
      <c r="H31" s="38" t="s">
        <v>101</v>
      </c>
    </row>
    <row r="32" spans="2:8" x14ac:dyDescent="0.15">
      <c r="B32" s="13"/>
      <c r="F32" s="30"/>
      <c r="G32" s="30"/>
    </row>
    <row r="33" spans="2:11" x14ac:dyDescent="0.15">
      <c r="B33" s="90" t="s">
        <v>195</v>
      </c>
      <c r="C33" s="90"/>
      <c r="D33" s="90"/>
      <c r="E33" s="90"/>
      <c r="F33" s="90"/>
      <c r="G33" s="90"/>
      <c r="H33" s="90"/>
    </row>
    <row r="34" spans="2:11" x14ac:dyDescent="0.15">
      <c r="B34" s="90" t="s">
        <v>312</v>
      </c>
      <c r="C34" s="90"/>
      <c r="D34" s="90"/>
      <c r="E34" s="90"/>
      <c r="F34" s="90"/>
      <c r="G34" s="90"/>
      <c r="H34" s="90"/>
    </row>
    <row r="35" spans="2:11" x14ac:dyDescent="0.15">
      <c r="F35" s="30"/>
      <c r="G35" s="30"/>
    </row>
    <row r="36" spans="2:11" x14ac:dyDescent="0.15">
      <c r="B36" s="12" t="s">
        <v>24</v>
      </c>
      <c r="F36" s="101">
        <v>5100000</v>
      </c>
      <c r="G36" s="101"/>
      <c r="H36" s="11" t="s">
        <v>0</v>
      </c>
    </row>
    <row r="38" spans="2:11" x14ac:dyDescent="0.15">
      <c r="B38" s="91" t="s">
        <v>324</v>
      </c>
      <c r="C38" s="91"/>
      <c r="D38" s="91"/>
      <c r="E38" s="91"/>
      <c r="F38" s="91"/>
      <c r="G38" s="91"/>
      <c r="H38" s="91"/>
      <c r="I38" s="91"/>
      <c r="J38" s="91"/>
    </row>
    <row r="39" spans="2:11" x14ac:dyDescent="0.15">
      <c r="B39" s="91" t="s">
        <v>323</v>
      </c>
      <c r="C39" s="91"/>
      <c r="D39" s="91"/>
      <c r="E39" s="91"/>
      <c r="F39" s="91"/>
      <c r="G39" s="91"/>
      <c r="H39" s="91"/>
      <c r="I39" s="91"/>
      <c r="J39" s="91"/>
    </row>
    <row r="40" spans="2:11" x14ac:dyDescent="0.15">
      <c r="B40" s="91" t="s">
        <v>322</v>
      </c>
      <c r="C40" s="91"/>
      <c r="D40" s="91"/>
      <c r="E40" s="91"/>
      <c r="F40" s="91"/>
      <c r="G40" s="91"/>
      <c r="H40" s="91"/>
      <c r="I40" s="91"/>
      <c r="J40" s="91"/>
    </row>
    <row r="42" spans="2:11" x14ac:dyDescent="0.15">
      <c r="B42" s="12" t="s">
        <v>168</v>
      </c>
      <c r="G42" s="32">
        <v>0.2</v>
      </c>
      <c r="H42" s="11" t="s">
        <v>50</v>
      </c>
    </row>
    <row r="43" spans="2:11" x14ac:dyDescent="0.15">
      <c r="B43" s="47" t="s">
        <v>136</v>
      </c>
      <c r="G43" s="48">
        <f ca="1">G103</f>
        <v>303.79023162800183</v>
      </c>
      <c r="H43" s="11" t="s">
        <v>1</v>
      </c>
    </row>
    <row r="44" spans="2:11" x14ac:dyDescent="0.15">
      <c r="B44" s="47" t="s">
        <v>345</v>
      </c>
      <c r="G44" s="45">
        <f ca="1">IF(G97&gt;0,IF(F36&gt;0,150*8314.4621*G43/(G97*9.80665*F36),25),25)</f>
        <v>10.822069791782276</v>
      </c>
      <c r="H44" s="11" t="s">
        <v>41</v>
      </c>
    </row>
    <row r="46" spans="2:11" ht="15.75" x14ac:dyDescent="0.25">
      <c r="F46" s="14" t="s">
        <v>38</v>
      </c>
      <c r="G46" s="14" t="s">
        <v>40</v>
      </c>
      <c r="H46" s="14" t="s">
        <v>100</v>
      </c>
      <c r="I46" s="14" t="s">
        <v>165</v>
      </c>
      <c r="J46" s="14" t="s">
        <v>164</v>
      </c>
    </row>
    <row r="47" spans="2:11" x14ac:dyDescent="0.15">
      <c r="B47" s="15" t="s">
        <v>88</v>
      </c>
      <c r="C47" s="15"/>
      <c r="D47" s="15"/>
      <c r="E47" s="15" t="s">
        <v>87</v>
      </c>
      <c r="F47" s="16" t="s">
        <v>39</v>
      </c>
      <c r="G47" s="16" t="s">
        <v>41</v>
      </c>
      <c r="H47" s="16" t="s">
        <v>42</v>
      </c>
      <c r="I47" s="16" t="s">
        <v>1</v>
      </c>
      <c r="J47" s="16" t="s">
        <v>1</v>
      </c>
    </row>
    <row r="48" spans="2:11" x14ac:dyDescent="0.15">
      <c r="B48" s="93" t="s">
        <v>33</v>
      </c>
      <c r="C48" s="93"/>
      <c r="D48" s="93"/>
      <c r="E48" s="11" t="s">
        <v>140</v>
      </c>
      <c r="F48" s="36">
        <v>0</v>
      </c>
      <c r="G48" s="17">
        <v>2.0158800000000001</v>
      </c>
      <c r="H48" s="17">
        <f ca="1">IF(G$103&lt;100,28.154,IF(G$103&lt;298.15,-0.0000012385*G$103^3+0.000847907*G$103^2-0.174747*G$103+38.3882,IF(G$103&lt;1000,33.066178-11.363417*(G$103/1000)+11.432816*(G$103/1000)^2-2.772874*(G$103/1000)^3-0.158558/(G$103/1000)^2,IF(G$103&lt;2500,18.563083+12.257357*(G$103/1000)-2.859786*(G$103/1000)^2+0.268238*(G$103/1000)^3+1.97799/(G$103/1000)^2,IF(G$103&lt;6000,43.41356-4.293079*(G$103/1000)+1.272428*(G$103/1000)^2-0.096876*(G$103/1000)^3-20.533862/(G$103/1000)^2,41.965)))))</f>
        <v>28.873390364695368</v>
      </c>
      <c r="I48" s="26" t="str">
        <f>IF(G$42&gt;0,IF(F48&gt;0,IF(G$42*F48*60.795&lt;7.04,"n/a",14.025*(1+G$42*F48*60.795/28600)^0.589*EXP(-0.0000000046*G$42*F48*60.795)),"---"),"---")</f>
        <v>---</v>
      </c>
      <c r="J48" s="26" t="str">
        <f>IF(G$42&gt;0,IF(F48&gt;0,IF(G$42*F48*60.795&gt;1296.4,"n/a",IF(G$42*F48*60.795&lt;7.04,0.0921*LOG(G$42*F48*60.795)^3+0.5*LOG(G$42*F48*60.795)^2+2.4702*LOG(G$42*F48*60.795)+11.301,0.6528*LOG(G$42*F48*60.795)^3-1.2794*LOG(G$42*F48*60.795)^2+5.0293*LOG(G$42*F48*60.795)+10.052)),"---"),"---")</f>
        <v>---</v>
      </c>
      <c r="K48" s="11" t="str">
        <f>IF(F48&gt;0,IF(G48&lt;G$44,"Molecular weight too low",IF(J48&gt;G$43,"Boiling point too high","")),"")</f>
        <v/>
      </c>
    </row>
    <row r="49" spans="2:11" x14ac:dyDescent="0.15">
      <c r="B49" s="94" t="s">
        <v>141</v>
      </c>
      <c r="C49" s="94"/>
      <c r="D49" s="94"/>
      <c r="E49" s="11" t="s">
        <v>44</v>
      </c>
      <c r="F49" s="36">
        <v>0</v>
      </c>
      <c r="G49" s="17">
        <v>3.0220400000000001</v>
      </c>
      <c r="H49" s="17">
        <f ca="1">IF(G$103&lt;100,29.288,IF(G$103&lt;298.15,0.0000056637*G$103^2-0.00269911*G$103+29.5013,IF(G$103&lt;1000,31.24992-7.58919*(G$103/1000)+9.011375*(G$103/1000)^2-1.914415*(G$103/1000)^3-0.047793/(G$103/1000)^2,IF(G$103&lt;6000,28.22296+4.575371*(G$103/1000)-0.551669*(G$103/1000)^2+0.031038*(G$103/1000)^3-1.732276/(G$103/1000)^2,42.339))))</f>
        <v>29.204506189759133</v>
      </c>
      <c r="I49" s="26" t="str">
        <f>IF(G$42&gt;0,IF(F49&gt;0,IF(G$42*F49*60.795&lt;12.37,"n/a",16.597*(1+G$42*F49*60.795/38430)^0.589),"---"),"---")</f>
        <v>---</v>
      </c>
      <c r="J49" s="26" t="str">
        <f>IF(G$42&gt;0,IF(F49&gt;0,IF(G$42*F49*60.795&gt;1483.9,"n/a",IF(G$42*F49*60.795&lt;12.37,0.0766*LOG(G$42*F49*60.795)^3+0.4961*LOG(G$42*F49*60.795)^2+2.6566*LOG(G$42*F49*60.795)+13.005,0.7275*LOG(G$42*F49*60.795)^3-1.7977*LOG(G$42*F49*60.795)^2+6.2531*LOG(G$42*F49*60.795)+10.951)),"---"),"---")</f>
        <v>---</v>
      </c>
      <c r="K49" s="11" t="str">
        <f t="shared" ref="K49:K65" si="0">IF(F49&gt;0,IF(G49&lt;G$44,"Molecular weight too low",IF(J49&gt;G$43,"Boiling point too high","")),"")</f>
        <v/>
      </c>
    </row>
    <row r="50" spans="2:11" x14ac:dyDescent="0.15">
      <c r="B50" s="94" t="s">
        <v>34</v>
      </c>
      <c r="C50" s="94"/>
      <c r="D50" s="94"/>
      <c r="E50" s="11" t="s">
        <v>37</v>
      </c>
      <c r="F50" s="36">
        <v>0</v>
      </c>
      <c r="G50" s="17">
        <v>4.0026020000000004</v>
      </c>
      <c r="H50" s="17">
        <v>20.786000000000001</v>
      </c>
      <c r="I50" s="26" t="str">
        <f>IF(G$42&gt;0,IF(F50&gt;0,IF(G$42*F50*60.795&lt;3013,"n/a",4.107*LOG(G$42*F50*60.795)^2-26.12*LOG(G$42*F50*60.795)+42.93),"---"),"---")</f>
        <v>---</v>
      </c>
      <c r="J50" s="26" t="str">
        <f>IF(G$42&gt;0,IF(F50&gt;0,IF(G$42*F50*60.795&gt;227.5,"n/a",37/(10.56-LN(G$42*F50*60.795))-2),"---"),"---")</f>
        <v>---</v>
      </c>
      <c r="K50" s="11" t="str">
        <f t="shared" si="0"/>
        <v/>
      </c>
    </row>
    <row r="51" spans="2:11" x14ac:dyDescent="0.15">
      <c r="B51" s="94" t="s">
        <v>35</v>
      </c>
      <c r="C51" s="94"/>
      <c r="D51" s="94"/>
      <c r="E51" s="11" t="s">
        <v>142</v>
      </c>
      <c r="F51" s="36">
        <v>0</v>
      </c>
      <c r="G51" s="17">
        <v>16.0425</v>
      </c>
      <c r="H51" s="17">
        <f ca="1">IF(G$103&lt;100,33.258,IF(G$103&lt;298.15,0.000000327888*G$103^3-0.000095605*G$103^2+0.00787935*G$103+33.0982,IF(G$103&lt;1300,-0.703029+108.4773*(G$103/1000)-42.52157*(G$103/1000)^2+5.862788*(G$103/1000)^3+0.678565/(G$103/1000)^2,IF(G$103&lt;6000,85.81217+11.26467*(G$103/1000)-2.114146*(G$103/1000)^2+0.13819*(G$103/1000)^3-26.42221/(G$103/1000)^2,106.306))))</f>
        <v>35.84408331607024</v>
      </c>
      <c r="I51" s="26" t="str">
        <f>IF(G$42&gt;0,IF(F51&gt;0,IF(G$42*F51*60.795&lt;11.696,"n/a",((G$42*F51*60.795-11.696)/208000+1)^(1/1.698)*90.69),"---"),"---")</f>
        <v>---</v>
      </c>
      <c r="J51" s="26" t="str">
        <f>IF(G$42&gt;0,IF(F51&gt;0,IF(G$42*F51*60.795&gt;4599,"n/a",IF(G$42*F51*60.795&lt;11.696,0.1714*LOG(G$42*F51*60.795)^3+1.7773*LOG(G$42*F51*60.795)^2+11.466*LOG(G$42*F51*60.795)+76.171,968/(13.58-LN(G$42*F51*60.795))+3.72)),"---"),"---")</f>
        <v>---</v>
      </c>
      <c r="K51" s="11" t="str">
        <f t="shared" si="0"/>
        <v/>
      </c>
    </row>
    <row r="52" spans="2:11" x14ac:dyDescent="0.15">
      <c r="B52" s="94" t="s">
        <v>36</v>
      </c>
      <c r="C52" s="94"/>
      <c r="D52" s="94"/>
      <c r="E52" s="11" t="s">
        <v>143</v>
      </c>
      <c r="F52" s="36">
        <v>0</v>
      </c>
      <c r="G52" s="17">
        <v>17.0305</v>
      </c>
      <c r="H52" s="17">
        <f ca="1">IF(G$103&lt;100,33.284,IF(G$103&lt;298.15,0.0000735664*G$103^2-0.0173399*G$103+34.2823,IF(G$103&lt;1400,19.99563+49.77119*(G$103/1000)-15.37599*(G$103/1000)^2+1.921168*(G$103/1000)^3+0.189174/(G$103/1000)^2,IF(G$103&lt;6000,52.02427+18.48801*(G$103/1000)-3.765128*(G$103/1000)^2+0.248541*(G$103/1000)^3-12.45799/(G$103/1000)^2,80.751))))</f>
        <v>35.800277824925004</v>
      </c>
      <c r="I52" s="26" t="str">
        <f>IF(G$42&gt;0,IF(F52&gt;0,IF(G$42*F52*60.795&lt;6.1111,"n/a",195.49*(1+G$42*F52*60.795/3051000)^1.466*EXP(-0.000000039*G$42*F52*60.795)),"---"),"---")</f>
        <v>---</v>
      </c>
      <c r="J52" s="26" t="str">
        <f>IF(G$42&gt;0,IF(F52&gt;0,IF(G$42*F52*60.795&gt;11333,"n/a",IF(G$42*F52*60.795&lt;6.1111,0.1044*LOG(G$42*F52*60.795)^3+1.891*LOG(G$42*F52*60.795)^2+19.626*LOG(G$42*F52*60.795)+178.8,2363/(15.49-LN(G$42*F52*60.795))+22.62)),"---"),"---")</f>
        <v>---</v>
      </c>
      <c r="K52" s="11" t="str">
        <f t="shared" si="0"/>
        <v/>
      </c>
    </row>
    <row r="53" spans="2:11" x14ac:dyDescent="0.15">
      <c r="B53" s="94" t="s">
        <v>125</v>
      </c>
      <c r="C53" s="94"/>
      <c r="D53" s="94"/>
      <c r="E53" s="11" t="s">
        <v>129</v>
      </c>
      <c r="F53" s="36">
        <v>0</v>
      </c>
      <c r="G53" s="17">
        <v>18.0153</v>
      </c>
      <c r="H53" s="17">
        <f ca="1">IF(G$103&lt;100,33.284,IF(G$103&lt;298.15,0.00000986841*G$103^2-0.00246052*G$103+33.4464,IF(G$103&lt;500,-0.0000000923802*G$103^3+0.000125756*G$103^2-0.0471887*G$103+38.9288,IF(G$103&lt;1700,30.092+6.832514*(G$103/1000)+6.793435*(G$103/1000)^2-2.53448*(G$103/1000)^3+0.082139/(G$103/1000)^2,IF(G$103&lt;6000,41.96426+8.622053*(G$103/1000)-1.49978*(G$103/1000)^2+0.098119*(G$103/1000)^3-11.15764/(G$103/1000)^2,60.571)))))</f>
        <v>33.60916383576356</v>
      </c>
      <c r="I53" s="26" t="str">
        <f>IF(G$42&gt;0,IF(F53&gt;0,IF(G$42*F53*60.795&lt;0.61157,"n/a",(G$42*F53*60.795/-395200+1)^(1/9)*273.16),"---"),"---")</f>
        <v>---</v>
      </c>
      <c r="J53" s="26" t="str">
        <f>IF(G$42&gt;0,IF(F53&gt;0,IF(G$42*F53*60.795&gt;22064,"n/a",IF(G$42*F53*60.795&lt;0.611657,0.178*LOG(G$42*F53*60.795)^3+2.7678*LOG(G$42*F53*60.795)^2+28.958*LOG(G$42*F53*60.795)+279.22,3985/(16.54-LN(G$42*F53*60.795))+39)),"---"),"---")</f>
        <v>---</v>
      </c>
      <c r="K53" s="11" t="str">
        <f ca="1">IF(G105&lt;1,IF(F53&gt;0,IF(G53&lt;G$44,"Molecular weight too low",IF(J53&gt;G$43,"Boiling point too high","")),""),"Too much water, oversaturated")</f>
        <v/>
      </c>
    </row>
    <row r="54" spans="2:11" x14ac:dyDescent="0.15">
      <c r="B54" s="94" t="s">
        <v>144</v>
      </c>
      <c r="C54" s="94"/>
      <c r="D54" s="94"/>
      <c r="E54" s="11" t="s">
        <v>145</v>
      </c>
      <c r="F54" s="36">
        <v>0</v>
      </c>
      <c r="G54" s="17">
        <v>20.1797</v>
      </c>
      <c r="H54" s="17">
        <v>20.786000000000001</v>
      </c>
      <c r="I54" s="26" t="str">
        <f>IF(G$42&gt;0,IF(F54&gt;0,IF(G$42*F54*60.795&lt;43.3,"n/a",((G$42*F54*60.795/100000+1.2214)/0.012062)^(1/1.4587)+0.851),"---"),"---")</f>
        <v>---</v>
      </c>
      <c r="J54" s="26" t="str">
        <f>IF(G$42&gt;0,IF(F54&gt;0,IF(G$42*F54*60.795&gt;2678.6,"n/a",IF(G$42*F54*60.795&lt;43.3,-0.0148*LOG(G$42*F54*60.795)^3+0.4114*LOG(G$42*F54*60.795)^2+3.3375*LOG(G$42*F54*60.795)+18.061,265/(13.47-LN(G$42*F54*60.795))-2.83)),"---"),"---")</f>
        <v>---</v>
      </c>
      <c r="K54" s="11" t="str">
        <f t="shared" si="0"/>
        <v/>
      </c>
    </row>
    <row r="55" spans="2:11" x14ac:dyDescent="0.15">
      <c r="B55" s="94" t="s">
        <v>146</v>
      </c>
      <c r="C55" s="94"/>
      <c r="D55" s="94"/>
      <c r="E55" s="11" t="s">
        <v>147</v>
      </c>
      <c r="F55" s="36">
        <v>0</v>
      </c>
      <c r="G55" s="17">
        <v>28.010100000000001</v>
      </c>
      <c r="H55" s="17">
        <f ca="1">IF(G$103&lt;100,29.104,IF(G$103&lt;298.15,0.00000154635*G$103^2-0.000423904*G$103+29.1309,IF(G$103&lt;1300,25.56759+6.09613*(G$103/1000)+4.054656*(G$103/1000)^2-2.671301*(G$103/1000)^3+0.131021/(G$103/1000)^2,IF(G$103&lt;6000,35.1507+1.300095*(G$103/1000)-0.205921*(G$103/1000)^2+0.01355*(G$103/1000)^3-3.28278/(G$103/1000)^2,38.388))))</f>
        <v>29.138528634187157</v>
      </c>
      <c r="I55" s="26" t="str">
        <f>IF(G$42&gt;0,IF(F55&gt;0,IF(G$42*F55*60.795&lt;15.3,"n/a",-0.00000000000362*G$42*F55*60.795^2+0.0000363*G$42*F55*60.795+68.16),"---"),"---")</f>
        <v>---</v>
      </c>
      <c r="J55" s="26" t="str">
        <f>IF(G$42&gt;0,IF(F55&gt;0,IF(G$42*F55*60.795&gt;3494,"n/a",IF(G$42*F55*60.795&lt;15.3,0.3892*LOG(G$42*F55*60.795)^3+1.4*LOG(G$42*F55*60.795)^2+7.5108*LOG(G$42*F55*60.795)+56.65,770/(13.87-LN(G$42*F55*60.795))-1.64)),"---"),"---")</f>
        <v>---</v>
      </c>
      <c r="K55" s="11" t="str">
        <f t="shared" si="0"/>
        <v/>
      </c>
    </row>
    <row r="56" spans="2:11" x14ac:dyDescent="0.15">
      <c r="B56" s="94" t="s">
        <v>122</v>
      </c>
      <c r="C56" s="94"/>
      <c r="D56" s="94"/>
      <c r="E56" s="11" t="s">
        <v>148</v>
      </c>
      <c r="F56" s="36">
        <v>0.2</v>
      </c>
      <c r="G56" s="17">
        <v>28.013400000000001</v>
      </c>
      <c r="H56" s="17">
        <f ca="1">IF(G$103&lt;100,29.104,IF(G$103&lt;500,28.98641+1.853978*(G$103/1000)-9.647459*(G$103/1000)^2+16.63537*(G$103/1000)^3+0.000117/(G$103/1000)^2,IF(G$103&lt;2000,19.50583+19.88705*(G$103/1000)-8.598535*(G$103/1000)^2+1.369784*(G$103/1000)^3+0.527601/(G$103/1000)^2,IF(G$103&lt;6000,35.51872+1.128728*(G$103/1000)-0.196103*(G$103/1000)^2+0.014662*(G$103/1000)^3-4.55376/(G$103/1000)^2,38.276))))</f>
        <v>29.126943596510408</v>
      </c>
      <c r="I56" s="26" t="str">
        <f>IF(G$42&gt;0,IF(F56&gt;0,IF(G$42*F56*60.795&lt;12.52,"n/a",8.7126E-18*G$42*F56*60.795^3-0.000000000061022*G$42*F56*60.795^2+0.00019*G$42*F56*60.795+63.148),"---"),"---")</f>
        <v>n/a</v>
      </c>
      <c r="J56" s="26">
        <f>IF(G$42&gt;0,IF(F56&gt;0,IF(G$42*F56*60.795&gt;3395.8,"n/a",IF(G$42*F56*60.795&lt;12.52,0.1135*LOG(G$42*F56*60.795)^3+1.175*LOG(G$42*F56*60.795)^2+7.7912*LOG(G$42*F56*60.795)+52.998,658/(13.45-LN(G$42*F56*60.795))+2.85)),"---"),"---")</f>
        <v>56.186369963907772</v>
      </c>
      <c r="K56" s="11" t="str">
        <f t="shared" ca="1" si="0"/>
        <v/>
      </c>
    </row>
    <row r="57" spans="2:11" x14ac:dyDescent="0.15">
      <c r="B57" s="94" t="s">
        <v>149</v>
      </c>
      <c r="C57" s="94"/>
      <c r="D57" s="94"/>
      <c r="E57" s="11" t="s">
        <v>150</v>
      </c>
      <c r="F57" s="36">
        <v>0</v>
      </c>
      <c r="G57" s="17">
        <v>30.0061</v>
      </c>
      <c r="H57" s="17">
        <f ca="1">IF(G$103&lt;100,32.302,IF(G$103&lt;298.15,-0.000000153413*G$103^3+0.000157177*G$103^2-0.0552342*G$103+36.4071,IF(G$103&lt;1200,23.83491+12.58878*(G$103/1000)-1.139011*(G$103/1000)^2-1.497459*(G$103/1000)^3+0.214194/(G$103/1000)^2,IF(G$103&lt;6000,35.99169+0.95717*(G$103/1000)-0.148032*(G$103/1000)^2+0.009974*(G$103/1000)^3-3.004088/(G$103/1000)^2,38.468))))</f>
        <v>29.833074926812014</v>
      </c>
      <c r="I57" s="26" t="str">
        <f>IF(G$42&gt;0,IF(F57&gt;0,IF(G$42*F57*60.795&lt;21.89,"n/a",109.5),"---"),"---")</f>
        <v>---</v>
      </c>
      <c r="J57" s="26" t="str">
        <f>IF(G$42&gt;0,IF(F57&gt;0,IF(G$42*F57*60.795&gt;6480,"n/a",IF(G$42*F57*60.795&lt;21.89,0.1206*LOG(G$42*F57*60.795)^3+1.2228*LOG(G$42*F57*60.795)^2+9.8208*LOG(G$42*F57*60.795)+93.864,682.938/(5.8679-LOG(G$42*F57*60.795/100))-268.27+273.15)),"---"),"---")</f>
        <v>---</v>
      </c>
      <c r="K57" s="11" t="str">
        <f t="shared" si="0"/>
        <v/>
      </c>
    </row>
    <row r="58" spans="2:11" x14ac:dyDescent="0.15">
      <c r="B58" s="94" t="s">
        <v>151</v>
      </c>
      <c r="C58" s="94"/>
      <c r="D58" s="94"/>
      <c r="E58" s="11" t="s">
        <v>152</v>
      </c>
      <c r="F58" s="36">
        <v>0</v>
      </c>
      <c r="G58" s="17">
        <v>30.068999999999999</v>
      </c>
      <c r="H58" s="17">
        <f ca="1">IF(G$103&lt;100,35.7,IF(G$103&lt;500,-0.000000000000136764*G$103^5-0.000000000269855*G$103^4+0.000000113753*G$103^3+0.000202021*G$103^2+0.00190295*G$103+33.4041,IF(G$103&lt;3000,1.50106E-19*G$103^6-1.31938E-15*G$103^5+0.00000000000189664*G$103^4+0.0000000186953*G$103^3-0.0000984166*G$103^2+0.202821*G$103-1.27606,168.65)))</f>
        <v>53.163364132653484</v>
      </c>
      <c r="I58" s="26" t="str">
        <f>IF(G$42&gt;0,IF(F58&gt;0,IF(G$42*F58*60.795&lt;0.00113,"n/a",((G$42*F58*60.795-0.00113)/255970+1)^(1/2.179)*90.37),"---"),"---")</f>
        <v>---</v>
      </c>
      <c r="J58" s="26" t="str">
        <f>IF(G$42&gt;0,IF(F58&gt;0,IF(G$42*F58*60.795&gt;4872.2,"n/a",1582/(13.88-LN(G$42*F58*60.795))+13.76),"---"),"---")</f>
        <v>---</v>
      </c>
      <c r="K58" s="11" t="str">
        <f t="shared" si="0"/>
        <v/>
      </c>
    </row>
    <row r="59" spans="2:11" x14ac:dyDescent="0.15">
      <c r="B59" s="94" t="s">
        <v>123</v>
      </c>
      <c r="C59" s="94"/>
      <c r="D59" s="94"/>
      <c r="E59" s="11" t="s">
        <v>153</v>
      </c>
      <c r="F59" s="36">
        <v>0</v>
      </c>
      <c r="G59" s="17">
        <v>31.998799999999999</v>
      </c>
      <c r="H59" s="17">
        <f ca="1">IF(G$103&lt;100,29.106,IF(G$103&lt;700,31.32234-20.23531*(G$103/1000)+57.86644*(G$103/1000)^2-36.50624*(G$103/1000)^3-0.007374/(G$103/1000)^2,IF(G$103&lt;2000,30.03235+8.772972*(G$103/1000)-3.988133*(G$103/1000)^2+0.788313*(G$103/1000)^3-0.741599/(G$103/1000)^2,IF(G$103&lt;6000,20.91111+10.72071*(G$103/1000)-2.020498*(G$103/1000)^2+0.146449*(G$103/1000)^3+9.245722/(G$103/1000)^2,44.387))))</f>
        <v>29.412054521648042</v>
      </c>
      <c r="I59" s="26" t="str">
        <f>IF(G$42&gt;0,IF(F59&gt;0,IF(G$42*F59*60.795&lt;0.15,"n/a",10^((LOG(1081.8+G$42*F59*60.795/98.0665)+4.145465)/4.13811)),"---"),"---")</f>
        <v>---</v>
      </c>
      <c r="J59" s="26" t="str">
        <f>IF(G$42&gt;0,IF(F59&gt;0,IF(G$42*F59*60.795&gt;5043,"n/a",780/(13.68-LN(G$42*F59*60.795))+4.18),"---"),"---")</f>
        <v>---</v>
      </c>
      <c r="K59" s="11" t="str">
        <f t="shared" si="0"/>
        <v/>
      </c>
    </row>
    <row r="60" spans="2:11" x14ac:dyDescent="0.15">
      <c r="B60" s="94" t="s">
        <v>154</v>
      </c>
      <c r="C60" s="94"/>
      <c r="D60" s="94"/>
      <c r="E60" s="11" t="s">
        <v>155</v>
      </c>
      <c r="F60" s="36">
        <v>0</v>
      </c>
      <c r="G60" s="17">
        <v>34.081000000000003</v>
      </c>
      <c r="H60" s="17">
        <f ca="1">IF(G$103&lt;100,33.259,IF(G$103&lt;298.15,0.000035645*G$103^2-0.00948349*G$103+33.8509,IF(G$103&lt;1400,26.88412+18.67809*(G$103/1000)+3.434203*(G$103/1000)^2-3.378702*(G$103/1000)^3+0.135882/(G$103/1000)^2,IF(G$103&lt;6000,51.22136+4.147486*(G$103/1000)-0.643566*(G$103/1000)^2+0.041621*(G$103/1000)^3-10.46385/(G$103/1000)^2,61.609))))</f>
        <v>34.252913339769179</v>
      </c>
      <c r="I60" s="26" t="str">
        <f>IF(G$42&gt;0,IF(F60&gt;0,IF(G$42*F60*60.795&lt;23.2,"n/a",-0.0000000001438*G$42*F60*60.795^2+0.0001882*G$42*F60*60.795+187.7),"---"),"---")</f>
        <v>---</v>
      </c>
      <c r="J60" s="26" t="str">
        <f>IF(G$42&gt;0,IF(F60&gt;0,IF(G$42*F60*60.795&gt;8970,"n/a",IF(G$42*F60*60.795&lt;108.1,829.439/(4.43681-LOG(G$42*F60*60.795/100))+25.412,958.587/(4.52887-LOG(G$42*F60*60.795/100))+0.539)),"---"),"---")</f>
        <v>---</v>
      </c>
      <c r="K60" s="11" t="str">
        <f t="shared" si="0"/>
        <v/>
      </c>
    </row>
    <row r="61" spans="2:11" x14ac:dyDescent="0.15">
      <c r="B61" s="94" t="s">
        <v>124</v>
      </c>
      <c r="C61" s="94"/>
      <c r="D61" s="94"/>
      <c r="E61" s="11" t="s">
        <v>130</v>
      </c>
      <c r="F61" s="36">
        <v>0</v>
      </c>
      <c r="G61" s="17">
        <v>39.948</v>
      </c>
      <c r="H61" s="17">
        <v>20.786000000000001</v>
      </c>
      <c r="I61" s="26" t="str">
        <f>IF(G$42&gt;0,IF(F61&gt;0,IF(G$42*F61*60.795&lt;68.7,"n/a",((G$42*F61*60.795-68.7)/244000+1)^(1/1.476)*83.81),"---"),"---")</f>
        <v>---</v>
      </c>
      <c r="J61" s="26" t="str">
        <f>IF(G$42&gt;0,IF(F61&gt;0,IF(G$42*F61*60.795&gt;4863,"n/a",IF(G$42*F61*60.795&lt;68.7,0.2219*LOG(G$42*F61*60.795)^3+1.496*LOG(G$42*F61*60.795)^2+9.0805*LOG(G$42*F61*60.795)+60.693,833/(13.91-LN(G$42*F61*60.795))-2.36)),"---"),"---")</f>
        <v>---</v>
      </c>
      <c r="K61" s="11" t="str">
        <f t="shared" si="0"/>
        <v/>
      </c>
    </row>
    <row r="62" spans="2:11" x14ac:dyDescent="0.15">
      <c r="B62" s="94" t="s">
        <v>156</v>
      </c>
      <c r="C62" s="94"/>
      <c r="D62" s="94"/>
      <c r="E62" s="11" t="s">
        <v>157</v>
      </c>
      <c r="F62" s="36">
        <v>0.8</v>
      </c>
      <c r="G62" s="17">
        <v>44.009500000000003</v>
      </c>
      <c r="H62" s="17">
        <f ca="1">IF(G$103&lt;100,29.208,IF(G$103&lt;298.15,0.0000862432*G$103^2+0.00563705*G$103+27.7819,IF(G$103&lt;1200,24.99735+55.18696*(G$103/1000)-33.69137*(G$103/1000)^2+7.948387*(G$103/1000)^3-0.136638/(G$103/1000)^2,IF(G$103&lt;6000,58.16639+2.720074*(G$103/1000)-0.492289*(G$103/1000)^2+0.038844*(G$103/1000)^3-6.447293/(G$103/1000)^2,64.957))))</f>
        <v>37.395574174239684</v>
      </c>
      <c r="I62" s="26" t="str">
        <f>IF(G$42&gt;0,IF(F62&gt;0,IF(G$42*F62*60.795&lt;518.67,"n/a",216.59*(1+(G$42*F62*60.795-518.67)/443000)^(1/2.41)*EXP(0.0000000047*(G$42*F62*60.795-518.67))),"---"),"---")</f>
        <v>n/a</v>
      </c>
      <c r="J62" s="26">
        <f>IF(G$42&gt;0,IF(F62&gt;0,IF(G$42*F62*60.795&gt;7377.3,"n/a",IF(G$42*F62*60.795&lt;518.67,0.2309*LOG(G$42*F62*60.795)^3+2.0973*LOG(G$42*F62*60.795)^2+16.637*LOG(G$42*F62*60.795)+151.22,1956/(15.38-LN(G$42*F62*60.795))+2.11)),"---"),"---")</f>
        <v>169.92704895596222</v>
      </c>
      <c r="K62" s="11" t="str">
        <f t="shared" ca="1" si="0"/>
        <v/>
      </c>
    </row>
    <row r="63" spans="2:11" x14ac:dyDescent="0.15">
      <c r="B63" s="94" t="s">
        <v>158</v>
      </c>
      <c r="C63" s="94"/>
      <c r="D63" s="94"/>
      <c r="E63" s="11" t="s">
        <v>159</v>
      </c>
      <c r="F63" s="36">
        <v>0</v>
      </c>
      <c r="G63" s="17">
        <v>64.063999999999993</v>
      </c>
      <c r="H63" s="17">
        <f ca="1">IF(G$103&lt;100,33.526,IF(G$103&lt;298.15,0.0000366431*G$103^2+0.0174671*G$103+31.4129,IF(G$103&lt;1200,21.43049+74.35094*(G$103/1000)-57.75217*(G$103/1000)^2+16.35534*(G$103/1000)^3+0.086731/(G$103/1000)^2,IF(G$103&lt;6000,57.48188+1.009328*(G$103/1000)-0.07629*(G$103/1000)^2+0.005174*(G$103/1000)^3-4.045401/(G$103/1000)^2,61.793))))</f>
        <v>40.086043019960137</v>
      </c>
      <c r="I63" s="26" t="str">
        <f>IF(G$42&gt;0,IF(F63&gt;0,IF(G$42*F63*60.795&lt;1.6744,"n/a",0.0001118*G$42*F63*60.795+197.7),"---"),"---")</f>
        <v>---</v>
      </c>
      <c r="J63" s="26" t="str">
        <f>IF(G$42&gt;0,IF(F63&gt;0,IF(G$42*F63*60.795&gt;7884,"n/a",IF(G$42*F63*60.795&lt;1.6744,1.9*LOG(G$42*F63*60.795)^2+19.9*LOG(G$42*F63*60.795)+193.15,2385/(14.94-LN(G$42*F63*60.795))+32.21)),"---"),"---")</f>
        <v>---</v>
      </c>
      <c r="K63" s="11" t="str">
        <f t="shared" si="0"/>
        <v/>
      </c>
    </row>
    <row r="64" spans="2:11" x14ac:dyDescent="0.15">
      <c r="B64" s="94" t="s">
        <v>160</v>
      </c>
      <c r="C64" s="94"/>
      <c r="D64" s="94"/>
      <c r="E64" s="11" t="s">
        <v>161</v>
      </c>
      <c r="F64" s="36">
        <v>0</v>
      </c>
      <c r="G64" s="17">
        <v>70.906000000000006</v>
      </c>
      <c r="H64" s="17">
        <f ca="1">IF(G$103&lt;100,29.299,IF(G$103&lt;298.15,-0.000000316428*G$103^3+0.000181702*G$103^2-0.00815063*G$103+28.6135,IF(G$103&lt;1000,33.0506+12.2294*(G$103/1000)-12.0651*(G$103/1000)^2+4.38533*(G$103/1000)^3-0.159494/(G$103/1000)^2,IF(G$103&lt;3000,42.6773-5.00957*(G$103/1000)+1.904621*(G$103/1000)^2-0.165641*(G$103/1000)^3-2.09848/(G$103/1000)^2,IF(G$103&lt;6000,-42.5535+41.6857*(G$103/1000)-7.12683*(G$103/1000)^2+0.387839*(G$103/1000)^3+101.144/(G$103/1000)^2,37.571)))))</f>
        <v>34.047039949319696</v>
      </c>
      <c r="I64" s="26" t="str">
        <f>IF(G$42&gt;0,IF(F64&gt;0,IF(G$42*F64*60.795&lt;1.392,"n/a",-0.0000000000409*G$42*F64*60.795^2+0.0001566*G$42*F64*60.795+171.17),"---"),"---")</f>
        <v>---</v>
      </c>
      <c r="J64" s="26" t="str">
        <f>IF(G$42&gt;0,IF(F64&gt;0,IF(G$42*F64*60.795&gt;7977,"n/a",IF(G$42*F64*60.795&lt;1.392,0.1355*LOG(G$42*F64*60.795)^3+1.9261*LOG(G$42*F64*60.795)^2+18.348*LOG(G$42*F64*60.795)+169.52,861.34/(4.0628-LOG(G$42*F64*60.795/100))-246.331+273.15)),"---"),"---")</f>
        <v>---</v>
      </c>
      <c r="K64" s="11" t="str">
        <f t="shared" si="0"/>
        <v/>
      </c>
    </row>
    <row r="65" spans="2:11" x14ac:dyDescent="0.15">
      <c r="B65" s="94" t="s">
        <v>162</v>
      </c>
      <c r="C65" s="94"/>
      <c r="D65" s="94"/>
      <c r="E65" s="11" t="s">
        <v>163</v>
      </c>
      <c r="F65" s="36">
        <v>0</v>
      </c>
      <c r="G65" s="17">
        <v>83.798000000000002</v>
      </c>
      <c r="H65" s="17">
        <v>20.786000000000001</v>
      </c>
      <c r="I65" s="26" t="str">
        <f>IF(G$42&gt;0,IF(F65&gt;0,IF(G$42*F65*60.795&lt;73.2,"n/a",0.0001512*G$42*F65*60.795+115.76),"---"),"---")</f>
        <v>---</v>
      </c>
      <c r="J65" s="26" t="str">
        <f>IF(G$42&gt;0,IF(F65&gt;0,IF(G$42*F65*60.795&gt;5525,"n/a",IF(G$42*F65*60.795&lt;73.2,0.2056*LOG(G$42*F65*60.795)^3+1.9871*LOG(G$42*F65*60.795)^2+12.48*LOG(G$42*F65*60.795)+84.15,539.004/(4.2064-LOG(G$42*F65*60.795/100))-8.855)),"---"),"---")</f>
        <v>---</v>
      </c>
      <c r="K65" s="11" t="str">
        <f t="shared" si="0"/>
        <v/>
      </c>
    </row>
    <row r="66" spans="2:11" x14ac:dyDescent="0.15">
      <c r="B66" s="100"/>
      <c r="C66" s="100"/>
      <c r="D66" s="100"/>
      <c r="E66" s="32"/>
      <c r="F66" s="36"/>
      <c r="G66" s="33"/>
      <c r="H66" s="33"/>
      <c r="I66" s="105" t="s">
        <v>375</v>
      </c>
      <c r="J66" s="105"/>
    </row>
    <row r="67" spans="2:11" x14ac:dyDescent="0.15">
      <c r="B67" s="100"/>
      <c r="C67" s="100"/>
      <c r="D67" s="100"/>
      <c r="E67" s="32"/>
      <c r="F67" s="36"/>
      <c r="G67" s="33"/>
      <c r="H67" s="33"/>
      <c r="I67" s="105" t="s">
        <v>375</v>
      </c>
      <c r="J67" s="105"/>
    </row>
    <row r="68" spans="2:11" x14ac:dyDescent="0.15">
      <c r="B68" s="100"/>
      <c r="C68" s="100"/>
      <c r="D68" s="100"/>
      <c r="E68" s="32"/>
      <c r="F68" s="36"/>
      <c r="G68" s="33"/>
      <c r="H68" s="33"/>
      <c r="I68" s="105" t="s">
        <v>375</v>
      </c>
      <c r="J68" s="105"/>
    </row>
    <row r="69" spans="2:11" x14ac:dyDescent="0.15">
      <c r="B69" s="92"/>
      <c r="C69" s="92"/>
      <c r="D69" s="92"/>
      <c r="E69" s="34"/>
      <c r="F69" s="60"/>
      <c r="G69" s="59"/>
      <c r="H69" s="59"/>
      <c r="I69" s="106" t="s">
        <v>375</v>
      </c>
      <c r="J69" s="106"/>
    </row>
    <row r="70" spans="2:11" x14ac:dyDescent="0.15">
      <c r="B70" s="11" t="s">
        <v>167</v>
      </c>
      <c r="F70" s="18">
        <f>SUM(F48:F69)</f>
        <v>1</v>
      </c>
      <c r="K70" s="64"/>
    </row>
    <row r="72" spans="2:11" x14ac:dyDescent="0.15">
      <c r="B72" s="12" t="s">
        <v>99</v>
      </c>
    </row>
    <row r="73" spans="2:11" ht="15.75" x14ac:dyDescent="0.25">
      <c r="B73" s="12" t="s">
        <v>103</v>
      </c>
    </row>
    <row r="74" spans="2:11" x14ac:dyDescent="0.15">
      <c r="B74" s="12" t="s">
        <v>169</v>
      </c>
    </row>
    <row r="75" spans="2:11" x14ac:dyDescent="0.15">
      <c r="B75" s="12" t="s">
        <v>166</v>
      </c>
    </row>
    <row r="76" spans="2:11" x14ac:dyDescent="0.15">
      <c r="B76" s="12"/>
    </row>
    <row r="77" spans="2:11" x14ac:dyDescent="0.15">
      <c r="B77" s="90" t="s">
        <v>358</v>
      </c>
      <c r="C77" s="90"/>
      <c r="D77" s="90"/>
      <c r="E77" s="90"/>
      <c r="F77" s="90"/>
      <c r="G77" s="90"/>
      <c r="H77" s="90"/>
    </row>
    <row r="78" spans="2:11" x14ac:dyDescent="0.15">
      <c r="B78" s="90" t="s">
        <v>359</v>
      </c>
      <c r="C78" s="90"/>
      <c r="D78" s="90"/>
      <c r="E78" s="90"/>
      <c r="F78" s="90"/>
      <c r="G78" s="90"/>
      <c r="H78" s="90"/>
    </row>
    <row r="79" spans="2:11" x14ac:dyDescent="0.15">
      <c r="B79" s="12"/>
    </row>
    <row r="80" spans="2:11" x14ac:dyDescent="0.15">
      <c r="B80" s="12" t="s">
        <v>360</v>
      </c>
      <c r="G80" s="81" t="s">
        <v>355</v>
      </c>
    </row>
    <row r="81" spans="2:8" x14ac:dyDescent="0.15">
      <c r="B81" s="67" t="s">
        <v>366</v>
      </c>
    </row>
    <row r="82" spans="2:8" x14ac:dyDescent="0.15">
      <c r="B82" s="12"/>
    </row>
    <row r="83" spans="2:8" x14ac:dyDescent="0.15">
      <c r="B83" s="90" t="s">
        <v>308</v>
      </c>
      <c r="C83" s="90"/>
      <c r="D83" s="90"/>
      <c r="E83" s="90"/>
      <c r="F83" s="90"/>
      <c r="G83" s="90"/>
      <c r="H83" s="90"/>
    </row>
    <row r="84" spans="2:8" x14ac:dyDescent="0.15">
      <c r="B84" s="12"/>
    </row>
    <row r="85" spans="2:8" ht="15.75" x14ac:dyDescent="0.25">
      <c r="B85" s="12" t="s">
        <v>170</v>
      </c>
      <c r="F85" s="30"/>
      <c r="G85" s="65">
        <v>0</v>
      </c>
      <c r="H85" s="38"/>
    </row>
    <row r="87" spans="2:8" x14ac:dyDescent="0.15">
      <c r="B87" s="90" t="s">
        <v>197</v>
      </c>
      <c r="C87" s="90"/>
      <c r="D87" s="90"/>
      <c r="E87" s="90"/>
      <c r="F87" s="90"/>
      <c r="G87" s="90"/>
      <c r="H87" s="90"/>
    </row>
    <row r="88" spans="2:8" x14ac:dyDescent="0.15">
      <c r="B88" s="90" t="s">
        <v>313</v>
      </c>
      <c r="C88" s="90"/>
      <c r="D88" s="90"/>
      <c r="E88" s="90"/>
      <c r="F88" s="90"/>
      <c r="G88" s="90"/>
      <c r="H88" s="90"/>
    </row>
    <row r="89" spans="2:8" x14ac:dyDescent="0.15">
      <c r="B89" s="90" t="s">
        <v>341</v>
      </c>
      <c r="C89" s="90"/>
      <c r="D89" s="90"/>
      <c r="E89" s="90"/>
      <c r="F89" s="90"/>
      <c r="G89" s="90"/>
      <c r="H89" s="90"/>
    </row>
    <row r="91" spans="2:8" x14ac:dyDescent="0.15">
      <c r="B91" s="104" t="s">
        <v>104</v>
      </c>
      <c r="C91" s="104"/>
      <c r="D91" s="104"/>
      <c r="E91" s="104"/>
      <c r="F91" s="104"/>
      <c r="G91" s="104"/>
      <c r="H91" s="104"/>
    </row>
    <row r="93" spans="2:8" x14ac:dyDescent="0.15">
      <c r="B93" s="11" t="s">
        <v>8</v>
      </c>
    </row>
    <row r="94" spans="2:8" ht="15.75" x14ac:dyDescent="0.25">
      <c r="B94" s="12" t="s">
        <v>5</v>
      </c>
      <c r="G94" s="22">
        <f>IF(G18&gt;0,G18,IF(G19&gt;0,G19*0.0000000000667408,IF(G20&gt;0,IF(F17&gt;0,F17^2*G20*9.80665,1000000000000000000),1000000000000000000)))</f>
        <v>8.2588468172E+17</v>
      </c>
      <c r="H94" s="11" t="s">
        <v>89</v>
      </c>
    </row>
    <row r="95" spans="2:8" x14ac:dyDescent="0.15">
      <c r="B95" s="11" t="s">
        <v>12</v>
      </c>
    </row>
    <row r="96" spans="2:8" ht="15.75" x14ac:dyDescent="0.25">
      <c r="B96" s="12" t="s">
        <v>5</v>
      </c>
      <c r="G96" s="22">
        <f>IF(G24&gt;0,G24,IF(G25&gt;0,G25*0.0000000000667408,IF(G26&gt;0,IF(F23&gt;0,F23^2*G26*9.80665,1000000000000),1000000000000)))</f>
        <v>1581616512000</v>
      </c>
      <c r="H96" s="11" t="s">
        <v>89</v>
      </c>
    </row>
    <row r="97" spans="2:8" ht="15.75" x14ac:dyDescent="0.25">
      <c r="B97" s="12" t="s">
        <v>4</v>
      </c>
      <c r="G97" s="11">
        <f>MAX(IF(G24&gt;0,IF(F23&gt;0,G24/F23^2/9.80665,1),IF(G25&gt;0,IF(F23&gt;0,G25*0.0000000000667408/F23^2/9.80665,1),IF(G26&gt;0,G26,1))),IF(F36&gt;0,F36*0.00000001,0.01))</f>
        <v>0.7</v>
      </c>
      <c r="H97" s="11" t="s">
        <v>90</v>
      </c>
    </row>
    <row r="98" spans="2:8" x14ac:dyDescent="0.15">
      <c r="B98" s="12" t="s">
        <v>21</v>
      </c>
      <c r="G98" s="44">
        <f>2*PI()*SQRT(F28^3/G94)/3600</f>
        <v>679.00452513510629</v>
      </c>
      <c r="H98" s="11" t="s">
        <v>342</v>
      </c>
    </row>
    <row r="99" spans="2:8" ht="15.75" x14ac:dyDescent="0.25">
      <c r="B99" s="12" t="s">
        <v>22</v>
      </c>
      <c r="G99" s="23">
        <f>IF(F15&gt;0,IF(G21&gt;0,IF(F28&gt;0,G21*(F15/F28)^2,1000),1000),1000)</f>
        <v>1864.3530022862788</v>
      </c>
      <c r="H99" s="11" t="s">
        <v>91</v>
      </c>
    </row>
    <row r="100" spans="2:8" x14ac:dyDescent="0.15">
      <c r="B100" s="47" t="s">
        <v>175</v>
      </c>
      <c r="C100" s="30"/>
      <c r="D100" s="30"/>
      <c r="E100" s="30"/>
      <c r="F100" s="30"/>
      <c r="G100" s="45">
        <f>(G99*(1-G27)/(2*0.000000056704))^0.25</f>
        <v>333.22411988865059</v>
      </c>
      <c r="H100" s="30" t="s">
        <v>1</v>
      </c>
    </row>
    <row r="101" spans="2:8" x14ac:dyDescent="0.15">
      <c r="B101" s="47" t="s">
        <v>176</v>
      </c>
      <c r="C101" s="30"/>
      <c r="D101" s="30"/>
      <c r="E101" s="30"/>
      <c r="F101" s="30"/>
      <c r="G101" s="45">
        <f>(G99*(1-G27)/0.000000056704)^0.25</f>
        <v>396.27249426210284</v>
      </c>
      <c r="H101" s="30" t="s">
        <v>1</v>
      </c>
    </row>
    <row r="102" spans="2:8" x14ac:dyDescent="0.15">
      <c r="B102" s="12" t="s">
        <v>45</v>
      </c>
      <c r="F102" s="21"/>
      <c r="G102" s="21">
        <f>IF(F70&gt;0,(F48*G48+F49*G49+F50*G50+F51*G51+F52*G52+F53*G53+F54*G54+F55*G55+F56*G56+F57*G57+F58*G58+F59*G59+F60*G60+F61*G61+F62*G62+F63*G63+F64*G64+F65*G65+F66*G66+F67*G67+F68*G68+F69*G69)/(SUM(F48:F65)+IF(G66&gt;0,F66,0)+IF(G67&gt;0,F67,0)+IF(G68&gt;0,F68,0)+IF(G69&gt;0,F69,0)),29)</f>
        <v>40.810280000000006</v>
      </c>
      <c r="H102" s="11" t="s">
        <v>43</v>
      </c>
    </row>
    <row r="103" spans="2:8" x14ac:dyDescent="0.15">
      <c r="B103" s="47" t="s">
        <v>136</v>
      </c>
      <c r="G103" s="48">
        <f ca="1">(C147*I147+C148*I148+C149*I149+C150*I150+C151*I151+C152*I152+C153*I153+C154*I154+C155*I155+C156*I156+C157*I157+C158*I158+C159*I159)/SUM(I147:I159)</f>
        <v>303.79023162800183</v>
      </c>
      <c r="H103" s="11" t="s">
        <v>1</v>
      </c>
    </row>
    <row r="104" spans="2:8" x14ac:dyDescent="0.15">
      <c r="B104" s="12" t="s">
        <v>106</v>
      </c>
      <c r="G104" s="21">
        <f ca="1">IF(F70&gt;0,1/(1-8.3144621/((F48*H48+F49*H49+F50*H50+F51*H51+F52*H52+F53*H53+F54*H54+F55*H55+F56*H56+F57*H57+F58*H58+F59*H59+F60*H60+F61*H61+F62*H62+F63*H63+F64*H64+F65*H65+F66*H66+F67*H67+F68*H68+F69*H69)/(SUM(F48:F65)+IF(H66&gt;0,F66,0)+IF(H67&gt;0,F67,0)+IF(H68&gt;0,F68,0)+IF(H69&gt;0,F69,0)))),1.4)</f>
        <v>1.3031445327134616</v>
      </c>
    </row>
    <row r="105" spans="2:8" x14ac:dyDescent="0.15">
      <c r="B105" s="12" t="s">
        <v>172</v>
      </c>
      <c r="G105" s="66">
        <f ca="1">(G42*F53*760)/MAX(IF(G103&lt;381.47,10^(8.07131-1730.63/(233.426+G103-273.15)),10^(8.14019-1810.94/(244.485+G103-273.15))),0.000001)</f>
        <v>0</v>
      </c>
    </row>
    <row r="106" spans="2:8" x14ac:dyDescent="0.15">
      <c r="B106" s="13"/>
      <c r="G106" s="23"/>
    </row>
    <row r="107" spans="2:8" x14ac:dyDescent="0.15">
      <c r="B107" s="103" t="s">
        <v>120</v>
      </c>
      <c r="C107" s="103"/>
      <c r="D107" s="103"/>
      <c r="E107" s="103"/>
      <c r="F107" s="103"/>
      <c r="G107" s="103"/>
      <c r="H107" s="103"/>
    </row>
    <row r="109" spans="2:8" x14ac:dyDescent="0.15">
      <c r="B109" s="11" t="s">
        <v>12</v>
      </c>
    </row>
    <row r="110" spans="2:8" x14ac:dyDescent="0.15">
      <c r="B110" s="12" t="s">
        <v>20</v>
      </c>
      <c r="G110" s="20">
        <f>ROUND(70*G99^0.25/5,0)*5</f>
        <v>460</v>
      </c>
      <c r="H110" s="11" t="s">
        <v>1</v>
      </c>
    </row>
    <row r="111" spans="2:8" x14ac:dyDescent="0.15">
      <c r="B111" s="12" t="s">
        <v>134</v>
      </c>
      <c r="F111" s="83">
        <f>LOG(IF(G42&gt;0,(((F55+F62+IF(I66="Mild greenhouse",F66,0)+IF(I67="Mild greenhouse",F67,0)+IF(I68="Mild greenhouse",F68,0)+IF(I69="Mild greenhouse",F69,0))*10+(F51+F53+F58+IF(I66="Strong greenhouse",F66,0)+IF(I67="Strong greenhouse",F67,0)+IF(I68="Strong greenhouse",F68,0)+IF(I69="Strong greenhouse",F69,0))*40+(1-F51-F53-F55-F58-F62-IF(I66&lt;&gt;"No greenhouse",F66,0)-IF(I67&lt;&gt;"No greenhouse",F67,0)-IF(I68&lt;&gt;"No greenhouse",F68,0)-IF(I69&lt;&gt;"No greenhouse",F69,0)))*G42/G97),1))</f>
        <v>0.36974580803344109</v>
      </c>
      <c r="G111" s="20">
        <f>(G99*(1-G27)/4/IF(F111&lt;3.00607947,MIN(-0.0276*F111^3+0.08774*F111^2-0.2178*F111+0.6126,0.9),0.001)/0.000000056704)^0.25-(G99*(1-G27)/(4*0.000000056704))^0.25</f>
        <v>46.264409778272977</v>
      </c>
      <c r="H111" s="11" t="s">
        <v>1</v>
      </c>
    </row>
    <row r="112" spans="2:8" x14ac:dyDescent="0.15">
      <c r="B112" s="12" t="s">
        <v>357</v>
      </c>
      <c r="G112" s="20">
        <f>G111*IF(G80=10%,-0.03,IF(G80=25%,-0.07,IF(G80=50%,-0.16,IF(G80=75%,-0.29,IF(G80=90%,-0.44,0)))))</f>
        <v>0</v>
      </c>
      <c r="H112" s="11" t="s">
        <v>1</v>
      </c>
    </row>
    <row r="113" spans="1:17" x14ac:dyDescent="0.15">
      <c r="B113" s="12" t="s">
        <v>179</v>
      </c>
      <c r="G113" s="20">
        <f>(4*(G101-G100)-0.6*(G42/G97)^(1/3)*(G101-G100))-2/3*G85*(G101-G100)</f>
        <v>227.27802491952454</v>
      </c>
      <c r="H113" s="11" t="s">
        <v>1</v>
      </c>
    </row>
    <row r="114" spans="1:17" x14ac:dyDescent="0.15">
      <c r="A114" s="13"/>
      <c r="B114" s="12" t="s">
        <v>29</v>
      </c>
      <c r="G114" s="45">
        <f>(COS(RADIANS(38.2425-G30))*G99*(1-G27)/(PI()*0.000000056704))^0.25-(COS(RADIANS(38.2425+G30))*G99*(1-G27)/(PI()*0.000000056704))^0.25</f>
        <v>3.855966039259215</v>
      </c>
      <c r="H114" s="11" t="s">
        <v>1</v>
      </c>
    </row>
    <row r="115" spans="1:17" x14ac:dyDescent="0.15">
      <c r="A115" s="13"/>
      <c r="B115" s="12" t="s">
        <v>30</v>
      </c>
      <c r="G115" s="45">
        <f>IF(F28&gt;0,((F15/(F28*(1-G29)))^2*G21*(1-G27)/(4*0.000000056704))^0.25-((F15/(F28*(1+G29)))^2*G21*(1-G27)/(4*0.000000056704))^0.25,0)</f>
        <v>8.4109408831848782</v>
      </c>
      <c r="H115" s="11" t="s">
        <v>1</v>
      </c>
    </row>
    <row r="116" spans="1:17" x14ac:dyDescent="0.15">
      <c r="A116" s="13"/>
      <c r="B116" s="12" t="s">
        <v>137</v>
      </c>
      <c r="G116" s="21">
        <f>IF(F23&gt;0,IF(G98&gt;0,IF((G98*(F36/F23)^0.5)^(2/3)&lt;400,0.0009*(G98*(F36/F23)^0.5)^(2/3),IF((G98*(F36/F23)^0.5)^(2/3)&lt;1600,-0.0000003333333333*((G98*(F36/F23)^0.5)^(2/3))^2+0.0012*((G98*(F36/F23)^0.5)^(2/3))-0.06666666667,1)),1),1)</f>
        <v>0.15285064231381301</v>
      </c>
    </row>
    <row r="117" spans="1:17" x14ac:dyDescent="0.15">
      <c r="A117" s="13"/>
      <c r="G117" s="19"/>
    </row>
    <row r="118" spans="1:17" x14ac:dyDescent="0.15">
      <c r="A118" s="13"/>
      <c r="B118" s="91" t="s">
        <v>329</v>
      </c>
      <c r="C118" s="91"/>
      <c r="D118" s="91"/>
      <c r="E118" s="91"/>
      <c r="F118" s="91"/>
      <c r="G118" s="91"/>
      <c r="H118" s="91"/>
    </row>
    <row r="119" spans="1:17" x14ac:dyDescent="0.15">
      <c r="A119" s="13"/>
      <c r="B119" s="90" t="s">
        <v>330</v>
      </c>
      <c r="C119" s="90"/>
      <c r="D119" s="90"/>
      <c r="E119" s="90"/>
      <c r="F119" s="90"/>
      <c r="G119" s="90"/>
      <c r="H119" s="90"/>
    </row>
    <row r="120" spans="1:17" x14ac:dyDescent="0.15">
      <c r="A120" s="13"/>
      <c r="G120" s="19"/>
    </row>
    <row r="121" spans="1:17" x14ac:dyDescent="0.15">
      <c r="A121" s="13"/>
      <c r="B121" s="12" t="s">
        <v>348</v>
      </c>
      <c r="G121" s="19">
        <f>IF(F23&gt;0,IF(F36&gt;0,F23/F36,0.1),0.1)</f>
        <v>9.4117647058823528E-2</v>
      </c>
    </row>
    <row r="122" spans="1:17" x14ac:dyDescent="0.15">
      <c r="A122" s="13"/>
      <c r="B122" s="12" t="s">
        <v>315</v>
      </c>
      <c r="G122" s="20">
        <f ca="1">(F147-F163)/LN(H163/H147)</f>
        <v>7296.6493376263015</v>
      </c>
      <c r="H122" s="11" t="s">
        <v>0</v>
      </c>
    </row>
    <row r="123" spans="1:17" x14ac:dyDescent="0.15">
      <c r="A123" s="13"/>
      <c r="B123" s="12" t="s">
        <v>60</v>
      </c>
      <c r="G123" s="19">
        <f ca="1">(G121-0.09412)/0.90588*(1-IF(G122&gt;3344.087,0.16684*LOG(G122)^2-1.8388*LOG(G122)+5.4082,1))+IF(G122&gt;3344.087,0.16684*LOG(G122)^2-1.8388*LOG(G122)+5.4082,1)</f>
        <v>0.79456196282808123</v>
      </c>
    </row>
    <row r="124" spans="1:17" x14ac:dyDescent="0.15">
      <c r="A124" s="13"/>
    </row>
    <row r="125" spans="1:17" ht="15.75" x14ac:dyDescent="0.25">
      <c r="A125" s="13"/>
      <c r="B125" s="12" t="s">
        <v>107</v>
      </c>
      <c r="F125" s="42" t="s">
        <v>108</v>
      </c>
      <c r="G125" s="40">
        <f ca="1">G123</f>
        <v>0.79456196282808123</v>
      </c>
    </row>
    <row r="126" spans="1:17" x14ac:dyDescent="0.15">
      <c r="A126" s="13"/>
      <c r="B126" s="12" t="s">
        <v>339</v>
      </c>
      <c r="G126" s="46">
        <f ca="1">'Locked CFG'!B12</f>
        <v>59000</v>
      </c>
      <c r="H126" s="11" t="s">
        <v>0</v>
      </c>
    </row>
    <row r="128" spans="1:17" x14ac:dyDescent="0.15">
      <c r="B128" s="90" t="s">
        <v>346</v>
      </c>
      <c r="C128" s="90"/>
      <c r="D128" s="90"/>
      <c r="E128" s="90"/>
      <c r="F128" s="90"/>
      <c r="G128" s="90"/>
      <c r="H128" s="90"/>
      <c r="I128" s="90"/>
      <c r="J128" s="90"/>
      <c r="K128" s="90"/>
      <c r="L128" s="90"/>
      <c r="M128" s="90"/>
      <c r="N128" s="90"/>
      <c r="O128" s="90"/>
      <c r="P128" s="90"/>
      <c r="Q128" s="90"/>
    </row>
    <row r="129" spans="2:17" x14ac:dyDescent="0.15">
      <c r="B129" s="90" t="s">
        <v>365</v>
      </c>
      <c r="C129" s="90"/>
      <c r="D129" s="90"/>
      <c r="E129" s="90"/>
      <c r="F129" s="90"/>
      <c r="G129" s="90"/>
      <c r="H129" s="90"/>
      <c r="I129" s="90"/>
      <c r="J129" s="90"/>
      <c r="K129" s="90"/>
      <c r="L129" s="90"/>
      <c r="M129" s="90"/>
      <c r="N129" s="90"/>
      <c r="O129" s="90"/>
      <c r="P129" s="90"/>
      <c r="Q129" s="90"/>
    </row>
    <row r="130" spans="2:17" x14ac:dyDescent="0.15">
      <c r="B130" s="90" t="s">
        <v>364</v>
      </c>
      <c r="C130" s="90"/>
      <c r="D130" s="90"/>
      <c r="E130" s="90"/>
      <c r="F130" s="90"/>
      <c r="G130" s="90"/>
      <c r="H130" s="90"/>
      <c r="I130" s="90"/>
      <c r="J130" s="90"/>
      <c r="K130" s="90"/>
      <c r="L130" s="90"/>
      <c r="M130" s="90"/>
      <c r="N130" s="90"/>
      <c r="O130" s="90"/>
      <c r="P130" s="90"/>
      <c r="Q130" s="90"/>
    </row>
    <row r="131" spans="2:17" x14ac:dyDescent="0.15">
      <c r="J131" s="20"/>
    </row>
    <row r="132" spans="2:17" x14ac:dyDescent="0.15">
      <c r="B132" s="12" t="s">
        <v>119</v>
      </c>
      <c r="J132" s="20"/>
    </row>
    <row r="133" spans="2:17" x14ac:dyDescent="0.15">
      <c r="B133" s="12" t="s">
        <v>109</v>
      </c>
      <c r="J133" s="20"/>
    </row>
    <row r="134" spans="2:17" x14ac:dyDescent="0.15">
      <c r="B134" s="12" t="s">
        <v>110</v>
      </c>
      <c r="J134" s="20"/>
    </row>
    <row r="135" spans="2:17" x14ac:dyDescent="0.15">
      <c r="B135" s="12" t="s">
        <v>111</v>
      </c>
      <c r="J135" s="20"/>
    </row>
    <row r="136" spans="2:17" x14ac:dyDescent="0.15">
      <c r="B136" s="12" t="s">
        <v>112</v>
      </c>
      <c r="H136" s="64"/>
      <c r="J136" s="20"/>
    </row>
    <row r="137" spans="2:17" ht="15.75" x14ac:dyDescent="0.25">
      <c r="B137" s="12" t="s">
        <v>113</v>
      </c>
      <c r="H137" s="64"/>
      <c r="J137" s="20"/>
    </row>
    <row r="138" spans="2:17" ht="15.75" x14ac:dyDescent="0.25">
      <c r="B138" s="39" t="s">
        <v>115</v>
      </c>
      <c r="J138" s="20"/>
      <c r="M138" s="64"/>
      <c r="O138" s="64"/>
      <c r="Q138" s="64"/>
    </row>
    <row r="139" spans="2:17" ht="15.75" x14ac:dyDescent="0.25">
      <c r="B139" s="39" t="s">
        <v>114</v>
      </c>
      <c r="J139" s="20"/>
    </row>
    <row r="140" spans="2:17" ht="15.75" x14ac:dyDescent="0.25">
      <c r="B140" s="39" t="s">
        <v>117</v>
      </c>
      <c r="J140" s="20"/>
    </row>
    <row r="141" spans="2:17" ht="15.75" x14ac:dyDescent="0.25">
      <c r="B141" s="39" t="s">
        <v>118</v>
      </c>
      <c r="J141" s="20"/>
      <c r="K141" s="44" t="s">
        <v>356</v>
      </c>
      <c r="L141" s="79">
        <f>IF(G121&lt;1,46.5182*LOG(G121)^2+1,1)</f>
        <v>49.999996696187218</v>
      </c>
      <c r="M141" s="11" t="s">
        <v>349</v>
      </c>
    </row>
    <row r="142" spans="2:17" x14ac:dyDescent="0.15">
      <c r="C142" s="14"/>
    </row>
    <row r="143" spans="2:17" x14ac:dyDescent="0.15">
      <c r="B143" s="14"/>
      <c r="C143" s="14" t="s">
        <v>18</v>
      </c>
      <c r="F143" s="14"/>
      <c r="N143" s="14" t="s">
        <v>62</v>
      </c>
      <c r="O143" s="14" t="s">
        <v>19</v>
      </c>
      <c r="P143" s="14" t="s">
        <v>28</v>
      </c>
      <c r="Q143" s="14" t="s">
        <v>64</v>
      </c>
    </row>
    <row r="144" spans="2:17" ht="15.75" x14ac:dyDescent="0.25">
      <c r="B144" s="14" t="s">
        <v>49</v>
      </c>
      <c r="C144" s="14" t="s">
        <v>2</v>
      </c>
      <c r="D144" s="14" t="s">
        <v>32</v>
      </c>
      <c r="E144" s="14" t="s">
        <v>31</v>
      </c>
      <c r="F144" s="14" t="s">
        <v>46</v>
      </c>
      <c r="G144" s="14" t="s">
        <v>59</v>
      </c>
      <c r="H144" s="14" t="s">
        <v>53</v>
      </c>
      <c r="I144" s="14" t="s">
        <v>48</v>
      </c>
      <c r="J144" s="24" t="s">
        <v>116</v>
      </c>
      <c r="K144" s="24" t="s">
        <v>58</v>
      </c>
      <c r="L144" s="24" t="s">
        <v>47</v>
      </c>
      <c r="M144" s="24" t="s">
        <v>55</v>
      </c>
      <c r="N144" s="14" t="s">
        <v>63</v>
      </c>
      <c r="O144" s="14" t="s">
        <v>2</v>
      </c>
      <c r="P144" s="14" t="s">
        <v>17</v>
      </c>
      <c r="Q144" s="14" t="s">
        <v>65</v>
      </c>
    </row>
    <row r="145" spans="1:17" ht="15.75" x14ac:dyDescent="0.25">
      <c r="B145" s="14" t="s">
        <v>50</v>
      </c>
      <c r="C145" s="14" t="s">
        <v>1</v>
      </c>
      <c r="D145" s="14" t="s">
        <v>61</v>
      </c>
      <c r="E145" s="14" t="s">
        <v>52</v>
      </c>
      <c r="F145" s="14" t="s">
        <v>0</v>
      </c>
      <c r="G145" s="14" t="s">
        <v>0</v>
      </c>
      <c r="H145" s="14" t="s">
        <v>54</v>
      </c>
      <c r="I145" s="14" t="s">
        <v>95</v>
      </c>
      <c r="J145" s="24" t="s">
        <v>56</v>
      </c>
      <c r="K145" s="24" t="s">
        <v>56</v>
      </c>
      <c r="L145" s="24" t="s">
        <v>54</v>
      </c>
      <c r="M145" s="24" t="s">
        <v>57</v>
      </c>
      <c r="N145" s="14" t="s">
        <v>0</v>
      </c>
      <c r="O145" s="14" t="s">
        <v>1</v>
      </c>
      <c r="P145" s="25" t="s">
        <v>51</v>
      </c>
      <c r="Q145" s="25" t="s">
        <v>51</v>
      </c>
    </row>
    <row r="146" spans="1:17" x14ac:dyDescent="0.15">
      <c r="B146" s="14"/>
      <c r="D146" s="14"/>
      <c r="E146" s="26"/>
      <c r="O146" s="14"/>
    </row>
    <row r="147" spans="1:17" x14ac:dyDescent="0.15">
      <c r="B147" s="27">
        <f>LOG(IF(G42&gt;=0.001,G42,0.001))</f>
        <v>-0.69897000433601875</v>
      </c>
      <c r="C147" s="61">
        <f t="shared" ref="C147:C189" ca="1" si="1">IF(B147&lt;-10,(0.00109375*B147^3+0.036875*B147^2+0.309375*B147+0.635)*(G$110-0.65*(2*G$100-G$101))+0.65*(2*G$100-G$101),IF(B147&lt;-7.5,(0.00128*B147^3+0.0536*B147^2+0.588*B147+1.935)*(G$110-0.65*(2*G$100-G$101))+0.65*(2*G$100-G$101),0))+IF(B147&lt;-7.5,0,IF(B147&lt;-4,-0.0008163265306*B147^3-0.00693877551*B147^2+0.03367346939*B147+0.9484693878,0))*(2*G$100-G$101)+IF(B147&lt;-4,0,0.00046875*((4/(B$147+4))*(B147-B$147))^3+0.0065625*((4/(B$147+4))*(B147-B$147))^2+0.08*((4/(B$147+4))*(B147-B$147))+1)*(2*G$100-G$101)+IF(B147&gt;-4,0.0625*((4/(B$147+4))*(B147-B$147))^2+0.5*((4/(B$147+4))*(B147-B$147))+1,0)*(G$111+G$112-D$148*(-2000*G$85+2000))+IF(G$42&gt;0,IF(B147&lt;-8,0,IF(B147&lt;-4.5,-0.04664723032*B147^3-0.8746355685*B147^2-5.037900875*B147-8.209912536,IF(B147&lt;IF(LOG(G$42)&lt;0,2/3*LOG(G$42)-1,-1),-2*(1/(-4.5-IF(LOG(G$42)&lt;0,2/3*LOG(G$42)-1,-1))*(B147-IF(LOG(G$42)&lt;0,2/3*LOG(G$42)-1,-1)))^3+3*(1/(-4.5-IF(LOG(G$42)&lt;0,2/3*LOG(G$42)-1,-1))*(B147-IF(LOG(G$42)&lt;0,2/3*LOG(G$42)-1,-1)))^2,0))),0)*IF((2*G$100-G$101)&gt;36,6*(2*G$100-G$101)^0.5,(2*G$100-G$101))*IF(G$80="None",0,G$80)+IF(B147&lt;-5,0,IF(B147&lt;-3,-0.25*B147^3-3*B147^2-11.25*B147-12.5,IF(B147&lt;-1,0.25*B147^3+1.5*B147^2+2.25*B147+1,0)))*IF((G$42/G$97*F$59)&lt;1,0.3645833333*(G$42/G$97*F$59)^3-1.0625*(G$42/G$97*F$59)^2+1.03125*(G$42/G$97*F$59),1/3)*(2*G$100-G$101)*IF(G$80="None",1,1-G$80)</f>
        <v>321.60612378360497</v>
      </c>
      <c r="D147" s="14"/>
      <c r="E147" s="26">
        <v>0</v>
      </c>
      <c r="F147" s="26">
        <v>0</v>
      </c>
      <c r="G147" s="26">
        <f t="shared" ref="G147:G181" ca="1" si="2">8314.4621*C147/(G$102*G$97*9.80665)</f>
        <v>9544.8735133297523</v>
      </c>
      <c r="H147" s="28">
        <f t="shared" ref="H147:H181" si="3">10^B147*101325</f>
        <v>20265.000000000004</v>
      </c>
      <c r="I147" s="28">
        <f t="shared" ref="I147:I181" ca="1" si="4">H147/(8314.4621/G$102*C147)</f>
        <v>0.30928418616008074</v>
      </c>
      <c r="J147" s="26">
        <f t="shared" ref="J147:J181" ca="1" si="5">SQRT(8314.4621/G$102*G$104*C147)</f>
        <v>292.20708358211732</v>
      </c>
      <c r="K147" s="26">
        <f t="shared" ref="K147:K189" ca="1" si="6">IF(F$23&gt;0,SQRT(2*G$96/(F$23+N147)),10000)</f>
        <v>2567.1129309011708</v>
      </c>
      <c r="L147" s="28">
        <f t="shared" ref="L147:L181" ca="1" si="7">I147*K147^2/2</f>
        <v>1019102.0327734698</v>
      </c>
      <c r="M147" s="28">
        <f t="shared" ref="M147:M181" ca="1" si="8">I147*K147^3/2</f>
        <v>2616150006.2404428</v>
      </c>
      <c r="N147" s="26">
        <f t="shared" ref="N147:N150" ca="1" si="9">F147*IF(G$125&gt;0,G$125,0.5)</f>
        <v>0</v>
      </c>
      <c r="O147" s="26">
        <f t="shared" ref="O147:O189" ca="1" si="10">4*G$100-3*G$101+IF(B147&gt;-4,0.0625*((4/(B$147+4))*(B147-B$147))^2+0.5*((4/(B$147+4))*(B147-B$147))+1,0)*(G$111+G$112+0.3*(G$42/G$97)^(1/3)*(G$101-G$100)+1/3*G$85*(G$101-G$100)-D$148*(-2000*G$85+2000))</f>
        <v>207.96711132384263</v>
      </c>
      <c r="P147" s="29">
        <f ca="1">2*(C147-O147)/G$113</f>
        <v>1.0000000000000007</v>
      </c>
      <c r="Q147" s="14" t="str">
        <f ca="1">IF(L147&gt;L$141,"|",IF(L146&gt;L$141,"V",""))</f>
        <v>|</v>
      </c>
    </row>
    <row r="148" spans="1:17" x14ac:dyDescent="0.15">
      <c r="A148" s="20"/>
      <c r="B148" s="27">
        <f>B147-0.25</f>
        <v>-0.94897000433601875</v>
      </c>
      <c r="C148" s="62">
        <f t="shared" ca="1" si="1"/>
        <v>307.72257800817755</v>
      </c>
      <c r="D148" s="28">
        <f t="shared" ref="D148:D156" ca="1" si="11">(C148-C147)/(E148-E147)</f>
        <v>-2.582984245066827E-3</v>
      </c>
      <c r="E148" s="26">
        <f t="shared" ref="E148:E181" ca="1" si="12">IF(D148=0,(8314.4621*C147*LN(H148/H147)/(-G$97*9.80665*G$102)),C147/D148*(1/(H148/H147)^(8314.4621*D148/(G$97*9.80665*G$102))-1))+E147</f>
        <v>5375.0021131345529</v>
      </c>
      <c r="F148" s="26">
        <f t="shared" ref="F148:F181" ca="1" si="13">F$36*E148/(F$36-E148)</f>
        <v>5380.6729226108509</v>
      </c>
      <c r="G148" s="26">
        <f t="shared" ca="1" si="2"/>
        <v>9132.8269801855531</v>
      </c>
      <c r="H148" s="28">
        <f t="shared" si="3"/>
        <v>11395.846954982424</v>
      </c>
      <c r="I148" s="28">
        <f t="shared" ca="1" si="4"/>
        <v>0.18177019051044363</v>
      </c>
      <c r="J148" s="26">
        <f t="shared" ca="1" si="5"/>
        <v>285.83030056739682</v>
      </c>
      <c r="K148" s="26">
        <f t="shared" ca="1" si="6"/>
        <v>2555.7563201196135</v>
      </c>
      <c r="L148" s="28">
        <f t="shared" ca="1" si="7"/>
        <v>593651.47827701794</v>
      </c>
      <c r="M148" s="28">
        <f t="shared" ca="1" si="8"/>
        <v>1517228517.5548401</v>
      </c>
      <c r="N148" s="26">
        <f t="shared" ca="1" si="9"/>
        <v>4275.2780387255862</v>
      </c>
      <c r="O148" s="26">
        <f t="shared" ca="1" si="10"/>
        <v>198.656552893157</v>
      </c>
      <c r="P148" s="29">
        <f t="shared" ref="P148:P181" ca="1" si="14">2*(C148-O148)/G$113</f>
        <v>0.95975864937790678</v>
      </c>
      <c r="Q148" s="14" t="str">
        <f t="shared" ref="Q148:Q189" ca="1" si="15">IF(L148&gt;L$141,"|",IF(L147&gt;L$141,"V",""))</f>
        <v>|</v>
      </c>
    </row>
    <row r="149" spans="1:17" x14ac:dyDescent="0.15">
      <c r="A149" s="20"/>
      <c r="B149" s="27">
        <f t="shared" ref="B149:B189" si="16">B148-0.25</f>
        <v>-1.1989700043360187</v>
      </c>
      <c r="C149" s="62">
        <f t="shared" ca="1" si="1"/>
        <v>294.73330057178021</v>
      </c>
      <c r="D149" s="28">
        <f t="shared" ca="1" si="11"/>
        <v>-2.5243843866024308E-3</v>
      </c>
      <c r="E149" s="26">
        <f t="shared" ca="1" si="12"/>
        <v>10520.524920728709</v>
      </c>
      <c r="F149" s="26">
        <f t="shared" ca="1" si="13"/>
        <v>10542.272025742028</v>
      </c>
      <c r="G149" s="26">
        <f t="shared" ca="1" si="2"/>
        <v>8747.3212295444919</v>
      </c>
      <c r="H149" s="28">
        <f t="shared" si="3"/>
        <v>6408.3556783312188</v>
      </c>
      <c r="I149" s="28">
        <f t="shared" ca="1" si="4"/>
        <v>0.10672172023937111</v>
      </c>
      <c r="J149" s="26">
        <f t="shared" ca="1" si="5"/>
        <v>279.73266876087024</v>
      </c>
      <c r="K149" s="26">
        <f t="shared" ca="1" si="6"/>
        <v>2545.0025341650016</v>
      </c>
      <c r="L149" s="28">
        <f t="shared" ca="1" si="7"/>
        <v>345620.31331344007</v>
      </c>
      <c r="M149" s="28">
        <f t="shared" ca="1" si="8"/>
        <v>879604573.24160683</v>
      </c>
      <c r="N149" s="26">
        <f t="shared" ca="1" si="9"/>
        <v>8376.4883534411583</v>
      </c>
      <c r="O149" s="26">
        <f t="shared" ca="1" si="10"/>
        <v>190.07887154828262</v>
      </c>
      <c r="P149" s="29">
        <f t="shared" ca="1" si="14"/>
        <v>0.92093750867954804</v>
      </c>
      <c r="Q149" s="14" t="str">
        <f t="shared" ca="1" si="15"/>
        <v>|</v>
      </c>
    </row>
    <row r="150" spans="1:17" x14ac:dyDescent="0.15">
      <c r="A150" s="20"/>
      <c r="B150" s="27">
        <f t="shared" si="16"/>
        <v>-1.4489700043360187</v>
      </c>
      <c r="C150" s="62">
        <f t="shared" ca="1" si="1"/>
        <v>282.61716677793805</v>
      </c>
      <c r="D150" s="28">
        <f t="shared" ca="1" si="11"/>
        <v>-2.4570655112528613E-3</v>
      </c>
      <c r="E150" s="26">
        <f t="shared" ca="1" si="12"/>
        <v>15451.664826585002</v>
      </c>
      <c r="F150" s="26">
        <f t="shared" ca="1" si="13"/>
        <v>15498.621592491128</v>
      </c>
      <c r="G150" s="26">
        <f t="shared" ca="1" si="2"/>
        <v>8387.729306442252</v>
      </c>
      <c r="H150" s="28">
        <f t="shared" si="3"/>
        <v>3603.6832244438765</v>
      </c>
      <c r="I150" s="28">
        <f t="shared" ca="1" si="4"/>
        <v>6.2586906524776359E-2</v>
      </c>
      <c r="J150" s="26">
        <f t="shared" ca="1" si="5"/>
        <v>273.92259295745413</v>
      </c>
      <c r="K150" s="26">
        <f t="shared" ca="1" si="6"/>
        <v>2534.8030944713146</v>
      </c>
      <c r="L150" s="28">
        <f t="shared" ca="1" si="7"/>
        <v>201067.53230482136</v>
      </c>
      <c r="M150" s="28">
        <f t="shared" ca="1" si="8"/>
        <v>509666603.08397216</v>
      </c>
      <c r="N150" s="26">
        <f t="shared" ca="1" si="9"/>
        <v>12314.615193659432</v>
      </c>
      <c r="O150" s="26">
        <f t="shared" ca="1" si="10"/>
        <v>182.2340672892195</v>
      </c>
      <c r="P150" s="29">
        <f t="shared" ca="1" si="14"/>
        <v>0.88335068490904545</v>
      </c>
      <c r="Q150" s="14" t="str">
        <f t="shared" ca="1" si="15"/>
        <v>|</v>
      </c>
    </row>
    <row r="151" spans="1:17" x14ac:dyDescent="0.15">
      <c r="A151" s="20"/>
      <c r="B151" s="27">
        <f t="shared" si="16"/>
        <v>-1.6989700043360187</v>
      </c>
      <c r="C151" s="62">
        <f t="shared" ca="1" si="1"/>
        <v>271.35305193017638</v>
      </c>
      <c r="D151" s="28">
        <f t="shared" ca="1" si="11"/>
        <v>-2.3806686114990192E-3</v>
      </c>
      <c r="E151" s="26">
        <f t="shared" ca="1" si="12"/>
        <v>20183.1569768802</v>
      </c>
      <c r="F151" s="26">
        <f t="shared" ca="1" si="13"/>
        <v>20263.34881019657</v>
      </c>
      <c r="G151" s="26">
        <f t="shared" ca="1" si="2"/>
        <v>8053.4242559145232</v>
      </c>
      <c r="H151" s="28">
        <f t="shared" si="3"/>
        <v>2026.4999999999993</v>
      </c>
      <c r="I151" s="28">
        <f t="shared" ca="1" si="4"/>
        <v>3.6656189252702816E-2</v>
      </c>
      <c r="J151" s="26">
        <f t="shared" ca="1" si="5"/>
        <v>268.40829922320773</v>
      </c>
      <c r="K151" s="26">
        <f t="shared" ca="1" si="6"/>
        <v>2525.1127028712376</v>
      </c>
      <c r="L151" s="28">
        <f t="shared" ca="1" si="7"/>
        <v>116863.48996082196</v>
      </c>
      <c r="M151" s="28">
        <f t="shared" ca="1" si="8"/>
        <v>295093483.00193685</v>
      </c>
      <c r="N151" s="26">
        <f ca="1">F151*IF(G$125&gt;0,G$125,0.5)</f>
        <v>16100.486204099851</v>
      </c>
      <c r="O151" s="26">
        <f t="shared" ca="1" si="10"/>
        <v>175.12214011596768</v>
      </c>
      <c r="P151" s="29">
        <f t="shared" ca="1" si="14"/>
        <v>0.84681228507052098</v>
      </c>
      <c r="Q151" s="14" t="str">
        <f t="shared" ca="1" si="15"/>
        <v>|</v>
      </c>
    </row>
    <row r="152" spans="1:17" x14ac:dyDescent="0.15">
      <c r="A152" s="20"/>
      <c r="B152" s="27">
        <f t="shared" si="16"/>
        <v>-1.9489700043360187</v>
      </c>
      <c r="C152" s="62">
        <f t="shared" ca="1" si="1"/>
        <v>260.91983133202046</v>
      </c>
      <c r="D152" s="28">
        <f t="shared" ca="1" si="11"/>
        <v>-2.2949229457025159E-3</v>
      </c>
      <c r="E152" s="26">
        <f t="shared" ca="1" si="12"/>
        <v>24729.375235621003</v>
      </c>
      <c r="F152" s="26">
        <f t="shared" ca="1" si="13"/>
        <v>24849.869696854297</v>
      </c>
      <c r="G152" s="26">
        <f t="shared" ca="1" si="2"/>
        <v>7743.779122996998</v>
      </c>
      <c r="H152" s="28">
        <f t="shared" si="3"/>
        <v>1139.5846954982417</v>
      </c>
      <c r="I152" s="28">
        <f t="shared" ca="1" si="4"/>
        <v>2.1437539394134526E-2</v>
      </c>
      <c r="J152" s="26">
        <f t="shared" ca="1" si="5"/>
        <v>263.19772403696055</v>
      </c>
      <c r="K152" s="26">
        <f t="shared" ca="1" si="6"/>
        <v>2515.8889514657481</v>
      </c>
      <c r="L152" s="28">
        <f t="shared" ca="1" si="7"/>
        <v>67846.566711623251</v>
      </c>
      <c r="M152" s="28">
        <f t="shared" ca="1" si="8"/>
        <v>170694427.58465675</v>
      </c>
      <c r="N152" s="26">
        <f t="shared" ref="N152:N181" ca="1" si="17">F152*IF(G$125&gt;0,G$125,0.5)</f>
        <v>19744.761242354605</v>
      </c>
      <c r="O152" s="26">
        <f t="shared" ca="1" si="10"/>
        <v>168.74309002852712</v>
      </c>
      <c r="P152" s="29">
        <f t="shared" ca="1" si="14"/>
        <v>0.81113641616809751</v>
      </c>
      <c r="Q152" s="14" t="str">
        <f t="shared" ca="1" si="15"/>
        <v>|</v>
      </c>
    </row>
    <row r="153" spans="1:17" x14ac:dyDescent="0.15">
      <c r="A153" s="20"/>
      <c r="B153" s="27">
        <f t="shared" si="16"/>
        <v>-2.1989700043360187</v>
      </c>
      <c r="C153" s="62">
        <f t="shared" ca="1" si="1"/>
        <v>251.29638028699549</v>
      </c>
      <c r="D153" s="28">
        <f t="shared" ca="1" si="11"/>
        <v>-2.1996676079511722E-3</v>
      </c>
      <c r="E153" s="26">
        <f t="shared" ca="1" si="12"/>
        <v>29104.332165585802</v>
      </c>
      <c r="F153" s="26">
        <f t="shared" ca="1" si="13"/>
        <v>29271.376058083493</v>
      </c>
      <c r="G153" s="26">
        <f t="shared" ca="1" si="2"/>
        <v>7458.1669527253598</v>
      </c>
      <c r="H153" s="28">
        <f t="shared" si="3"/>
        <v>640.83556783312201</v>
      </c>
      <c r="I153" s="28">
        <f t="shared" ca="1" si="4"/>
        <v>1.2516871437990932E-2</v>
      </c>
      <c r="J153" s="26">
        <f t="shared" ca="1" si="5"/>
        <v>258.29839132219877</v>
      </c>
      <c r="K153" s="26">
        <f t="shared" ca="1" si="6"/>
        <v>2507.0920687141465</v>
      </c>
      <c r="L153" s="28">
        <f t="shared" ca="1" si="7"/>
        <v>39337.464307819188</v>
      </c>
      <c r="M153" s="28">
        <f t="shared" ca="1" si="8"/>
        <v>98622644.769459307</v>
      </c>
      <c r="N153" s="26">
        <f t="shared" ca="1" si="17"/>
        <v>23257.922015389722</v>
      </c>
      <c r="O153" s="26">
        <f t="shared" ca="1" si="10"/>
        <v>163.09691702689781</v>
      </c>
      <c r="P153" s="29">
        <f t="shared" ca="1" si="14"/>
        <v>0.77613718520589636</v>
      </c>
      <c r="Q153" s="14" t="str">
        <f t="shared" ca="1" si="15"/>
        <v>|</v>
      </c>
    </row>
    <row r="154" spans="1:17" x14ac:dyDescent="0.15">
      <c r="A154" s="20"/>
      <c r="B154" s="27">
        <f t="shared" si="16"/>
        <v>-2.4489700043360187</v>
      </c>
      <c r="C154" s="62">
        <f t="shared" ca="1" si="1"/>
        <v>242.46157409862678</v>
      </c>
      <c r="D154" s="28">
        <f t="shared" ca="1" si="11"/>
        <v>-2.0948730328667303E-3</v>
      </c>
      <c r="E154" s="26">
        <f t="shared" ca="1" si="12"/>
        <v>33321.679016568349</v>
      </c>
      <c r="F154" s="26">
        <f t="shared" ca="1" si="13"/>
        <v>33540.823438641644</v>
      </c>
      <c r="G154" s="26">
        <f t="shared" ca="1" si="2"/>
        <v>7195.960790135302</v>
      </c>
      <c r="H154" s="28">
        <f t="shared" si="3"/>
        <v>360.36832244438762</v>
      </c>
      <c r="I154" s="28">
        <f t="shared" ca="1" si="4"/>
        <v>7.2952319414675108E-3</v>
      </c>
      <c r="J154" s="26">
        <f t="shared" ca="1" si="5"/>
        <v>253.71727896257215</v>
      </c>
      <c r="K154" s="26">
        <f t="shared" ca="1" si="6"/>
        <v>2498.6846969489725</v>
      </c>
      <c r="L154" s="28">
        <f t="shared" ca="1" si="7"/>
        <v>22773.617525465856</v>
      </c>
      <c r="M154" s="28">
        <f t="shared" ca="1" si="8"/>
        <v>56904089.605050467</v>
      </c>
      <c r="N154" s="26">
        <f t="shared" ca="1" si="17"/>
        <v>26650.262506277217</v>
      </c>
      <c r="O154" s="26">
        <f t="shared" ca="1" si="10"/>
        <v>158.18362111107982</v>
      </c>
      <c r="P154" s="29">
        <f t="shared" ca="1" si="14"/>
        <v>0.74162869918804009</v>
      </c>
      <c r="Q154" s="14" t="str">
        <f t="shared" ca="1" si="15"/>
        <v>|</v>
      </c>
    </row>
    <row r="155" spans="1:17" x14ac:dyDescent="0.15">
      <c r="A155" s="20"/>
      <c r="B155" s="27">
        <f t="shared" si="16"/>
        <v>-2.6989700043360187</v>
      </c>
      <c r="C155" s="62">
        <f t="shared" ca="1" si="1"/>
        <v>234.39428807043956</v>
      </c>
      <c r="D155" s="28">
        <f t="shared" ca="1" si="11"/>
        <v>-1.9806612158881731E-3</v>
      </c>
      <c r="E155" s="26">
        <f t="shared" ca="1" si="12"/>
        <v>37394.705722738152</v>
      </c>
      <c r="F155" s="26">
        <f t="shared" ca="1" si="13"/>
        <v>37670.920030353816</v>
      </c>
      <c r="G155" s="26">
        <f t="shared" ca="1" si="2"/>
        <v>6956.5336802625116</v>
      </c>
      <c r="H155" s="28">
        <f t="shared" si="3"/>
        <v>202.64999999999986</v>
      </c>
      <c r="I155" s="28">
        <f t="shared" ca="1" si="4"/>
        <v>4.2436054682620334E-3</v>
      </c>
      <c r="J155" s="26">
        <f t="shared" ca="1" si="5"/>
        <v>249.46067722172438</v>
      </c>
      <c r="K155" s="26">
        <f t="shared" ca="1" si="6"/>
        <v>2490.6316972303671</v>
      </c>
      <c r="L155" s="28">
        <f t="shared" ca="1" si="7"/>
        <v>13162.064856387298</v>
      </c>
      <c r="M155" s="28">
        <f t="shared" ca="1" si="8"/>
        <v>32781855.932320066</v>
      </c>
      <c r="N155" s="26">
        <f t="shared" ca="1" si="17"/>
        <v>29931.88016085761</v>
      </c>
      <c r="O155" s="26">
        <f t="shared" ca="1" si="10"/>
        <v>154.00320228107307</v>
      </c>
      <c r="P155" s="29">
        <f t="shared" ca="1" si="14"/>
        <v>0.70742506511865078</v>
      </c>
      <c r="Q155" s="14" t="str">
        <f t="shared" ca="1" si="15"/>
        <v>|</v>
      </c>
    </row>
    <row r="156" spans="1:17" x14ac:dyDescent="0.15">
      <c r="B156" s="27">
        <f t="shared" si="16"/>
        <v>-2.9489700043360187</v>
      </c>
      <c r="C156" s="62">
        <f t="shared" ca="1" si="1"/>
        <v>227.07339750595906</v>
      </c>
      <c r="D156" s="28">
        <f t="shared" ca="1" si="11"/>
        <v>-1.8573232212534133E-3</v>
      </c>
      <c r="E156" s="26">
        <f t="shared" ca="1" si="12"/>
        <v>41336.340910791216</v>
      </c>
      <c r="F156" s="26">
        <f t="shared" ca="1" si="13"/>
        <v>41674.116496409173</v>
      </c>
      <c r="G156" s="26">
        <f t="shared" ca="1" si="2"/>
        <v>6739.2586681426783</v>
      </c>
      <c r="H156" s="28">
        <f t="shared" si="3"/>
        <v>113.95846954982416</v>
      </c>
      <c r="I156" s="28">
        <f t="shared" ca="1" si="4"/>
        <v>2.463291263673604E-3</v>
      </c>
      <c r="J156" s="26">
        <f t="shared" ca="1" si="5"/>
        <v>245.53404235454275</v>
      </c>
      <c r="K156" s="26">
        <f t="shared" ca="1" si="6"/>
        <v>2482.8999780441691</v>
      </c>
      <c r="L156" s="28">
        <f t="shared" ca="1" si="7"/>
        <v>7592.8395086729852</v>
      </c>
      <c r="M156" s="28">
        <f t="shared" ca="1" si="8"/>
        <v>18852261.049377054</v>
      </c>
      <c r="N156" s="26">
        <f t="shared" ca="1" si="17"/>
        <v>33112.667802512995</v>
      </c>
      <c r="O156" s="26">
        <f t="shared" ca="1" si="10"/>
        <v>150.55566053687764</v>
      </c>
      <c r="P156" s="29">
        <f t="shared" ca="1" si="14"/>
        <v>0.67334039000185009</v>
      </c>
      <c r="Q156" s="14" t="str">
        <f t="shared" ca="1" si="15"/>
        <v>|</v>
      </c>
    </row>
    <row r="157" spans="1:17" x14ac:dyDescent="0.15">
      <c r="B157" s="27">
        <f t="shared" si="16"/>
        <v>-3.1989700043360187</v>
      </c>
      <c r="C157" s="62">
        <f t="shared" ca="1" si="1"/>
        <v>220.47777770871053</v>
      </c>
      <c r="D157" s="28">
        <v>0</v>
      </c>
      <c r="E157" s="26">
        <f t="shared" ca="1" si="12"/>
        <v>45215.770047565267</v>
      </c>
      <c r="F157" s="26">
        <f t="shared" ca="1" si="13"/>
        <v>45620.231596859434</v>
      </c>
      <c r="G157" s="26">
        <f t="shared" ca="1" si="2"/>
        <v>6543.5087988114892</v>
      </c>
      <c r="H157" s="28">
        <f t="shared" si="3"/>
        <v>64.083556783312204</v>
      </c>
      <c r="I157" s="28">
        <f t="shared" ca="1" si="4"/>
        <v>1.4266492149791533E-3</v>
      </c>
      <c r="J157" s="26">
        <f t="shared" ca="1" si="5"/>
        <v>241.94184953697513</v>
      </c>
      <c r="K157" s="26">
        <f t="shared" ca="1" si="6"/>
        <v>2475.3485478819812</v>
      </c>
      <c r="L157" s="28">
        <f t="shared" ca="1" si="7"/>
        <v>4370.7898429284969</v>
      </c>
      <c r="M157" s="28">
        <f t="shared" ca="1" si="8"/>
        <v>10819228.290790366</v>
      </c>
      <c r="N157" s="26">
        <f t="shared" ca="1" si="17"/>
        <v>36248.100762272283</v>
      </c>
      <c r="O157" s="26">
        <f t="shared" ca="1" si="10"/>
        <v>147.84099587849346</v>
      </c>
      <c r="P157" s="29">
        <f t="shared" ca="1" si="14"/>
        <v>0.63918878084176045</v>
      </c>
      <c r="Q157" s="14" t="str">
        <f t="shared" ca="1" si="15"/>
        <v>|</v>
      </c>
    </row>
    <row r="158" spans="1:17" x14ac:dyDescent="0.15">
      <c r="B158" s="27">
        <f t="shared" si="16"/>
        <v>-3.4489700043360187</v>
      </c>
      <c r="C158" s="62">
        <f t="shared" ca="1" si="1"/>
        <v>214.58630398221925</v>
      </c>
      <c r="D158" s="28">
        <f t="shared" ref="D158:D163" ca="1" si="18">(C158-C157)/(E158-E157)</f>
        <v>-1.5853519606431991E-3</v>
      </c>
      <c r="E158" s="26">
        <f t="shared" ca="1" si="12"/>
        <v>48931.962964184895</v>
      </c>
      <c r="F158" s="26">
        <f t="shared" ca="1" si="13"/>
        <v>49405.988849794114</v>
      </c>
      <c r="G158" s="26">
        <f t="shared" ca="1" si="2"/>
        <v>6368.6571173046341</v>
      </c>
      <c r="H158" s="28">
        <f t="shared" si="3"/>
        <v>36.036832244438749</v>
      </c>
      <c r="I158" s="28">
        <f t="shared" ca="1" si="4"/>
        <v>8.2428998827872911E-4</v>
      </c>
      <c r="J158" s="26">
        <f t="shared" ca="1" si="5"/>
        <v>238.68744997428894</v>
      </c>
      <c r="K158" s="26">
        <f t="shared" ca="1" si="6"/>
        <v>2468.1683633593698</v>
      </c>
      <c r="L158" s="28">
        <f t="shared" ca="1" si="7"/>
        <v>2510.7275720768771</v>
      </c>
      <c r="M158" s="28">
        <f t="shared" ca="1" si="8"/>
        <v>6196898.3624142297</v>
      </c>
      <c r="N158" s="26">
        <f t="shared" ca="1" si="17"/>
        <v>39256.119475954707</v>
      </c>
      <c r="O158" s="26">
        <f t="shared" ca="1" si="10"/>
        <v>145.85920830592053</v>
      </c>
      <c r="P158" s="29">
        <f t="shared" ca="1" si="14"/>
        <v>0.60478434464250441</v>
      </c>
      <c r="Q158" s="14" t="str">
        <f t="shared" ca="1" si="15"/>
        <v>|</v>
      </c>
    </row>
    <row r="159" spans="1:17" x14ac:dyDescent="0.15">
      <c r="B159" s="27">
        <f t="shared" si="16"/>
        <v>-3.6989700043360187</v>
      </c>
      <c r="C159" s="62">
        <f t="shared" ca="1" si="1"/>
        <v>209.37785163001041</v>
      </c>
      <c r="D159" s="28">
        <f t="shared" ca="1" si="18"/>
        <v>-1.4382349410668599E-3</v>
      </c>
      <c r="E159" s="26">
        <f t="shared" ca="1" si="12"/>
        <v>52553.38266654958</v>
      </c>
      <c r="F159" s="26">
        <f t="shared" ca="1" si="13"/>
        <v>53100.56191163804</v>
      </c>
      <c r="G159" s="26">
        <f t="shared" ca="1" si="2"/>
        <v>6214.0766686578036</v>
      </c>
      <c r="H159" s="28">
        <f t="shared" si="3"/>
        <v>20.264999999999983</v>
      </c>
      <c r="I159" s="28">
        <f t="shared" ca="1" si="4"/>
        <v>4.7506308563275714E-4</v>
      </c>
      <c r="J159" s="26">
        <f t="shared" ca="1" si="5"/>
        <v>235.77293758319473</v>
      </c>
      <c r="K159" s="26">
        <f t="shared" ca="1" si="6"/>
        <v>2461.2210240032909</v>
      </c>
      <c r="L159" s="28">
        <f t="shared" ca="1" si="7"/>
        <v>1438.8731946826449</v>
      </c>
      <c r="M159" s="28">
        <f t="shared" ca="1" si="8"/>
        <v>3541384.9576277058</v>
      </c>
      <c r="N159" s="26">
        <f t="shared" ca="1" si="17"/>
        <v>42191.686699785168</v>
      </c>
      <c r="O159" s="26">
        <f t="shared" ca="1" si="10"/>
        <v>144.61029781915892</v>
      </c>
      <c r="P159" s="29">
        <f t="shared" ca="1" si="14"/>
        <v>0.56994118840820296</v>
      </c>
      <c r="Q159" s="14" t="str">
        <f t="shared" ca="1" si="15"/>
        <v>|</v>
      </c>
    </row>
    <row r="160" spans="1:17" x14ac:dyDescent="0.15">
      <c r="B160" s="27">
        <f t="shared" si="16"/>
        <v>-3.9489700043360187</v>
      </c>
      <c r="C160" s="62">
        <f t="shared" ca="1" si="1"/>
        <v>204.83129595560936</v>
      </c>
      <c r="D160" s="28">
        <f t="shared" ca="1" si="18"/>
        <v>-1.2850164897786412E-3</v>
      </c>
      <c r="E160" s="26">
        <f t="shared" ca="1" si="12"/>
        <v>56091.512885551077</v>
      </c>
      <c r="F160" s="26">
        <f t="shared" ca="1" si="13"/>
        <v>56715.286656591452</v>
      </c>
      <c r="G160" s="26">
        <f t="shared" ca="1" si="2"/>
        <v>6079.1404979066847</v>
      </c>
      <c r="H160" s="28">
        <f t="shared" si="3"/>
        <v>11.395846954982423</v>
      </c>
      <c r="I160" s="28">
        <f t="shared" ca="1" si="4"/>
        <v>2.7307737017410343E-4</v>
      </c>
      <c r="J160" s="26">
        <f t="shared" ca="1" si="5"/>
        <v>233.19903089333576</v>
      </c>
      <c r="K160" s="26">
        <f t="shared" ca="1" si="6"/>
        <v>2454.4802981785506</v>
      </c>
      <c r="L160" s="28">
        <f t="shared" ca="1" si="7"/>
        <v>822.57369469412924</v>
      </c>
      <c r="M160" s="28">
        <f t="shared" ca="1" si="8"/>
        <v>2018990.9274266781</v>
      </c>
      <c r="N160" s="26">
        <f t="shared" ca="1" si="17"/>
        <v>45063.809488218591</v>
      </c>
      <c r="O160" s="26">
        <f t="shared" ca="1" si="10"/>
        <v>144.09426441820855</v>
      </c>
      <c r="P160" s="29">
        <f t="shared" ca="1" si="14"/>
        <v>0.53447341914297963</v>
      </c>
      <c r="Q160" s="14" t="str">
        <f t="shared" ca="1" si="15"/>
        <v>|</v>
      </c>
    </row>
    <row r="161" spans="2:17" x14ac:dyDescent="0.15">
      <c r="B161" s="27">
        <f t="shared" si="16"/>
        <v>-4.1989700043360187</v>
      </c>
      <c r="C161" s="62">
        <f t="shared" ca="1" si="1"/>
        <v>201.32714171744948</v>
      </c>
      <c r="D161" s="28">
        <f t="shared" ca="1" si="18"/>
        <v>-1.0100129452583727E-3</v>
      </c>
      <c r="E161" s="26">
        <f t="shared" ca="1" si="12"/>
        <v>59560.92805949568</v>
      </c>
      <c r="F161" s="26">
        <f t="shared" ca="1" si="13"/>
        <v>60264.736616781287</v>
      </c>
      <c r="G161" s="26">
        <f t="shared" ca="1" si="2"/>
        <v>5975.1415174739013</v>
      </c>
      <c r="H161" s="28">
        <f t="shared" si="3"/>
        <v>6.4083556783312119</v>
      </c>
      <c r="I161" s="28">
        <f t="shared" ca="1" si="4"/>
        <v>1.5623549105461593E-4</v>
      </c>
      <c r="J161" s="26">
        <f t="shared" ca="1" si="5"/>
        <v>231.195698092589</v>
      </c>
      <c r="K161" s="26">
        <f t="shared" ca="1" si="6"/>
        <v>2447.9149002032073</v>
      </c>
      <c r="L161" s="28">
        <f t="shared" ca="1" si="7"/>
        <v>468.10397900850006</v>
      </c>
      <c r="M161" s="28">
        <f t="shared" ca="1" si="8"/>
        <v>1145878.7050593167</v>
      </c>
      <c r="N161" s="26">
        <f t="shared" ca="1" si="17"/>
        <v>47884.067415547077</v>
      </c>
      <c r="O161" s="26">
        <f t="shared" ca="1" si="10"/>
        <v>144.07899676829379</v>
      </c>
      <c r="P161" s="29">
        <f t="shared" ca="1" si="14"/>
        <v>0.5037719328071979</v>
      </c>
      <c r="Q161" s="14" t="str">
        <f t="shared" ca="1" si="15"/>
        <v>|</v>
      </c>
    </row>
    <row r="162" spans="2:17" x14ac:dyDescent="0.15">
      <c r="B162" s="27">
        <f t="shared" si="16"/>
        <v>-4.4489700043360187</v>
      </c>
      <c r="C162" s="62">
        <f t="shared" ca="1" si="1"/>
        <v>198.09320888040759</v>
      </c>
      <c r="D162" s="28">
        <f t="shared" ca="1" si="18"/>
        <v>-9.4784806584934306E-4</v>
      </c>
      <c r="E162" s="26">
        <f t="shared" ca="1" si="12"/>
        <v>62972.796431188792</v>
      </c>
      <c r="F162" s="26">
        <f t="shared" ca="1" si="13"/>
        <v>63760.080861091075</v>
      </c>
      <c r="G162" s="26">
        <f t="shared" ca="1" si="2"/>
        <v>5879.1623752951982</v>
      </c>
      <c r="H162" s="28">
        <f t="shared" si="3"/>
        <v>3.6036832244438743</v>
      </c>
      <c r="I162" s="28">
        <f t="shared" ca="1" si="4"/>
        <v>8.9291976738619912E-5</v>
      </c>
      <c r="J162" s="26">
        <f t="shared" ca="1" si="5"/>
        <v>229.33132404959011</v>
      </c>
      <c r="K162" s="26">
        <f t="shared" ca="1" si="6"/>
        <v>2441.5007969178946</v>
      </c>
      <c r="L162" s="28">
        <f t="shared" ca="1" si="7"/>
        <v>266.13143917705969</v>
      </c>
      <c r="M162" s="28">
        <f t="shared" ca="1" si="8"/>
        <v>649760.12083569739</v>
      </c>
      <c r="N162" s="26">
        <f t="shared" ca="1" si="17"/>
        <v>50661.334999065701</v>
      </c>
      <c r="O162" s="26">
        <f t="shared" ca="1" si="10"/>
        <v>144.07899676829379</v>
      </c>
      <c r="P162" s="29">
        <f t="shared" ca="1" si="14"/>
        <v>0.47531398718586498</v>
      </c>
      <c r="Q162" s="14" t="str">
        <f t="shared" ca="1" si="15"/>
        <v>|</v>
      </c>
    </row>
    <row r="163" spans="2:17" x14ac:dyDescent="0.15">
      <c r="B163" s="27">
        <f t="shared" si="16"/>
        <v>-4.6989700043360187</v>
      </c>
      <c r="C163" s="62">
        <f t="shared" ca="1" si="1"/>
        <v>194.99290028073534</v>
      </c>
      <c r="D163" s="28">
        <f t="shared" ca="1" si="18"/>
        <v>-9.2332514694004608E-4</v>
      </c>
      <c r="E163" s="26">
        <f t="shared" ca="1" si="12"/>
        <v>66330.561147060347</v>
      </c>
      <c r="F163" s="26">
        <f t="shared" ca="1" si="13"/>
        <v>67204.623974492759</v>
      </c>
      <c r="G163" s="26">
        <f t="shared" ca="1" si="2"/>
        <v>5787.1490358474966</v>
      </c>
      <c r="H163" s="28">
        <f t="shared" si="3"/>
        <v>2.0265</v>
      </c>
      <c r="I163" s="28">
        <f t="shared" ca="1" si="4"/>
        <v>5.1010928149335046E-5</v>
      </c>
      <c r="J163" s="26">
        <f t="shared" ca="1" si="5"/>
        <v>227.52964246073316</v>
      </c>
      <c r="K163" s="26">
        <f t="shared" ca="1" si="6"/>
        <v>2435.2289872909864</v>
      </c>
      <c r="L163" s="28">
        <f t="shared" ca="1" si="7"/>
        <v>151.25607944559709</v>
      </c>
      <c r="M163" s="28">
        <f t="shared" ca="1" si="8"/>
        <v>368343.18916990643</v>
      </c>
      <c r="N163" s="26">
        <f t="shared" ca="1" si="17"/>
        <v>53398.237936296093</v>
      </c>
      <c r="O163" s="26">
        <f t="shared" ca="1" si="10"/>
        <v>144.07899676829379</v>
      </c>
      <c r="P163" s="29">
        <f t="shared" ca="1" si="14"/>
        <v>0.44803190744436766</v>
      </c>
      <c r="Q163" s="14" t="str">
        <f t="shared" ca="1" si="15"/>
        <v>|</v>
      </c>
    </row>
    <row r="164" spans="2:17" x14ac:dyDescent="0.15">
      <c r="B164" s="27">
        <f t="shared" si="16"/>
        <v>-4.9489700043360187</v>
      </c>
      <c r="C164" s="62">
        <f t="shared" ca="1" si="1"/>
        <v>192.04689263365051</v>
      </c>
      <c r="D164" s="28">
        <v>0</v>
      </c>
      <c r="E164" s="26">
        <f t="shared" ca="1" si="12"/>
        <v>69661.911922279687</v>
      </c>
      <c r="F164" s="26">
        <f t="shared" ca="1" si="13"/>
        <v>70626.614868224598</v>
      </c>
      <c r="G164" s="26">
        <f t="shared" ca="1" si="2"/>
        <v>5699.7151585633474</v>
      </c>
      <c r="H164" s="28">
        <f t="shared" si="3"/>
        <v>1.1395846954982409</v>
      </c>
      <c r="I164" s="28">
        <f t="shared" ca="1" si="4"/>
        <v>2.9125590558558351E-5</v>
      </c>
      <c r="J164" s="26">
        <f t="shared" ca="1" si="5"/>
        <v>225.80431000170387</v>
      </c>
      <c r="K164" s="26">
        <f t="shared" ca="1" si="6"/>
        <v>2429.0458574641184</v>
      </c>
      <c r="L164" s="28">
        <f t="shared" ca="1" si="7"/>
        <v>85.924333487861304</v>
      </c>
      <c r="M164" s="28">
        <f t="shared" ca="1" si="8"/>
        <v>208714.14631405493</v>
      </c>
      <c r="N164" s="26">
        <f t="shared" ca="1" si="17"/>
        <v>56117.221737599481</v>
      </c>
      <c r="O164" s="26">
        <f t="shared" ca="1" si="10"/>
        <v>144.07899676829379</v>
      </c>
      <c r="P164" s="29">
        <f t="shared" ca="1" si="14"/>
        <v>0.42210764443541232</v>
      </c>
      <c r="Q164" s="14" t="str">
        <f t="shared" ca="1" si="15"/>
        <v>|</v>
      </c>
    </row>
    <row r="165" spans="2:17" x14ac:dyDescent="0.15">
      <c r="B165" s="27">
        <f t="shared" si="16"/>
        <v>-5.1989700043360187</v>
      </c>
      <c r="C165" s="62">
        <f t="shared" ca="1" si="1"/>
        <v>189.27586265437074</v>
      </c>
      <c r="D165" s="28">
        <v>0</v>
      </c>
      <c r="E165" s="26">
        <f t="shared" ca="1" si="12"/>
        <v>72942.931711884725</v>
      </c>
      <c r="F165" s="26">
        <f t="shared" ca="1" si="13"/>
        <v>74001.338492322684</v>
      </c>
      <c r="G165" s="26">
        <f t="shared" ca="1" si="2"/>
        <v>5617.4744028752912</v>
      </c>
      <c r="H165" s="28">
        <f t="shared" si="3"/>
        <v>0.64083556783312157</v>
      </c>
      <c r="I165" s="28">
        <f t="shared" ca="1" si="4"/>
        <v>1.6618307483974184E-5</v>
      </c>
      <c r="J165" s="26">
        <f t="shared" ca="1" si="5"/>
        <v>224.169334246147</v>
      </c>
      <c r="K165" s="26">
        <f t="shared" ca="1" si="6"/>
        <v>2422.9940298346369</v>
      </c>
      <c r="L165" s="28">
        <f t="shared" ca="1" si="7"/>
        <v>48.78221127395873</v>
      </c>
      <c r="M165" s="28">
        <f t="shared" ca="1" si="8"/>
        <v>118199.00667893392</v>
      </c>
      <c r="N165" s="26">
        <f t="shared" ca="1" si="17"/>
        <v>58798.648764365156</v>
      </c>
      <c r="O165" s="26">
        <f t="shared" ca="1" si="10"/>
        <v>144.07899676829379</v>
      </c>
      <c r="P165" s="29">
        <f t="shared" ca="1" si="14"/>
        <v>0.3977231490117043</v>
      </c>
      <c r="Q165" s="14" t="str">
        <f t="shared" ca="1" si="15"/>
        <v>V</v>
      </c>
    </row>
    <row r="166" spans="2:17" x14ac:dyDescent="0.15">
      <c r="B166" s="27">
        <f t="shared" si="16"/>
        <v>-5.4489700043360187</v>
      </c>
      <c r="C166" s="62">
        <f t="shared" ca="1" si="1"/>
        <v>186.70048705811371</v>
      </c>
      <c r="D166" s="28">
        <v>0</v>
      </c>
      <c r="E166" s="26">
        <f t="shared" ca="1" si="12"/>
        <v>76176.609916968795</v>
      </c>
      <c r="F166" s="26">
        <f t="shared" ca="1" si="13"/>
        <v>77331.681552229071</v>
      </c>
      <c r="G166" s="26">
        <f t="shared" ca="1" si="2"/>
        <v>5541.0404282158734</v>
      </c>
      <c r="H166" s="28">
        <f t="shared" si="3"/>
        <v>0.3603683224443871</v>
      </c>
      <c r="I166" s="28">
        <f t="shared" ca="1" si="4"/>
        <v>9.4740696599908606E-6</v>
      </c>
      <c r="J166" s="26">
        <f t="shared" ca="1" si="5"/>
        <v>222.63903470925263</v>
      </c>
      <c r="K166" s="26">
        <f t="shared" ca="1" si="6"/>
        <v>2417.0659165601187</v>
      </c>
      <c r="L166" s="28">
        <f t="shared" ca="1" si="7"/>
        <v>27.674741098414504</v>
      </c>
      <c r="M166" s="28">
        <f t="shared" ca="1" si="8"/>
        <v>66891.67345860324</v>
      </c>
      <c r="N166" s="26">
        <f t="shared" ca="1" si="17"/>
        <v>61444.812682935248</v>
      </c>
      <c r="O166" s="26">
        <f t="shared" ca="1" si="10"/>
        <v>144.07899676829379</v>
      </c>
      <c r="P166" s="29">
        <f t="shared" ca="1" si="14"/>
        <v>0.37506037202594922</v>
      </c>
      <c r="Q166" s="14" t="str">
        <f t="shared" ca="1" si="15"/>
        <v/>
      </c>
    </row>
    <row r="167" spans="2:17" x14ac:dyDescent="0.15">
      <c r="B167" s="27">
        <f t="shared" si="16"/>
        <v>-5.6989700043360187</v>
      </c>
      <c r="C167" s="62">
        <f t="shared" ca="1" si="1"/>
        <v>184.34144256009716</v>
      </c>
      <c r="D167" s="28">
        <v>0</v>
      </c>
      <c r="E167" s="26">
        <f t="shared" ca="1" si="12"/>
        <v>79366.289189390591</v>
      </c>
      <c r="F167" s="26">
        <f t="shared" ca="1" si="13"/>
        <v>80620.913251315433</v>
      </c>
      <c r="G167" s="26">
        <f t="shared" ca="1" si="2"/>
        <v>5471.0268940176411</v>
      </c>
      <c r="H167" s="28">
        <f t="shared" si="3"/>
        <v>0.20264999999999977</v>
      </c>
      <c r="I167" s="28">
        <f t="shared" ca="1" si="4"/>
        <v>5.3958397459151299E-6</v>
      </c>
      <c r="J167" s="26">
        <f t="shared" ca="1" si="5"/>
        <v>221.22799115387676</v>
      </c>
      <c r="K167" s="26">
        <f t="shared" ca="1" si="6"/>
        <v>2411.2534858910044</v>
      </c>
      <c r="L167" s="28">
        <f t="shared" ca="1" si="7"/>
        <v>15.686092950838873</v>
      </c>
      <c r="M167" s="28">
        <f t="shared" ca="1" si="8"/>
        <v>37823.146307720541</v>
      </c>
      <c r="N167" s="26">
        <f t="shared" ca="1" si="17"/>
        <v>64058.311077957653</v>
      </c>
      <c r="O167" s="26">
        <f t="shared" ca="1" si="10"/>
        <v>144.07899676829379</v>
      </c>
      <c r="P167" s="29">
        <f t="shared" ca="1" si="14"/>
        <v>0.3543012643308534</v>
      </c>
      <c r="Q167" s="14" t="str">
        <f t="shared" ca="1" si="15"/>
        <v/>
      </c>
    </row>
    <row r="168" spans="2:17" x14ac:dyDescent="0.15">
      <c r="B168" s="27">
        <f t="shared" si="16"/>
        <v>-5.9489700043360187</v>
      </c>
      <c r="C168" s="62">
        <f t="shared" ca="1" si="1"/>
        <v>182.21940587553874</v>
      </c>
      <c r="D168" s="28">
        <f t="shared" ref="D168:D189" ca="1" si="19">(C168-C167)/(E168-E167)</f>
        <v>-6.7770406769370177E-4</v>
      </c>
      <c r="E168" s="26">
        <f t="shared" ca="1" si="12"/>
        <v>82497.503513925956</v>
      </c>
      <c r="F168" s="26">
        <f t="shared" ca="1" si="13"/>
        <v>83853.922985724246</v>
      </c>
      <c r="G168" s="26">
        <f t="shared" ca="1" si="2"/>
        <v>5408.047459713137</v>
      </c>
      <c r="H168" s="28">
        <f t="shared" si="3"/>
        <v>0.11395846954982417</v>
      </c>
      <c r="I168" s="28">
        <f t="shared" ca="1" si="4"/>
        <v>3.0696396665411354E-6</v>
      </c>
      <c r="J168" s="26">
        <f t="shared" ca="1" si="5"/>
        <v>219.95097833928779</v>
      </c>
      <c r="K168" s="26">
        <f t="shared" ca="1" si="6"/>
        <v>2405.5810760619052</v>
      </c>
      <c r="L168" s="28">
        <f t="shared" ca="1" si="7"/>
        <v>8.8817265887437831</v>
      </c>
      <c r="M168" s="28">
        <f t="shared" ca="1" si="8"/>
        <v>21365.713404637903</v>
      </c>
      <c r="N168" s="26">
        <f t="shared" ca="1" si="17"/>
        <v>66627.137638371816</v>
      </c>
      <c r="O168" s="26">
        <f t="shared" ca="1" si="10"/>
        <v>144.07899676829379</v>
      </c>
      <c r="P168" s="29">
        <f t="shared" ca="1" si="14"/>
        <v>0.33562777677912192</v>
      </c>
      <c r="Q168" s="14" t="str">
        <f t="shared" ca="1" si="15"/>
        <v/>
      </c>
    </row>
    <row r="169" spans="2:17" x14ac:dyDescent="0.15">
      <c r="B169" s="27">
        <f t="shared" si="16"/>
        <v>-6.1989700043360187</v>
      </c>
      <c r="C169" s="62">
        <f t="shared" ca="1" si="1"/>
        <v>180.35505371965618</v>
      </c>
      <c r="D169" s="28">
        <f t="shared" ca="1" si="19"/>
        <v>-6.0195357619563582E-4</v>
      </c>
      <c r="E169" s="26">
        <f t="shared" ca="1" si="12"/>
        <v>85594.672846593268</v>
      </c>
      <c r="F169" s="26">
        <f t="shared" ca="1" si="13"/>
        <v>87055.752983063692</v>
      </c>
      <c r="G169" s="26">
        <f t="shared" ca="1" si="2"/>
        <v>5352.7157847349072</v>
      </c>
      <c r="H169" s="28">
        <f t="shared" si="3"/>
        <v>6.4083556783312082E-2</v>
      </c>
      <c r="I169" s="28">
        <f t="shared" ca="1" si="4"/>
        <v>1.7440290249776272E-6</v>
      </c>
      <c r="J169" s="26">
        <f t="shared" ca="1" si="5"/>
        <v>218.82288673370334</v>
      </c>
      <c r="K169" s="26">
        <f t="shared" ca="1" si="6"/>
        <v>2400.0026440577858</v>
      </c>
      <c r="L169" s="28">
        <f t="shared" ca="1" si="7"/>
        <v>5.0228146590941156</v>
      </c>
      <c r="M169" s="28">
        <f t="shared" ca="1" si="8"/>
        <v>12054.768462438084</v>
      </c>
      <c r="N169" s="26">
        <f t="shared" ca="1" si="17"/>
        <v>69171.189965699668</v>
      </c>
      <c r="O169" s="26">
        <f t="shared" ca="1" si="10"/>
        <v>144.07899676829379</v>
      </c>
      <c r="P169" s="29">
        <f t="shared" ca="1" si="14"/>
        <v>0.31922186022346116</v>
      </c>
      <c r="Q169" s="14" t="str">
        <f t="shared" ca="1" si="15"/>
        <v/>
      </c>
    </row>
    <row r="170" spans="2:17" x14ac:dyDescent="0.15">
      <c r="B170" s="27">
        <f t="shared" si="16"/>
        <v>-6.4489700043360187</v>
      </c>
      <c r="C170" s="62">
        <f t="shared" ca="1" si="1"/>
        <v>178.7690628076671</v>
      </c>
      <c r="D170" s="28">
        <f t="shared" ca="1" si="19"/>
        <v>-5.1699623171020444E-4</v>
      </c>
      <c r="E170" s="26">
        <f t="shared" ca="1" si="12"/>
        <v>88662.375887179631</v>
      </c>
      <c r="F170" s="26">
        <f t="shared" ca="1" si="13"/>
        <v>90231.022322042656</v>
      </c>
      <c r="G170" s="26">
        <f t="shared" ca="1" si="2"/>
        <v>5305.6455285154952</v>
      </c>
      <c r="H170" s="28">
        <f t="shared" si="3"/>
        <v>3.6036832244438724E-2</v>
      </c>
      <c r="I170" s="28">
        <f t="shared" ca="1" si="4"/>
        <v>9.8944045024491279E-7</v>
      </c>
      <c r="J170" s="26">
        <f t="shared" ca="1" si="5"/>
        <v>217.85862916826781</v>
      </c>
      <c r="K170" s="26">
        <f t="shared" ca="1" si="6"/>
        <v>2394.5086388559444</v>
      </c>
      <c r="L170" s="28">
        <f t="shared" ca="1" si="7"/>
        <v>2.8365633153942991</v>
      </c>
      <c r="M170" s="28">
        <f t="shared" ca="1" si="8"/>
        <v>6792.175363373507</v>
      </c>
      <c r="N170" s="26">
        <f t="shared" ca="1" si="17"/>
        <v>71694.138204186631</v>
      </c>
      <c r="O170" s="26">
        <f t="shared" ca="1" si="10"/>
        <v>144.07899676829379</v>
      </c>
      <c r="P170" s="29">
        <f t="shared" ca="1" si="14"/>
        <v>0.30526546551657596</v>
      </c>
      <c r="Q170" s="14" t="str">
        <f t="shared" ca="1" si="15"/>
        <v/>
      </c>
    </row>
    <row r="171" spans="2:17" x14ac:dyDescent="0.15">
      <c r="B171" s="27">
        <f t="shared" si="16"/>
        <v>-6.6989700043360187</v>
      </c>
      <c r="C171" s="62">
        <f t="shared" ca="1" si="1"/>
        <v>177.48210985478926</v>
      </c>
      <c r="D171" s="28">
        <f t="shared" ca="1" si="19"/>
        <v>-4.2289902871868739E-4</v>
      </c>
      <c r="E171" s="26">
        <f t="shared" ca="1" si="12"/>
        <v>91705.544268949277</v>
      </c>
      <c r="F171" s="26">
        <f t="shared" ca="1" si="13"/>
        <v>93384.740035891577</v>
      </c>
      <c r="G171" s="26">
        <f t="shared" ca="1" si="2"/>
        <v>5267.4503504874465</v>
      </c>
      <c r="H171" s="28">
        <f t="shared" si="3"/>
        <v>2.0264999999999988E-2</v>
      </c>
      <c r="I171" s="28">
        <f t="shared" ca="1" si="4"/>
        <v>5.6043782857828302E-7</v>
      </c>
      <c r="J171" s="26">
        <f t="shared" ca="1" si="5"/>
        <v>217.07303397967237</v>
      </c>
      <c r="K171" s="26">
        <f t="shared" ca="1" si="6"/>
        <v>2389.0891009193756</v>
      </c>
      <c r="L171" s="28">
        <f t="shared" ca="1" si="7"/>
        <v>1.5994185923153545</v>
      </c>
      <c r="M171" s="28">
        <f t="shared" ca="1" si="8"/>
        <v>3821.1535267084237</v>
      </c>
      <c r="N171" s="26">
        <f t="shared" ca="1" si="17"/>
        <v>74199.962341108112</v>
      </c>
      <c r="O171" s="26">
        <f t="shared" ca="1" si="10"/>
        <v>144.07899676829379</v>
      </c>
      <c r="P171" s="29">
        <f t="shared" ca="1" si="14"/>
        <v>0.29394054351117288</v>
      </c>
      <c r="Q171" s="14" t="str">
        <f t="shared" ca="1" si="15"/>
        <v/>
      </c>
    </row>
    <row r="172" spans="2:17" x14ac:dyDescent="0.15">
      <c r="B172" s="27">
        <f t="shared" si="16"/>
        <v>-6.9489700043360187</v>
      </c>
      <c r="C172" s="62">
        <f t="shared" ca="1" si="1"/>
        <v>176.5148715762403</v>
      </c>
      <c r="D172" s="28">
        <f t="shared" ca="1" si="19"/>
        <v>-3.1986257402220381E-4</v>
      </c>
      <c r="E172" s="26">
        <f t="shared" ca="1" si="12"/>
        <v>94729.462529801473</v>
      </c>
      <c r="F172" s="26">
        <f t="shared" ca="1" si="13"/>
        <v>96522.306893359215</v>
      </c>
      <c r="G172" s="26">
        <f t="shared" ca="1" si="2"/>
        <v>5238.7439100833071</v>
      </c>
      <c r="H172" s="28">
        <f t="shared" si="3"/>
        <v>1.1395846954982424E-2</v>
      </c>
      <c r="I172" s="28">
        <f t="shared" ca="1" si="4"/>
        <v>3.1688430062252252E-7</v>
      </c>
      <c r="J172" s="26">
        <f t="shared" ca="1" si="5"/>
        <v>216.48072585700049</v>
      </c>
      <c r="K172" s="26">
        <f t="shared" ca="1" si="6"/>
        <v>2383.7336700032242</v>
      </c>
      <c r="L172" s="28">
        <f t="shared" ca="1" si="7"/>
        <v>0.90029780150329042</v>
      </c>
      <c r="M172" s="28">
        <f t="shared" ca="1" si="8"/>
        <v>2146.0701824732728</v>
      </c>
      <c r="N172" s="26">
        <f t="shared" ca="1" si="17"/>
        <v>76692.953621881927</v>
      </c>
      <c r="O172" s="26">
        <f t="shared" ca="1" si="10"/>
        <v>144.07899676829379</v>
      </c>
      <c r="P172" s="29">
        <f t="shared" ca="1" si="14"/>
        <v>0.28542904505995703</v>
      </c>
      <c r="Q172" s="14" t="str">
        <f t="shared" ca="1" si="15"/>
        <v/>
      </c>
    </row>
    <row r="173" spans="2:17" x14ac:dyDescent="0.15">
      <c r="B173" s="27">
        <f t="shared" si="16"/>
        <v>-7.1989700043360187</v>
      </c>
      <c r="C173" s="62">
        <f t="shared" ca="1" si="1"/>
        <v>175.88802468723793</v>
      </c>
      <c r="D173" s="28">
        <f t="shared" ca="1" si="19"/>
        <v>-2.0823364161995307E-4</v>
      </c>
      <c r="E173" s="26">
        <f t="shared" ca="1" si="12"/>
        <v>97739.768089104109</v>
      </c>
      <c r="F173" s="26">
        <f t="shared" ca="1" si="13"/>
        <v>99649.517247128737</v>
      </c>
      <c r="G173" s="26">
        <f t="shared" ca="1" si="2"/>
        <v>5220.1398667356189</v>
      </c>
      <c r="H173" s="28">
        <f t="shared" si="3"/>
        <v>6.4083556783312134E-3</v>
      </c>
      <c r="I173" s="28">
        <f t="shared" ca="1" si="4"/>
        <v>1.7883221387459387E-7</v>
      </c>
      <c r="J173" s="26">
        <f t="shared" ca="1" si="5"/>
        <v>216.09599634720539</v>
      </c>
      <c r="K173" s="26">
        <f t="shared" ca="1" si="6"/>
        <v>2378.4315932644845</v>
      </c>
      <c r="L173" s="28">
        <f t="shared" ca="1" si="7"/>
        <v>0.50582126976621034</v>
      </c>
      <c r="M173" s="28">
        <f t="shared" ca="1" si="8"/>
        <v>1203.0612885571122</v>
      </c>
      <c r="N173" s="26">
        <f t="shared" ca="1" si="17"/>
        <v>79177.716018749343</v>
      </c>
      <c r="O173" s="26">
        <f t="shared" ca="1" si="10"/>
        <v>144.07899676829379</v>
      </c>
      <c r="P173" s="29">
        <f t="shared" ca="1" si="14"/>
        <v>0.27991292101563447</v>
      </c>
      <c r="Q173" s="14" t="str">
        <f t="shared" ca="1" si="15"/>
        <v/>
      </c>
    </row>
    <row r="174" spans="2:17" x14ac:dyDescent="0.15">
      <c r="B174" s="27">
        <f t="shared" si="16"/>
        <v>-7.4489700043360187</v>
      </c>
      <c r="C174" s="62">
        <f t="shared" ca="1" si="1"/>
        <v>175.62224590299985</v>
      </c>
      <c r="D174" s="28">
        <f t="shared" ca="1" si="19"/>
        <v>-8.8513763057455829E-5</v>
      </c>
      <c r="E174" s="26">
        <f t="shared" ca="1" si="12"/>
        <v>100742.45123190034</v>
      </c>
      <c r="F174" s="26">
        <f t="shared" ca="1" si="13"/>
        <v>102772.56097943929</v>
      </c>
      <c r="G174" s="26">
        <f t="shared" ca="1" si="2"/>
        <v>5212.2518798769306</v>
      </c>
      <c r="H174" s="28">
        <f t="shared" si="3"/>
        <v>3.6036832244438692E-3</v>
      </c>
      <c r="I174" s="28">
        <f t="shared" ca="1" si="4"/>
        <v>1.0071693428403975E-7</v>
      </c>
      <c r="J174" s="26">
        <f t="shared" ca="1" si="5"/>
        <v>215.93266673943961</v>
      </c>
      <c r="K174" s="26">
        <f t="shared" ca="1" si="6"/>
        <v>2373.1717338470348</v>
      </c>
      <c r="L174" s="28">
        <f t="shared" ca="1" si="7"/>
        <v>0.28361607081430201</v>
      </c>
      <c r="M174" s="28">
        <f t="shared" ca="1" si="8"/>
        <v>673.06964252126056</v>
      </c>
      <c r="N174" s="26">
        <f t="shared" ca="1" si="17"/>
        <v>81659.16777669196</v>
      </c>
      <c r="O174" s="26">
        <f t="shared" ca="1" si="10"/>
        <v>144.07899676829379</v>
      </c>
      <c r="P174" s="29">
        <f t="shared" ca="1" si="14"/>
        <v>0.27757412223091088</v>
      </c>
      <c r="Q174" s="14" t="str">
        <f t="shared" ca="1" si="15"/>
        <v/>
      </c>
    </row>
    <row r="175" spans="2:17" x14ac:dyDescent="0.15">
      <c r="B175" s="27">
        <f t="shared" si="16"/>
        <v>-7.6989700043360187</v>
      </c>
      <c r="C175" s="62">
        <f t="shared" ca="1" si="1"/>
        <v>175.8905796689902</v>
      </c>
      <c r="D175" s="28">
        <f t="shared" ca="1" si="19"/>
        <v>8.93640133921624E-5</v>
      </c>
      <c r="E175" s="26">
        <f t="shared" ca="1" si="12"/>
        <v>103745.15618890383</v>
      </c>
      <c r="F175" s="26">
        <f t="shared" ca="1" si="13"/>
        <v>105899.38125730527</v>
      </c>
      <c r="G175" s="26">
        <f t="shared" ca="1" si="2"/>
        <v>5220.2156954461161</v>
      </c>
      <c r="H175" s="28">
        <f t="shared" si="3"/>
        <v>2.0265000000000005E-3</v>
      </c>
      <c r="I175" s="28">
        <f t="shared" ca="1" si="4"/>
        <v>5.6550890016793083E-8</v>
      </c>
      <c r="J175" s="26">
        <f t="shared" ca="1" si="5"/>
        <v>216.09756586657244</v>
      </c>
      <c r="K175" s="26">
        <f t="shared" ca="1" si="6"/>
        <v>2367.9403194473175</v>
      </c>
      <c r="L175" s="28">
        <f t="shared" ca="1" si="7"/>
        <v>0.15854441707901129</v>
      </c>
      <c r="M175" s="28">
        <f t="shared" ca="1" si="8"/>
        <v>375.42371762466269</v>
      </c>
      <c r="N175" s="26">
        <f t="shared" ca="1" si="17"/>
        <v>84143.620234083792</v>
      </c>
      <c r="O175" s="26">
        <f t="shared" ca="1" si="10"/>
        <v>144.07899676829379</v>
      </c>
      <c r="P175" s="29">
        <f t="shared" ca="1" si="14"/>
        <v>0.2799354043309763</v>
      </c>
      <c r="Q175" s="14" t="str">
        <f t="shared" ca="1" si="15"/>
        <v/>
      </c>
    </row>
    <row r="176" spans="2:17" x14ac:dyDescent="0.15">
      <c r="B176" s="27">
        <f t="shared" si="16"/>
        <v>-7.9489700043360187</v>
      </c>
      <c r="C176" s="62">
        <f t="shared" ca="1" si="1"/>
        <v>177.0029459884833</v>
      </c>
      <c r="D176" s="28">
        <f t="shared" ca="1" si="19"/>
        <v>3.6900649364911107E-4</v>
      </c>
      <c r="E176" s="26">
        <f t="shared" ca="1" si="12"/>
        <v>106759.64601127258</v>
      </c>
      <c r="F176" s="26">
        <f t="shared" ca="1" si="13"/>
        <v>109042.25634212667</v>
      </c>
      <c r="G176" s="26">
        <f t="shared" ca="1" si="2"/>
        <v>5253.2293572978842</v>
      </c>
      <c r="H176" s="28">
        <f t="shared" si="3"/>
        <v>1.1395846954982414E-3</v>
      </c>
      <c r="I176" s="28">
        <f t="shared" ca="1" si="4"/>
        <v>3.1601051223492422E-8</v>
      </c>
      <c r="J176" s="26">
        <f t="shared" ca="1" si="5"/>
        <v>216.77981047435202</v>
      </c>
      <c r="K176" s="26">
        <f t="shared" ca="1" si="6"/>
        <v>2362.7167537135138</v>
      </c>
      <c r="L176" s="28">
        <f t="shared" ca="1" si="7"/>
        <v>8.8205335431821963E-2</v>
      </c>
      <c r="M176" s="28">
        <f t="shared" ca="1" si="8"/>
        <v>208.40422379168598</v>
      </c>
      <c r="N176" s="26">
        <f t="shared" ca="1" si="17"/>
        <v>86640.82923040296</v>
      </c>
      <c r="O176" s="26">
        <f t="shared" ca="1" si="10"/>
        <v>144.07899676829379</v>
      </c>
      <c r="P176" s="29">
        <f t="shared" ca="1" si="14"/>
        <v>0.28972399977382196</v>
      </c>
      <c r="Q176" s="14" t="str">
        <f t="shared" ca="1" si="15"/>
        <v/>
      </c>
    </row>
    <row r="177" spans="2:17" x14ac:dyDescent="0.15">
      <c r="B177" s="27">
        <f t="shared" si="16"/>
        <v>-8.1989700043360187</v>
      </c>
      <c r="C177" s="62">
        <f t="shared" ca="1" si="1"/>
        <v>178.93562145516373</v>
      </c>
      <c r="D177" s="28">
        <f t="shared" ca="1" si="19"/>
        <v>6.3564785246544191E-4</v>
      </c>
      <c r="E177" s="26">
        <f t="shared" ca="1" si="12"/>
        <v>109800.12740232033</v>
      </c>
      <c r="F177" s="26">
        <f t="shared" ca="1" si="13"/>
        <v>112216.07631927023</v>
      </c>
      <c r="G177" s="26">
        <f t="shared" ca="1" si="2"/>
        <v>5310.5887839616398</v>
      </c>
      <c r="H177" s="28">
        <f t="shared" si="3"/>
        <v>6.4083556783312067E-4</v>
      </c>
      <c r="I177" s="28">
        <f t="shared" ca="1" si="4"/>
        <v>1.7578637832450569E-8</v>
      </c>
      <c r="J177" s="26">
        <f t="shared" ca="1" si="5"/>
        <v>217.96009468483331</v>
      </c>
      <c r="K177" s="26">
        <f t="shared" ca="1" si="6"/>
        <v>2357.4766822383381</v>
      </c>
      <c r="L177" s="28">
        <f t="shared" ca="1" si="7"/>
        <v>4.8848365284365168E-2</v>
      </c>
      <c r="M177" s="28">
        <f t="shared" ca="1" si="8"/>
        <v>115.15888212335162</v>
      </c>
      <c r="N177" s="26">
        <f t="shared" ca="1" si="17"/>
        <v>89162.625861105116</v>
      </c>
      <c r="O177" s="26">
        <f t="shared" ca="1" si="10"/>
        <v>144.07899676829379</v>
      </c>
      <c r="P177" s="29">
        <f t="shared" ca="1" si="14"/>
        <v>0.30673114745001945</v>
      </c>
      <c r="Q177" s="14" t="str">
        <f t="shared" ca="1" si="15"/>
        <v/>
      </c>
    </row>
    <row r="178" spans="2:17" x14ac:dyDescent="0.15">
      <c r="B178" s="27">
        <f t="shared" si="16"/>
        <v>-8.4489700043360187</v>
      </c>
      <c r="C178" s="62">
        <f t="shared" ca="1" si="1"/>
        <v>181.65447977718216</v>
      </c>
      <c r="D178" s="28">
        <f t="shared" ca="1" si="19"/>
        <v>8.8269250224876203E-4</v>
      </c>
      <c r="E178" s="26">
        <f t="shared" ca="1" si="12"/>
        <v>112880.31480064095</v>
      </c>
      <c r="F178" s="26">
        <f t="shared" ca="1" si="13"/>
        <v>115435.28967066602</v>
      </c>
      <c r="G178" s="26">
        <f t="shared" ca="1" si="2"/>
        <v>5391.2811491412012</v>
      </c>
      <c r="H178" s="28">
        <f t="shared" si="3"/>
        <v>3.6036832244438647E-4</v>
      </c>
      <c r="I178" s="28">
        <f t="shared" ca="1" si="4"/>
        <v>9.7372408437844156E-9</v>
      </c>
      <c r="J178" s="26">
        <f t="shared" ca="1" si="5"/>
        <v>219.60976192693292</v>
      </c>
      <c r="K178" s="26">
        <f t="shared" ca="1" si="6"/>
        <v>2352.1971219135826</v>
      </c>
      <c r="L178" s="28">
        <f t="shared" ca="1" si="7"/>
        <v>2.693725545971264E-2</v>
      </c>
      <c r="M178" s="28">
        <f t="shared" ca="1" si="8"/>
        <v>63.361734764587013</v>
      </c>
      <c r="N178" s="26">
        <f t="shared" ca="1" si="17"/>
        <v>91720.490340352524</v>
      </c>
      <c r="O178" s="26">
        <f t="shared" ca="1" si="10"/>
        <v>144.07899676829379</v>
      </c>
      <c r="P178" s="29">
        <f t="shared" ca="1" si="14"/>
        <v>0.33065654299128339</v>
      </c>
      <c r="Q178" s="14" t="str">
        <f t="shared" ca="1" si="15"/>
        <v/>
      </c>
    </row>
    <row r="179" spans="2:17" x14ac:dyDescent="0.15">
      <c r="B179" s="27">
        <f t="shared" si="16"/>
        <v>-8.6989700043360187</v>
      </c>
      <c r="C179" s="62">
        <f t="shared" ca="1" si="1"/>
        <v>185.12539466268885</v>
      </c>
      <c r="D179" s="28">
        <f t="shared" ca="1" si="19"/>
        <v>1.107847192236752E-3</v>
      </c>
      <c r="E179" s="26">
        <f t="shared" ca="1" si="12"/>
        <v>116013.34154821908</v>
      </c>
      <c r="F179" s="26">
        <f t="shared" ca="1" si="13"/>
        <v>118713.80933425538</v>
      </c>
      <c r="G179" s="26">
        <f t="shared" ca="1" si="2"/>
        <v>5494.293626540375</v>
      </c>
      <c r="H179" s="28">
        <f t="shared" si="3"/>
        <v>2.026499999999998E-4</v>
      </c>
      <c r="I179" s="28">
        <f t="shared" ca="1" si="4"/>
        <v>5.3729899368883068E-9</v>
      </c>
      <c r="J179" s="26">
        <f t="shared" ca="1" si="5"/>
        <v>221.6979021732362</v>
      </c>
      <c r="K179" s="26">
        <f t="shared" ca="1" si="6"/>
        <v>2346.8565901731099</v>
      </c>
      <c r="L179" s="28">
        <f t="shared" ca="1" si="7"/>
        <v>1.4796504661544314E-2</v>
      </c>
      <c r="M179" s="28">
        <f t="shared" ca="1" si="8"/>
        <v>34.725274476472414</v>
      </c>
      <c r="N179" s="26">
        <f t="shared" ca="1" si="17"/>
        <v>94325.477359424549</v>
      </c>
      <c r="O179" s="26">
        <f t="shared" ca="1" si="10"/>
        <v>144.07899676829379</v>
      </c>
      <c r="P179" s="29">
        <f t="shared" ca="1" si="14"/>
        <v>0.3611998820293244</v>
      </c>
      <c r="Q179" s="14" t="str">
        <f t="shared" ca="1" si="15"/>
        <v/>
      </c>
    </row>
    <row r="180" spans="2:17" x14ac:dyDescent="0.15">
      <c r="B180" s="27">
        <f t="shared" si="16"/>
        <v>-8.9489700043360187</v>
      </c>
      <c r="C180" s="62">
        <f t="shared" ca="1" si="1"/>
        <v>189.31423981983397</v>
      </c>
      <c r="D180" s="28">
        <f t="shared" ca="1" si="19"/>
        <v>1.3096614449662496E-3</v>
      </c>
      <c r="E180" s="26">
        <f t="shared" ca="1" si="12"/>
        <v>119211.75986712554</v>
      </c>
      <c r="F180" s="26">
        <f t="shared" ca="1" si="13"/>
        <v>122065.01180345721</v>
      </c>
      <c r="G180" s="26">
        <f t="shared" ca="1" si="2"/>
        <v>5618.6133898629678</v>
      </c>
      <c r="H180" s="28">
        <f t="shared" si="3"/>
        <v>1.13958469549824E-4</v>
      </c>
      <c r="I180" s="28">
        <f t="shared" ca="1" si="4"/>
        <v>2.9546003344567757E-9</v>
      </c>
      <c r="J180" s="26">
        <f t="shared" ca="1" si="5"/>
        <v>224.19205913952516</v>
      </c>
      <c r="K180" s="26">
        <f t="shared" ca="1" si="6"/>
        <v>2341.4350837570159</v>
      </c>
      <c r="L180" s="28">
        <f t="shared" ca="1" si="7"/>
        <v>8.0990296696637053E-3</v>
      </c>
      <c r="M180" s="28">
        <f t="shared" ca="1" si="8"/>
        <v>18.963352212939593</v>
      </c>
      <c r="N180" s="26">
        <f t="shared" ca="1" si="17"/>
        <v>96988.215371187864</v>
      </c>
      <c r="O180" s="26">
        <f t="shared" ca="1" si="10"/>
        <v>144.07899676829379</v>
      </c>
      <c r="P180" s="29">
        <f t="shared" ca="1" si="14"/>
        <v>0.39806086019585257</v>
      </c>
      <c r="Q180" s="14" t="str">
        <f t="shared" ca="1" si="15"/>
        <v/>
      </c>
    </row>
    <row r="181" spans="2:17" x14ac:dyDescent="0.15">
      <c r="B181" s="27">
        <f t="shared" si="16"/>
        <v>-9.1989700043360187</v>
      </c>
      <c r="C181" s="62">
        <f t="shared" ca="1" si="1"/>
        <v>194.18688895676712</v>
      </c>
      <c r="D181" s="28">
        <f t="shared" ca="1" si="19"/>
        <v>1.487477125793049E-3</v>
      </c>
      <c r="E181" s="26">
        <f t="shared" ca="1" si="12"/>
        <v>122487.54075305733</v>
      </c>
      <c r="F181" s="26">
        <f t="shared" ca="1" si="13"/>
        <v>125501.73665162506</v>
      </c>
      <c r="G181" s="26">
        <f t="shared" ca="1" si="2"/>
        <v>5763.2276128127651</v>
      </c>
      <c r="H181" s="28">
        <f t="shared" si="3"/>
        <v>6.4083556783311991E-5</v>
      </c>
      <c r="I181" s="28">
        <f t="shared" ca="1" si="4"/>
        <v>1.6198027074758269E-9</v>
      </c>
      <c r="J181" s="26">
        <f t="shared" ca="1" si="5"/>
        <v>227.05890384698296</v>
      </c>
      <c r="K181" s="26">
        <f t="shared" ca="1" si="6"/>
        <v>2335.9140611801845</v>
      </c>
      <c r="L181" s="28">
        <f t="shared" ca="1" si="7"/>
        <v>4.4192222832009943E-3</v>
      </c>
      <c r="M181" s="28">
        <f t="shared" ca="1" si="8"/>
        <v>10.322923470810002</v>
      </c>
      <c r="N181" s="26">
        <f t="shared" ca="1" si="17"/>
        <v>99718.906212248155</v>
      </c>
      <c r="O181" s="26">
        <f t="shared" ca="1" si="10"/>
        <v>144.07899676829379</v>
      </c>
      <c r="P181" s="29">
        <f t="shared" ca="1" si="14"/>
        <v>0.44093917312257286</v>
      </c>
      <c r="Q181" s="14" t="str">
        <f t="shared" ca="1" si="15"/>
        <v/>
      </c>
    </row>
    <row r="182" spans="2:17" x14ac:dyDescent="0.15">
      <c r="B182" s="27">
        <f t="shared" si="16"/>
        <v>-9.4489700043360187</v>
      </c>
      <c r="C182" s="62">
        <f t="shared" ca="1" si="1"/>
        <v>199.70921578163916</v>
      </c>
      <c r="D182" s="28">
        <f t="shared" ca="1" si="19"/>
        <v>1.6413352868742991E-3</v>
      </c>
      <c r="E182" s="26">
        <f t="shared" ref="E182:E186" ca="1" si="20">IF(D182=0,(8314.4621*C181*LN(H182/H181)/(-G$97*9.80665*G$102)),C181/D182*(1/(H182/H181)^(8314.4621*D182/(G$97*9.80665*G$102))-1))+E181</f>
        <v>125852.07380674503</v>
      </c>
      <c r="F182" s="26">
        <f t="shared" ref="F182:F186" ca="1" si="21">F$36*E182/(F$36-E182)</f>
        <v>129036.28640284686</v>
      </c>
      <c r="G182" s="26">
        <f t="shared" ref="G182:G186" ca="1" si="22">8314.4621*C182/(G$102*G$97*9.80665)</f>
        <v>5927.1234690935908</v>
      </c>
      <c r="H182" s="28">
        <f t="shared" ref="H182:H186" si="23">10^B182*101325</f>
        <v>3.6036832244438741E-5</v>
      </c>
      <c r="I182" s="28">
        <f t="shared" ref="I182:I186" ca="1" si="24">H182/(8314.4621/G$102*C182)</f>
        <v>8.8569443979831289E-10</v>
      </c>
      <c r="J182" s="26">
        <f t="shared" ref="J182:J186" ca="1" si="25">SQRT(8314.4621/G$102*G$104*C182)</f>
        <v>230.2648448111504</v>
      </c>
      <c r="K182" s="26">
        <f t="shared" ca="1" si="6"/>
        <v>2330.2764278564068</v>
      </c>
      <c r="L182" s="28">
        <f t="shared" ref="L182:L186" ca="1" si="26">I182*K182^2/2</f>
        <v>2.4047437612834711E-3</v>
      </c>
      <c r="M182" s="28">
        <f t="shared" ref="M182:M186" ca="1" si="27">I182*K182^3/2</f>
        <v>5.6037177019536273</v>
      </c>
      <c r="N182" s="26">
        <f t="shared" ref="N182:N186" ca="1" si="28">F182*IF(G$125&gt;0,G$125,0.5)</f>
        <v>102527.32500029245</v>
      </c>
      <c r="O182" s="26">
        <f t="shared" ca="1" si="10"/>
        <v>144.07899676829379</v>
      </c>
      <c r="P182" s="29">
        <f t="shared" ref="P182:P186" ca="1" si="29">2*(C182-O182)/G$113</f>
        <v>0.48953451644120127</v>
      </c>
      <c r="Q182" s="14" t="str">
        <f t="shared" ca="1" si="15"/>
        <v/>
      </c>
    </row>
    <row r="183" spans="2:17" x14ac:dyDescent="0.15">
      <c r="B183" s="27">
        <f t="shared" si="16"/>
        <v>-9.6989700043360187</v>
      </c>
      <c r="C183" s="62">
        <f t="shared" ca="1" si="1"/>
        <v>205.8470940025999</v>
      </c>
      <c r="D183" s="28">
        <f t="shared" ca="1" si="19"/>
        <v>1.7718571163219819E-3</v>
      </c>
      <c r="E183" s="26">
        <f t="shared" ca="1" si="20"/>
        <v>129316.16702533499</v>
      </c>
      <c r="F183" s="26">
        <f t="shared" ca="1" si="21"/>
        <v>132680.42667572535</v>
      </c>
      <c r="G183" s="26">
        <f t="shared" ca="1" si="22"/>
        <v>6109.2881324092414</v>
      </c>
      <c r="H183" s="28">
        <f t="shared" si="23"/>
        <v>2.0264999999999956E-5</v>
      </c>
      <c r="I183" s="28">
        <f t="shared" ca="1" si="24"/>
        <v>4.8321152523656187E-10</v>
      </c>
      <c r="J183" s="26">
        <f t="shared" ca="1" si="25"/>
        <v>233.77655533290601</v>
      </c>
      <c r="K183" s="26">
        <f t="shared" ca="1" si="6"/>
        <v>2324.5065229171737</v>
      </c>
      <c r="L183" s="28">
        <f t="shared" ca="1" si="26"/>
        <v>1.3054758042719623E-3</v>
      </c>
      <c r="M183" s="28">
        <f t="shared" ca="1" si="27"/>
        <v>3.0345870225407201</v>
      </c>
      <c r="N183" s="26">
        <f t="shared" ca="1" si="28"/>
        <v>105422.82024833164</v>
      </c>
      <c r="O183" s="26">
        <f t="shared" ca="1" si="10"/>
        <v>144.07899676829379</v>
      </c>
      <c r="P183" s="29">
        <f t="shared" ca="1" si="29"/>
        <v>0.54354658578344472</v>
      </c>
      <c r="Q183" s="14" t="str">
        <f t="shared" ca="1" si="15"/>
        <v/>
      </c>
    </row>
    <row r="184" spans="2:17" x14ac:dyDescent="0.15">
      <c r="B184" s="27">
        <f t="shared" si="16"/>
        <v>-9.9489700043360187</v>
      </c>
      <c r="C184" s="62">
        <f t="shared" ca="1" si="1"/>
        <v>212.56639732780019</v>
      </c>
      <c r="D184" s="28">
        <f t="shared" ca="1" si="19"/>
        <v>1.8801146578317739E-3</v>
      </c>
      <c r="E184" s="26">
        <f t="shared" ca="1" si="20"/>
        <v>132890.04657422905</v>
      </c>
      <c r="F184" s="26">
        <f t="shared" ca="1" si="21"/>
        <v>136445.38652927094</v>
      </c>
      <c r="G184" s="26">
        <f t="shared" ca="1" si="22"/>
        <v>6308.7087764635389</v>
      </c>
      <c r="H184" s="28">
        <f t="shared" si="23"/>
        <v>1.1395846954982386E-5</v>
      </c>
      <c r="I184" s="28">
        <f t="shared" ca="1" si="24"/>
        <v>2.6314032853769285E-10</v>
      </c>
      <c r="J184" s="26">
        <f t="shared" ca="1" si="25"/>
        <v>237.56140814831809</v>
      </c>
      <c r="K184" s="26">
        <f t="shared" ca="1" si="6"/>
        <v>2318.5901068531498</v>
      </c>
      <c r="L184" s="28">
        <f t="shared" ca="1" si="26"/>
        <v>7.0730279428523127E-4</v>
      </c>
      <c r="M184" s="28">
        <f t="shared" ca="1" si="27"/>
        <v>1.6399452613793257</v>
      </c>
      <c r="N184" s="26">
        <f t="shared" ca="1" si="28"/>
        <v>108414.31413953374</v>
      </c>
      <c r="O184" s="26">
        <f t="shared" ca="1" si="10"/>
        <v>144.07899676829379</v>
      </c>
      <c r="P184" s="29">
        <f t="shared" ca="1" si="29"/>
        <v>0.60267507678101895</v>
      </c>
      <c r="Q184" s="14" t="str">
        <f t="shared" ca="1" si="15"/>
        <v/>
      </c>
    </row>
    <row r="185" spans="2:17" x14ac:dyDescent="0.15">
      <c r="B185" s="27">
        <f t="shared" si="16"/>
        <v>-10.198970004336019</v>
      </c>
      <c r="C185" s="62">
        <f t="shared" ca="1" si="1"/>
        <v>219.7080244097088</v>
      </c>
      <c r="D185" s="28">
        <f t="shared" ca="1" si="19"/>
        <v>1.9342187014632769E-3</v>
      </c>
      <c r="E185" s="26">
        <f t="shared" ca="1" si="20"/>
        <v>136582.30075236646</v>
      </c>
      <c r="F185" s="26">
        <f t="shared" ca="1" si="21"/>
        <v>140340.74423006081</v>
      </c>
      <c r="G185" s="26">
        <f t="shared" ca="1" si="22"/>
        <v>6520.663469285415</v>
      </c>
      <c r="H185" s="28">
        <f t="shared" si="23"/>
        <v>6.408355678331216E-6</v>
      </c>
      <c r="I185" s="28">
        <f t="shared" ca="1" si="24"/>
        <v>1.4316475209932312E-10</v>
      </c>
      <c r="J185" s="26">
        <f t="shared" ca="1" si="25"/>
        <v>241.51913488964706</v>
      </c>
      <c r="K185" s="26">
        <f t="shared" ca="1" si="6"/>
        <v>2312.5160805363216</v>
      </c>
      <c r="L185" s="28">
        <f t="shared" ca="1" si="26"/>
        <v>3.82803264449199E-4</v>
      </c>
      <c r="M185" s="28">
        <f t="shared" ca="1" si="27"/>
        <v>0.88523870472057065</v>
      </c>
      <c r="N185" s="26">
        <f t="shared" ca="1" si="28"/>
        <v>111509.41720019083</v>
      </c>
      <c r="O185" s="26">
        <f t="shared" ca="1" si="10"/>
        <v>144.07899676829379</v>
      </c>
      <c r="P185" s="29">
        <f t="shared" ca="1" si="29"/>
        <v>0.66551993021053413</v>
      </c>
      <c r="Q185" s="14" t="str">
        <f t="shared" ca="1" si="15"/>
        <v/>
      </c>
    </row>
    <row r="186" spans="2:17" x14ac:dyDescent="0.15">
      <c r="B186" s="27">
        <f t="shared" si="16"/>
        <v>-10.448970004336019</v>
      </c>
      <c r="C186" s="62">
        <f t="shared" ca="1" si="1"/>
        <v>226.97911275985754</v>
      </c>
      <c r="D186" s="28">
        <f t="shared" ca="1" si="19"/>
        <v>1.9057361304480683E-3</v>
      </c>
      <c r="E186" s="26">
        <f t="shared" ca="1" si="20"/>
        <v>140397.67069470987</v>
      </c>
      <c r="F186" s="26">
        <f t="shared" ca="1" si="21"/>
        <v>144372.08328420902</v>
      </c>
      <c r="G186" s="26">
        <f t="shared" ca="1" si="22"/>
        <v>6736.4604130435891</v>
      </c>
      <c r="H186" s="28">
        <f t="shared" si="23"/>
        <v>3.6036832244438703E-6</v>
      </c>
      <c r="I186" s="28">
        <f t="shared" ca="1" si="24"/>
        <v>7.7928466563977819E-11</v>
      </c>
      <c r="J186" s="26">
        <f t="shared" ca="1" si="25"/>
        <v>245.48306210173331</v>
      </c>
      <c r="K186" s="26">
        <f t="shared" ca="1" si="6"/>
        <v>2306.2800143713712</v>
      </c>
      <c r="L186" s="28">
        <f t="shared" ca="1" si="26"/>
        <v>2.0724793210268204E-4</v>
      </c>
      <c r="M186" s="28">
        <f t="shared" ca="1" si="27"/>
        <v>0.47797176382821055</v>
      </c>
      <c r="N186" s="26">
        <f t="shared" ca="1" si="28"/>
        <v>114712.56587188033</v>
      </c>
      <c r="O186" s="26">
        <f t="shared" ca="1" si="10"/>
        <v>144.07899676829379</v>
      </c>
      <c r="P186" s="29">
        <f t="shared" ca="1" si="29"/>
        <v>0.72950401624545391</v>
      </c>
      <c r="Q186" s="14" t="str">
        <f t="shared" ca="1" si="15"/>
        <v/>
      </c>
    </row>
    <row r="187" spans="2:17" x14ac:dyDescent="0.15">
      <c r="B187" s="27">
        <f t="shared" si="16"/>
        <v>-10.698970004336019</v>
      </c>
      <c r="C187" s="62">
        <f t="shared" ca="1" si="1"/>
        <v>234.34224672828407</v>
      </c>
      <c r="D187" s="28">
        <f t="shared" ca="1" si="19"/>
        <v>1.8686348868857785E-3</v>
      </c>
      <c r="E187" s="26">
        <f t="shared" ref="E187:E189" ca="1" si="30">IF(D187=0,(8314.4621*C186*LN(H187/H186)/(-G$97*9.80665*G$102)),C186/D187*(1/(H187/H186)^(8314.4621*D187/(G$97*9.80665*G$102))-1))+E186</f>
        <v>144338.05199664435</v>
      </c>
      <c r="F187" s="26">
        <f t="shared" ref="F187:F189" ca="1" si="31">F$36*E187/(F$36-E187)</f>
        <v>148542.02584973979</v>
      </c>
      <c r="G187" s="26">
        <f t="shared" ref="G187:G189" ca="1" si="32">8314.4621*C187/(G$102*G$97*9.80665)</f>
        <v>6954.9891573458017</v>
      </c>
      <c r="H187" s="28">
        <f t="shared" ref="H187:H189" si="33">10^B187*101325</f>
        <v>2.0264999999999936E-6</v>
      </c>
      <c r="I187" s="28">
        <f t="shared" ref="I187:I189" ca="1" si="34">H187/(8314.4621/G$102*C187)</f>
        <v>4.2445478631021768E-11</v>
      </c>
      <c r="J187" s="26">
        <f t="shared" ref="J187:J189" ca="1" si="35">SQRT(8314.4621/G$102*G$104*C187)</f>
        <v>249.43298245740041</v>
      </c>
      <c r="K187" s="26">
        <f t="shared" ca="1" si="6"/>
        <v>2299.8823313035837</v>
      </c>
      <c r="L187" s="28">
        <f t="shared" ref="L187:L189" ca="1" si="36">I187*K187^2/2</f>
        <v>1.1225680391338063E-4</v>
      </c>
      <c r="M187" s="28">
        <f t="shared" ref="M187:M189" ca="1" si="37">I187*K187^3/2</f>
        <v>0.25817743988899511</v>
      </c>
      <c r="N187" s="26">
        <f t="shared" ref="N187:N189" ca="1" si="38">F187*IF(G$125&gt;0,G$125,0.5)</f>
        <v>118025.84362162882</v>
      </c>
      <c r="O187" s="26">
        <f t="shared" ca="1" si="10"/>
        <v>144.07899676829379</v>
      </c>
      <c r="P187" s="29">
        <f t="shared" ref="P187:P189" ca="1" si="39">2*(C187-O187)/G$113</f>
        <v>0.79429808484081144</v>
      </c>
      <c r="Q187" s="14" t="str">
        <f t="shared" ca="1" si="15"/>
        <v/>
      </c>
    </row>
    <row r="188" spans="2:17" x14ac:dyDescent="0.15">
      <c r="B188" s="27">
        <f t="shared" si="16"/>
        <v>-10.948970004336019</v>
      </c>
      <c r="C188" s="62">
        <f t="shared" ca="1" si="1"/>
        <v>241.76826566521419</v>
      </c>
      <c r="D188" s="28">
        <f t="shared" ca="1" si="19"/>
        <v>1.8260469237400666E-3</v>
      </c>
      <c r="E188" s="26">
        <f t="shared" ca="1" si="30"/>
        <v>148404.77056799462</v>
      </c>
      <c r="F188" s="26">
        <f t="shared" ca="1" si="31"/>
        <v>152852.62523035269</v>
      </c>
      <c r="G188" s="26">
        <f t="shared" ca="1" si="32"/>
        <v>7175.3842500346518</v>
      </c>
      <c r="H188" s="28">
        <f t="shared" si="33"/>
        <v>1.1395846954982414E-6</v>
      </c>
      <c r="I188" s="28">
        <f t="shared" ca="1" si="34"/>
        <v>2.3135704545428758E-11</v>
      </c>
      <c r="J188" s="26">
        <f t="shared" ca="1" si="35"/>
        <v>253.35427245796848</v>
      </c>
      <c r="K188" s="26">
        <f t="shared" ca="1" si="6"/>
        <v>2293.3244960998422</v>
      </c>
      <c r="L188" s="28">
        <f t="shared" ca="1" si="36"/>
        <v>6.0839236295738054E-5</v>
      </c>
      <c r="M188" s="28">
        <f t="shared" ca="1" si="37"/>
        <v>0.13952411092102271</v>
      </c>
      <c r="N188" s="26">
        <f t="shared" ca="1" si="38"/>
        <v>121450.88192645412</v>
      </c>
      <c r="O188" s="26">
        <f t="shared" ca="1" si="10"/>
        <v>144.07899676829379</v>
      </c>
      <c r="P188" s="29">
        <f t="shared" ca="1" si="39"/>
        <v>0.85964552826002938</v>
      </c>
      <c r="Q188" s="14" t="str">
        <f t="shared" ca="1" si="15"/>
        <v/>
      </c>
    </row>
    <row r="189" spans="2:17" x14ac:dyDescent="0.15">
      <c r="B189" s="27">
        <f t="shared" si="16"/>
        <v>-11.198970004336019</v>
      </c>
      <c r="C189" s="63">
        <f t="shared" ca="1" si="1"/>
        <v>249.22800892087474</v>
      </c>
      <c r="D189" s="28">
        <f t="shared" ca="1" si="19"/>
        <v>1.7787197744496153E-3</v>
      </c>
      <c r="E189" s="26">
        <f t="shared" ca="1" si="30"/>
        <v>152598.65392321255</v>
      </c>
      <c r="F189" s="26">
        <f t="shared" ca="1" si="31"/>
        <v>157305.43785891289</v>
      </c>
      <c r="G189" s="26">
        <f t="shared" ca="1" si="32"/>
        <v>7396.7802389527724</v>
      </c>
      <c r="H189" s="28">
        <f t="shared" si="33"/>
        <v>6.4083556783312077E-7</v>
      </c>
      <c r="I189" s="28">
        <f t="shared" ca="1" si="34"/>
        <v>1.2620750366317838E-11</v>
      </c>
      <c r="J189" s="26">
        <f t="shared" ca="1" si="35"/>
        <v>257.23319315903558</v>
      </c>
      <c r="K189" s="26">
        <f t="shared" ca="1" si="6"/>
        <v>2286.6088680711709</v>
      </c>
      <c r="L189" s="28">
        <f t="shared" ca="1" si="36"/>
        <v>3.2994302204272677E-5</v>
      </c>
      <c r="M189" s="28">
        <f t="shared" ca="1" si="37"/>
        <v>7.5445064016110078E-2</v>
      </c>
      <c r="N189" s="26">
        <f t="shared" ca="1" si="38"/>
        <v>124988.91746870859</v>
      </c>
      <c r="O189" s="26">
        <f t="shared" ca="1" si="10"/>
        <v>144.07899676829379</v>
      </c>
      <c r="P189" s="29">
        <f t="shared" ca="1" si="39"/>
        <v>0.92528973876653942</v>
      </c>
      <c r="Q189" s="14" t="str">
        <f t="shared" ca="1" si="15"/>
        <v/>
      </c>
    </row>
  </sheetData>
  <mergeCells count="58">
    <mergeCell ref="B77:H77"/>
    <mergeCell ref="B78:H78"/>
    <mergeCell ref="B83:H83"/>
    <mergeCell ref="B87:H87"/>
    <mergeCell ref="B91:H91"/>
    <mergeCell ref="B107:H107"/>
    <mergeCell ref="B88:H88"/>
    <mergeCell ref="B89:H89"/>
    <mergeCell ref="B129:Q129"/>
    <mergeCell ref="B130:Q130"/>
    <mergeCell ref="B118:H118"/>
    <mergeCell ref="B119:H119"/>
    <mergeCell ref="B128:Q128"/>
    <mergeCell ref="B52:D52"/>
    <mergeCell ref="B53:D53"/>
    <mergeCell ref="F36:G36"/>
    <mergeCell ref="B34:H34"/>
    <mergeCell ref="B39:J39"/>
    <mergeCell ref="B40:J40"/>
    <mergeCell ref="B38:J38"/>
    <mergeCell ref="B48:D48"/>
    <mergeCell ref="B49:D49"/>
    <mergeCell ref="B50:D50"/>
    <mergeCell ref="B51:D51"/>
    <mergeCell ref="B65:D65"/>
    <mergeCell ref="B2:H2"/>
    <mergeCell ref="B9:H9"/>
    <mergeCell ref="F15:G15"/>
    <mergeCell ref="F17:G17"/>
    <mergeCell ref="D18:E20"/>
    <mergeCell ref="B4:H4"/>
    <mergeCell ref="B5:H5"/>
    <mergeCell ref="B10:H10"/>
    <mergeCell ref="B11:H11"/>
    <mergeCell ref="B12:H12"/>
    <mergeCell ref="F23:G23"/>
    <mergeCell ref="B54:D54"/>
    <mergeCell ref="D24:E26"/>
    <mergeCell ref="F28:G28"/>
    <mergeCell ref="B33:H33"/>
    <mergeCell ref="B60:D60"/>
    <mergeCell ref="B61:D61"/>
    <mergeCell ref="B62:D62"/>
    <mergeCell ref="B63:D63"/>
    <mergeCell ref="B64:D64"/>
    <mergeCell ref="B55:D55"/>
    <mergeCell ref="B56:D56"/>
    <mergeCell ref="B57:D57"/>
    <mergeCell ref="B58:D58"/>
    <mergeCell ref="B59:D59"/>
    <mergeCell ref="I66:J66"/>
    <mergeCell ref="I67:J67"/>
    <mergeCell ref="I68:J68"/>
    <mergeCell ref="I69:J69"/>
    <mergeCell ref="B66:D66"/>
    <mergeCell ref="B67:D67"/>
    <mergeCell ref="B68:D68"/>
    <mergeCell ref="B69:D69"/>
  </mergeCells>
  <phoneticPr fontId="18" type="noConversion"/>
  <dataValidations disablePrompts="1" count="3">
    <dataValidation type="decimal" allowBlank="1" showInputMessage="1" showErrorMessage="1" sqref="G42" xr:uid="{00000000-0002-0000-0900-000000000000}">
      <formula1>0.001</formula1>
      <formula2>100</formula2>
    </dataValidation>
    <dataValidation type="list" allowBlank="1" showInputMessage="1" showErrorMessage="1" sqref="G80" xr:uid="{00000000-0002-0000-0900-000001000000}">
      <formula1>"None,10%,25%,50%,75%,90%"</formula1>
    </dataValidation>
    <dataValidation type="list" allowBlank="1" showInputMessage="1" showErrorMessage="1" sqref="I66:J69" xr:uid="{00000000-0002-0000-0900-000002000000}">
      <formula1>"No greenhouse,Mild greenhouse,Strong greenhouse"</formula1>
    </dataValidation>
  </dataValidations>
  <hyperlinks>
    <hyperlink ref="B7" r:id="rId1" xr:uid="{00000000-0004-0000-0900-000000000000}"/>
  </hyperlinks>
  <pageMargins left="0.7" right="0.7" top="0.75" bottom="0.75" header="0.3" footer="0.3"/>
  <pageSetup orientation="portrait" horizontalDpi="0" verticalDpi="0" r:id="rId2"/>
  <ignoredErrors>
    <ignoredError sqref="G95" formulaRange="1"/>
    <ignoredError sqref="K53"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01"/>
  <sheetViews>
    <sheetView workbookViewId="0">
      <selection sqref="A1:E1"/>
    </sheetView>
  </sheetViews>
  <sheetFormatPr defaultColWidth="9.125" defaultRowHeight="15" x14ac:dyDescent="0.25"/>
  <cols>
    <col min="1" max="1" width="27.625" style="2" customWidth="1"/>
    <col min="2" max="5" width="14.625" style="2" customWidth="1"/>
    <col min="6" max="16384" width="9.125" style="2"/>
  </cols>
  <sheetData>
    <row r="1" spans="1:5" ht="78.75" customHeight="1" x14ac:dyDescent="0.25">
      <c r="A1" s="102" t="s">
        <v>377</v>
      </c>
      <c r="B1" s="102"/>
      <c r="C1" s="102"/>
      <c r="D1" s="102"/>
      <c r="E1" s="102"/>
    </row>
    <row r="2" spans="1:5" x14ac:dyDescent="0.25">
      <c r="A2" s="1"/>
      <c r="B2" s="1"/>
      <c r="C2" s="1"/>
      <c r="D2" s="1"/>
      <c r="E2" s="1"/>
    </row>
    <row r="3" spans="1:5" x14ac:dyDescent="0.25">
      <c r="A3" s="1" t="s">
        <v>97</v>
      </c>
      <c r="B3" s="1"/>
      <c r="C3" s="1"/>
      <c r="D3" s="1"/>
      <c r="E3" s="1"/>
    </row>
    <row r="4" spans="1:5" x14ac:dyDescent="0.25">
      <c r="A4" s="1" t="s">
        <v>66</v>
      </c>
      <c r="B4" s="3"/>
      <c r="D4" s="1"/>
      <c r="E4" s="3"/>
    </row>
    <row r="5" spans="1:5" x14ac:dyDescent="0.25">
      <c r="A5" s="10" t="s">
        <v>98</v>
      </c>
      <c r="B5" s="3">
        <f>Locked!G27</f>
        <v>0.25</v>
      </c>
      <c r="D5" s="1"/>
      <c r="E5" s="3"/>
    </row>
    <row r="6" spans="1:5" x14ac:dyDescent="0.25">
      <c r="A6" s="1" t="s">
        <v>67</v>
      </c>
      <c r="B6" s="3"/>
      <c r="D6" s="1"/>
      <c r="E6" s="3"/>
    </row>
    <row r="7" spans="1:5" x14ac:dyDescent="0.25">
      <c r="A7" s="1" t="s">
        <v>68</v>
      </c>
      <c r="B7" s="1"/>
      <c r="D7" s="1"/>
      <c r="E7" s="3"/>
    </row>
    <row r="8" spans="1:5" x14ac:dyDescent="0.25">
      <c r="A8" s="1" t="s">
        <v>66</v>
      </c>
      <c r="B8" s="3"/>
      <c r="D8" s="1"/>
      <c r="E8" s="3"/>
    </row>
    <row r="9" spans="1:5" x14ac:dyDescent="0.25">
      <c r="A9" s="10" t="s">
        <v>173</v>
      </c>
      <c r="B9" s="3">
        <v>0</v>
      </c>
      <c r="D9" s="1"/>
      <c r="E9" s="3"/>
    </row>
    <row r="10" spans="1:5" x14ac:dyDescent="0.25">
      <c r="A10" s="10" t="s">
        <v>69</v>
      </c>
      <c r="B10" s="4" t="s">
        <v>70</v>
      </c>
      <c r="D10" s="3"/>
      <c r="E10" s="3"/>
    </row>
    <row r="11" spans="1:5" x14ac:dyDescent="0.25">
      <c r="A11" s="10" t="s">
        <v>71</v>
      </c>
      <c r="B11" s="4" t="str">
        <f>IF(Locked!F59&gt;0,"True","False")</f>
        <v>False</v>
      </c>
      <c r="D11" s="3"/>
      <c r="E11" s="3"/>
    </row>
    <row r="12" spans="1:5" x14ac:dyDescent="0.25">
      <c r="A12" s="10" t="s">
        <v>72</v>
      </c>
      <c r="B12" s="3">
        <f ca="1">MAX(B19:B61)</f>
        <v>59000</v>
      </c>
      <c r="D12" s="3"/>
      <c r="E12" s="3"/>
    </row>
    <row r="13" spans="1:5" x14ac:dyDescent="0.25">
      <c r="A13" s="10" t="s">
        <v>73</v>
      </c>
      <c r="B13" s="5">
        <f ca="1">ROUND(Locked!G104,2)</f>
        <v>1.3</v>
      </c>
      <c r="D13" s="3"/>
      <c r="E13" s="3"/>
    </row>
    <row r="14" spans="1:5" x14ac:dyDescent="0.25">
      <c r="A14" s="10" t="s">
        <v>74</v>
      </c>
      <c r="B14" s="3">
        <f>ROUND(Locked!G102/1000,5)</f>
        <v>4.0809999999999999E-2</v>
      </c>
      <c r="D14" s="3"/>
      <c r="E14" s="3"/>
    </row>
    <row r="15" spans="1:5" x14ac:dyDescent="0.25">
      <c r="A15" s="10" t="s">
        <v>75</v>
      </c>
      <c r="B15" s="3">
        <f ca="1">ROUND(Locked!C$147,0)</f>
        <v>322</v>
      </c>
      <c r="D15" s="3"/>
      <c r="E15" s="3"/>
    </row>
    <row r="16" spans="1:5" x14ac:dyDescent="0.25">
      <c r="A16" s="10" t="s">
        <v>76</v>
      </c>
      <c r="B16" s="3">
        <f ca="1">C143</f>
        <v>20.265000000000004</v>
      </c>
      <c r="D16" s="3"/>
      <c r="E16" s="3"/>
    </row>
    <row r="17" spans="1:5" x14ac:dyDescent="0.25">
      <c r="A17" s="10" t="s">
        <v>77</v>
      </c>
      <c r="B17" s="3"/>
      <c r="D17" s="3"/>
      <c r="E17" s="3"/>
    </row>
    <row r="18" spans="1:5" x14ac:dyDescent="0.25">
      <c r="A18" s="10" t="s">
        <v>66</v>
      </c>
      <c r="B18" s="1"/>
      <c r="C18" s="3"/>
      <c r="D18" s="3"/>
      <c r="E18" s="3"/>
    </row>
    <row r="19" spans="1:5" x14ac:dyDescent="0.25">
      <c r="A19" s="3" t="str">
        <f t="shared" ref="A19:A29" ca="1" si="0">IF(B19="","Unused","key =")</f>
        <v>key =</v>
      </c>
      <c r="B19" s="3">
        <f ca="1">IF(Locked!Q147="|",ROUND(Locked!N147,0),IF(Locked!Q147="V",ROUND(Locked!N147,-3),""))</f>
        <v>0</v>
      </c>
      <c r="C19" s="3">
        <f ca="1">IF(B19="","",ROUND(Locked!O147,0))</f>
        <v>208</v>
      </c>
      <c r="D19" s="6">
        <v>0</v>
      </c>
      <c r="E19" s="6">
        <f ca="1">(C20-C19)/(B20-B19)</f>
        <v>-2.1052631578947368E-3</v>
      </c>
    </row>
    <row r="20" spans="1:5" x14ac:dyDescent="0.25">
      <c r="A20" s="3" t="str">
        <f t="shared" ca="1" si="0"/>
        <v>key =</v>
      </c>
      <c r="B20" s="3">
        <f ca="1">IF(Locked!Q148="|",ROUND(Locked!N148,0),IF(Locked!Q148="V",ROUND(Locked!N148,-3),""))</f>
        <v>4275</v>
      </c>
      <c r="C20" s="3">
        <f ca="1">IF(B20="","",ROUND(Locked!O148,0))</f>
        <v>199</v>
      </c>
      <c r="D20" s="6">
        <f ca="1">IF(C20="","",(C20-C19)/(B20-B19))</f>
        <v>-2.1052631578947368E-3</v>
      </c>
      <c r="E20" s="6">
        <f ca="1">IF(C20="","",IF(C21="",0,(C21-C20)/(B21-B20)))</f>
        <v>-2.1945866861741038E-3</v>
      </c>
    </row>
    <row r="21" spans="1:5" x14ac:dyDescent="0.25">
      <c r="A21" s="3" t="str">
        <f t="shared" ca="1" si="0"/>
        <v>key =</v>
      </c>
      <c r="B21" s="3">
        <f ca="1">IF(Locked!Q149="|",ROUND(Locked!N149,0),IF(Locked!Q149="V",ROUND(Locked!N149,-3),""))</f>
        <v>8376</v>
      </c>
      <c r="C21" s="3">
        <f ca="1">IF(B21="","",ROUND(Locked!O149,0))</f>
        <v>190</v>
      </c>
      <c r="D21" s="6">
        <f t="shared" ref="D21:D29" ca="1" si="1">IF(C21="","",(C21-C20)/(B21-B20))</f>
        <v>-2.1945866861741038E-3</v>
      </c>
      <c r="E21" s="6">
        <f t="shared" ref="E21:E29" ca="1" si="2">IF(C21="","",IF(C22="",0,(C22-C21)/(B22-B21)))</f>
        <v>-2.0309723280020312E-3</v>
      </c>
    </row>
    <row r="22" spans="1:5" x14ac:dyDescent="0.25">
      <c r="A22" s="3" t="str">
        <f t="shared" ca="1" si="0"/>
        <v>key =</v>
      </c>
      <c r="B22" s="3">
        <f ca="1">IF(Locked!Q150="|",ROUND(Locked!N150,0),IF(Locked!Q150="V",ROUND(Locked!N150,-3),""))</f>
        <v>12315</v>
      </c>
      <c r="C22" s="3">
        <f ca="1">IF(B22="","",ROUND(Locked!O150,0))</f>
        <v>182</v>
      </c>
      <c r="D22" s="6">
        <f t="shared" ca="1" si="1"/>
        <v>-2.0309723280020312E-3</v>
      </c>
      <c r="E22" s="6">
        <f t="shared" ca="1" si="2"/>
        <v>-1.8494055482166448E-3</v>
      </c>
    </row>
    <row r="23" spans="1:5" x14ac:dyDescent="0.25">
      <c r="A23" s="3" t="str">
        <f t="shared" ca="1" si="0"/>
        <v>key =</v>
      </c>
      <c r="B23" s="3">
        <f ca="1">IF(Locked!Q151="|",ROUND(Locked!N151,0),IF(Locked!Q151="V",ROUND(Locked!N151,-3),""))</f>
        <v>16100</v>
      </c>
      <c r="C23" s="3">
        <f ca="1">IF(B23="","",ROUND(Locked!O151,0))</f>
        <v>175</v>
      </c>
      <c r="D23" s="6">
        <f t="shared" ca="1" si="1"/>
        <v>-1.8494055482166448E-3</v>
      </c>
      <c r="E23" s="6">
        <f t="shared" ca="1" si="2"/>
        <v>-1.6460905349794238E-3</v>
      </c>
    </row>
    <row r="24" spans="1:5" x14ac:dyDescent="0.25">
      <c r="A24" s="3" t="str">
        <f t="shared" ca="1" si="0"/>
        <v>key =</v>
      </c>
      <c r="B24" s="3">
        <f ca="1">IF(Locked!Q152="|",ROUND(Locked!N152,0),IF(Locked!Q152="V",ROUND(Locked!N152,-3),""))</f>
        <v>19745</v>
      </c>
      <c r="C24" s="3">
        <f ca="1">IF(B24="","",ROUND(Locked!O152,0))</f>
        <v>169</v>
      </c>
      <c r="D24" s="6">
        <f t="shared" ca="1" si="1"/>
        <v>-1.6460905349794238E-3</v>
      </c>
      <c r="E24" s="6">
        <f t="shared" ca="1" si="2"/>
        <v>-1.7079419299743809E-3</v>
      </c>
    </row>
    <row r="25" spans="1:5" x14ac:dyDescent="0.25">
      <c r="A25" s="3" t="str">
        <f t="shared" ca="1" si="0"/>
        <v>key =</v>
      </c>
      <c r="B25" s="3">
        <f ca="1">IF(Locked!Q153="|",ROUND(Locked!N153,0),IF(Locked!Q153="V",ROUND(Locked!N153,-3),""))</f>
        <v>23258</v>
      </c>
      <c r="C25" s="3">
        <f ca="1">IF(B25="","",ROUND(Locked!O153,0))</f>
        <v>163</v>
      </c>
      <c r="D25" s="6">
        <f t="shared" ca="1" si="1"/>
        <v>-1.7079419299743809E-3</v>
      </c>
      <c r="E25" s="6">
        <f t="shared" ca="1" si="2"/>
        <v>-1.474056603773585E-3</v>
      </c>
    </row>
    <row r="26" spans="1:5" x14ac:dyDescent="0.25">
      <c r="A26" s="3" t="str">
        <f t="shared" ca="1" si="0"/>
        <v>key =</v>
      </c>
      <c r="B26" s="3">
        <f ca="1">IF(Locked!Q154="|",ROUND(Locked!N154,0),IF(Locked!Q154="V",ROUND(Locked!N154,-3),""))</f>
        <v>26650</v>
      </c>
      <c r="C26" s="3">
        <f ca="1">IF(B26="","",ROUND(Locked!O154,0))</f>
        <v>158</v>
      </c>
      <c r="D26" s="6">
        <f t="shared" ca="1" si="1"/>
        <v>-1.474056603773585E-3</v>
      </c>
      <c r="E26" s="6">
        <f t="shared" ca="1" si="2"/>
        <v>-1.2187690432663011E-3</v>
      </c>
    </row>
    <row r="27" spans="1:5" x14ac:dyDescent="0.25">
      <c r="A27" s="3" t="str">
        <f t="shared" ca="1" si="0"/>
        <v>key =</v>
      </c>
      <c r="B27" s="3">
        <f ca="1">IF(Locked!Q155="|",ROUND(Locked!N155,0),IF(Locked!Q155="V",ROUND(Locked!N155,-3),""))</f>
        <v>29932</v>
      </c>
      <c r="C27" s="3">
        <f ca="1">IF(B27="","",ROUND(Locked!O155,0))</f>
        <v>154</v>
      </c>
      <c r="D27" s="6">
        <f t="shared" ca="1" si="1"/>
        <v>-1.2187690432663011E-3</v>
      </c>
      <c r="E27" s="6">
        <f t="shared" ca="1" si="2"/>
        <v>-9.430996541967935E-4</v>
      </c>
    </row>
    <row r="28" spans="1:5" x14ac:dyDescent="0.25">
      <c r="A28" s="3" t="str">
        <f t="shared" ca="1" si="0"/>
        <v>key =</v>
      </c>
      <c r="B28" s="3">
        <f ca="1">IF(Locked!Q156="|",ROUND(Locked!N156,0),IF(Locked!Q156="V",ROUND(Locked!N156,-3),""))</f>
        <v>33113</v>
      </c>
      <c r="C28" s="3">
        <f ca="1">IF(B28="","",ROUND(Locked!O156,0))</f>
        <v>151</v>
      </c>
      <c r="D28" s="6">
        <f t="shared" ca="1" si="1"/>
        <v>-9.430996541967935E-4</v>
      </c>
      <c r="E28" s="6">
        <f t="shared" ca="1" si="2"/>
        <v>-9.5693779904306223E-4</v>
      </c>
    </row>
    <row r="29" spans="1:5" x14ac:dyDescent="0.25">
      <c r="A29" s="3" t="str">
        <f t="shared" ca="1" si="0"/>
        <v>key =</v>
      </c>
      <c r="B29" s="3">
        <f ca="1">IF(Locked!Q157="|",ROUND(Locked!N157,0),IF(Locked!Q157="V",ROUND(Locked!N157,-3),""))</f>
        <v>36248</v>
      </c>
      <c r="C29" s="3">
        <f ca="1">IF(B29="","",ROUND(Locked!O157,0))</f>
        <v>148</v>
      </c>
      <c r="D29" s="6">
        <f t="shared" ca="1" si="1"/>
        <v>-9.5693779904306223E-4</v>
      </c>
      <c r="E29" s="6">
        <f t="shared" ca="1" si="2"/>
        <v>-6.6489361702127658E-4</v>
      </c>
    </row>
    <row r="30" spans="1:5" x14ac:dyDescent="0.25">
      <c r="A30" s="3" t="str">
        <f t="shared" ref="A30:A61" ca="1" si="3">IF(B30="","Unused","key =")</f>
        <v>key =</v>
      </c>
      <c r="B30" s="3">
        <f ca="1">IF(Locked!Q158="|",ROUND(Locked!N158,0),IF(Locked!Q158="V",ROUND(Locked!N158,-3),""))</f>
        <v>39256</v>
      </c>
      <c r="C30" s="3">
        <f ca="1">IF(B30="","",ROUND(Locked!O158,0))</f>
        <v>146</v>
      </c>
      <c r="D30" s="6">
        <f t="shared" ref="D30:D61" ca="1" si="4">IF(C30="","",(C30-C29)/(B30-B29))</f>
        <v>-6.6489361702127658E-4</v>
      </c>
      <c r="E30" s="6">
        <f t="shared" ref="E30:E61" ca="1" si="5">IF(C30="","",IF(C31="",0,(C31-C30)/(B31-B30)))</f>
        <v>-3.4059945504087192E-4</v>
      </c>
    </row>
    <row r="31" spans="1:5" x14ac:dyDescent="0.25">
      <c r="A31" s="3" t="str">
        <f t="shared" ca="1" si="3"/>
        <v>key =</v>
      </c>
      <c r="B31" s="3">
        <f ca="1">IF(Locked!Q159="|",ROUND(Locked!N159,0),IF(Locked!Q159="V",ROUND(Locked!N159,-3),""))</f>
        <v>42192</v>
      </c>
      <c r="C31" s="3">
        <f ca="1">IF(B31="","",ROUND(Locked!O159,0))</f>
        <v>145</v>
      </c>
      <c r="D31" s="6">
        <f t="shared" ca="1" si="4"/>
        <v>-3.4059945504087192E-4</v>
      </c>
      <c r="E31" s="6">
        <f t="shared" ca="1" si="5"/>
        <v>-3.4818941504178273E-4</v>
      </c>
    </row>
    <row r="32" spans="1:5" x14ac:dyDescent="0.25">
      <c r="A32" s="3" t="str">
        <f t="shared" ca="1" si="3"/>
        <v>key =</v>
      </c>
      <c r="B32" s="3">
        <f ca="1">IF(Locked!Q160="|",ROUND(Locked!N160,0),IF(Locked!Q160="V",ROUND(Locked!N160,-3),""))</f>
        <v>45064</v>
      </c>
      <c r="C32" s="3">
        <f ca="1">IF(B32="","",ROUND(Locked!O160,0))</f>
        <v>144</v>
      </c>
      <c r="D32" s="6">
        <f t="shared" ca="1" si="4"/>
        <v>-3.4818941504178273E-4</v>
      </c>
      <c r="E32" s="6">
        <f t="shared" ca="1" si="5"/>
        <v>0</v>
      </c>
    </row>
    <row r="33" spans="1:5" x14ac:dyDescent="0.25">
      <c r="A33" s="3" t="str">
        <f t="shared" ca="1" si="3"/>
        <v>key =</v>
      </c>
      <c r="B33" s="3">
        <f ca="1">IF(Locked!Q161="|",ROUND(Locked!N161,0),IF(Locked!Q161="V",ROUND(Locked!N161,-3),""))</f>
        <v>47884</v>
      </c>
      <c r="C33" s="3">
        <f ca="1">IF(B33="","",ROUND(Locked!O161,0))</f>
        <v>144</v>
      </c>
      <c r="D33" s="6">
        <f t="shared" ca="1" si="4"/>
        <v>0</v>
      </c>
      <c r="E33" s="6">
        <f t="shared" ca="1" si="5"/>
        <v>0</v>
      </c>
    </row>
    <row r="34" spans="1:5" x14ac:dyDescent="0.25">
      <c r="A34" s="3" t="str">
        <f t="shared" ca="1" si="3"/>
        <v>key =</v>
      </c>
      <c r="B34" s="3">
        <f ca="1">IF(Locked!Q162="|",ROUND(Locked!N162,0),IF(Locked!Q162="V",ROUND(Locked!N162,-3),""))</f>
        <v>50661</v>
      </c>
      <c r="C34" s="3">
        <f ca="1">IF(B34="","",ROUND(Locked!O162,0))</f>
        <v>144</v>
      </c>
      <c r="D34" s="6">
        <f t="shared" ca="1" si="4"/>
        <v>0</v>
      </c>
      <c r="E34" s="6">
        <f t="shared" ca="1" si="5"/>
        <v>0</v>
      </c>
    </row>
    <row r="35" spans="1:5" x14ac:dyDescent="0.25">
      <c r="A35" s="3" t="str">
        <f t="shared" ca="1" si="3"/>
        <v>key =</v>
      </c>
      <c r="B35" s="3">
        <f ca="1">IF(Locked!Q163="|",ROUND(Locked!N163,0),IF(Locked!Q163="V",ROUND(Locked!N163,-3),""))</f>
        <v>53398</v>
      </c>
      <c r="C35" s="3">
        <f ca="1">IF(B35="","",ROUND(Locked!O163,0))</f>
        <v>144</v>
      </c>
      <c r="D35" s="6">
        <f t="shared" ca="1" si="4"/>
        <v>0</v>
      </c>
      <c r="E35" s="6">
        <f t="shared" ca="1" si="5"/>
        <v>0</v>
      </c>
    </row>
    <row r="36" spans="1:5" x14ac:dyDescent="0.25">
      <c r="A36" s="3" t="str">
        <f t="shared" ca="1" si="3"/>
        <v>key =</v>
      </c>
      <c r="B36" s="3">
        <f ca="1">IF(Locked!Q164="|",ROUND(Locked!N164,0),IF(Locked!Q164="V",ROUND(Locked!N164,-3),""))</f>
        <v>56117</v>
      </c>
      <c r="C36" s="3">
        <f ca="1">IF(B36="","",ROUND(Locked!O164,0))</f>
        <v>144</v>
      </c>
      <c r="D36" s="6">
        <f t="shared" ca="1" si="4"/>
        <v>0</v>
      </c>
      <c r="E36" s="6">
        <f t="shared" ca="1" si="5"/>
        <v>0</v>
      </c>
    </row>
    <row r="37" spans="1:5" x14ac:dyDescent="0.25">
      <c r="A37" s="3" t="str">
        <f t="shared" ca="1" si="3"/>
        <v>key =</v>
      </c>
      <c r="B37" s="3">
        <f ca="1">IF(Locked!Q165="|",ROUND(Locked!N165,0),IF(Locked!Q165="V",ROUND(Locked!N165,-3),""))</f>
        <v>59000</v>
      </c>
      <c r="C37" s="3">
        <f ca="1">IF(B37="","",ROUND(Locked!O165,0))</f>
        <v>144</v>
      </c>
      <c r="D37" s="6">
        <f t="shared" ca="1" si="4"/>
        <v>0</v>
      </c>
      <c r="E37" s="6">
        <f t="shared" ca="1" si="5"/>
        <v>0</v>
      </c>
    </row>
    <row r="38" spans="1:5" x14ac:dyDescent="0.25">
      <c r="A38" s="3" t="str">
        <f t="shared" ca="1" si="3"/>
        <v>Unused</v>
      </c>
      <c r="B38" s="3" t="str">
        <f ca="1">IF(Locked!Q166="|",ROUND(Locked!N166,0),IF(Locked!Q166="V",ROUND(Locked!N166,-3),""))</f>
        <v/>
      </c>
      <c r="C38" s="3" t="str">
        <f ca="1">IF(B38="","",ROUND(Locked!O166,0))</f>
        <v/>
      </c>
      <c r="D38" s="6" t="str">
        <f t="shared" ca="1" si="4"/>
        <v/>
      </c>
      <c r="E38" s="6" t="str">
        <f t="shared" ca="1" si="5"/>
        <v/>
      </c>
    </row>
    <row r="39" spans="1:5" x14ac:dyDescent="0.25">
      <c r="A39" s="3" t="str">
        <f t="shared" ca="1" si="3"/>
        <v>Unused</v>
      </c>
      <c r="B39" s="3" t="str">
        <f ca="1">IF(Locked!Q167="|",ROUND(Locked!N167,0),IF(Locked!Q167="V",ROUND(Locked!N167,-3),""))</f>
        <v/>
      </c>
      <c r="C39" s="3" t="str">
        <f ca="1">IF(B39="","",ROUND(Locked!O167,0))</f>
        <v/>
      </c>
      <c r="D39" s="6" t="str">
        <f t="shared" ca="1" si="4"/>
        <v/>
      </c>
      <c r="E39" s="6" t="str">
        <f t="shared" ca="1" si="5"/>
        <v/>
      </c>
    </row>
    <row r="40" spans="1:5" x14ac:dyDescent="0.25">
      <c r="A40" s="3" t="str">
        <f t="shared" ca="1" si="3"/>
        <v>Unused</v>
      </c>
      <c r="B40" s="3" t="str">
        <f ca="1">IF(Locked!Q168="|",ROUND(Locked!N168,0),IF(Locked!Q168="V",ROUND(Locked!N168,-3),""))</f>
        <v/>
      </c>
      <c r="C40" s="3" t="str">
        <f ca="1">IF(B40="","",ROUND(Locked!O168,0))</f>
        <v/>
      </c>
      <c r="D40" s="6" t="str">
        <f t="shared" ca="1" si="4"/>
        <v/>
      </c>
      <c r="E40" s="6" t="str">
        <f t="shared" ca="1" si="5"/>
        <v/>
      </c>
    </row>
    <row r="41" spans="1:5" x14ac:dyDescent="0.25">
      <c r="A41" s="3" t="str">
        <f t="shared" ca="1" si="3"/>
        <v>Unused</v>
      </c>
      <c r="B41" s="3" t="str">
        <f ca="1">IF(Locked!Q169="|",ROUND(Locked!N169,0),IF(Locked!Q169="V",ROUND(Locked!N169,-3),""))</f>
        <v/>
      </c>
      <c r="C41" s="3" t="str">
        <f ca="1">IF(B41="","",ROUND(Locked!O169,0))</f>
        <v/>
      </c>
      <c r="D41" s="6" t="str">
        <f t="shared" ca="1" si="4"/>
        <v/>
      </c>
      <c r="E41" s="6" t="str">
        <f t="shared" ca="1" si="5"/>
        <v/>
      </c>
    </row>
    <row r="42" spans="1:5" x14ac:dyDescent="0.25">
      <c r="A42" s="3" t="str">
        <f t="shared" ca="1" si="3"/>
        <v>Unused</v>
      </c>
      <c r="B42" s="3" t="str">
        <f ca="1">IF(Locked!Q170="|",ROUND(Locked!N170,0),IF(Locked!Q170="V",ROUND(Locked!N170,-3),""))</f>
        <v/>
      </c>
      <c r="C42" s="3" t="str">
        <f ca="1">IF(B42="","",ROUND(Locked!O170,0))</f>
        <v/>
      </c>
      <c r="D42" s="6" t="str">
        <f t="shared" ca="1" si="4"/>
        <v/>
      </c>
      <c r="E42" s="6" t="str">
        <f t="shared" ca="1" si="5"/>
        <v/>
      </c>
    </row>
    <row r="43" spans="1:5" x14ac:dyDescent="0.25">
      <c r="A43" s="3" t="str">
        <f t="shared" ca="1" si="3"/>
        <v>Unused</v>
      </c>
      <c r="B43" s="3" t="str">
        <f ca="1">IF(Locked!Q171="|",ROUND(Locked!N171,0),IF(Locked!Q171="V",ROUND(Locked!N171,-3),""))</f>
        <v/>
      </c>
      <c r="C43" s="3" t="str">
        <f ca="1">IF(B43="","",ROUND(Locked!O171,0))</f>
        <v/>
      </c>
      <c r="D43" s="6" t="str">
        <f t="shared" ca="1" si="4"/>
        <v/>
      </c>
      <c r="E43" s="6" t="str">
        <f t="shared" ca="1" si="5"/>
        <v/>
      </c>
    </row>
    <row r="44" spans="1:5" x14ac:dyDescent="0.25">
      <c r="A44" s="3" t="str">
        <f t="shared" ca="1" si="3"/>
        <v>Unused</v>
      </c>
      <c r="B44" s="3" t="str">
        <f ca="1">IF(Locked!Q172="|",ROUND(Locked!N172,0),IF(Locked!Q172="V",ROUND(Locked!N172,-3),""))</f>
        <v/>
      </c>
      <c r="C44" s="3" t="str">
        <f ca="1">IF(B44="","",ROUND(Locked!O172,0))</f>
        <v/>
      </c>
      <c r="D44" s="6" t="str">
        <f t="shared" ca="1" si="4"/>
        <v/>
      </c>
      <c r="E44" s="6" t="str">
        <f t="shared" ca="1" si="5"/>
        <v/>
      </c>
    </row>
    <row r="45" spans="1:5" x14ac:dyDescent="0.25">
      <c r="A45" s="3" t="str">
        <f t="shared" ca="1" si="3"/>
        <v>Unused</v>
      </c>
      <c r="B45" s="3" t="str">
        <f ca="1">IF(Locked!Q173="|",ROUND(Locked!N173,0),IF(Locked!Q173="V",ROUND(Locked!N173,-3),""))</f>
        <v/>
      </c>
      <c r="C45" s="3" t="str">
        <f ca="1">IF(B45="","",ROUND(Locked!O173,0))</f>
        <v/>
      </c>
      <c r="D45" s="6" t="str">
        <f t="shared" ca="1" si="4"/>
        <v/>
      </c>
      <c r="E45" s="6" t="str">
        <f t="shared" ca="1" si="5"/>
        <v/>
      </c>
    </row>
    <row r="46" spans="1:5" x14ac:dyDescent="0.25">
      <c r="A46" s="3" t="str">
        <f t="shared" ca="1" si="3"/>
        <v>Unused</v>
      </c>
      <c r="B46" s="3" t="str">
        <f ca="1">IF(Locked!Q174="|",ROUND(Locked!N174,0),IF(Locked!Q174="V",ROUND(Locked!N174,-3),""))</f>
        <v/>
      </c>
      <c r="C46" s="3" t="str">
        <f ca="1">IF(B46="","",ROUND(Locked!O174,0))</f>
        <v/>
      </c>
      <c r="D46" s="6" t="str">
        <f t="shared" ca="1" si="4"/>
        <v/>
      </c>
      <c r="E46" s="6" t="str">
        <f t="shared" ca="1" si="5"/>
        <v/>
      </c>
    </row>
    <row r="47" spans="1:5" x14ac:dyDescent="0.25">
      <c r="A47" s="3" t="str">
        <f t="shared" ca="1" si="3"/>
        <v>Unused</v>
      </c>
      <c r="B47" s="3" t="str">
        <f ca="1">IF(Locked!Q175="|",ROUND(Locked!N175,0),IF(Locked!Q175="V",ROUND(Locked!N175,-3),""))</f>
        <v/>
      </c>
      <c r="C47" s="3" t="str">
        <f ca="1">IF(B47="","",ROUND(Locked!O175,0))</f>
        <v/>
      </c>
      <c r="D47" s="6" t="str">
        <f t="shared" ca="1" si="4"/>
        <v/>
      </c>
      <c r="E47" s="6" t="str">
        <f t="shared" ca="1" si="5"/>
        <v/>
      </c>
    </row>
    <row r="48" spans="1:5" x14ac:dyDescent="0.25">
      <c r="A48" s="3" t="str">
        <f t="shared" ca="1" si="3"/>
        <v>Unused</v>
      </c>
      <c r="B48" s="3" t="str">
        <f ca="1">IF(Locked!Q176="|",ROUND(Locked!N176,0),IF(Locked!Q176="V",ROUND(Locked!N176,-3),""))</f>
        <v/>
      </c>
      <c r="C48" s="3" t="str">
        <f ca="1">IF(B48="","",ROUND(Locked!O176,0))</f>
        <v/>
      </c>
      <c r="D48" s="6" t="str">
        <f t="shared" ca="1" si="4"/>
        <v/>
      </c>
      <c r="E48" s="6" t="str">
        <f t="shared" ca="1" si="5"/>
        <v/>
      </c>
    </row>
    <row r="49" spans="1:5" x14ac:dyDescent="0.25">
      <c r="A49" s="3" t="str">
        <f t="shared" ca="1" si="3"/>
        <v>Unused</v>
      </c>
      <c r="B49" s="3" t="str">
        <f ca="1">IF(Locked!Q177="|",ROUND(Locked!N177,0),IF(Locked!Q177="V",ROUND(Locked!N177,-3),""))</f>
        <v/>
      </c>
      <c r="C49" s="3" t="str">
        <f ca="1">IF(B49="","",ROUND(Locked!O177,0))</f>
        <v/>
      </c>
      <c r="D49" s="6" t="str">
        <f t="shared" ca="1" si="4"/>
        <v/>
      </c>
      <c r="E49" s="6" t="str">
        <f t="shared" ca="1" si="5"/>
        <v/>
      </c>
    </row>
    <row r="50" spans="1:5" x14ac:dyDescent="0.25">
      <c r="A50" s="3" t="str">
        <f t="shared" ca="1" si="3"/>
        <v>Unused</v>
      </c>
      <c r="B50" s="3" t="str">
        <f ca="1">IF(Locked!Q178="|",ROUND(Locked!N178,0),IF(Locked!Q178="V",ROUND(Locked!N178,-3),""))</f>
        <v/>
      </c>
      <c r="C50" s="3" t="str">
        <f ca="1">IF(B50="","",ROUND(Locked!O178,0))</f>
        <v/>
      </c>
      <c r="D50" s="6" t="str">
        <f t="shared" ca="1" si="4"/>
        <v/>
      </c>
      <c r="E50" s="6" t="str">
        <f t="shared" ca="1" si="5"/>
        <v/>
      </c>
    </row>
    <row r="51" spans="1:5" x14ac:dyDescent="0.25">
      <c r="A51" s="3" t="str">
        <f t="shared" ca="1" si="3"/>
        <v>Unused</v>
      </c>
      <c r="B51" s="3" t="str">
        <f ca="1">IF(Locked!Q179="|",ROUND(Locked!N179,0),IF(Locked!Q179="V",ROUND(Locked!N179,-3),""))</f>
        <v/>
      </c>
      <c r="C51" s="3" t="str">
        <f ca="1">IF(B51="","",ROUND(Locked!O179,0))</f>
        <v/>
      </c>
      <c r="D51" s="6" t="str">
        <f t="shared" ca="1" si="4"/>
        <v/>
      </c>
      <c r="E51" s="6" t="str">
        <f t="shared" ca="1" si="5"/>
        <v/>
      </c>
    </row>
    <row r="52" spans="1:5" x14ac:dyDescent="0.25">
      <c r="A52" s="3" t="str">
        <f t="shared" ca="1" si="3"/>
        <v>Unused</v>
      </c>
      <c r="B52" s="3" t="str">
        <f ca="1">IF(Locked!Q180="|",ROUND(Locked!N180,0),IF(Locked!Q180="V",ROUND(Locked!N180,-3),""))</f>
        <v/>
      </c>
      <c r="C52" s="3" t="str">
        <f ca="1">IF(B52="","",ROUND(Locked!O180,0))</f>
        <v/>
      </c>
      <c r="D52" s="6" t="str">
        <f t="shared" ca="1" si="4"/>
        <v/>
      </c>
      <c r="E52" s="6" t="str">
        <f t="shared" ca="1" si="5"/>
        <v/>
      </c>
    </row>
    <row r="53" spans="1:5" x14ac:dyDescent="0.25">
      <c r="A53" s="3" t="str">
        <f t="shared" ca="1" si="3"/>
        <v>Unused</v>
      </c>
      <c r="B53" s="3" t="str">
        <f ca="1">IF(Locked!Q181="|",ROUND(Locked!N181,0),IF(Locked!Q181="V",ROUND(Locked!N181,-3),""))</f>
        <v/>
      </c>
      <c r="C53" s="3" t="str">
        <f ca="1">IF(B53="","",ROUND(Locked!O181,0))</f>
        <v/>
      </c>
      <c r="D53" s="6" t="str">
        <f t="shared" ca="1" si="4"/>
        <v/>
      </c>
      <c r="E53" s="6" t="str">
        <f t="shared" ca="1" si="5"/>
        <v/>
      </c>
    </row>
    <row r="54" spans="1:5" x14ac:dyDescent="0.25">
      <c r="A54" s="3" t="str">
        <f t="shared" ca="1" si="3"/>
        <v>Unused</v>
      </c>
      <c r="B54" s="3" t="str">
        <f ca="1">IF(Locked!Q182="|",ROUND(Locked!N182,0),IF(Locked!Q182="V",ROUND(Locked!N182,-3),""))</f>
        <v/>
      </c>
      <c r="C54" s="3" t="str">
        <f ca="1">IF(B54="","",ROUND(Locked!O182,0))</f>
        <v/>
      </c>
      <c r="D54" s="6" t="str">
        <f t="shared" ca="1" si="4"/>
        <v/>
      </c>
      <c r="E54" s="6" t="str">
        <f t="shared" ca="1" si="5"/>
        <v/>
      </c>
    </row>
    <row r="55" spans="1:5" x14ac:dyDescent="0.25">
      <c r="A55" s="3" t="str">
        <f t="shared" ca="1" si="3"/>
        <v>Unused</v>
      </c>
      <c r="B55" s="3" t="str">
        <f ca="1">IF(Locked!Q183="|",ROUND(Locked!N183,0),IF(Locked!Q183="V",ROUND(Locked!N183,-3),""))</f>
        <v/>
      </c>
      <c r="C55" s="3" t="str">
        <f ca="1">IF(B55="","",ROUND(Locked!O183,0))</f>
        <v/>
      </c>
      <c r="D55" s="6" t="str">
        <f t="shared" ca="1" si="4"/>
        <v/>
      </c>
      <c r="E55" s="6" t="str">
        <f t="shared" ca="1" si="5"/>
        <v/>
      </c>
    </row>
    <row r="56" spans="1:5" x14ac:dyDescent="0.25">
      <c r="A56" s="3" t="str">
        <f t="shared" ca="1" si="3"/>
        <v>Unused</v>
      </c>
      <c r="B56" s="3" t="str">
        <f ca="1">IF(Locked!Q184="|",ROUND(Locked!N184,0),IF(Locked!Q184="V",ROUND(Locked!N184,-3),""))</f>
        <v/>
      </c>
      <c r="C56" s="3" t="str">
        <f ca="1">IF(B56="","",ROUND(Locked!O184,0))</f>
        <v/>
      </c>
      <c r="D56" s="6" t="str">
        <f t="shared" ca="1" si="4"/>
        <v/>
      </c>
      <c r="E56" s="6" t="str">
        <f t="shared" ca="1" si="5"/>
        <v/>
      </c>
    </row>
    <row r="57" spans="1:5" x14ac:dyDescent="0.25">
      <c r="A57" s="3" t="str">
        <f t="shared" ca="1" si="3"/>
        <v>Unused</v>
      </c>
      <c r="B57" s="3" t="str">
        <f ca="1">IF(Locked!Q185="|",ROUND(Locked!N185,0),IF(Locked!Q185="V",ROUND(Locked!N185,-3),""))</f>
        <v/>
      </c>
      <c r="C57" s="3" t="str">
        <f ca="1">IF(B57="","",ROUND(Locked!O185,0))</f>
        <v/>
      </c>
      <c r="D57" s="6" t="str">
        <f t="shared" ca="1" si="4"/>
        <v/>
      </c>
      <c r="E57" s="6" t="str">
        <f t="shared" ca="1" si="5"/>
        <v/>
      </c>
    </row>
    <row r="58" spans="1:5" x14ac:dyDescent="0.25">
      <c r="A58" s="3" t="str">
        <f t="shared" ca="1" si="3"/>
        <v>Unused</v>
      </c>
      <c r="B58" s="3" t="str">
        <f ca="1">IF(Locked!Q186="|",ROUND(Locked!N186,0),IF(Locked!Q186="V",ROUND(Locked!N186,-3),""))</f>
        <v/>
      </c>
      <c r="C58" s="3" t="str">
        <f ca="1">IF(B58="","",ROUND(Locked!O186,0))</f>
        <v/>
      </c>
      <c r="D58" s="6" t="str">
        <f t="shared" ca="1" si="4"/>
        <v/>
      </c>
      <c r="E58" s="6" t="str">
        <f t="shared" ca="1" si="5"/>
        <v/>
      </c>
    </row>
    <row r="59" spans="1:5" x14ac:dyDescent="0.25">
      <c r="A59" s="3" t="str">
        <f t="shared" ca="1" si="3"/>
        <v>Unused</v>
      </c>
      <c r="B59" s="3" t="str">
        <f ca="1">IF(Locked!Q187="|",ROUND(Locked!N187,0),IF(Locked!Q187="V",ROUND(Locked!N187,-3),""))</f>
        <v/>
      </c>
      <c r="C59" s="3" t="str">
        <f ca="1">IF(B59="","",ROUND(Locked!O187,0))</f>
        <v/>
      </c>
      <c r="D59" s="6" t="str">
        <f t="shared" ca="1" si="4"/>
        <v/>
      </c>
      <c r="E59" s="6" t="str">
        <f t="shared" ca="1" si="5"/>
        <v/>
      </c>
    </row>
    <row r="60" spans="1:5" x14ac:dyDescent="0.25">
      <c r="A60" s="3" t="str">
        <f t="shared" ca="1" si="3"/>
        <v>Unused</v>
      </c>
      <c r="B60" s="3" t="str">
        <f ca="1">IF(Locked!Q188="|",ROUND(Locked!N188,0),IF(Locked!Q188="V",ROUND(Locked!N188,-3),""))</f>
        <v/>
      </c>
      <c r="C60" s="3" t="str">
        <f ca="1">IF(B60="","",ROUND(Locked!O188,0))</f>
        <v/>
      </c>
      <c r="D60" s="6" t="str">
        <f t="shared" ca="1" si="4"/>
        <v/>
      </c>
      <c r="E60" s="6" t="str">
        <f t="shared" ca="1" si="5"/>
        <v/>
      </c>
    </row>
    <row r="61" spans="1:5" x14ac:dyDescent="0.25">
      <c r="A61" s="3" t="str">
        <f t="shared" ca="1" si="3"/>
        <v>Unused</v>
      </c>
      <c r="B61" s="3" t="str">
        <f ca="1">IF(Locked!Q189="|",ROUND(Locked!N189,0),IF(Locked!Q189="V",ROUND(Locked!N189,-3),""))</f>
        <v/>
      </c>
      <c r="C61" s="3" t="str">
        <f ca="1">IF(B61="","",ROUND(Locked!O189,0))</f>
        <v/>
      </c>
      <c r="D61" s="6" t="str">
        <f t="shared" ca="1" si="4"/>
        <v/>
      </c>
      <c r="E61" s="6" t="str">
        <f t="shared" ca="1" si="5"/>
        <v/>
      </c>
    </row>
    <row r="62" spans="1:5" x14ac:dyDescent="0.25">
      <c r="A62" s="10" t="s">
        <v>67</v>
      </c>
      <c r="B62" s="3"/>
      <c r="C62" s="3"/>
      <c r="D62" s="6"/>
      <c r="E62" s="6"/>
    </row>
    <row r="63" spans="1:5" x14ac:dyDescent="0.25">
      <c r="A63" s="10" t="s">
        <v>79</v>
      </c>
      <c r="B63" s="3"/>
      <c r="C63" s="3"/>
      <c r="D63" s="6"/>
      <c r="E63" s="6"/>
    </row>
    <row r="64" spans="1:5" x14ac:dyDescent="0.25">
      <c r="A64" s="10" t="s">
        <v>66</v>
      </c>
      <c r="B64" s="3"/>
      <c r="C64" s="3"/>
      <c r="D64" s="6"/>
      <c r="E64" s="6"/>
    </row>
    <row r="65" spans="1:5" x14ac:dyDescent="0.25">
      <c r="A65" s="3" t="str">
        <f t="shared" ref="A65:A80" ca="1" si="6">IF(B65="","Unused","key =")</f>
        <v>key =</v>
      </c>
      <c r="B65" s="3">
        <f ca="1">IF(Locked!Q147="|",ROUND(Locked!N147,0),IF(Locked!Q147="V",ROUND(Locked!N147,-3),""))</f>
        <v>0</v>
      </c>
      <c r="C65" s="49">
        <f ca="1">IF(B65="","",ROUND(Locked!P147,3))</f>
        <v>1</v>
      </c>
      <c r="D65" s="6">
        <v>0</v>
      </c>
      <c r="E65" s="6">
        <f ca="1">(C66-C65)/(B66-B65)</f>
        <v>-9.3567251461988385E-6</v>
      </c>
    </row>
    <row r="66" spans="1:5" x14ac:dyDescent="0.25">
      <c r="A66" s="3" t="str">
        <f t="shared" ca="1" si="6"/>
        <v>key =</v>
      </c>
      <c r="B66" s="3">
        <f ca="1">IF(Locked!Q148="|",ROUND(Locked!N148,0),IF(Locked!Q148="V",ROUND(Locked!N148,-3),""))</f>
        <v>4275</v>
      </c>
      <c r="C66" s="49">
        <f ca="1">IF(B66="","",ROUND(Locked!P148,3))</f>
        <v>0.96</v>
      </c>
      <c r="D66" s="6">
        <f ca="1">IF(C66="","",(C66-C65)/(B66-B65))</f>
        <v>-9.3567251461988385E-6</v>
      </c>
      <c r="E66" s="6">
        <f ca="1">IF(C66="","",IF(C67="",0,(C67-C66)/(B67-B66)))</f>
        <v>-9.5098756400877653E-6</v>
      </c>
    </row>
    <row r="67" spans="1:5" x14ac:dyDescent="0.25">
      <c r="A67" s="3" t="str">
        <f t="shared" ca="1" si="6"/>
        <v>key =</v>
      </c>
      <c r="B67" s="3">
        <f ca="1">IF(Locked!Q149="|",ROUND(Locked!N149,0),IF(Locked!Q149="V",ROUND(Locked!N149,-3),""))</f>
        <v>8376</v>
      </c>
      <c r="C67" s="49">
        <f ca="1">IF(B67="","",ROUND(Locked!P149,3))</f>
        <v>0.92100000000000004</v>
      </c>
      <c r="D67" s="6">
        <f t="shared" ref="D67:D80" ca="1" si="7">IF(C67="","",(C67-C66)/(B67-B66))</f>
        <v>-9.5098756400877653E-6</v>
      </c>
      <c r="E67" s="6">
        <f t="shared" ref="E67:E80" ca="1" si="8">IF(C67="","",IF(C68="",0,(C68-C67)/(B68-B67)))</f>
        <v>-9.6471185580096563E-6</v>
      </c>
    </row>
    <row r="68" spans="1:5" x14ac:dyDescent="0.25">
      <c r="A68" s="3" t="str">
        <f t="shared" ca="1" si="6"/>
        <v>key =</v>
      </c>
      <c r="B68" s="3">
        <f ca="1">IF(Locked!Q150="|",ROUND(Locked!N150,0),IF(Locked!Q150="V",ROUND(Locked!N150,-3),""))</f>
        <v>12315</v>
      </c>
      <c r="C68" s="49">
        <f ca="1">IF(B68="","",ROUND(Locked!P150,3))</f>
        <v>0.88300000000000001</v>
      </c>
      <c r="D68" s="6">
        <f t="shared" ca="1" si="7"/>
        <v>-9.6471185580096563E-6</v>
      </c>
      <c r="E68" s="6">
        <f t="shared" ca="1" si="8"/>
        <v>-9.5112285336856102E-6</v>
      </c>
    </row>
    <row r="69" spans="1:5" x14ac:dyDescent="0.25">
      <c r="A69" s="3" t="str">
        <f t="shared" ca="1" si="6"/>
        <v>key =</v>
      </c>
      <c r="B69" s="3">
        <f ca="1">IF(Locked!Q151="|",ROUND(Locked!N151,0),IF(Locked!Q151="V",ROUND(Locked!N151,-3),""))</f>
        <v>16100</v>
      </c>
      <c r="C69" s="49">
        <f ca="1">IF(B69="","",ROUND(Locked!P151,3))</f>
        <v>0.84699999999999998</v>
      </c>
      <c r="D69" s="6">
        <f t="shared" ca="1" si="7"/>
        <v>-9.5112285336856102E-6</v>
      </c>
      <c r="E69" s="6">
        <f t="shared" ca="1" si="8"/>
        <v>-9.8765432098765213E-6</v>
      </c>
    </row>
    <row r="70" spans="1:5" x14ac:dyDescent="0.25">
      <c r="A70" s="3" t="str">
        <f t="shared" ca="1" si="6"/>
        <v>key =</v>
      </c>
      <c r="B70" s="3">
        <f ca="1">IF(Locked!Q152="|",ROUND(Locked!N152,0),IF(Locked!Q152="V",ROUND(Locked!N152,-3),""))</f>
        <v>19745</v>
      </c>
      <c r="C70" s="49">
        <f ca="1">IF(B70="","",ROUND(Locked!P152,3))</f>
        <v>0.81100000000000005</v>
      </c>
      <c r="D70" s="6">
        <f t="shared" ca="1" si="7"/>
        <v>-9.8765432098765213E-6</v>
      </c>
      <c r="E70" s="6">
        <f t="shared" ca="1" si="8"/>
        <v>-9.9629945915172302E-6</v>
      </c>
    </row>
    <row r="71" spans="1:5" x14ac:dyDescent="0.25">
      <c r="A71" s="3" t="str">
        <f t="shared" ca="1" si="6"/>
        <v>key =</v>
      </c>
      <c r="B71" s="3">
        <f ca="1">IF(Locked!Q153="|",ROUND(Locked!N153,0),IF(Locked!Q153="V",ROUND(Locked!N153,-3),""))</f>
        <v>23258</v>
      </c>
      <c r="C71" s="49">
        <f ca="1">IF(B71="","",ROUND(Locked!P153,3))</f>
        <v>0.77600000000000002</v>
      </c>
      <c r="D71" s="6">
        <f t="shared" ca="1" si="7"/>
        <v>-9.9629945915172302E-6</v>
      </c>
      <c r="E71" s="6">
        <f t="shared" ca="1" si="8"/>
        <v>-1.0023584905660387E-5</v>
      </c>
    </row>
    <row r="72" spans="1:5" x14ac:dyDescent="0.25">
      <c r="A72" s="3" t="str">
        <f t="shared" ca="1" si="6"/>
        <v>key =</v>
      </c>
      <c r="B72" s="3">
        <f ca="1">IF(Locked!Q154="|",ROUND(Locked!N154,0),IF(Locked!Q154="V",ROUND(Locked!N154,-3),""))</f>
        <v>26650</v>
      </c>
      <c r="C72" s="49">
        <f ca="1">IF(B72="","",ROUND(Locked!P154,3))</f>
        <v>0.74199999999999999</v>
      </c>
      <c r="D72" s="6">
        <f t="shared" ca="1" si="7"/>
        <v>-1.0023584905660387E-5</v>
      </c>
      <c r="E72" s="6">
        <f t="shared" ca="1" si="8"/>
        <v>-1.0664229128580143E-5</v>
      </c>
    </row>
    <row r="73" spans="1:5" x14ac:dyDescent="0.25">
      <c r="A73" s="3" t="str">
        <f t="shared" ca="1" si="6"/>
        <v>key =</v>
      </c>
      <c r="B73" s="3">
        <f ca="1">IF(Locked!Q155="|",ROUND(Locked!N155,0),IF(Locked!Q155="V",ROUND(Locked!N155,-3),""))</f>
        <v>29932</v>
      </c>
      <c r="C73" s="49">
        <f ca="1">IF(B73="","",ROUND(Locked!P155,3))</f>
        <v>0.70699999999999996</v>
      </c>
      <c r="D73" s="6">
        <f t="shared" ca="1" si="7"/>
        <v>-1.0664229128580143E-5</v>
      </c>
      <c r="E73" s="6">
        <f t="shared" ca="1" si="8"/>
        <v>-1.0688462747563634E-5</v>
      </c>
    </row>
    <row r="74" spans="1:5" x14ac:dyDescent="0.25">
      <c r="A74" s="3" t="str">
        <f t="shared" ca="1" si="6"/>
        <v>key =</v>
      </c>
      <c r="B74" s="3">
        <f ca="1">IF(Locked!Q156="|",ROUND(Locked!N156,0),IF(Locked!Q156="V",ROUND(Locked!N156,-3),""))</f>
        <v>33113</v>
      </c>
      <c r="C74" s="49">
        <f ca="1">IF(B74="","",ROUND(Locked!P156,3))</f>
        <v>0.67300000000000004</v>
      </c>
      <c r="D74" s="6">
        <f t="shared" ca="1" si="7"/>
        <v>-1.0688462747563634E-5</v>
      </c>
      <c r="E74" s="6">
        <f t="shared" ca="1" si="8"/>
        <v>-1.0845295055821381E-5</v>
      </c>
    </row>
    <row r="75" spans="1:5" x14ac:dyDescent="0.25">
      <c r="A75" s="3" t="str">
        <f t="shared" ca="1" si="6"/>
        <v>key =</v>
      </c>
      <c r="B75" s="3">
        <f ca="1">IF(Locked!Q157="|",ROUND(Locked!N157,0),IF(Locked!Q157="V",ROUND(Locked!N157,-3),""))</f>
        <v>36248</v>
      </c>
      <c r="C75" s="49">
        <f ca="1">IF(B75="","",ROUND(Locked!P157,3))</f>
        <v>0.63900000000000001</v>
      </c>
      <c r="D75" s="6">
        <f t="shared" ca="1" si="7"/>
        <v>-1.0845295055821381E-5</v>
      </c>
      <c r="E75" s="6">
        <f t="shared" ca="1" si="8"/>
        <v>-1.1303191489361712E-5</v>
      </c>
    </row>
    <row r="76" spans="1:5" x14ac:dyDescent="0.25">
      <c r="A76" s="3" t="str">
        <f t="shared" ca="1" si="6"/>
        <v>key =</v>
      </c>
      <c r="B76" s="3">
        <f ca="1">IF(Locked!Q158="|",ROUND(Locked!N158,0),IF(Locked!Q158="V",ROUND(Locked!N158,-3),""))</f>
        <v>39256</v>
      </c>
      <c r="C76" s="49">
        <f ca="1">IF(B76="","",ROUND(Locked!P158,3))</f>
        <v>0.60499999999999998</v>
      </c>
      <c r="D76" s="6">
        <f t="shared" ca="1" si="7"/>
        <v>-1.1303191489361712E-5</v>
      </c>
      <c r="E76" s="6">
        <f t="shared" ca="1" si="8"/>
        <v>-1.1920980926430528E-5</v>
      </c>
    </row>
    <row r="77" spans="1:5" x14ac:dyDescent="0.25">
      <c r="A77" s="3" t="str">
        <f t="shared" ca="1" si="6"/>
        <v>key =</v>
      </c>
      <c r="B77" s="3">
        <f ca="1">IF(Locked!Q159="|",ROUND(Locked!N159,0),IF(Locked!Q159="V",ROUND(Locked!N159,-3),""))</f>
        <v>42192</v>
      </c>
      <c r="C77" s="49">
        <f ca="1">IF(B77="","",ROUND(Locked!P159,3))</f>
        <v>0.56999999999999995</v>
      </c>
      <c r="D77" s="6">
        <f t="shared" ca="1" si="7"/>
        <v>-1.1920980926430528E-5</v>
      </c>
      <c r="E77" s="6">
        <f t="shared" ca="1" si="8"/>
        <v>-1.2534818941504151E-5</v>
      </c>
    </row>
    <row r="78" spans="1:5" x14ac:dyDescent="0.25">
      <c r="A78" s="3" t="str">
        <f t="shared" ca="1" si="6"/>
        <v>key =</v>
      </c>
      <c r="B78" s="3">
        <f ca="1">IF(Locked!Q160="|",ROUND(Locked!N160,0),IF(Locked!Q160="V",ROUND(Locked!N160,-3),""))</f>
        <v>45064</v>
      </c>
      <c r="C78" s="49">
        <f ca="1">IF(B78="","",ROUND(Locked!P160,3))</f>
        <v>0.53400000000000003</v>
      </c>
      <c r="D78" s="6">
        <f t="shared" ca="1" si="7"/>
        <v>-1.2534818941504151E-5</v>
      </c>
      <c r="E78" s="6">
        <f t="shared" ca="1" si="8"/>
        <v>-1.0638297872340435E-5</v>
      </c>
    </row>
    <row r="79" spans="1:5" x14ac:dyDescent="0.25">
      <c r="A79" s="3" t="str">
        <f t="shared" ca="1" si="6"/>
        <v>key =</v>
      </c>
      <c r="B79" s="3">
        <f ca="1">IF(Locked!Q161="|",ROUND(Locked!N161,0),IF(Locked!Q161="V",ROUND(Locked!N161,-3),""))</f>
        <v>47884</v>
      </c>
      <c r="C79" s="49">
        <f ca="1">IF(B79="","",ROUND(Locked!P161,3))</f>
        <v>0.504</v>
      </c>
      <c r="D79" s="6">
        <f t="shared" ca="1" si="7"/>
        <v>-1.0638297872340435E-5</v>
      </c>
      <c r="E79" s="6">
        <f t="shared" ca="1" si="8"/>
        <v>-1.0442924018725253E-5</v>
      </c>
    </row>
    <row r="80" spans="1:5" x14ac:dyDescent="0.25">
      <c r="A80" s="3" t="str">
        <f t="shared" ca="1" si="6"/>
        <v>key =</v>
      </c>
      <c r="B80" s="3">
        <f ca="1">IF(Locked!Q162="|",ROUND(Locked!N162,0),IF(Locked!Q162="V",ROUND(Locked!N162,-3),""))</f>
        <v>50661</v>
      </c>
      <c r="C80" s="49">
        <f ca="1">IF(B80="","",ROUND(Locked!P162,3))</f>
        <v>0.47499999999999998</v>
      </c>
      <c r="D80" s="6">
        <f t="shared" ca="1" si="7"/>
        <v>-1.0442924018725253E-5</v>
      </c>
      <c r="E80" s="6">
        <f t="shared" ca="1" si="8"/>
        <v>-9.8648154914139454E-6</v>
      </c>
    </row>
    <row r="81" spans="1:5" x14ac:dyDescent="0.25">
      <c r="A81" s="3" t="str">
        <f t="shared" ref="A81:A107" ca="1" si="9">IF(B81="","Unused","key =")</f>
        <v>key =</v>
      </c>
      <c r="B81" s="3">
        <f ca="1">IF(Locked!Q163="|",ROUND(Locked!N163,0),IF(Locked!Q163="V",ROUND(Locked!N163,-3),""))</f>
        <v>53398</v>
      </c>
      <c r="C81" s="49">
        <f ca="1">IF(B81="","",ROUND(Locked!P163,3))</f>
        <v>0.44800000000000001</v>
      </c>
      <c r="D81" s="6">
        <f t="shared" ref="D81:D107" ca="1" si="10">IF(C81="","",(C81-C80)/(B81-B80))</f>
        <v>-9.8648154914139454E-6</v>
      </c>
      <c r="E81" s="6">
        <f t="shared" ref="E81:E107" ca="1" si="11">IF(C81="","",IF(C82="",0,(C82-C81)/(B82-B81)))</f>
        <v>-9.5623390952556176E-6</v>
      </c>
    </row>
    <row r="82" spans="1:5" x14ac:dyDescent="0.25">
      <c r="A82" s="3" t="str">
        <f t="shared" ca="1" si="9"/>
        <v>key =</v>
      </c>
      <c r="B82" s="3">
        <f ca="1">IF(Locked!Q164="|",ROUND(Locked!N164,0),IF(Locked!Q164="V",ROUND(Locked!N164,-3),""))</f>
        <v>56117</v>
      </c>
      <c r="C82" s="49">
        <f ca="1">IF(B82="","",ROUND(Locked!P164,3))</f>
        <v>0.42199999999999999</v>
      </c>
      <c r="D82" s="6">
        <f t="shared" ca="1" si="10"/>
        <v>-9.5623390952556176E-6</v>
      </c>
      <c r="E82" s="6">
        <f t="shared" ca="1" si="11"/>
        <v>-8.3246618106139323E-6</v>
      </c>
    </row>
    <row r="83" spans="1:5" x14ac:dyDescent="0.25">
      <c r="A83" s="3" t="str">
        <f t="shared" ca="1" si="9"/>
        <v>key =</v>
      </c>
      <c r="B83" s="3">
        <f ca="1">IF(Locked!Q165="|",ROUND(Locked!N165,0),IF(Locked!Q165="V",ROUND(Locked!N165,-3),""))</f>
        <v>59000</v>
      </c>
      <c r="C83" s="49">
        <f ca="1">IF(B83="","",ROUND(Locked!P165,3))</f>
        <v>0.39800000000000002</v>
      </c>
      <c r="D83" s="6">
        <f t="shared" ca="1" si="10"/>
        <v>-8.3246618106139323E-6</v>
      </c>
      <c r="E83" s="6">
        <f t="shared" ca="1" si="11"/>
        <v>0</v>
      </c>
    </row>
    <row r="84" spans="1:5" x14ac:dyDescent="0.25">
      <c r="A84" s="3" t="str">
        <f t="shared" ca="1" si="9"/>
        <v>Unused</v>
      </c>
      <c r="B84" s="3" t="str">
        <f ca="1">IF(Locked!Q166="|",ROUND(Locked!N166,0),IF(Locked!Q166="V",ROUND(Locked!N166,-3),""))</f>
        <v/>
      </c>
      <c r="C84" s="49" t="str">
        <f ca="1">IF(B84="","",ROUND(Locked!P166,3))</f>
        <v/>
      </c>
      <c r="D84" s="6" t="str">
        <f t="shared" ca="1" si="10"/>
        <v/>
      </c>
      <c r="E84" s="6" t="str">
        <f t="shared" ca="1" si="11"/>
        <v/>
      </c>
    </row>
    <row r="85" spans="1:5" x14ac:dyDescent="0.25">
      <c r="A85" s="3" t="str">
        <f t="shared" ca="1" si="9"/>
        <v>Unused</v>
      </c>
      <c r="B85" s="3" t="str">
        <f ca="1">IF(Locked!Q167="|",ROUND(Locked!N167,0),IF(Locked!Q167="V",ROUND(Locked!N167,-3),""))</f>
        <v/>
      </c>
      <c r="C85" s="49" t="str">
        <f ca="1">IF(B85="","",ROUND(Locked!P167,3))</f>
        <v/>
      </c>
      <c r="D85" s="6" t="str">
        <f t="shared" ca="1" si="10"/>
        <v/>
      </c>
      <c r="E85" s="6" t="str">
        <f t="shared" ca="1" si="11"/>
        <v/>
      </c>
    </row>
    <row r="86" spans="1:5" x14ac:dyDescent="0.25">
      <c r="A86" s="3" t="str">
        <f t="shared" ca="1" si="9"/>
        <v>Unused</v>
      </c>
      <c r="B86" s="3" t="str">
        <f ca="1">IF(Locked!Q168="|",ROUND(Locked!N168,0),IF(Locked!Q168="V",ROUND(Locked!N168,-3),""))</f>
        <v/>
      </c>
      <c r="C86" s="49" t="str">
        <f ca="1">IF(B86="","",ROUND(Locked!P168,3))</f>
        <v/>
      </c>
      <c r="D86" s="6" t="str">
        <f t="shared" ca="1" si="10"/>
        <v/>
      </c>
      <c r="E86" s="6" t="str">
        <f t="shared" ca="1" si="11"/>
        <v/>
      </c>
    </row>
    <row r="87" spans="1:5" x14ac:dyDescent="0.25">
      <c r="A87" s="3" t="str">
        <f t="shared" ca="1" si="9"/>
        <v>Unused</v>
      </c>
      <c r="B87" s="3" t="str">
        <f ca="1">IF(Locked!Q169="|",ROUND(Locked!N169,0),IF(Locked!Q169="V",ROUND(Locked!N169,-3),""))</f>
        <v/>
      </c>
      <c r="C87" s="49" t="str">
        <f ca="1">IF(B87="","",ROUND(Locked!P169,3))</f>
        <v/>
      </c>
      <c r="D87" s="6" t="str">
        <f t="shared" ca="1" si="10"/>
        <v/>
      </c>
      <c r="E87" s="6" t="str">
        <f t="shared" ca="1" si="11"/>
        <v/>
      </c>
    </row>
    <row r="88" spans="1:5" x14ac:dyDescent="0.25">
      <c r="A88" s="3" t="str">
        <f t="shared" ca="1" si="9"/>
        <v>Unused</v>
      </c>
      <c r="B88" s="3" t="str">
        <f ca="1">IF(Locked!Q170="|",ROUND(Locked!N170,0),IF(Locked!Q170="V",ROUND(Locked!N170,-3),""))</f>
        <v/>
      </c>
      <c r="C88" s="49" t="str">
        <f ca="1">IF(B88="","",ROUND(Locked!P170,3))</f>
        <v/>
      </c>
      <c r="D88" s="6" t="str">
        <f t="shared" ca="1" si="10"/>
        <v/>
      </c>
      <c r="E88" s="6" t="str">
        <f t="shared" ca="1" si="11"/>
        <v/>
      </c>
    </row>
    <row r="89" spans="1:5" x14ac:dyDescent="0.25">
      <c r="A89" s="3" t="str">
        <f t="shared" ca="1" si="9"/>
        <v>Unused</v>
      </c>
      <c r="B89" s="3" t="str">
        <f ca="1">IF(Locked!Q171="|",ROUND(Locked!N171,0),IF(Locked!Q171="V",ROUND(Locked!N171,-3),""))</f>
        <v/>
      </c>
      <c r="C89" s="49" t="str">
        <f ca="1">IF(B89="","",ROUND(Locked!P171,3))</f>
        <v/>
      </c>
      <c r="D89" s="6" t="str">
        <f t="shared" ca="1" si="10"/>
        <v/>
      </c>
      <c r="E89" s="6" t="str">
        <f t="shared" ca="1" si="11"/>
        <v/>
      </c>
    </row>
    <row r="90" spans="1:5" x14ac:dyDescent="0.25">
      <c r="A90" s="3" t="str">
        <f t="shared" ca="1" si="9"/>
        <v>Unused</v>
      </c>
      <c r="B90" s="3" t="str">
        <f ca="1">IF(Locked!Q172="|",ROUND(Locked!N172,0),IF(Locked!Q172="V",ROUND(Locked!N172,-3),""))</f>
        <v/>
      </c>
      <c r="C90" s="49" t="str">
        <f ca="1">IF(B90="","",ROUND(Locked!P172,3))</f>
        <v/>
      </c>
      <c r="D90" s="6" t="str">
        <f t="shared" ca="1" si="10"/>
        <v/>
      </c>
      <c r="E90" s="6" t="str">
        <f t="shared" ca="1" si="11"/>
        <v/>
      </c>
    </row>
    <row r="91" spans="1:5" x14ac:dyDescent="0.25">
      <c r="A91" s="3" t="str">
        <f t="shared" ca="1" si="9"/>
        <v>Unused</v>
      </c>
      <c r="B91" s="3" t="str">
        <f ca="1">IF(Locked!Q173="|",ROUND(Locked!N173,0),IF(Locked!Q173="V",ROUND(Locked!N173,-3),""))</f>
        <v/>
      </c>
      <c r="C91" s="49" t="str">
        <f ca="1">IF(B91="","",ROUND(Locked!P173,3))</f>
        <v/>
      </c>
      <c r="D91" s="6" t="str">
        <f t="shared" ca="1" si="10"/>
        <v/>
      </c>
      <c r="E91" s="6" t="str">
        <f t="shared" ca="1" si="11"/>
        <v/>
      </c>
    </row>
    <row r="92" spans="1:5" x14ac:dyDescent="0.25">
      <c r="A92" s="3" t="str">
        <f t="shared" ca="1" si="9"/>
        <v>Unused</v>
      </c>
      <c r="B92" s="3" t="str">
        <f ca="1">IF(Locked!Q174="|",ROUND(Locked!N174,0),IF(Locked!Q174="V",ROUND(Locked!N174,-3),""))</f>
        <v/>
      </c>
      <c r="C92" s="49" t="str">
        <f ca="1">IF(B92="","",ROUND(Locked!P174,3))</f>
        <v/>
      </c>
      <c r="D92" s="6" t="str">
        <f t="shared" ca="1" si="10"/>
        <v/>
      </c>
      <c r="E92" s="6" t="str">
        <f t="shared" ca="1" si="11"/>
        <v/>
      </c>
    </row>
    <row r="93" spans="1:5" x14ac:dyDescent="0.25">
      <c r="A93" s="3" t="str">
        <f t="shared" ca="1" si="9"/>
        <v>Unused</v>
      </c>
      <c r="B93" s="3" t="str">
        <f ca="1">IF(Locked!Q175="|",ROUND(Locked!N175,0),IF(Locked!Q175="V",ROUND(Locked!N175,-3),""))</f>
        <v/>
      </c>
      <c r="C93" s="49" t="str">
        <f ca="1">IF(B93="","",ROUND(Locked!P175,3))</f>
        <v/>
      </c>
      <c r="D93" s="6" t="str">
        <f t="shared" ca="1" si="10"/>
        <v/>
      </c>
      <c r="E93" s="6" t="str">
        <f t="shared" ca="1" si="11"/>
        <v/>
      </c>
    </row>
    <row r="94" spans="1:5" x14ac:dyDescent="0.25">
      <c r="A94" s="3" t="str">
        <f t="shared" ca="1" si="9"/>
        <v>Unused</v>
      </c>
      <c r="B94" s="3" t="str">
        <f ca="1">IF(Locked!Q176="|",ROUND(Locked!N176,0),IF(Locked!Q176="V",ROUND(Locked!N176,-3),""))</f>
        <v/>
      </c>
      <c r="C94" s="49" t="str">
        <f ca="1">IF(B94="","",ROUND(Locked!P176,3))</f>
        <v/>
      </c>
      <c r="D94" s="6" t="str">
        <f t="shared" ca="1" si="10"/>
        <v/>
      </c>
      <c r="E94" s="6" t="str">
        <f t="shared" ca="1" si="11"/>
        <v/>
      </c>
    </row>
    <row r="95" spans="1:5" x14ac:dyDescent="0.25">
      <c r="A95" s="3" t="str">
        <f t="shared" ca="1" si="9"/>
        <v>Unused</v>
      </c>
      <c r="B95" s="3" t="str">
        <f ca="1">IF(Locked!Q177="|",ROUND(Locked!N177,0),IF(Locked!Q177="V",ROUND(Locked!N177,-3),""))</f>
        <v/>
      </c>
      <c r="C95" s="49" t="str">
        <f ca="1">IF(B95="","",ROUND(Locked!P177,3))</f>
        <v/>
      </c>
      <c r="D95" s="6" t="str">
        <f t="shared" ca="1" si="10"/>
        <v/>
      </c>
      <c r="E95" s="6" t="str">
        <f t="shared" ca="1" si="11"/>
        <v/>
      </c>
    </row>
    <row r="96" spans="1:5" x14ac:dyDescent="0.25">
      <c r="A96" s="3" t="str">
        <f t="shared" ca="1" si="9"/>
        <v>Unused</v>
      </c>
      <c r="B96" s="3" t="str">
        <f ca="1">IF(Locked!Q178="|",ROUND(Locked!N178,0),IF(Locked!Q178="V",ROUND(Locked!N178,-3),""))</f>
        <v/>
      </c>
      <c r="C96" s="49" t="str">
        <f ca="1">IF(B96="","",ROUND(Locked!P178,3))</f>
        <v/>
      </c>
      <c r="D96" s="6" t="str">
        <f t="shared" ca="1" si="10"/>
        <v/>
      </c>
      <c r="E96" s="6" t="str">
        <f t="shared" ca="1" si="11"/>
        <v/>
      </c>
    </row>
    <row r="97" spans="1:5" x14ac:dyDescent="0.25">
      <c r="A97" s="3" t="str">
        <f t="shared" ca="1" si="9"/>
        <v>Unused</v>
      </c>
      <c r="B97" s="3" t="str">
        <f ca="1">IF(Locked!Q179="|",ROUND(Locked!N179,0),IF(Locked!Q179="V",ROUND(Locked!N179,-3),""))</f>
        <v/>
      </c>
      <c r="C97" s="49" t="str">
        <f ca="1">IF(B97="","",ROUND(Locked!P179,3))</f>
        <v/>
      </c>
      <c r="D97" s="6" t="str">
        <f t="shared" ca="1" si="10"/>
        <v/>
      </c>
      <c r="E97" s="6" t="str">
        <f t="shared" ca="1" si="11"/>
        <v/>
      </c>
    </row>
    <row r="98" spans="1:5" x14ac:dyDescent="0.25">
      <c r="A98" s="3" t="str">
        <f t="shared" ca="1" si="9"/>
        <v>Unused</v>
      </c>
      <c r="B98" s="3" t="str">
        <f ca="1">IF(Locked!Q180="|",ROUND(Locked!N180,0),IF(Locked!Q180="V",ROUND(Locked!N180,-3),""))</f>
        <v/>
      </c>
      <c r="C98" s="49" t="str">
        <f ca="1">IF(B98="","",ROUND(Locked!P180,3))</f>
        <v/>
      </c>
      <c r="D98" s="6" t="str">
        <f t="shared" ca="1" si="10"/>
        <v/>
      </c>
      <c r="E98" s="6" t="str">
        <f t="shared" ca="1" si="11"/>
        <v/>
      </c>
    </row>
    <row r="99" spans="1:5" x14ac:dyDescent="0.25">
      <c r="A99" s="3" t="str">
        <f t="shared" ca="1" si="9"/>
        <v>Unused</v>
      </c>
      <c r="B99" s="3" t="str">
        <f ca="1">IF(Locked!Q181="|",ROUND(Locked!N181,0),IF(Locked!Q181="V",ROUND(Locked!N181,-3),""))</f>
        <v/>
      </c>
      <c r="C99" s="49" t="str">
        <f ca="1">IF(B99="","",ROUND(Locked!P181,3))</f>
        <v/>
      </c>
      <c r="D99" s="6" t="str">
        <f t="shared" ca="1" si="10"/>
        <v/>
      </c>
      <c r="E99" s="6" t="str">
        <f t="shared" ca="1" si="11"/>
        <v/>
      </c>
    </row>
    <row r="100" spans="1:5" x14ac:dyDescent="0.25">
      <c r="A100" s="3" t="str">
        <f t="shared" ca="1" si="9"/>
        <v>Unused</v>
      </c>
      <c r="B100" s="3" t="str">
        <f ca="1">IF(Locked!Q182="|",ROUND(Locked!N182,0),IF(Locked!Q182="V",ROUND(Locked!N182,-3),""))</f>
        <v/>
      </c>
      <c r="C100" s="49" t="str">
        <f ca="1">IF(B100="","",ROUND(Locked!P182,3))</f>
        <v/>
      </c>
      <c r="D100" s="6" t="str">
        <f t="shared" ca="1" si="10"/>
        <v/>
      </c>
      <c r="E100" s="6" t="str">
        <f t="shared" ca="1" si="11"/>
        <v/>
      </c>
    </row>
    <row r="101" spans="1:5" x14ac:dyDescent="0.25">
      <c r="A101" s="3" t="str">
        <f t="shared" ca="1" si="9"/>
        <v>Unused</v>
      </c>
      <c r="B101" s="3" t="str">
        <f ca="1">IF(Locked!Q183="|",ROUND(Locked!N183,0),IF(Locked!Q183="V",ROUND(Locked!N183,-3),""))</f>
        <v/>
      </c>
      <c r="C101" s="49" t="str">
        <f ca="1">IF(B101="","",ROUND(Locked!P183,3))</f>
        <v/>
      </c>
      <c r="D101" s="6" t="str">
        <f t="shared" ca="1" si="10"/>
        <v/>
      </c>
      <c r="E101" s="6" t="str">
        <f t="shared" ca="1" si="11"/>
        <v/>
      </c>
    </row>
    <row r="102" spans="1:5" x14ac:dyDescent="0.25">
      <c r="A102" s="3" t="str">
        <f t="shared" ca="1" si="9"/>
        <v>Unused</v>
      </c>
      <c r="B102" s="3" t="str">
        <f ca="1">IF(Locked!Q184="|",ROUND(Locked!N184,0),IF(Locked!Q184="V",ROUND(Locked!N184,-3),""))</f>
        <v/>
      </c>
      <c r="C102" s="49" t="str">
        <f ca="1">IF(B102="","",ROUND(Locked!P184,3))</f>
        <v/>
      </c>
      <c r="D102" s="6" t="str">
        <f t="shared" ca="1" si="10"/>
        <v/>
      </c>
      <c r="E102" s="6" t="str">
        <f t="shared" ca="1" si="11"/>
        <v/>
      </c>
    </row>
    <row r="103" spans="1:5" x14ac:dyDescent="0.25">
      <c r="A103" s="3" t="str">
        <f t="shared" ca="1" si="9"/>
        <v>Unused</v>
      </c>
      <c r="B103" s="3" t="str">
        <f ca="1">IF(Locked!Q185="|",ROUND(Locked!N185,0),IF(Locked!Q185="V",ROUND(Locked!N185,-3),""))</f>
        <v/>
      </c>
      <c r="C103" s="49" t="str">
        <f ca="1">IF(B103="","",ROUND(Locked!P185,3))</f>
        <v/>
      </c>
      <c r="D103" s="6" t="str">
        <f t="shared" ca="1" si="10"/>
        <v/>
      </c>
      <c r="E103" s="6" t="str">
        <f t="shared" ca="1" si="11"/>
        <v/>
      </c>
    </row>
    <row r="104" spans="1:5" x14ac:dyDescent="0.25">
      <c r="A104" s="3" t="str">
        <f t="shared" ca="1" si="9"/>
        <v>Unused</v>
      </c>
      <c r="B104" s="3" t="str">
        <f ca="1">IF(Locked!Q186="|",ROUND(Locked!N186,0),IF(Locked!Q186="V",ROUND(Locked!N186,-3),""))</f>
        <v/>
      </c>
      <c r="C104" s="49" t="str">
        <f ca="1">IF(B104="","",ROUND(Locked!P186,3))</f>
        <v/>
      </c>
      <c r="D104" s="6" t="str">
        <f t="shared" ca="1" si="10"/>
        <v/>
      </c>
      <c r="E104" s="6" t="str">
        <f t="shared" ca="1" si="11"/>
        <v/>
      </c>
    </row>
    <row r="105" spans="1:5" x14ac:dyDescent="0.25">
      <c r="A105" s="3" t="str">
        <f t="shared" ca="1" si="9"/>
        <v>Unused</v>
      </c>
      <c r="B105" s="3" t="str">
        <f ca="1">IF(Locked!Q187="|",ROUND(Locked!N187,0),IF(Locked!Q187="V",ROUND(Locked!N187,-3),""))</f>
        <v/>
      </c>
      <c r="C105" s="49" t="str">
        <f ca="1">IF(B105="","",ROUND(Locked!P187,3))</f>
        <v/>
      </c>
      <c r="D105" s="6" t="str">
        <f t="shared" ca="1" si="10"/>
        <v/>
      </c>
      <c r="E105" s="6" t="str">
        <f t="shared" ca="1" si="11"/>
        <v/>
      </c>
    </row>
    <row r="106" spans="1:5" x14ac:dyDescent="0.25">
      <c r="A106" s="3" t="str">
        <f t="shared" ca="1" si="9"/>
        <v>Unused</v>
      </c>
      <c r="B106" s="3" t="str">
        <f ca="1">IF(Locked!Q188="|",ROUND(Locked!N188,0),IF(Locked!Q188="V",ROUND(Locked!N188,-3),""))</f>
        <v/>
      </c>
      <c r="C106" s="49" t="str">
        <f ca="1">IF(B106="","",ROUND(Locked!P188,3))</f>
        <v/>
      </c>
      <c r="D106" s="6" t="str">
        <f t="shared" ca="1" si="10"/>
        <v/>
      </c>
      <c r="E106" s="6" t="str">
        <f t="shared" ca="1" si="11"/>
        <v/>
      </c>
    </row>
    <row r="107" spans="1:5" x14ac:dyDescent="0.25">
      <c r="A107" s="3" t="str">
        <f t="shared" ca="1" si="9"/>
        <v>Unused</v>
      </c>
      <c r="B107" s="3" t="str">
        <f ca="1">IF(Locked!Q189="|",ROUND(Locked!N189,0),IF(Locked!Q189="V",ROUND(Locked!N189,-3),""))</f>
        <v/>
      </c>
      <c r="C107" s="49" t="str">
        <f ca="1">IF(B107="","",ROUND(Locked!P189,3))</f>
        <v/>
      </c>
      <c r="D107" s="6" t="str">
        <f t="shared" ca="1" si="10"/>
        <v/>
      </c>
      <c r="E107" s="6" t="str">
        <f t="shared" ca="1" si="11"/>
        <v/>
      </c>
    </row>
    <row r="108" spans="1:5" x14ac:dyDescent="0.25">
      <c r="A108" s="10" t="s">
        <v>67</v>
      </c>
      <c r="B108" s="3"/>
      <c r="C108" s="3"/>
      <c r="D108" s="3"/>
      <c r="E108" s="3"/>
    </row>
    <row r="109" spans="1:5" x14ac:dyDescent="0.25">
      <c r="A109" s="10" t="s">
        <v>80</v>
      </c>
      <c r="B109" s="3"/>
      <c r="C109" s="3"/>
      <c r="D109" s="3"/>
      <c r="E109" s="3"/>
    </row>
    <row r="110" spans="1:5" x14ac:dyDescent="0.25">
      <c r="A110" s="10" t="s">
        <v>66</v>
      </c>
      <c r="B110" s="3"/>
      <c r="C110" s="3"/>
      <c r="D110" s="3"/>
      <c r="E110" s="3"/>
    </row>
    <row r="111" spans="1:5" x14ac:dyDescent="0.25">
      <c r="A111" s="3" t="s">
        <v>78</v>
      </c>
      <c r="B111" s="3">
        <v>0</v>
      </c>
      <c r="C111" s="3">
        <v>0</v>
      </c>
      <c r="D111" s="3">
        <v>0</v>
      </c>
      <c r="E111" s="3">
        <v>0</v>
      </c>
    </row>
    <row r="112" spans="1:5" x14ac:dyDescent="0.25">
      <c r="A112" s="3" t="s">
        <v>78</v>
      </c>
      <c r="B112" s="3">
        <v>45</v>
      </c>
      <c r="C112" s="3">
        <f>ROUND(Locked!G113/2*(1-COS(RADIANS(B112))),2)</f>
        <v>33.28</v>
      </c>
      <c r="D112" s="3">
        <f>ROUND(Locked!G113*PI()/360*COS(RADIANS(90-B112)),4)</f>
        <v>1.4025000000000001</v>
      </c>
      <c r="E112" s="3">
        <f>D112</f>
        <v>1.4025000000000001</v>
      </c>
    </row>
    <row r="113" spans="1:5" x14ac:dyDescent="0.25">
      <c r="A113" s="3" t="s">
        <v>78</v>
      </c>
      <c r="B113" s="3">
        <v>90</v>
      </c>
      <c r="C113" s="3">
        <f>ROUND(Locked!G113,1)/2</f>
        <v>113.65</v>
      </c>
      <c r="D113" s="3">
        <f>ROUND(Locked!G113*PI()/360,4)</f>
        <v>1.9834000000000001</v>
      </c>
      <c r="E113" s="3">
        <v>0</v>
      </c>
    </row>
    <row r="114" spans="1:5" x14ac:dyDescent="0.25">
      <c r="A114" s="10" t="s">
        <v>67</v>
      </c>
      <c r="B114" s="3"/>
      <c r="C114" s="3"/>
      <c r="D114" s="3"/>
      <c r="E114" s="3"/>
    </row>
    <row r="115" spans="1:5" x14ac:dyDescent="0.25">
      <c r="A115" s="10" t="s">
        <v>81</v>
      </c>
      <c r="B115" s="3"/>
      <c r="C115" s="3"/>
      <c r="D115" s="3"/>
      <c r="E115" s="3"/>
    </row>
    <row r="116" spans="1:5" x14ac:dyDescent="0.25">
      <c r="A116" s="10" t="s">
        <v>66</v>
      </c>
      <c r="B116" s="3"/>
      <c r="C116" s="3"/>
      <c r="D116" s="3"/>
      <c r="E116" s="3"/>
    </row>
    <row r="117" spans="1:5" x14ac:dyDescent="0.25">
      <c r="A117" s="3" t="s">
        <v>78</v>
      </c>
      <c r="B117" s="3">
        <v>0</v>
      </c>
      <c r="C117" s="3">
        <f>ROUND(Locked!G113,1)</f>
        <v>227.3</v>
      </c>
      <c r="D117" s="3">
        <v>0</v>
      </c>
      <c r="E117" s="3">
        <v>0</v>
      </c>
    </row>
    <row r="118" spans="1:5" x14ac:dyDescent="0.25">
      <c r="A118" s="3" t="s">
        <v>78</v>
      </c>
      <c r="B118" s="3">
        <v>45</v>
      </c>
      <c r="C118" s="3">
        <f>ROUND(Locked!G113*COS(RADIANS(B118)),2)</f>
        <v>160.71</v>
      </c>
      <c r="D118" s="3">
        <f>ROUND(-Locked!G113*PI()/180*COS(RADIANS(90-B118)),4)</f>
        <v>-2.8048999999999999</v>
      </c>
      <c r="E118" s="3">
        <f>D118</f>
        <v>-2.8048999999999999</v>
      </c>
    </row>
    <row r="119" spans="1:5" x14ac:dyDescent="0.25">
      <c r="A119" s="3" t="s">
        <v>78</v>
      </c>
      <c r="B119" s="3">
        <v>90</v>
      </c>
      <c r="C119" s="3">
        <v>0</v>
      </c>
      <c r="D119" s="3">
        <f>ROUND(-Locked!G113*PI()/180,4)</f>
        <v>-3.9666999999999999</v>
      </c>
      <c r="E119" s="3">
        <v>0</v>
      </c>
    </row>
    <row r="120" spans="1:5" x14ac:dyDescent="0.25">
      <c r="A120" s="10" t="s">
        <v>67</v>
      </c>
      <c r="B120" s="3"/>
      <c r="C120" s="3"/>
      <c r="D120" s="3"/>
      <c r="E120" s="3"/>
    </row>
    <row r="121" spans="1:5" x14ac:dyDescent="0.25">
      <c r="A121" s="10" t="s">
        <v>82</v>
      </c>
      <c r="B121" s="3"/>
      <c r="C121" s="3"/>
      <c r="D121" s="3"/>
      <c r="E121" s="3"/>
    </row>
    <row r="122" spans="1:5" x14ac:dyDescent="0.25">
      <c r="A122" s="10" t="s">
        <v>66</v>
      </c>
      <c r="B122" s="3"/>
      <c r="C122" s="3"/>
      <c r="D122" s="3"/>
      <c r="E122" s="3"/>
    </row>
    <row r="123" spans="1:5" x14ac:dyDescent="0.25">
      <c r="A123" s="3" t="s">
        <v>78</v>
      </c>
      <c r="B123" s="3">
        <v>0</v>
      </c>
      <c r="C123" s="3">
        <f>ROUND(-Locked!G$114*Locked!G$116*SIN(RADIANS(B123-36+Locked!G31)),2)</f>
        <v>0.35</v>
      </c>
      <c r="D123" s="3">
        <v>0</v>
      </c>
      <c r="E123" s="3">
        <f>IF(Locked!G$30&gt;0,D128,0)</f>
        <v>-8.3000000000000001E-3</v>
      </c>
    </row>
    <row r="124" spans="1:5" x14ac:dyDescent="0.25">
      <c r="A124" s="3" t="str">
        <f t="shared" ref="A124:A128" si="12">IF(B124="","Unused","key =")</f>
        <v>key =</v>
      </c>
      <c r="B124" s="3">
        <f>IF(Locked!G$30&gt;0,MIN(IF(36-Locked!G$31&lt;0,36-Locked!G$31+360,36-Locked!G$31),IF(126-Locked!G$31&lt;0,126-Locked!G$31+360,126-Locked!G$31),IF(216-Locked!G$31&lt;0,216-Locked!G$31+360,216-Locked!G$31),IF(306-Locked!G$31&lt;0,306-Locked!G$31+360,306-Locked!G$31)),"")</f>
        <v>36</v>
      </c>
      <c r="C124" s="3">
        <f>IF(Locked!G$30&gt;0,ROUND(-Locked!G$114*Locked!G$116*SIN(RADIANS(B124-36+Locked!G$31)),2),"")</f>
        <v>0</v>
      </c>
      <c r="D124" s="3">
        <f>IF(Locked!G$30&gt;0,ROUND(Locked!G$114*Locked!G$116*SIN(RADIANS(270))*COS(RADIANS(B124-36+Locked!G$31))*PI()/180,4),"")</f>
        <v>-1.03E-2</v>
      </c>
      <c r="E124" s="3">
        <f>IF(Locked!G$30&gt;0,D124,"")</f>
        <v>-1.03E-2</v>
      </c>
    </row>
    <row r="125" spans="1:5" x14ac:dyDescent="0.25">
      <c r="A125" s="3" t="str">
        <f t="shared" si="12"/>
        <v>key =</v>
      </c>
      <c r="B125" s="3">
        <f>IF(Locked!G$30&gt;0,B124+90,"")</f>
        <v>126</v>
      </c>
      <c r="C125" s="3">
        <f>IF(Locked!G$30&gt;0,ROUND(-Locked!G$114*Locked!G$116*SIN(RADIANS(B125-36+Locked!G$31)),2),"")</f>
        <v>-0.59</v>
      </c>
      <c r="D125" s="3">
        <f>IF(Locked!G$30&gt;0,ROUND(Locked!G$114*Locked!G$116*SIN(RADIANS(270))*COS(RADIANS(B125-36+Locked!G$31))*PI()/180,4),"")</f>
        <v>0</v>
      </c>
      <c r="E125" s="3">
        <f>IF(Locked!G$30&gt;0,D125,"")</f>
        <v>0</v>
      </c>
    </row>
    <row r="126" spans="1:5" x14ac:dyDescent="0.25">
      <c r="A126" s="3" t="str">
        <f t="shared" si="12"/>
        <v>key =</v>
      </c>
      <c r="B126" s="3">
        <f>IF(Locked!G$30&gt;0,B125+90,"")</f>
        <v>216</v>
      </c>
      <c r="C126" s="3">
        <f>IF(Locked!G$30&gt;0,ROUND(-Locked!G$114*Locked!G$116*SIN(RADIANS(B126-36+Locked!G$31)),2),"")</f>
        <v>0</v>
      </c>
      <c r="D126" s="3">
        <f>IF(Locked!G$30&gt;0,ROUND(Locked!G$114*Locked!G$116*SIN(RADIANS(270))*COS(RADIANS(B126-36+Locked!G$31))*PI()/180,4),"")</f>
        <v>1.03E-2</v>
      </c>
      <c r="E126" s="3">
        <f>IF(Locked!G$30&gt;0,D126,"")</f>
        <v>1.03E-2</v>
      </c>
    </row>
    <row r="127" spans="1:5" x14ac:dyDescent="0.25">
      <c r="A127" s="3" t="str">
        <f t="shared" si="12"/>
        <v>key =</v>
      </c>
      <c r="B127" s="3">
        <f>IF(Locked!G$30&gt;0,B126+90,"")</f>
        <v>306</v>
      </c>
      <c r="C127" s="3">
        <f>IF(Locked!G$30&gt;0,ROUND(-Locked!G$114*Locked!G$116*SIN(RADIANS(B127-36+Locked!G$31)),2),"")</f>
        <v>0.59</v>
      </c>
      <c r="D127" s="3">
        <f>IF(Locked!G$30&gt;0,ROUND(Locked!G$114*Locked!G$116*SIN(RADIANS(270))*COS(RADIANS(B127-36+Locked!G$31))*PI()/180,4),"")</f>
        <v>0</v>
      </c>
      <c r="E127" s="3">
        <f>IF(Locked!G$30&gt;0,D127,"")</f>
        <v>0</v>
      </c>
    </row>
    <row r="128" spans="1:5" x14ac:dyDescent="0.25">
      <c r="A128" s="3" t="str">
        <f t="shared" si="12"/>
        <v>key =</v>
      </c>
      <c r="B128" s="3">
        <f>IF(Locked!G$30&gt;0,360,"")</f>
        <v>360</v>
      </c>
      <c r="C128" s="3">
        <f>IF(Locked!G$30&gt;0,ROUND(-Locked!G$114*Locked!G$116*SIN(RADIANS(B128-36+Locked!G$31)),2),"")</f>
        <v>0.35</v>
      </c>
      <c r="D128" s="3">
        <f>IF(Locked!G$30&gt;0,ROUND(Locked!G$114*Locked!G$116*SIN(RADIANS(270))*COS(RADIANS(B128-36+Locked!G$31))*PI()/180,4),"")</f>
        <v>-8.3000000000000001E-3</v>
      </c>
      <c r="E128" s="3">
        <f>IF(Locked!G$30&gt;0,0,"")</f>
        <v>0</v>
      </c>
    </row>
    <row r="129" spans="1:5" x14ac:dyDescent="0.25">
      <c r="A129" s="10" t="s">
        <v>67</v>
      </c>
      <c r="B129" s="3"/>
      <c r="C129" s="3"/>
      <c r="D129" s="3"/>
      <c r="E129" s="3"/>
    </row>
    <row r="130" spans="1:5" x14ac:dyDescent="0.25">
      <c r="A130" s="10" t="s">
        <v>83</v>
      </c>
      <c r="B130" s="3"/>
      <c r="C130" s="3"/>
      <c r="D130" s="3"/>
      <c r="E130" s="3"/>
    </row>
    <row r="131" spans="1:5" x14ac:dyDescent="0.25">
      <c r="A131" s="10" t="s">
        <v>66</v>
      </c>
      <c r="B131" s="3"/>
      <c r="C131" s="3"/>
      <c r="D131" s="3"/>
      <c r="E131" s="3"/>
    </row>
    <row r="132" spans="1:5" x14ac:dyDescent="0.25">
      <c r="A132" s="3" t="s">
        <v>78</v>
      </c>
      <c r="B132" s="3">
        <v>0</v>
      </c>
      <c r="C132" s="3">
        <v>0</v>
      </c>
      <c r="D132" s="3">
        <v>0</v>
      </c>
      <c r="E132" s="3">
        <v>0</v>
      </c>
    </row>
    <row r="133" spans="1:5" x14ac:dyDescent="0.25">
      <c r="A133" s="3" t="str">
        <f t="shared" ref="A133:A134" si="13">IF(B133="","Unused","key =")</f>
        <v>key =</v>
      </c>
      <c r="B133" s="3">
        <f>IF(Locked!G$30&gt;0,38,"")</f>
        <v>38</v>
      </c>
      <c r="C133" s="3">
        <f>IF(Locked!G$30&gt;0,0.5,"")</f>
        <v>0.5</v>
      </c>
      <c r="D133" s="3">
        <f>IF(Locked!G$30&gt;0,0.02,"")</f>
        <v>0.02</v>
      </c>
      <c r="E133" s="3">
        <f>IF(Locked!G$30&gt;0,0.02,"")</f>
        <v>0.02</v>
      </c>
    </row>
    <row r="134" spans="1:5" x14ac:dyDescent="0.25">
      <c r="A134" s="3" t="str">
        <f t="shared" si="13"/>
        <v>key =</v>
      </c>
      <c r="B134" s="3">
        <f>IF(Locked!G$30&gt;0,90,"")</f>
        <v>90</v>
      </c>
      <c r="C134" s="3">
        <f>IF(Locked!G$30&gt;0,1,"")</f>
        <v>1</v>
      </c>
      <c r="D134" s="3">
        <f>IF(Locked!G$30&gt;0,0,"")</f>
        <v>0</v>
      </c>
      <c r="E134" s="3">
        <f>IF(Locked!G$30&gt;0,0,"")</f>
        <v>0</v>
      </c>
    </row>
    <row r="135" spans="1:5" x14ac:dyDescent="0.25">
      <c r="A135" s="10" t="s">
        <v>67</v>
      </c>
      <c r="B135" s="3"/>
      <c r="C135" s="3"/>
      <c r="D135" s="3"/>
      <c r="E135" s="3"/>
    </row>
    <row r="136" spans="1:5" x14ac:dyDescent="0.25">
      <c r="A136" s="10" t="s">
        <v>84</v>
      </c>
      <c r="B136" s="3"/>
      <c r="C136" s="3"/>
      <c r="D136" s="3"/>
      <c r="E136" s="3"/>
    </row>
    <row r="137" spans="1:5" x14ac:dyDescent="0.25">
      <c r="A137" s="10" t="s">
        <v>66</v>
      </c>
      <c r="B137" s="3"/>
      <c r="C137" s="3"/>
      <c r="D137" s="3"/>
      <c r="E137" s="3"/>
    </row>
    <row r="138" spans="1:5" x14ac:dyDescent="0.25">
      <c r="A138" s="3" t="s">
        <v>78</v>
      </c>
      <c r="B138" s="3">
        <v>0</v>
      </c>
      <c r="C138" s="3">
        <f>ROUND(Locked!G$115*Locked!G$116,1)/2</f>
        <v>0.65</v>
      </c>
      <c r="D138" s="3">
        <v>0</v>
      </c>
      <c r="E138" s="3">
        <f>-2*C138</f>
        <v>-1.3</v>
      </c>
    </row>
    <row r="139" spans="1:5" x14ac:dyDescent="0.25">
      <c r="A139" s="3" t="str">
        <f t="shared" ref="A139" si="14">IF(B139="","Unused","key =")</f>
        <v>key =</v>
      </c>
      <c r="B139" s="3">
        <f>IF(Locked!G$29&gt;0,1,"")</f>
        <v>1</v>
      </c>
      <c r="C139" s="3">
        <f>IF(Locked!G$29&gt;0,-C138,"")</f>
        <v>-0.65</v>
      </c>
      <c r="D139" s="3">
        <f>IF(Locked!G$29&gt;0,E138,"")</f>
        <v>-1.3</v>
      </c>
      <c r="E139" s="3">
        <f>IF(Locked!G$29&gt;0,0,"")</f>
        <v>0</v>
      </c>
    </row>
    <row r="140" spans="1:5" x14ac:dyDescent="0.25">
      <c r="A140" s="10" t="s">
        <v>67</v>
      </c>
      <c r="B140" s="3"/>
      <c r="C140" s="3"/>
      <c r="D140" s="3"/>
      <c r="E140" s="3"/>
    </row>
    <row r="141" spans="1:5" x14ac:dyDescent="0.25">
      <c r="A141" s="10" t="s">
        <v>85</v>
      </c>
      <c r="B141" s="3"/>
      <c r="C141" s="3"/>
      <c r="D141" s="3"/>
      <c r="E141" s="3"/>
    </row>
    <row r="142" spans="1:5" x14ac:dyDescent="0.25">
      <c r="A142" s="10" t="s">
        <v>66</v>
      </c>
      <c r="B142" s="3"/>
      <c r="C142" s="3"/>
      <c r="D142" s="3"/>
      <c r="E142" s="3"/>
    </row>
    <row r="143" spans="1:5" x14ac:dyDescent="0.25">
      <c r="A143" s="3" t="str">
        <f t="shared" ref="A143:A158" ca="1" si="15">IF(B143="","Unused","key =")</f>
        <v>key =</v>
      </c>
      <c r="B143" s="3">
        <f ca="1">IF(Locked!Q147="|",ROUND(Locked!N147,0),IF(Locked!Q147="V",ROUND(Locked!N147,-3),""))</f>
        <v>0</v>
      </c>
      <c r="C143" s="6">
        <f ca="1">IF(B143="","",IF(B144="",0,Locked!H147/1000))</f>
        <v>20.265000000000004</v>
      </c>
      <c r="D143" s="6">
        <v>0</v>
      </c>
      <c r="E143" s="6">
        <f ca="1">IF(C143="","",IF(C143=0,0,-(C143*1.001-C143*0.999)/(Locked!G147*LN((C143*1.001)/(C143*0.999)))/IF(Locked!G$125&gt;0,Locked!G$125,0.8)))</f>
        <v>-2.6720742076276468E-3</v>
      </c>
    </row>
    <row r="144" spans="1:5" x14ac:dyDescent="0.25">
      <c r="A144" s="3" t="str">
        <f t="shared" ca="1" si="15"/>
        <v>key =</v>
      </c>
      <c r="B144" s="3">
        <f ca="1">IF(Locked!Q148="|",ROUND(Locked!N148,0),IF(Locked!Q148="V",ROUND(Locked!N148,-3),""))</f>
        <v>4275</v>
      </c>
      <c r="C144" s="6">
        <f ca="1">IF(B144="","",IF(B145="",0,Locked!H148/1000))</f>
        <v>11.395846954982424</v>
      </c>
      <c r="D144" s="6">
        <f ca="1">IF(C144="","",IF(C144=0,0,-(C144*1.001-C144*0.999)/(Locked!G148*LN((C144*1.001)/(C144*0.999)))/IF(Locked!G$125&gt;0,Locked!G$125,0.8)))</f>
        <v>-1.5704114840423562E-3</v>
      </c>
      <c r="E144" s="6">
        <f ca="1">D144</f>
        <v>-1.5704114840423562E-3</v>
      </c>
    </row>
    <row r="145" spans="1:5" x14ac:dyDescent="0.25">
      <c r="A145" s="3" t="str">
        <f t="shared" ca="1" si="15"/>
        <v>key =</v>
      </c>
      <c r="B145" s="3">
        <f ca="1">IF(Locked!Q149="|",ROUND(Locked!N149,0),IF(Locked!Q149="V",ROUND(Locked!N149,-3),""))</f>
        <v>8376</v>
      </c>
      <c r="C145" s="6">
        <f ca="1">IF(B145="","",IF(B146="",0,Locked!H149/1000))</f>
        <v>6.408355678331219</v>
      </c>
      <c r="D145" s="6">
        <f ca="1">IF(C145="","",IF(C145=0,0,-(C145*1.001-C145*0.999)/(Locked!G149*LN((C145*1.001)/(C145*0.999)))/IF(Locked!G$125&gt;0,Locked!G$125,0.8)))</f>
        <v>-9.2202695386975938E-4</v>
      </c>
      <c r="E145" s="6">
        <f t="shared" ref="E145:E158" ca="1" si="16">D145</f>
        <v>-9.2202695386975938E-4</v>
      </c>
    </row>
    <row r="146" spans="1:5" x14ac:dyDescent="0.25">
      <c r="A146" s="3" t="str">
        <f t="shared" ca="1" si="15"/>
        <v>key =</v>
      </c>
      <c r="B146" s="3">
        <f ca="1">IF(Locked!Q150="|",ROUND(Locked!N150,0),IF(Locked!Q150="V",ROUND(Locked!N150,-3),""))</f>
        <v>12315</v>
      </c>
      <c r="C146" s="6">
        <f ca="1">IF(B146="","",IF(B147="",0,Locked!H150/1000))</f>
        <v>3.6036832244438766</v>
      </c>
      <c r="D146" s="6">
        <f ca="1">IF(C146="","",IF(C146=0,0,-(C146*1.001-C146*0.999)/(Locked!G150*LN((C146*1.001)/(C146*0.999)))/IF(Locked!G$125&gt;0,Locked!G$125,0.8)))</f>
        <v>-5.4072230700309123E-4</v>
      </c>
      <c r="E146" s="6">
        <f t="shared" ca="1" si="16"/>
        <v>-5.4072230700309123E-4</v>
      </c>
    </row>
    <row r="147" spans="1:5" x14ac:dyDescent="0.25">
      <c r="A147" s="3" t="str">
        <f t="shared" ca="1" si="15"/>
        <v>key =</v>
      </c>
      <c r="B147" s="3">
        <f ca="1">IF(Locked!Q151="|",ROUND(Locked!N151,0),IF(Locked!Q151="V",ROUND(Locked!N151,-3),""))</f>
        <v>16100</v>
      </c>
      <c r="C147" s="6">
        <f ca="1">IF(B147="","",IF(B148="",0,Locked!H151/1000))</f>
        <v>2.0264999999999995</v>
      </c>
      <c r="D147" s="6">
        <f ca="1">IF(C147="","",IF(C147=0,0,-(C147*1.001-C147*0.999)/(Locked!G151*LN((C147*1.001)/(C147*0.999)))/IF(Locked!G$125&gt;0,Locked!G$125,0.8)))</f>
        <v>-3.1669274484458134E-4</v>
      </c>
      <c r="E147" s="6">
        <f t="shared" ca="1" si="16"/>
        <v>-3.1669274484458134E-4</v>
      </c>
    </row>
    <row r="148" spans="1:5" x14ac:dyDescent="0.25">
      <c r="A148" s="3" t="str">
        <f t="shared" ca="1" si="15"/>
        <v>key =</v>
      </c>
      <c r="B148" s="3">
        <f ca="1">IF(Locked!Q152="|",ROUND(Locked!N152,0),IF(Locked!Q152="V",ROUND(Locked!N152,-3),""))</f>
        <v>19745</v>
      </c>
      <c r="C148" s="6">
        <f ca="1">IF(B148="","",IF(B149="",0,Locked!H152/1000))</f>
        <v>1.1395846954982416</v>
      </c>
      <c r="D148" s="6">
        <f ca="1">IF(C148="","",IF(C148=0,0,-(C148*1.001-C148*0.999)/(Locked!G152*LN((C148*1.001)/(C148*0.999)))/IF(Locked!G$125&gt;0,Locked!G$125,0.8)))</f>
        <v>-1.8521055603023525E-4</v>
      </c>
      <c r="E148" s="6">
        <f t="shared" ca="1" si="16"/>
        <v>-1.8521055603023525E-4</v>
      </c>
    </row>
    <row r="149" spans="1:5" x14ac:dyDescent="0.25">
      <c r="A149" s="3" t="str">
        <f t="shared" ca="1" si="15"/>
        <v>key =</v>
      </c>
      <c r="B149" s="3">
        <f ca="1">IF(Locked!Q153="|",ROUND(Locked!N153,0),IF(Locked!Q153="V",ROUND(Locked!N153,-3),""))</f>
        <v>23258</v>
      </c>
      <c r="C149" s="6">
        <f ca="1">IF(B149="","",IF(B150="",0,Locked!H153/1000))</f>
        <v>0.64083556783312201</v>
      </c>
      <c r="D149" s="6">
        <f ca="1">IF(C149="","",IF(C149=0,0,-(C149*1.001-C149*0.999)/(Locked!G153*LN((C149*1.001)/(C149*0.999)))/IF(Locked!G$125&gt;0,Locked!G$125,0.8)))</f>
        <v>-1.0814005638275735E-4</v>
      </c>
      <c r="E149" s="6">
        <f t="shared" ca="1" si="16"/>
        <v>-1.0814005638275735E-4</v>
      </c>
    </row>
    <row r="150" spans="1:5" x14ac:dyDescent="0.25">
      <c r="A150" s="3" t="str">
        <f t="shared" ca="1" si="15"/>
        <v>key =</v>
      </c>
      <c r="B150" s="3">
        <f ca="1">IF(Locked!Q154="|",ROUND(Locked!N154,0),IF(Locked!Q154="V",ROUND(Locked!N154,-3),""))</f>
        <v>26650</v>
      </c>
      <c r="C150" s="6">
        <f ca="1">IF(B150="","",IF(B151="",0,Locked!H154/1000))</f>
        <v>0.3603683224443876</v>
      </c>
      <c r="D150" s="6">
        <f ca="1">IF(C150="","",IF(C150=0,0,-(C150*1.001-C150*0.999)/(Locked!G154*LN((C150*1.001)/(C150*0.999)))/IF(Locked!G$125&gt;0,Locked!G$125,0.8)))</f>
        <v>-6.3027474348028824E-5</v>
      </c>
      <c r="E150" s="6">
        <f t="shared" ca="1" si="16"/>
        <v>-6.3027474348028824E-5</v>
      </c>
    </row>
    <row r="151" spans="1:5" x14ac:dyDescent="0.25">
      <c r="A151" s="3" t="str">
        <f t="shared" ca="1" si="15"/>
        <v>key =</v>
      </c>
      <c r="B151" s="3">
        <f ca="1">IF(Locked!Q155="|",ROUND(Locked!N155,0),IF(Locked!Q155="V",ROUND(Locked!N155,-3),""))</f>
        <v>29932</v>
      </c>
      <c r="C151" s="6">
        <f ca="1">IF(B151="","",IF(B152="",0,Locked!H155/1000))</f>
        <v>0.20264999999999986</v>
      </c>
      <c r="D151" s="6">
        <f ca="1">IF(C151="","",IF(C151=0,0,-(C151*1.001-C151*0.999)/(Locked!G155*LN((C151*1.001)/(C151*0.999)))/IF(Locked!G$125&gt;0,Locked!G$125,0.8)))</f>
        <v>-3.6662814416319352E-5</v>
      </c>
      <c r="E151" s="6">
        <f t="shared" ca="1" si="16"/>
        <v>-3.6662814416319352E-5</v>
      </c>
    </row>
    <row r="152" spans="1:5" x14ac:dyDescent="0.25">
      <c r="A152" s="3" t="str">
        <f t="shared" ca="1" si="15"/>
        <v>key =</v>
      </c>
      <c r="B152" s="3">
        <f ca="1">IF(Locked!Q156="|",ROUND(Locked!N156,0),IF(Locked!Q156="V",ROUND(Locked!N156,-3),""))</f>
        <v>33113</v>
      </c>
      <c r="C152" s="6">
        <f ca="1">IF(B152="","",IF(B153="",0,Locked!H156/1000))</f>
        <v>0.11395846954982417</v>
      </c>
      <c r="D152" s="6">
        <f ca="1">IF(C152="","",IF(C152=0,0,-(C152*1.001-C152*0.999)/(Locked!G156*LN((C152*1.001)/(C152*0.999)))/IF(Locked!G$125&gt;0,Locked!G$125,0.8)))</f>
        <v>-2.1281712244186642E-5</v>
      </c>
      <c r="E152" s="6">
        <f t="shared" ca="1" si="16"/>
        <v>-2.1281712244186642E-5</v>
      </c>
    </row>
    <row r="153" spans="1:5" x14ac:dyDescent="0.25">
      <c r="A153" s="3" t="str">
        <f t="shared" ca="1" si="15"/>
        <v>key =</v>
      </c>
      <c r="B153" s="3">
        <f ca="1">IF(Locked!Q157="|",ROUND(Locked!N157,0),IF(Locked!Q157="V",ROUND(Locked!N157,-3),""))</f>
        <v>36248</v>
      </c>
      <c r="C153" s="6">
        <f ca="1">IF(B153="","",IF(B154="",0,Locked!H157/1000))</f>
        <v>6.4083556783312207E-2</v>
      </c>
      <c r="D153" s="6">
        <f ca="1">IF(C153="","",IF(C153=0,0,-(C153*1.001-C153*0.999)/(Locked!G157*LN((C153*1.001)/(C153*0.999)))/IF(Locked!G$125&gt;0,Locked!G$125,0.8)))</f>
        <v>-1.2325598078606223E-5</v>
      </c>
      <c r="E153" s="6">
        <f t="shared" ca="1" si="16"/>
        <v>-1.2325598078606223E-5</v>
      </c>
    </row>
    <row r="154" spans="1:5" x14ac:dyDescent="0.25">
      <c r="A154" s="3" t="str">
        <f t="shared" ca="1" si="15"/>
        <v>key =</v>
      </c>
      <c r="B154" s="3">
        <f ca="1">IF(Locked!Q158="|",ROUND(Locked!N158,0),IF(Locked!Q158="V",ROUND(Locked!N158,-3),""))</f>
        <v>39256</v>
      </c>
      <c r="C154" s="6">
        <f ca="1">IF(B154="","",IF(B155="",0,Locked!H158/1000))</f>
        <v>3.6036832244438752E-2</v>
      </c>
      <c r="D154" s="6">
        <f ca="1">IF(C154="","",IF(C154=0,0,-(C154*1.001-C154*0.999)/(Locked!G158*LN((C154*1.001)/(C154*0.999)))/IF(Locked!G$125&gt;0,Locked!G$125,0.8)))</f>
        <v>-7.1214892834677635E-6</v>
      </c>
      <c r="E154" s="6">
        <f t="shared" ca="1" si="16"/>
        <v>-7.1214892834677635E-6</v>
      </c>
    </row>
    <row r="155" spans="1:5" x14ac:dyDescent="0.25">
      <c r="A155" s="3" t="str">
        <f t="shared" ca="1" si="15"/>
        <v>key =</v>
      </c>
      <c r="B155" s="3">
        <f ca="1">IF(Locked!Q159="|",ROUND(Locked!N159,0),IF(Locked!Q159="V",ROUND(Locked!N159,-3),""))</f>
        <v>42192</v>
      </c>
      <c r="C155" s="6">
        <f ca="1">IF(B155="","",IF(B156="",0,Locked!H159/1000))</f>
        <v>2.0264999999999984E-2</v>
      </c>
      <c r="D155" s="6">
        <f ca="1">IF(C155="","",IF(C155=0,0,-(C155*1.001-C155*0.999)/(Locked!G159*LN((C155*1.001)/(C155*0.999)))/IF(Locked!G$125&gt;0,Locked!G$125,0.8)))</f>
        <v>-4.1043282357091943E-6</v>
      </c>
      <c r="E155" s="6">
        <f t="shared" ca="1" si="16"/>
        <v>-4.1043282357091943E-6</v>
      </c>
    </row>
    <row r="156" spans="1:5" x14ac:dyDescent="0.25">
      <c r="A156" s="3" t="str">
        <f t="shared" ca="1" si="15"/>
        <v>key =</v>
      </c>
      <c r="B156" s="3">
        <f ca="1">IF(Locked!Q160="|",ROUND(Locked!N160,0),IF(Locked!Q160="V",ROUND(Locked!N160,-3),""))</f>
        <v>45064</v>
      </c>
      <c r="C156" s="6">
        <f ca="1">IF(B156="","",IF(B157="",0,Locked!H160/1000))</f>
        <v>1.1395846954982422E-2</v>
      </c>
      <c r="D156" s="6">
        <f ca="1">IF(C156="","",IF(C156=0,0,-(C156*1.001-C156*0.999)/(Locked!G160*LN((C156*1.001)/(C156*0.999)))/IF(Locked!G$125&gt;0,Locked!G$125,0.8)))</f>
        <v>-2.3592638427083177E-6</v>
      </c>
      <c r="E156" s="6">
        <f t="shared" ca="1" si="16"/>
        <v>-2.3592638427083177E-6</v>
      </c>
    </row>
    <row r="157" spans="1:5" x14ac:dyDescent="0.25">
      <c r="A157" s="3" t="str">
        <f t="shared" ca="1" si="15"/>
        <v>key =</v>
      </c>
      <c r="B157" s="3">
        <f ca="1">IF(Locked!Q161="|",ROUND(Locked!N161,0),IF(Locked!Q161="V",ROUND(Locked!N161,-3),""))</f>
        <v>47884</v>
      </c>
      <c r="C157" s="6">
        <f ca="1">IF(B157="","",IF(B158="",0,Locked!H161/1000))</f>
        <v>6.4083556783312116E-3</v>
      </c>
      <c r="D157" s="6">
        <f ca="1">IF(C157="","",IF(C157=0,0,-(C157*1.001-C157*0.999)/(Locked!G161*LN((C157*1.001)/(C157*0.999)))/IF(Locked!G$125&gt;0,Locked!G$125,0.8)))</f>
        <v>-1.3498033350691989E-6</v>
      </c>
      <c r="E157" s="6">
        <f t="shared" ca="1" si="16"/>
        <v>-1.3498033350691989E-6</v>
      </c>
    </row>
    <row r="158" spans="1:5" x14ac:dyDescent="0.25">
      <c r="A158" s="3" t="str">
        <f t="shared" ca="1" si="15"/>
        <v>key =</v>
      </c>
      <c r="B158" s="3">
        <f ca="1">IF(Locked!Q162="|",ROUND(Locked!N162,0),IF(Locked!Q162="V",ROUND(Locked!N162,-3),""))</f>
        <v>50661</v>
      </c>
      <c r="C158" s="6">
        <f ca="1">IF(B158="","",IF(B159="",0,Locked!H162/1000))</f>
        <v>3.6036832244438744E-3</v>
      </c>
      <c r="D158" s="6">
        <f ca="1">IF(C158="","",IF(C158=0,0,-(C158*1.001-C158*0.999)/(Locked!G162*LN((C158*1.001)/(C158*0.999)))/IF(Locked!G$125&gt;0,Locked!G$125,0.8)))</f>
        <v>-7.7144192515504554E-7</v>
      </c>
      <c r="E158" s="6">
        <f t="shared" ca="1" si="16"/>
        <v>-7.7144192515504554E-7</v>
      </c>
    </row>
    <row r="159" spans="1:5" x14ac:dyDescent="0.25">
      <c r="A159" s="3" t="str">
        <f t="shared" ref="A159:A185" ca="1" si="17">IF(B159="","Unused","key =")</f>
        <v>key =</v>
      </c>
      <c r="B159" s="3">
        <f ca="1">IF(Locked!Q163="|",ROUND(Locked!N163,0),IF(Locked!Q163="V",ROUND(Locked!N163,-3),""))</f>
        <v>53398</v>
      </c>
      <c r="C159" s="6">
        <f ca="1">IF(B159="","",IF(B160="",0,Locked!H163/1000))</f>
        <v>2.0265000000000001E-3</v>
      </c>
      <c r="D159" s="6">
        <f ca="1">IF(C159="","",IF(C159=0,0,-(C159*1.001-C159*0.999)/(Locked!G163*LN((C159*1.001)/(C159*0.999)))/IF(Locked!G$125&gt;0,Locked!G$125,0.8)))</f>
        <v>-4.4071113724653855E-7</v>
      </c>
      <c r="E159" s="6">
        <f t="shared" ref="E159:E185" ca="1" si="18">D159</f>
        <v>-4.4071113724653855E-7</v>
      </c>
    </row>
    <row r="160" spans="1:5" x14ac:dyDescent="0.25">
      <c r="A160" s="3" t="str">
        <f t="shared" ca="1" si="17"/>
        <v>key =</v>
      </c>
      <c r="B160" s="3">
        <f ca="1">IF(Locked!Q164="|",ROUND(Locked!N164,0),IF(Locked!Q164="V",ROUND(Locked!N164,-3),""))</f>
        <v>56117</v>
      </c>
      <c r="C160" s="6">
        <f ca="1">IF(B160="","",IF(B161="",0,Locked!H164/1000))</f>
        <v>1.1395846954982409E-3</v>
      </c>
      <c r="D160" s="6">
        <f ca="1">IF(C160="","",IF(C160=0,0,-(C160*1.001-C160*0.999)/(Locked!G164*LN((C160*1.001)/(C160*0.999)))/IF(Locked!G$125&gt;0,Locked!G$125,0.8)))</f>
        <v>-2.51631809177477E-7</v>
      </c>
      <c r="E160" s="6">
        <f t="shared" ca="1" si="18"/>
        <v>-2.51631809177477E-7</v>
      </c>
    </row>
    <row r="161" spans="1:5" x14ac:dyDescent="0.25">
      <c r="A161" s="3" t="str">
        <f t="shared" ca="1" si="17"/>
        <v>key =</v>
      </c>
      <c r="B161" s="3">
        <f ca="1">IF(Locked!Q165="|",ROUND(Locked!N165,0),IF(Locked!Q165="V",ROUND(Locked!N165,-3),""))</f>
        <v>59000</v>
      </c>
      <c r="C161" s="6">
        <f ca="1">IF(B161="","",IF(B162="",0,Locked!H165/1000))</f>
        <v>0</v>
      </c>
      <c r="D161" s="6">
        <f ca="1">IF(C161="","",IF(C161=0,0,-(C161*1.001-C161*0.999)/(Locked!G165*LN((C161*1.001)/(C161*0.999)))/IF(Locked!G$125&gt;0,Locked!G$125,0.8)))</f>
        <v>0</v>
      </c>
      <c r="E161" s="6">
        <f t="shared" ca="1" si="18"/>
        <v>0</v>
      </c>
    </row>
    <row r="162" spans="1:5" x14ac:dyDescent="0.25">
      <c r="A162" s="3" t="str">
        <f t="shared" ca="1" si="17"/>
        <v>Unused</v>
      </c>
      <c r="B162" s="3" t="str">
        <f ca="1">IF(Locked!Q166="|",ROUND(Locked!N166,0),IF(Locked!Q166="V",ROUND(Locked!N166,-3),""))</f>
        <v/>
      </c>
      <c r="C162" s="6" t="str">
        <f ca="1">IF(B162="","",IF(B163="",0,Locked!H166/1000))</f>
        <v/>
      </c>
      <c r="D162" s="6" t="str">
        <f ca="1">IF(C162="","",IF(C162=0,0,-(C162*1.001-C162*0.999)/(Locked!G166*LN((C162*1.001)/(C162*0.999)))/IF(Locked!G$125&gt;0,Locked!G$125,0.8)))</f>
        <v/>
      </c>
      <c r="E162" s="6" t="str">
        <f t="shared" ca="1" si="18"/>
        <v/>
      </c>
    </row>
    <row r="163" spans="1:5" x14ac:dyDescent="0.25">
      <c r="A163" s="3" t="str">
        <f t="shared" ca="1" si="17"/>
        <v>Unused</v>
      </c>
      <c r="B163" s="3" t="str">
        <f ca="1">IF(Locked!Q167="|",ROUND(Locked!N167,0),IF(Locked!Q167="V",ROUND(Locked!N167,-3),""))</f>
        <v/>
      </c>
      <c r="C163" s="6" t="str">
        <f ca="1">IF(B163="","",IF(B164="",0,Locked!H167/1000))</f>
        <v/>
      </c>
      <c r="D163" s="6" t="str">
        <f ca="1">IF(C163="","",IF(C163=0,0,-(C163*1.001-C163*0.999)/(Locked!G167*LN((C163*1.001)/(C163*0.999)))/IF(Locked!G$125&gt;0,Locked!G$125,0.8)))</f>
        <v/>
      </c>
      <c r="E163" s="6" t="str">
        <f t="shared" ca="1" si="18"/>
        <v/>
      </c>
    </row>
    <row r="164" spans="1:5" x14ac:dyDescent="0.25">
      <c r="A164" s="3" t="str">
        <f t="shared" ca="1" si="17"/>
        <v>Unused</v>
      </c>
      <c r="B164" s="3" t="str">
        <f ca="1">IF(Locked!Q168="|",ROUND(Locked!N168,0),IF(Locked!Q168="V",ROUND(Locked!N168,-3),""))</f>
        <v/>
      </c>
      <c r="C164" s="6" t="str">
        <f ca="1">IF(B164="","",IF(B165="",0,Locked!H168/1000))</f>
        <v/>
      </c>
      <c r="D164" s="6" t="str">
        <f ca="1">IF(C164="","",IF(C164=0,0,-(C164*1.001-C164*0.999)/(Locked!G168*LN((C164*1.001)/(C164*0.999)))/IF(Locked!G$125&gt;0,Locked!G$125,0.8)))</f>
        <v/>
      </c>
      <c r="E164" s="6" t="str">
        <f t="shared" ca="1" si="18"/>
        <v/>
      </c>
    </row>
    <row r="165" spans="1:5" x14ac:dyDescent="0.25">
      <c r="A165" s="3" t="str">
        <f t="shared" ca="1" si="17"/>
        <v>Unused</v>
      </c>
      <c r="B165" s="3" t="str">
        <f ca="1">IF(Locked!Q169="|",ROUND(Locked!N169,0),IF(Locked!Q169="V",ROUND(Locked!N169,-3),""))</f>
        <v/>
      </c>
      <c r="C165" s="6" t="str">
        <f ca="1">IF(B165="","",IF(B166="",0,Locked!H169/1000))</f>
        <v/>
      </c>
      <c r="D165" s="6" t="str">
        <f ca="1">IF(C165="","",IF(C165=0,0,-(C165*1.001-C165*0.999)/(Locked!G169*LN((C165*1.001)/(C165*0.999)))/IF(Locked!G$125&gt;0,Locked!G$125,0.8)))</f>
        <v/>
      </c>
      <c r="E165" s="6" t="str">
        <f t="shared" ca="1" si="18"/>
        <v/>
      </c>
    </row>
    <row r="166" spans="1:5" x14ac:dyDescent="0.25">
      <c r="A166" s="3" t="str">
        <f t="shared" ca="1" si="17"/>
        <v>Unused</v>
      </c>
      <c r="B166" s="3" t="str">
        <f ca="1">IF(Locked!Q170="|",ROUND(Locked!N170,0),IF(Locked!Q170="V",ROUND(Locked!N170,-3),""))</f>
        <v/>
      </c>
      <c r="C166" s="6" t="str">
        <f ca="1">IF(B166="","",IF(B167="",0,Locked!H170/1000))</f>
        <v/>
      </c>
      <c r="D166" s="6" t="str">
        <f ca="1">IF(C166="","",IF(C166=0,0,-(C166*1.001-C166*0.999)/(Locked!G170*LN((C166*1.001)/(C166*0.999)))/IF(Locked!G$125&gt;0,Locked!G$125,0.8)))</f>
        <v/>
      </c>
      <c r="E166" s="6" t="str">
        <f t="shared" ca="1" si="18"/>
        <v/>
      </c>
    </row>
    <row r="167" spans="1:5" x14ac:dyDescent="0.25">
      <c r="A167" s="3" t="str">
        <f t="shared" ca="1" si="17"/>
        <v>Unused</v>
      </c>
      <c r="B167" s="3" t="str">
        <f ca="1">IF(Locked!Q171="|",ROUND(Locked!N171,0),IF(Locked!Q171="V",ROUND(Locked!N171,-3),""))</f>
        <v/>
      </c>
      <c r="C167" s="6" t="str">
        <f ca="1">IF(B167="","",IF(B168="",0,Locked!H171/1000))</f>
        <v/>
      </c>
      <c r="D167" s="6" t="str">
        <f ca="1">IF(C167="","",IF(C167=0,0,-(C167*1.001-C167*0.999)/(Locked!G171*LN((C167*1.001)/(C167*0.999)))/IF(Locked!G$125&gt;0,Locked!G$125,0.8)))</f>
        <v/>
      </c>
      <c r="E167" s="6" t="str">
        <f t="shared" ca="1" si="18"/>
        <v/>
      </c>
    </row>
    <row r="168" spans="1:5" x14ac:dyDescent="0.25">
      <c r="A168" s="3" t="str">
        <f t="shared" ca="1" si="17"/>
        <v>Unused</v>
      </c>
      <c r="B168" s="3" t="str">
        <f ca="1">IF(Locked!Q172="|",ROUND(Locked!N172,0),IF(Locked!Q172="V",ROUND(Locked!N172,-3),""))</f>
        <v/>
      </c>
      <c r="C168" s="6" t="str">
        <f ca="1">IF(B168="","",IF(B169="",0,Locked!H172/1000))</f>
        <v/>
      </c>
      <c r="D168" s="6" t="str">
        <f ca="1">IF(C168="","",IF(C168=0,0,-(C168*1.001-C168*0.999)/(Locked!G172*LN((C168*1.001)/(C168*0.999)))/IF(Locked!G$125&gt;0,Locked!G$125,0.8)))</f>
        <v/>
      </c>
      <c r="E168" s="6" t="str">
        <f t="shared" ca="1" si="18"/>
        <v/>
      </c>
    </row>
    <row r="169" spans="1:5" x14ac:dyDescent="0.25">
      <c r="A169" s="3" t="str">
        <f t="shared" ca="1" si="17"/>
        <v>Unused</v>
      </c>
      <c r="B169" s="3" t="str">
        <f ca="1">IF(Locked!Q173="|",ROUND(Locked!N173,0),IF(Locked!Q173="V",ROUND(Locked!N173,-3),""))</f>
        <v/>
      </c>
      <c r="C169" s="6" t="str">
        <f ca="1">IF(B169="","",IF(B170="",0,Locked!H173/1000))</f>
        <v/>
      </c>
      <c r="D169" s="6" t="str">
        <f ca="1">IF(C169="","",IF(C169=0,0,-(C169*1.001-C169*0.999)/(Locked!G173*LN((C169*1.001)/(C169*0.999)))/IF(Locked!G$125&gt;0,Locked!G$125,0.8)))</f>
        <v/>
      </c>
      <c r="E169" s="6" t="str">
        <f t="shared" ca="1" si="18"/>
        <v/>
      </c>
    </row>
    <row r="170" spans="1:5" x14ac:dyDescent="0.25">
      <c r="A170" s="3" t="str">
        <f t="shared" ca="1" si="17"/>
        <v>Unused</v>
      </c>
      <c r="B170" s="3" t="str">
        <f ca="1">IF(Locked!Q174="|",ROUND(Locked!N174,0),IF(Locked!Q174="V",ROUND(Locked!N174,-3),""))</f>
        <v/>
      </c>
      <c r="C170" s="6" t="str">
        <f ca="1">IF(B170="","",IF(B171="",0,Locked!H174/1000))</f>
        <v/>
      </c>
      <c r="D170" s="6" t="str">
        <f ca="1">IF(C170="","",IF(C170=0,0,-(C170*1.001-C170*0.999)/(Locked!G174*LN((C170*1.001)/(C170*0.999)))/IF(Locked!G$125&gt;0,Locked!G$125,0.8)))</f>
        <v/>
      </c>
      <c r="E170" s="6" t="str">
        <f t="shared" ca="1" si="18"/>
        <v/>
      </c>
    </row>
    <row r="171" spans="1:5" x14ac:dyDescent="0.25">
      <c r="A171" s="3" t="str">
        <f t="shared" ca="1" si="17"/>
        <v>Unused</v>
      </c>
      <c r="B171" s="3" t="str">
        <f ca="1">IF(Locked!Q175="|",ROUND(Locked!N175,0),IF(Locked!Q175="V",ROUND(Locked!N175,-3),""))</f>
        <v/>
      </c>
      <c r="C171" s="6" t="str">
        <f ca="1">IF(B171="","",IF(B172="",0,Locked!H175/1000))</f>
        <v/>
      </c>
      <c r="D171" s="6" t="str">
        <f ca="1">IF(C171="","",IF(C171=0,0,-(C171*1.001-C171*0.999)/(Locked!G175*LN((C171*1.001)/(C171*0.999)))/IF(Locked!G$125&gt;0,Locked!G$125,0.8)))</f>
        <v/>
      </c>
      <c r="E171" s="6" t="str">
        <f t="shared" ca="1" si="18"/>
        <v/>
      </c>
    </row>
    <row r="172" spans="1:5" x14ac:dyDescent="0.25">
      <c r="A172" s="3" t="str">
        <f t="shared" ca="1" si="17"/>
        <v>Unused</v>
      </c>
      <c r="B172" s="3" t="str">
        <f ca="1">IF(Locked!Q176="|",ROUND(Locked!N176,0),IF(Locked!Q176="V",ROUND(Locked!N176,-3),""))</f>
        <v/>
      </c>
      <c r="C172" s="6" t="str">
        <f ca="1">IF(B172="","",IF(B173="",0,Locked!H176/1000))</f>
        <v/>
      </c>
      <c r="D172" s="6" t="str">
        <f ca="1">IF(C172="","",IF(C172=0,0,-(C172*1.001-C172*0.999)/(Locked!G176*LN((C172*1.001)/(C172*0.999)))/IF(Locked!G$125&gt;0,Locked!G$125,0.8)))</f>
        <v/>
      </c>
      <c r="E172" s="6" t="str">
        <f t="shared" ca="1" si="18"/>
        <v/>
      </c>
    </row>
    <row r="173" spans="1:5" x14ac:dyDescent="0.25">
      <c r="A173" s="3" t="str">
        <f t="shared" ca="1" si="17"/>
        <v>Unused</v>
      </c>
      <c r="B173" s="3" t="str">
        <f ca="1">IF(Locked!Q177="|",ROUND(Locked!N177,0),IF(Locked!Q177="V",ROUND(Locked!N177,-3),""))</f>
        <v/>
      </c>
      <c r="C173" s="6" t="str">
        <f ca="1">IF(B173="","",IF(B174="",0,Locked!H177/1000))</f>
        <v/>
      </c>
      <c r="D173" s="6" t="str">
        <f ca="1">IF(C173="","",IF(C173=0,0,-(C173*1.001-C173*0.999)/(Locked!G177*LN((C173*1.001)/(C173*0.999)))/IF(Locked!G$125&gt;0,Locked!G$125,0.8)))</f>
        <v/>
      </c>
      <c r="E173" s="6" t="str">
        <f t="shared" ca="1" si="18"/>
        <v/>
      </c>
    </row>
    <row r="174" spans="1:5" x14ac:dyDescent="0.25">
      <c r="A174" s="3" t="str">
        <f t="shared" ca="1" si="17"/>
        <v>Unused</v>
      </c>
      <c r="B174" s="3" t="str">
        <f ca="1">IF(Locked!Q178="|",ROUND(Locked!N178,0),IF(Locked!Q178="V",ROUND(Locked!N178,-3),""))</f>
        <v/>
      </c>
      <c r="C174" s="6" t="str">
        <f ca="1">IF(B174="","",IF(B175="",0,Locked!H178/1000))</f>
        <v/>
      </c>
      <c r="D174" s="6" t="str">
        <f ca="1">IF(C174="","",IF(C174=0,0,-(C174*1.001-C174*0.999)/(Locked!G178*LN((C174*1.001)/(C174*0.999)))/IF(Locked!G$125&gt;0,Locked!G$125,0.8)))</f>
        <v/>
      </c>
      <c r="E174" s="6" t="str">
        <f t="shared" ca="1" si="18"/>
        <v/>
      </c>
    </row>
    <row r="175" spans="1:5" x14ac:dyDescent="0.25">
      <c r="A175" s="3" t="str">
        <f t="shared" ca="1" si="17"/>
        <v>Unused</v>
      </c>
      <c r="B175" s="3" t="str">
        <f ca="1">IF(Locked!Q179="|",ROUND(Locked!N179,0),IF(Locked!Q179="V",ROUND(Locked!N179,-3),""))</f>
        <v/>
      </c>
      <c r="C175" s="6" t="str">
        <f ca="1">IF(B175="","",IF(B176="",0,Locked!H179/1000))</f>
        <v/>
      </c>
      <c r="D175" s="6" t="str">
        <f ca="1">IF(C175="","",IF(C175=0,0,-(C175*1.001-C175*0.999)/(Locked!G179*LN((C175*1.001)/(C175*0.999)))/IF(Locked!G$125&gt;0,Locked!G$125,0.8)))</f>
        <v/>
      </c>
      <c r="E175" s="6" t="str">
        <f t="shared" ca="1" si="18"/>
        <v/>
      </c>
    </row>
    <row r="176" spans="1:5" x14ac:dyDescent="0.25">
      <c r="A176" s="3" t="str">
        <f t="shared" ca="1" si="17"/>
        <v>Unused</v>
      </c>
      <c r="B176" s="3" t="str">
        <f ca="1">IF(Locked!Q180="|",ROUND(Locked!N180,0),IF(Locked!Q180="V",ROUND(Locked!N180,-3),""))</f>
        <v/>
      </c>
      <c r="C176" s="6" t="str">
        <f ca="1">IF(B176="","",IF(B177="",0,Locked!H180/1000))</f>
        <v/>
      </c>
      <c r="D176" s="6" t="str">
        <f ca="1">IF(C176="","",IF(C176=0,0,-(C176*1.001-C176*0.999)/(Locked!G180*LN((C176*1.001)/(C176*0.999)))/IF(Locked!G$125&gt;0,Locked!G$125,0.8)))</f>
        <v/>
      </c>
      <c r="E176" s="6" t="str">
        <f t="shared" ca="1" si="18"/>
        <v/>
      </c>
    </row>
    <row r="177" spans="1:5" x14ac:dyDescent="0.25">
      <c r="A177" s="3" t="str">
        <f t="shared" ca="1" si="17"/>
        <v>Unused</v>
      </c>
      <c r="B177" s="3" t="str">
        <f ca="1">IF(Locked!Q181="|",ROUND(Locked!N181,0),IF(Locked!Q181="V",ROUND(Locked!N181,-3),""))</f>
        <v/>
      </c>
      <c r="C177" s="6" t="str">
        <f ca="1">IF(B177="","",IF(B178="",0,Locked!H181/1000))</f>
        <v/>
      </c>
      <c r="D177" s="6" t="str">
        <f ca="1">IF(C177="","",IF(C177=0,0,-(C177*1.001-C177*0.999)/(Locked!G181*LN((C177*1.001)/(C177*0.999)))/IF(Locked!G$125&gt;0,Locked!G$125,0.8)))</f>
        <v/>
      </c>
      <c r="E177" s="6" t="str">
        <f t="shared" ca="1" si="18"/>
        <v/>
      </c>
    </row>
    <row r="178" spans="1:5" x14ac:dyDescent="0.25">
      <c r="A178" s="3" t="str">
        <f t="shared" ca="1" si="17"/>
        <v>Unused</v>
      </c>
      <c r="B178" s="3" t="str">
        <f ca="1">IF(Locked!Q182="|",ROUND(Locked!N182,0),IF(Locked!Q182="V",ROUND(Locked!N182,-3),""))</f>
        <v/>
      </c>
      <c r="C178" s="6" t="str">
        <f ca="1">IF(B178="","",IF(B179="",0,Locked!H182/1000))</f>
        <v/>
      </c>
      <c r="D178" s="6" t="str">
        <f ca="1">IF(C178="","",IF(C178=0,0,-(C178*1.001-C178*0.999)/(Locked!G182*LN((C178*1.001)/(C178*0.999)))/IF(Locked!G$125&gt;0,Locked!G$125,0.8)))</f>
        <v/>
      </c>
      <c r="E178" s="6" t="str">
        <f t="shared" ca="1" si="18"/>
        <v/>
      </c>
    </row>
    <row r="179" spans="1:5" x14ac:dyDescent="0.25">
      <c r="A179" s="3" t="str">
        <f t="shared" ca="1" si="17"/>
        <v>Unused</v>
      </c>
      <c r="B179" s="3" t="str">
        <f ca="1">IF(Locked!Q183="|",ROUND(Locked!N183,0),IF(Locked!Q183="V",ROUND(Locked!N183,-3),""))</f>
        <v/>
      </c>
      <c r="C179" s="6" t="str">
        <f ca="1">IF(B179="","",IF(B180="",0,Locked!H183/1000))</f>
        <v/>
      </c>
      <c r="D179" s="6" t="str">
        <f ca="1">IF(C179="","",IF(C179=0,0,-(C179*1.001-C179*0.999)/(Locked!G183*LN((C179*1.001)/(C179*0.999)))/IF(Locked!G$125&gt;0,Locked!G$125,0.8)))</f>
        <v/>
      </c>
      <c r="E179" s="6" t="str">
        <f t="shared" ca="1" si="18"/>
        <v/>
      </c>
    </row>
    <row r="180" spans="1:5" x14ac:dyDescent="0.25">
      <c r="A180" s="3" t="str">
        <f t="shared" ca="1" si="17"/>
        <v>Unused</v>
      </c>
      <c r="B180" s="3" t="str">
        <f ca="1">IF(Locked!Q184="|",ROUND(Locked!N184,0),IF(Locked!Q184="V",ROUND(Locked!N184,-3),""))</f>
        <v/>
      </c>
      <c r="C180" s="6" t="str">
        <f ca="1">IF(B180="","",IF(B181="",0,Locked!H184/1000))</f>
        <v/>
      </c>
      <c r="D180" s="6" t="str">
        <f ca="1">IF(C180="","",IF(C180=0,0,-(C180*1.001-C180*0.999)/(Locked!G184*LN((C180*1.001)/(C180*0.999)))/IF(Locked!G$125&gt;0,Locked!G$125,0.8)))</f>
        <v/>
      </c>
      <c r="E180" s="6" t="str">
        <f t="shared" ca="1" si="18"/>
        <v/>
      </c>
    </row>
    <row r="181" spans="1:5" x14ac:dyDescent="0.25">
      <c r="A181" s="3" t="str">
        <f t="shared" ca="1" si="17"/>
        <v>Unused</v>
      </c>
      <c r="B181" s="3" t="str">
        <f ca="1">IF(Locked!Q185="|",ROUND(Locked!N185,0),IF(Locked!Q185="V",ROUND(Locked!N185,-3),""))</f>
        <v/>
      </c>
      <c r="C181" s="6" t="str">
        <f ca="1">IF(B181="","",IF(B182="",0,Locked!H185/1000))</f>
        <v/>
      </c>
      <c r="D181" s="6" t="str">
        <f ca="1">IF(C181="","",IF(C181=0,0,-(C181*1.001-C181*0.999)/(Locked!G185*LN((C181*1.001)/(C181*0.999)))/IF(Locked!G$125&gt;0,Locked!G$125,0.8)))</f>
        <v/>
      </c>
      <c r="E181" s="6" t="str">
        <f t="shared" ca="1" si="18"/>
        <v/>
      </c>
    </row>
    <row r="182" spans="1:5" x14ac:dyDescent="0.25">
      <c r="A182" s="3" t="str">
        <f t="shared" ca="1" si="17"/>
        <v>Unused</v>
      </c>
      <c r="B182" s="3" t="str">
        <f ca="1">IF(Locked!Q186="|",ROUND(Locked!N186,0),IF(Locked!Q186="V",ROUND(Locked!N186,-3),""))</f>
        <v/>
      </c>
      <c r="C182" s="6" t="str">
        <f ca="1">IF(B182="","",IF(B183="",0,Locked!H186/1000))</f>
        <v/>
      </c>
      <c r="D182" s="6" t="str">
        <f ca="1">IF(C182="","",IF(C182=0,0,-(C182*1.001-C182*0.999)/(Locked!G186*LN((C182*1.001)/(C182*0.999)))/IF(Locked!G$125&gt;0,Locked!G$125,0.8)))</f>
        <v/>
      </c>
      <c r="E182" s="6" t="str">
        <f t="shared" ca="1" si="18"/>
        <v/>
      </c>
    </row>
    <row r="183" spans="1:5" x14ac:dyDescent="0.25">
      <c r="A183" s="3" t="str">
        <f t="shared" ca="1" si="17"/>
        <v>Unused</v>
      </c>
      <c r="B183" s="3" t="str">
        <f ca="1">IF(Locked!Q187="|",ROUND(Locked!N187,0),IF(Locked!Q187="V",ROUND(Locked!N187,-3),""))</f>
        <v/>
      </c>
      <c r="C183" s="6" t="str">
        <f ca="1">IF(B183="","",IF(B184="",0,Locked!H187/1000))</f>
        <v/>
      </c>
      <c r="D183" s="6" t="str">
        <f ca="1">IF(C183="","",IF(C183=0,0,-(C183*1.001-C183*0.999)/(Locked!G187*LN((C183*1.001)/(C183*0.999)))/IF(Locked!G$125&gt;0,Locked!G$125,0.8)))</f>
        <v/>
      </c>
      <c r="E183" s="6" t="str">
        <f t="shared" ca="1" si="18"/>
        <v/>
      </c>
    </row>
    <row r="184" spans="1:5" x14ac:dyDescent="0.25">
      <c r="A184" s="3" t="str">
        <f t="shared" ca="1" si="17"/>
        <v>Unused</v>
      </c>
      <c r="B184" s="3" t="str">
        <f ca="1">IF(Locked!Q188="|",ROUND(Locked!N188,0),IF(Locked!Q188="V",ROUND(Locked!N188,-3),""))</f>
        <v/>
      </c>
      <c r="C184" s="6" t="str">
        <f ca="1">IF(B184="","",IF(B185="",0,Locked!H188/1000))</f>
        <v/>
      </c>
      <c r="D184" s="6" t="str">
        <f ca="1">IF(C184="","",IF(C184=0,0,-(C184*1.001-C184*0.999)/(Locked!G188*LN((C184*1.001)/(C184*0.999)))/IF(Locked!G$125&gt;0,Locked!G$125,0.8)))</f>
        <v/>
      </c>
      <c r="E184" s="6" t="str">
        <f t="shared" ca="1" si="18"/>
        <v/>
      </c>
    </row>
    <row r="185" spans="1:5" x14ac:dyDescent="0.25">
      <c r="A185" s="3" t="str">
        <f t="shared" ca="1" si="17"/>
        <v>Unused</v>
      </c>
      <c r="B185" s="3" t="str">
        <f ca="1">IF(Locked!Q189="|",ROUND(Locked!N189,0),IF(Locked!Q189="V",ROUND(Locked!N189,-3),""))</f>
        <v/>
      </c>
      <c r="C185" s="6" t="str">
        <f ca="1">IF(B185="","",IF(B186="",0,Locked!H189/1000))</f>
        <v/>
      </c>
      <c r="D185" s="6" t="str">
        <f ca="1">IF(C185="","",IF(C185=0,0,-(C185*1.001-C185*0.999)/(Locked!G189*LN((C185*1.001)/(C185*0.999)))/IF(Locked!G$125&gt;0,Locked!G$125,0.8)))</f>
        <v/>
      </c>
      <c r="E185" s="6" t="str">
        <f t="shared" ca="1" si="18"/>
        <v/>
      </c>
    </row>
    <row r="186" spans="1:5" x14ac:dyDescent="0.25">
      <c r="A186" s="10" t="s">
        <v>67</v>
      </c>
      <c r="B186" s="3"/>
      <c r="C186" s="3"/>
      <c r="D186" s="3"/>
      <c r="E186" s="3"/>
    </row>
    <row r="187" spans="1:5" x14ac:dyDescent="0.25">
      <c r="A187" s="1" t="s">
        <v>67</v>
      </c>
      <c r="B187" s="3"/>
      <c r="C187" s="3"/>
      <c r="D187" s="3"/>
      <c r="E187" s="3"/>
    </row>
    <row r="189" spans="1:5" x14ac:dyDescent="0.25">
      <c r="C189" s="8"/>
      <c r="D189" s="9"/>
      <c r="E189" s="9"/>
    </row>
    <row r="191" spans="1:5" x14ac:dyDescent="0.25">
      <c r="E191" s="9"/>
    </row>
    <row r="192" spans="1:5" x14ac:dyDescent="0.25">
      <c r="D192" s="9"/>
      <c r="E192" s="9"/>
    </row>
    <row r="193" spans="3:5" x14ac:dyDescent="0.25">
      <c r="D193" s="9"/>
      <c r="E193" s="9"/>
    </row>
    <row r="194" spans="3:5" x14ac:dyDescent="0.25">
      <c r="C194" s="8"/>
      <c r="D194" s="9"/>
      <c r="E194" s="9"/>
    </row>
    <row r="201" spans="3:5" x14ac:dyDescent="0.25">
      <c r="D201" s="9"/>
      <c r="E201" s="9"/>
    </row>
  </sheetData>
  <mergeCells count="1">
    <mergeCell ref="A1:E1"/>
  </mergeCells>
  <phoneticPr fontId="18"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X94"/>
  <sheetViews>
    <sheetView topLeftCell="A68" zoomScaleNormal="100" workbookViewId="0">
      <selection activeCell="B84" sqref="B84"/>
    </sheetView>
  </sheetViews>
  <sheetFormatPr defaultColWidth="9.125" defaultRowHeight="14.25" x14ac:dyDescent="0.15"/>
  <cols>
    <col min="1" max="1" width="3.625" style="11" customWidth="1"/>
    <col min="2" max="10" width="12.625" style="11" customWidth="1"/>
    <col min="11" max="11" width="9.125" style="11"/>
    <col min="12" max="12" width="26.875" style="11" bestFit="1" customWidth="1"/>
    <col min="13" max="13" width="14.375" style="11" bestFit="1" customWidth="1"/>
    <col min="14" max="14" width="11.5" style="11" customWidth="1"/>
    <col min="15" max="15" width="9.125" style="11" customWidth="1"/>
    <col min="16" max="24" width="9.125" style="11" hidden="1" customWidth="1"/>
    <col min="25" max="25" width="9.125" style="11" customWidth="1"/>
    <col min="26" max="16384" width="9.125" style="11"/>
  </cols>
  <sheetData>
    <row r="2" spans="2:24" ht="31.5" x14ac:dyDescent="0.4">
      <c r="B2" s="95" t="s">
        <v>187</v>
      </c>
      <c r="C2" s="95"/>
      <c r="D2" s="95"/>
      <c r="E2" s="95"/>
      <c r="F2" s="95"/>
      <c r="G2" s="95"/>
      <c r="H2" s="95"/>
    </row>
    <row r="4" spans="2:24" x14ac:dyDescent="0.15">
      <c r="B4" s="90" t="s">
        <v>286</v>
      </c>
      <c r="C4" s="90"/>
      <c r="D4" s="90"/>
      <c r="E4" s="90"/>
      <c r="F4" s="90"/>
      <c r="G4" s="90"/>
      <c r="H4" s="90"/>
    </row>
    <row r="5" spans="2:24" x14ac:dyDescent="0.15">
      <c r="B5" s="90" t="s">
        <v>303</v>
      </c>
      <c r="C5" s="90"/>
      <c r="D5" s="90"/>
      <c r="E5" s="90"/>
      <c r="F5" s="90"/>
      <c r="G5" s="90"/>
      <c r="H5" s="90"/>
      <c r="K5" s="71"/>
      <c r="L5" s="88" t="s">
        <v>297</v>
      </c>
      <c r="M5" s="88"/>
      <c r="N5" s="72"/>
      <c r="P5" s="14"/>
      <c r="Q5" s="14" t="s">
        <v>287</v>
      </c>
      <c r="R5" s="14" t="s">
        <v>288</v>
      </c>
      <c r="S5" s="14" t="s">
        <v>289</v>
      </c>
      <c r="T5" s="14" t="s">
        <v>178</v>
      </c>
    </row>
    <row r="6" spans="2:24" x14ac:dyDescent="0.15">
      <c r="B6" s="90" t="s">
        <v>285</v>
      </c>
      <c r="C6" s="90"/>
      <c r="D6" s="90"/>
      <c r="E6" s="90"/>
      <c r="F6" s="90"/>
      <c r="G6" s="90"/>
      <c r="H6" s="90"/>
      <c r="K6" s="73"/>
      <c r="L6" s="89"/>
      <c r="M6" s="89"/>
      <c r="N6" s="74"/>
    </row>
    <row r="7" spans="2:24" x14ac:dyDescent="0.15">
      <c r="K7" s="73"/>
      <c r="N7" s="74"/>
      <c r="P7" s="11" t="s">
        <v>200</v>
      </c>
      <c r="Q7" s="11">
        <v>27</v>
      </c>
      <c r="R7" s="11">
        <v>9.42</v>
      </c>
      <c r="S7" s="11">
        <v>151000</v>
      </c>
      <c r="T7" s="11">
        <v>37100</v>
      </c>
      <c r="U7" s="11">
        <f t="shared" ref="U7:U29" si="0">IF(P7=M$14,Q7,0)</f>
        <v>0</v>
      </c>
      <c r="V7" s="11">
        <f t="shared" ref="V7:V29" si="1">IF(P7=M$14,R7,0)</f>
        <v>0</v>
      </c>
      <c r="W7" s="11">
        <f t="shared" ref="W7:W29" si="2">IF(P7=M$14,S7,0)</f>
        <v>0</v>
      </c>
      <c r="X7" s="11">
        <f t="shared" ref="X7:X29" si="3">IF(P7=M$14,T7,0)</f>
        <v>0</v>
      </c>
    </row>
    <row r="8" spans="2:24" x14ac:dyDescent="0.15">
      <c r="B8" s="11" t="s">
        <v>6</v>
      </c>
      <c r="K8" s="73"/>
      <c r="L8" s="11" t="s">
        <v>298</v>
      </c>
      <c r="N8" s="74"/>
      <c r="P8" s="11" t="s">
        <v>201</v>
      </c>
      <c r="Q8" s="11">
        <v>23</v>
      </c>
      <c r="R8" s="11">
        <v>8.4700000000000006</v>
      </c>
      <c r="S8" s="11">
        <v>97700</v>
      </c>
      <c r="T8" s="11">
        <v>35100</v>
      </c>
      <c r="U8" s="11">
        <f t="shared" si="0"/>
        <v>0</v>
      </c>
      <c r="V8" s="11">
        <f t="shared" si="1"/>
        <v>0</v>
      </c>
      <c r="W8" s="11">
        <f t="shared" si="2"/>
        <v>0</v>
      </c>
      <c r="X8" s="11">
        <f t="shared" si="3"/>
        <v>0</v>
      </c>
    </row>
    <row r="9" spans="2:24" x14ac:dyDescent="0.15">
      <c r="B9" s="12" t="s">
        <v>7</v>
      </c>
      <c r="F9" s="96">
        <v>69300000000</v>
      </c>
      <c r="G9" s="96"/>
      <c r="H9" s="11" t="s">
        <v>0</v>
      </c>
      <c r="K9" s="73"/>
      <c r="L9" s="11" t="s">
        <v>299</v>
      </c>
      <c r="N9" s="74"/>
      <c r="P9" s="11" t="s">
        <v>202</v>
      </c>
      <c r="Q9" s="11">
        <v>19.8</v>
      </c>
      <c r="R9" s="11">
        <v>7.72</v>
      </c>
      <c r="S9" s="11">
        <v>66100</v>
      </c>
      <c r="T9" s="11">
        <v>33300</v>
      </c>
      <c r="U9" s="11">
        <f t="shared" si="0"/>
        <v>0</v>
      </c>
      <c r="V9" s="11">
        <f t="shared" si="1"/>
        <v>0</v>
      </c>
      <c r="W9" s="11">
        <f t="shared" si="2"/>
        <v>0</v>
      </c>
      <c r="X9" s="11">
        <f t="shared" si="3"/>
        <v>0</v>
      </c>
    </row>
    <row r="10" spans="2:24" x14ac:dyDescent="0.15">
      <c r="B10" s="11" t="s">
        <v>8</v>
      </c>
      <c r="F10" s="30"/>
      <c r="G10" s="30"/>
      <c r="K10" s="73"/>
      <c r="L10" s="11" t="s">
        <v>301</v>
      </c>
      <c r="N10" s="74"/>
      <c r="P10" s="11" t="s">
        <v>203</v>
      </c>
      <c r="Q10" s="11">
        <v>17.7</v>
      </c>
      <c r="R10" s="11">
        <v>7.16</v>
      </c>
      <c r="S10" s="11">
        <v>44700</v>
      </c>
      <c r="T10" s="11">
        <v>31400</v>
      </c>
      <c r="U10" s="11">
        <f t="shared" si="0"/>
        <v>0</v>
      </c>
      <c r="V10" s="11">
        <f t="shared" si="1"/>
        <v>0</v>
      </c>
      <c r="W10" s="11">
        <f t="shared" si="2"/>
        <v>0</v>
      </c>
      <c r="X10" s="11">
        <f t="shared" si="3"/>
        <v>0</v>
      </c>
    </row>
    <row r="11" spans="2:24" x14ac:dyDescent="0.15">
      <c r="B11" s="12" t="s">
        <v>9</v>
      </c>
      <c r="F11" s="96">
        <v>687610000</v>
      </c>
      <c r="G11" s="96"/>
      <c r="H11" s="11" t="s">
        <v>0</v>
      </c>
      <c r="K11" s="73"/>
      <c r="L11" s="11" t="s">
        <v>300</v>
      </c>
      <c r="N11" s="74"/>
      <c r="P11" s="11" t="s">
        <v>204</v>
      </c>
      <c r="Q11" s="11">
        <v>11</v>
      </c>
      <c r="R11" s="11">
        <v>5.71</v>
      </c>
      <c r="S11" s="11">
        <v>13500</v>
      </c>
      <c r="T11" s="11">
        <v>26000</v>
      </c>
      <c r="U11" s="11">
        <f t="shared" si="0"/>
        <v>0</v>
      </c>
      <c r="V11" s="11">
        <f t="shared" si="1"/>
        <v>0</v>
      </c>
      <c r="W11" s="11">
        <f t="shared" si="2"/>
        <v>0</v>
      </c>
      <c r="X11" s="11">
        <f t="shared" si="3"/>
        <v>0</v>
      </c>
    </row>
    <row r="12" spans="2:24" ht="15" customHeight="1" x14ac:dyDescent="0.25">
      <c r="B12" s="50" t="s">
        <v>5</v>
      </c>
      <c r="C12" s="51"/>
      <c r="D12" s="97" t="s">
        <v>102</v>
      </c>
      <c r="E12" s="97"/>
      <c r="F12" s="52"/>
      <c r="G12" s="86"/>
      <c r="H12" s="11" t="s">
        <v>89</v>
      </c>
      <c r="K12" s="73"/>
      <c r="L12" s="11" t="s">
        <v>302</v>
      </c>
      <c r="N12" s="74"/>
      <c r="P12" s="11" t="s">
        <v>205</v>
      </c>
      <c r="Q12" s="11">
        <v>7.3</v>
      </c>
      <c r="R12" s="11">
        <v>4.0599999999999996</v>
      </c>
      <c r="S12" s="11">
        <v>2690</v>
      </c>
      <c r="T12" s="11">
        <v>20600</v>
      </c>
      <c r="U12" s="11">
        <f t="shared" si="0"/>
        <v>0</v>
      </c>
      <c r="V12" s="11">
        <f t="shared" si="1"/>
        <v>0</v>
      </c>
      <c r="W12" s="11">
        <f t="shared" si="2"/>
        <v>0</v>
      </c>
      <c r="X12" s="11">
        <f t="shared" si="3"/>
        <v>0</v>
      </c>
    </row>
    <row r="13" spans="2:24" x14ac:dyDescent="0.15">
      <c r="B13" s="53" t="s">
        <v>3</v>
      </c>
      <c r="D13" s="98"/>
      <c r="E13" s="98"/>
      <c r="F13" s="30"/>
      <c r="G13" s="54">
        <v>1.6346692600000001E+30</v>
      </c>
      <c r="H13" s="11" t="s">
        <v>10</v>
      </c>
      <c r="K13" s="73"/>
      <c r="N13" s="74"/>
      <c r="P13" s="11" t="s">
        <v>206</v>
      </c>
      <c r="Q13" s="11">
        <v>5.4</v>
      </c>
      <c r="R13" s="11">
        <v>3.61</v>
      </c>
      <c r="S13" s="11">
        <v>977</v>
      </c>
      <c r="T13" s="11">
        <v>17000</v>
      </c>
      <c r="U13" s="11">
        <f t="shared" si="0"/>
        <v>0</v>
      </c>
      <c r="V13" s="11">
        <f t="shared" si="1"/>
        <v>0</v>
      </c>
      <c r="W13" s="11">
        <f t="shared" si="2"/>
        <v>0</v>
      </c>
      <c r="X13" s="11">
        <f t="shared" si="3"/>
        <v>0</v>
      </c>
    </row>
    <row r="14" spans="2:24" ht="15.75" x14ac:dyDescent="0.25">
      <c r="B14" s="55" t="s">
        <v>4</v>
      </c>
      <c r="C14" s="56"/>
      <c r="D14" s="99"/>
      <c r="E14" s="99"/>
      <c r="F14" s="57"/>
      <c r="G14" s="58">
        <v>39.799999999999997</v>
      </c>
      <c r="H14" s="11" t="s">
        <v>90</v>
      </c>
      <c r="K14" s="73"/>
      <c r="L14" s="11" t="s">
        <v>290</v>
      </c>
      <c r="M14" s="75" t="s">
        <v>248</v>
      </c>
      <c r="N14" s="74"/>
      <c r="P14" s="11" t="s">
        <v>207</v>
      </c>
      <c r="Q14" s="11">
        <v>5.0999999999999996</v>
      </c>
      <c r="R14" s="11">
        <v>3.46</v>
      </c>
      <c r="S14" s="11">
        <v>776</v>
      </c>
      <c r="T14" s="11">
        <v>16400</v>
      </c>
      <c r="U14" s="11">
        <f t="shared" si="0"/>
        <v>0</v>
      </c>
      <c r="V14" s="11">
        <f t="shared" si="1"/>
        <v>0</v>
      </c>
      <c r="W14" s="11">
        <f t="shared" si="2"/>
        <v>0</v>
      </c>
      <c r="X14" s="11">
        <f t="shared" si="3"/>
        <v>0</v>
      </c>
    </row>
    <row r="15" spans="2:24" x14ac:dyDescent="0.15">
      <c r="B15" s="13"/>
      <c r="F15" s="30"/>
      <c r="G15" s="30"/>
      <c r="K15" s="73"/>
      <c r="N15" s="74"/>
      <c r="P15" s="11" t="s">
        <v>208</v>
      </c>
      <c r="Q15" s="11">
        <v>4.7</v>
      </c>
      <c r="R15" s="11">
        <v>3.36</v>
      </c>
      <c r="S15" s="11">
        <v>589</v>
      </c>
      <c r="T15" s="11">
        <v>15700</v>
      </c>
      <c r="U15" s="11">
        <f t="shared" si="0"/>
        <v>0</v>
      </c>
      <c r="V15" s="11">
        <f t="shared" si="1"/>
        <v>0</v>
      </c>
      <c r="W15" s="11">
        <f t="shared" si="2"/>
        <v>0</v>
      </c>
      <c r="X15" s="11">
        <f t="shared" si="3"/>
        <v>0</v>
      </c>
    </row>
    <row r="16" spans="2:24" x14ac:dyDescent="0.15">
      <c r="B16" s="90" t="s">
        <v>284</v>
      </c>
      <c r="C16" s="90"/>
      <c r="D16" s="90"/>
      <c r="E16" s="90"/>
      <c r="F16" s="90"/>
      <c r="G16" s="90"/>
      <c r="H16" s="90"/>
      <c r="K16" s="73"/>
      <c r="L16" s="11" t="s">
        <v>291</v>
      </c>
      <c r="N16" s="74"/>
      <c r="P16" s="11" t="s">
        <v>209</v>
      </c>
      <c r="Q16" s="11">
        <v>4.3</v>
      </c>
      <c r="R16" s="11">
        <v>3.27</v>
      </c>
      <c r="S16" s="11">
        <v>372</v>
      </c>
      <c r="T16" s="11">
        <v>14500</v>
      </c>
      <c r="U16" s="11">
        <f t="shared" si="0"/>
        <v>0</v>
      </c>
      <c r="V16" s="11">
        <f t="shared" si="1"/>
        <v>0</v>
      </c>
      <c r="W16" s="11">
        <f t="shared" si="2"/>
        <v>0</v>
      </c>
      <c r="X16" s="11">
        <f t="shared" si="3"/>
        <v>0</v>
      </c>
    </row>
    <row r="17" spans="2:24" x14ac:dyDescent="0.15">
      <c r="B17" s="90" t="s">
        <v>283</v>
      </c>
      <c r="C17" s="90"/>
      <c r="D17" s="90"/>
      <c r="E17" s="90"/>
      <c r="F17" s="90"/>
      <c r="G17" s="90"/>
      <c r="H17" s="90"/>
      <c r="K17" s="73"/>
      <c r="L17" s="12" t="s">
        <v>292</v>
      </c>
      <c r="M17" s="11">
        <f>U91</f>
        <v>0.7</v>
      </c>
      <c r="N17" s="74"/>
      <c r="P17" s="11" t="s">
        <v>210</v>
      </c>
      <c r="Q17" s="11">
        <v>3.92</v>
      </c>
      <c r="R17" s="11">
        <v>2.94</v>
      </c>
      <c r="S17" s="11">
        <v>302</v>
      </c>
      <c r="T17" s="11">
        <v>14000</v>
      </c>
      <c r="U17" s="11">
        <f t="shared" si="0"/>
        <v>0</v>
      </c>
      <c r="V17" s="11">
        <f t="shared" si="1"/>
        <v>0</v>
      </c>
      <c r="W17" s="11">
        <f t="shared" si="2"/>
        <v>0</v>
      </c>
      <c r="X17" s="11">
        <f t="shared" si="3"/>
        <v>0</v>
      </c>
    </row>
    <row r="18" spans="2:24" x14ac:dyDescent="0.15">
      <c r="B18" s="13"/>
      <c r="F18" s="30"/>
      <c r="G18" s="30"/>
      <c r="K18" s="73"/>
      <c r="L18" s="12" t="s">
        <v>293</v>
      </c>
      <c r="M18" s="11">
        <f>V91</f>
        <v>0.70099999999999996</v>
      </c>
      <c r="N18" s="74"/>
      <c r="P18" s="11" t="s">
        <v>211</v>
      </c>
      <c r="Q18" s="11">
        <v>3.38</v>
      </c>
      <c r="R18" s="11">
        <v>2.86</v>
      </c>
      <c r="S18" s="11">
        <v>155</v>
      </c>
      <c r="T18" s="11">
        <v>12300</v>
      </c>
      <c r="U18" s="11">
        <f t="shared" si="0"/>
        <v>0</v>
      </c>
      <c r="V18" s="11">
        <f t="shared" si="1"/>
        <v>0</v>
      </c>
      <c r="W18" s="11">
        <f t="shared" si="2"/>
        <v>0</v>
      </c>
      <c r="X18" s="11">
        <f t="shared" si="3"/>
        <v>0</v>
      </c>
    </row>
    <row r="19" spans="2:24" x14ac:dyDescent="0.15">
      <c r="B19" s="12" t="s">
        <v>188</v>
      </c>
      <c r="F19" s="30"/>
      <c r="G19" s="31">
        <v>4870</v>
      </c>
      <c r="H19" s="11" t="s">
        <v>1</v>
      </c>
      <c r="I19" s="20"/>
      <c r="K19" s="73"/>
      <c r="L19" s="12" t="s">
        <v>294</v>
      </c>
      <c r="M19" s="11">
        <f>W91</f>
        <v>0.17399999999999999</v>
      </c>
      <c r="N19" s="74"/>
      <c r="P19" s="11" t="s">
        <v>212</v>
      </c>
      <c r="Q19" s="11">
        <v>2.75</v>
      </c>
      <c r="R19" s="11">
        <v>2.4900000000000002</v>
      </c>
      <c r="S19" s="11">
        <v>72.400000000000006</v>
      </c>
      <c r="T19" s="11">
        <v>10700</v>
      </c>
      <c r="U19" s="11">
        <f t="shared" si="0"/>
        <v>0</v>
      </c>
      <c r="V19" s="11">
        <f t="shared" si="1"/>
        <v>0</v>
      </c>
      <c r="W19" s="11">
        <f t="shared" si="2"/>
        <v>0</v>
      </c>
      <c r="X19" s="11">
        <f t="shared" si="3"/>
        <v>0</v>
      </c>
    </row>
    <row r="20" spans="2:24" x14ac:dyDescent="0.15">
      <c r="B20" s="13"/>
      <c r="F20" s="30"/>
      <c r="G20" s="30"/>
      <c r="K20" s="73"/>
      <c r="L20" s="11" t="s">
        <v>188</v>
      </c>
      <c r="M20" s="11">
        <f>X91</f>
        <v>4440</v>
      </c>
      <c r="N20" s="74"/>
      <c r="P20" s="11" t="s">
        <v>213</v>
      </c>
      <c r="Q20" s="11">
        <v>2.1800000000000002</v>
      </c>
      <c r="R20" s="11">
        <v>2.1930000000000001</v>
      </c>
      <c r="S20" s="11">
        <v>38</v>
      </c>
      <c r="T20" s="11">
        <v>9700</v>
      </c>
      <c r="U20" s="11">
        <f t="shared" si="0"/>
        <v>0</v>
      </c>
      <c r="V20" s="11">
        <f t="shared" si="1"/>
        <v>0</v>
      </c>
      <c r="W20" s="11">
        <f t="shared" si="2"/>
        <v>0</v>
      </c>
      <c r="X20" s="11">
        <f t="shared" si="3"/>
        <v>0</v>
      </c>
    </row>
    <row r="21" spans="2:24" x14ac:dyDescent="0.15">
      <c r="B21" s="90" t="s">
        <v>195</v>
      </c>
      <c r="C21" s="90"/>
      <c r="D21" s="90"/>
      <c r="E21" s="90"/>
      <c r="F21" s="90"/>
      <c r="G21" s="90"/>
      <c r="H21" s="90"/>
      <c r="K21" s="73"/>
      <c r="L21" s="11" t="s">
        <v>295</v>
      </c>
      <c r="N21" s="74"/>
      <c r="P21" s="11" t="s">
        <v>214</v>
      </c>
      <c r="Q21" s="11">
        <v>2.0499999999999998</v>
      </c>
      <c r="R21" s="11">
        <v>2.1360000000000001</v>
      </c>
      <c r="S21" s="11">
        <v>30.9</v>
      </c>
      <c r="T21" s="11">
        <v>9300</v>
      </c>
      <c r="U21" s="11">
        <f t="shared" si="0"/>
        <v>0</v>
      </c>
      <c r="V21" s="11">
        <f t="shared" si="1"/>
        <v>0</v>
      </c>
      <c r="W21" s="11">
        <f t="shared" si="2"/>
        <v>0</v>
      </c>
      <c r="X21" s="11">
        <f t="shared" si="3"/>
        <v>0</v>
      </c>
    </row>
    <row r="22" spans="2:24" x14ac:dyDescent="0.15">
      <c r="B22" s="90" t="s">
        <v>194</v>
      </c>
      <c r="C22" s="90"/>
      <c r="D22" s="90"/>
      <c r="E22" s="90"/>
      <c r="F22" s="90"/>
      <c r="G22" s="90"/>
      <c r="H22" s="90"/>
      <c r="K22" s="73"/>
      <c r="L22" s="12" t="s">
        <v>292</v>
      </c>
      <c r="M22" s="70">
        <f>M17*1.98847E+30</f>
        <v>1.3919289999999999E+30</v>
      </c>
      <c r="N22" s="74" t="s">
        <v>10</v>
      </c>
      <c r="P22" s="11" t="s">
        <v>215</v>
      </c>
      <c r="Q22" s="11">
        <v>1.98</v>
      </c>
      <c r="R22" s="11">
        <v>2.117</v>
      </c>
      <c r="S22" s="11">
        <v>24</v>
      </c>
      <c r="T22" s="11">
        <v>8800</v>
      </c>
      <c r="U22" s="11">
        <f t="shared" si="0"/>
        <v>0</v>
      </c>
      <c r="V22" s="11">
        <f t="shared" si="1"/>
        <v>0</v>
      </c>
      <c r="W22" s="11">
        <f t="shared" si="2"/>
        <v>0</v>
      </c>
      <c r="X22" s="11">
        <f t="shared" si="3"/>
        <v>0</v>
      </c>
    </row>
    <row r="23" spans="2:24" x14ac:dyDescent="0.15">
      <c r="F23" s="30"/>
      <c r="G23" s="30"/>
      <c r="K23" s="73"/>
      <c r="L23" s="12" t="s">
        <v>293</v>
      </c>
      <c r="M23" s="41">
        <f>ROUND(M18*695900000,-6)</f>
        <v>488000000</v>
      </c>
      <c r="N23" s="74" t="s">
        <v>0</v>
      </c>
      <c r="P23" s="11" t="s">
        <v>216</v>
      </c>
      <c r="Q23" s="11">
        <v>1.86</v>
      </c>
      <c r="R23" s="11">
        <v>1.861</v>
      </c>
      <c r="S23" s="11">
        <v>17</v>
      </c>
      <c r="T23" s="11">
        <v>8600</v>
      </c>
      <c r="U23" s="11">
        <f t="shared" si="0"/>
        <v>0</v>
      </c>
      <c r="V23" s="11">
        <f t="shared" si="1"/>
        <v>0</v>
      </c>
      <c r="W23" s="11">
        <f t="shared" si="2"/>
        <v>0</v>
      </c>
      <c r="X23" s="11">
        <f t="shared" si="3"/>
        <v>0</v>
      </c>
    </row>
    <row r="24" spans="2:24" x14ac:dyDescent="0.15">
      <c r="B24" s="12" t="s">
        <v>24</v>
      </c>
      <c r="F24" s="101">
        <v>488000000</v>
      </c>
      <c r="G24" s="101"/>
      <c r="H24" s="11" t="s">
        <v>0</v>
      </c>
      <c r="K24" s="73"/>
      <c r="L24" s="12" t="s">
        <v>294</v>
      </c>
      <c r="M24" s="70">
        <f>M19*3.828E+26</f>
        <v>6.6607199999999995E+25</v>
      </c>
      <c r="N24" s="74" t="s">
        <v>190</v>
      </c>
      <c r="P24" s="11" t="s">
        <v>217</v>
      </c>
      <c r="Q24" s="11">
        <v>1.93</v>
      </c>
      <c r="R24" s="11">
        <v>1.794</v>
      </c>
      <c r="S24" s="11">
        <v>13.5</v>
      </c>
      <c r="T24" s="11">
        <v>8250</v>
      </c>
      <c r="U24" s="11">
        <f t="shared" si="0"/>
        <v>0</v>
      </c>
      <c r="V24" s="11">
        <f t="shared" si="1"/>
        <v>0</v>
      </c>
      <c r="W24" s="11">
        <f t="shared" si="2"/>
        <v>0</v>
      </c>
      <c r="X24" s="11">
        <f t="shared" si="3"/>
        <v>0</v>
      </c>
    </row>
    <row r="25" spans="2:24" ht="15.75" x14ac:dyDescent="0.25">
      <c r="K25" s="73"/>
      <c r="L25" s="12" t="s">
        <v>296</v>
      </c>
      <c r="M25" s="11">
        <f>ROUND(M17*1.98847E+30*0.0000000000667408/(M18*695900000)^2/9.80665,1)</f>
        <v>39.799999999999997</v>
      </c>
      <c r="N25" s="74" t="s">
        <v>90</v>
      </c>
      <c r="P25" s="11" t="s">
        <v>218</v>
      </c>
      <c r="Q25" s="11">
        <v>1.88</v>
      </c>
      <c r="R25" s="11">
        <v>1.7849999999999999</v>
      </c>
      <c r="S25" s="11">
        <v>12.3</v>
      </c>
      <c r="T25" s="11">
        <v>8100</v>
      </c>
      <c r="U25" s="11">
        <f t="shared" si="0"/>
        <v>0</v>
      </c>
      <c r="V25" s="11">
        <f t="shared" si="1"/>
        <v>0</v>
      </c>
      <c r="W25" s="11">
        <f t="shared" si="2"/>
        <v>0</v>
      </c>
      <c r="X25" s="11">
        <f t="shared" si="3"/>
        <v>0</v>
      </c>
    </row>
    <row r="26" spans="2:24" x14ac:dyDescent="0.15">
      <c r="B26" s="90" t="s">
        <v>307</v>
      </c>
      <c r="C26" s="90"/>
      <c r="D26" s="90"/>
      <c r="E26" s="90"/>
      <c r="F26" s="90"/>
      <c r="G26" s="90"/>
      <c r="H26" s="90"/>
      <c r="K26" s="73"/>
      <c r="L26" s="12" t="s">
        <v>304</v>
      </c>
      <c r="M26" s="70">
        <f>10000000000*(1/M17)^2.5</f>
        <v>24392420598.661095</v>
      </c>
      <c r="N26" s="74" t="s">
        <v>338</v>
      </c>
      <c r="P26" s="11" t="s">
        <v>219</v>
      </c>
      <c r="Q26" s="11">
        <v>1.83</v>
      </c>
      <c r="R26" s="11">
        <v>1.7749999999999999</v>
      </c>
      <c r="S26" s="11">
        <v>11.2</v>
      </c>
      <c r="T26" s="11">
        <v>7910</v>
      </c>
      <c r="U26" s="11">
        <f t="shared" si="0"/>
        <v>0</v>
      </c>
      <c r="V26" s="11">
        <f t="shared" si="1"/>
        <v>0</v>
      </c>
      <c r="W26" s="11">
        <f t="shared" si="2"/>
        <v>0</v>
      </c>
      <c r="X26" s="11">
        <f t="shared" si="3"/>
        <v>0</v>
      </c>
    </row>
    <row r="27" spans="2:24" x14ac:dyDescent="0.15">
      <c r="B27" s="90" t="s">
        <v>306</v>
      </c>
      <c r="C27" s="90"/>
      <c r="D27" s="90"/>
      <c r="E27" s="90"/>
      <c r="F27" s="90"/>
      <c r="G27" s="90"/>
      <c r="H27" s="90"/>
      <c r="K27" s="76"/>
      <c r="L27" s="15"/>
      <c r="M27" s="15"/>
      <c r="N27" s="77"/>
      <c r="P27" s="11" t="s">
        <v>220</v>
      </c>
      <c r="Q27" s="11">
        <v>1.77</v>
      </c>
      <c r="R27" s="11">
        <v>1.75</v>
      </c>
      <c r="S27" s="11">
        <v>10</v>
      </c>
      <c r="T27" s="11">
        <v>7760</v>
      </c>
      <c r="U27" s="11">
        <f t="shared" si="0"/>
        <v>0</v>
      </c>
      <c r="V27" s="11">
        <f t="shared" si="1"/>
        <v>0</v>
      </c>
      <c r="W27" s="11">
        <f t="shared" si="2"/>
        <v>0</v>
      </c>
      <c r="X27" s="11">
        <f t="shared" si="3"/>
        <v>0</v>
      </c>
    </row>
    <row r="28" spans="2:24" x14ac:dyDescent="0.15">
      <c r="P28" s="11" t="s">
        <v>221</v>
      </c>
      <c r="Q28" s="11">
        <v>1.81</v>
      </c>
      <c r="R28" s="11">
        <v>1.7470000000000001</v>
      </c>
      <c r="S28" s="11">
        <v>9.1199999999999992</v>
      </c>
      <c r="T28" s="11">
        <v>7590</v>
      </c>
      <c r="U28" s="11">
        <f t="shared" si="0"/>
        <v>0</v>
      </c>
      <c r="V28" s="11">
        <f t="shared" si="1"/>
        <v>0</v>
      </c>
      <c r="W28" s="11">
        <f t="shared" si="2"/>
        <v>0</v>
      </c>
      <c r="X28" s="11">
        <f t="shared" si="3"/>
        <v>0</v>
      </c>
    </row>
    <row r="29" spans="2:24" ht="15.75" x14ac:dyDescent="0.25">
      <c r="F29" s="14" t="s">
        <v>38</v>
      </c>
      <c r="G29" s="14" t="s">
        <v>40</v>
      </c>
      <c r="H29" s="14" t="s">
        <v>100</v>
      </c>
      <c r="P29" s="11" t="s">
        <v>222</v>
      </c>
      <c r="Q29" s="11">
        <v>1.75</v>
      </c>
      <c r="R29" s="11">
        <v>1.7470000000000001</v>
      </c>
      <c r="S29" s="11">
        <v>8.32</v>
      </c>
      <c r="T29" s="11">
        <v>7400</v>
      </c>
      <c r="U29" s="11">
        <f t="shared" si="0"/>
        <v>0</v>
      </c>
      <c r="V29" s="11">
        <f t="shared" si="1"/>
        <v>0</v>
      </c>
      <c r="W29" s="11">
        <f t="shared" si="2"/>
        <v>0</v>
      </c>
      <c r="X29" s="11">
        <f t="shared" si="3"/>
        <v>0</v>
      </c>
    </row>
    <row r="30" spans="2:24" x14ac:dyDescent="0.15">
      <c r="B30" s="15" t="s">
        <v>88</v>
      </c>
      <c r="C30" s="15"/>
      <c r="D30" s="15"/>
      <c r="E30" s="15" t="s">
        <v>87</v>
      </c>
      <c r="F30" s="16" t="s">
        <v>39</v>
      </c>
      <c r="G30" s="16" t="s">
        <v>41</v>
      </c>
      <c r="H30" s="16" t="s">
        <v>42</v>
      </c>
      <c r="P30" s="11" t="s">
        <v>223</v>
      </c>
      <c r="Q30" s="11">
        <v>1.61</v>
      </c>
      <c r="R30" s="11">
        <v>1.728</v>
      </c>
      <c r="S30" s="11">
        <v>7.24</v>
      </c>
      <c r="T30" s="11">
        <v>7220</v>
      </c>
      <c r="U30" s="11">
        <f t="shared" ref="U30:U38" si="4">IF(P30=M$14,Q30,0)</f>
        <v>0</v>
      </c>
      <c r="V30" s="11">
        <f t="shared" ref="V30:V38" si="5">IF(P30=M$14,R30,0)</f>
        <v>0</v>
      </c>
      <c r="W30" s="11">
        <f t="shared" ref="W30:W38" si="6">IF(P30=M$14,S30,0)</f>
        <v>0</v>
      </c>
      <c r="X30" s="11">
        <f t="shared" ref="X30:X38" si="7">IF(P30=M$14,T30,0)</f>
        <v>0</v>
      </c>
    </row>
    <row r="31" spans="2:24" x14ac:dyDescent="0.15">
      <c r="B31" s="93" t="s">
        <v>182</v>
      </c>
      <c r="C31" s="93"/>
      <c r="D31" s="93"/>
      <c r="E31" s="11" t="s">
        <v>59</v>
      </c>
      <c r="F31" s="36">
        <v>0.91</v>
      </c>
      <c r="G31" s="17">
        <v>1.0079400000000001</v>
      </c>
      <c r="H31" s="17">
        <v>20.786000000000001</v>
      </c>
      <c r="P31" s="11" t="s">
        <v>224</v>
      </c>
      <c r="Q31" s="11">
        <v>1.5</v>
      </c>
      <c r="R31" s="11">
        <v>1.679</v>
      </c>
      <c r="S31" s="11">
        <v>6.17</v>
      </c>
      <c r="T31" s="11">
        <v>7020</v>
      </c>
      <c r="U31" s="11">
        <f t="shared" si="4"/>
        <v>0</v>
      </c>
      <c r="V31" s="11">
        <f t="shared" si="5"/>
        <v>0</v>
      </c>
      <c r="W31" s="11">
        <f t="shared" si="6"/>
        <v>0</v>
      </c>
      <c r="X31" s="11">
        <f t="shared" si="7"/>
        <v>0</v>
      </c>
    </row>
    <row r="32" spans="2:24" x14ac:dyDescent="0.15">
      <c r="B32" s="94" t="s">
        <v>34</v>
      </c>
      <c r="C32" s="94"/>
      <c r="D32" s="94"/>
      <c r="E32" s="11" t="s">
        <v>37</v>
      </c>
      <c r="F32" s="36">
        <v>0.09</v>
      </c>
      <c r="G32" s="17">
        <v>4.0026020000000004</v>
      </c>
      <c r="H32" s="17">
        <v>20.786000000000001</v>
      </c>
      <c r="P32" s="11" t="s">
        <v>225</v>
      </c>
      <c r="Q32" s="11">
        <v>1.46</v>
      </c>
      <c r="R32" s="11">
        <v>1.6220000000000001</v>
      </c>
      <c r="S32" s="11">
        <v>5.13</v>
      </c>
      <c r="T32" s="11">
        <v>6820</v>
      </c>
      <c r="U32" s="11">
        <f t="shared" si="4"/>
        <v>0</v>
      </c>
      <c r="V32" s="11">
        <f t="shared" si="5"/>
        <v>0</v>
      </c>
      <c r="W32" s="11">
        <f t="shared" si="6"/>
        <v>0</v>
      </c>
      <c r="X32" s="11">
        <f t="shared" si="7"/>
        <v>0</v>
      </c>
    </row>
    <row r="33" spans="2:24" x14ac:dyDescent="0.15">
      <c r="B33" s="94" t="s">
        <v>184</v>
      </c>
      <c r="C33" s="94"/>
      <c r="D33" s="94"/>
      <c r="E33" s="11" t="s">
        <v>186</v>
      </c>
      <c r="F33" s="36">
        <v>0</v>
      </c>
      <c r="G33" s="17">
        <v>12.0107</v>
      </c>
      <c r="H33" s="17">
        <f>IF(C$79&lt;6000,21.1751-0.812428*(C$79/1000)+0.448537*(C$79/1000)^2-0.043256*(C$79/1000)^3-0.013103/(C$79/1000)^2,23.104)</f>
        <v>22.859805977492829</v>
      </c>
      <c r="P33" s="11" t="s">
        <v>226</v>
      </c>
      <c r="Q33" s="11">
        <v>1.44</v>
      </c>
      <c r="R33" s="11">
        <v>1.5780000000000001</v>
      </c>
      <c r="S33" s="11">
        <v>4.68</v>
      </c>
      <c r="T33" s="11">
        <v>6750</v>
      </c>
      <c r="U33" s="11">
        <f t="shared" si="4"/>
        <v>0</v>
      </c>
      <c r="V33" s="11">
        <f t="shared" si="5"/>
        <v>0</v>
      </c>
      <c r="W33" s="11">
        <f t="shared" si="6"/>
        <v>0</v>
      </c>
      <c r="X33" s="11">
        <f t="shared" si="7"/>
        <v>0</v>
      </c>
    </row>
    <row r="34" spans="2:24" x14ac:dyDescent="0.15">
      <c r="B34" s="94" t="s">
        <v>183</v>
      </c>
      <c r="C34" s="94"/>
      <c r="D34" s="94"/>
      <c r="E34" s="11" t="s">
        <v>185</v>
      </c>
      <c r="F34" s="36">
        <v>0</v>
      </c>
      <c r="G34" s="17">
        <v>15.9994</v>
      </c>
      <c r="H34" s="17">
        <f>IF(C$79&lt;100,23.703,IF(C$79&lt;500,-5.00499E-15*C$79^6+0.0000000000104865*C$79^5-0.00000000893094*C$79^4+0.00000391307*C$79^3-0.000901465*C$79^2+0.0914424*C$79+20.4536,IF(C$79&lt;2000,3.03148E-19*C$79^6-2.60434E-15*C$79^5+0.00000000000925823*C$79^4-0.0000000175234*C$79^3+0.000018842*C$79^2-0.0111892*C$79+23.8291,IF(C$79&lt;6000,-2.877905173E-22*C$79^6+8.692226181E-18*C$79^5-1.046934002E-13*C$79^4+0.0000000006207112561*C$79^3-0.000001789778603*C$79^2+0.00242890052*C$79+19.57683811,22.273))))</f>
        <v>21.733027476779814</v>
      </c>
      <c r="P34" s="11" t="s">
        <v>227</v>
      </c>
      <c r="Q34" s="11">
        <v>1.38</v>
      </c>
      <c r="R34" s="11">
        <v>1.5329999999999999</v>
      </c>
      <c r="S34" s="11">
        <v>4.17</v>
      </c>
      <c r="T34" s="11">
        <v>6670</v>
      </c>
      <c r="U34" s="11">
        <f t="shared" si="4"/>
        <v>0</v>
      </c>
      <c r="V34" s="11">
        <f t="shared" si="5"/>
        <v>0</v>
      </c>
      <c r="W34" s="11">
        <f t="shared" si="6"/>
        <v>0</v>
      </c>
      <c r="X34" s="11">
        <f t="shared" si="7"/>
        <v>0</v>
      </c>
    </row>
    <row r="35" spans="2:24" x14ac:dyDescent="0.15">
      <c r="B35" s="100"/>
      <c r="C35" s="100"/>
      <c r="D35" s="100"/>
      <c r="E35" s="32"/>
      <c r="F35" s="36"/>
      <c r="G35" s="33"/>
      <c r="H35" s="33"/>
      <c r="P35" s="11" t="s">
        <v>228</v>
      </c>
      <c r="Q35" s="11">
        <v>1.33</v>
      </c>
      <c r="R35" s="11">
        <v>1.4730000000000001</v>
      </c>
      <c r="S35" s="11">
        <v>3.63</v>
      </c>
      <c r="T35" s="11">
        <v>6550</v>
      </c>
      <c r="U35" s="11">
        <f t="shared" si="4"/>
        <v>0</v>
      </c>
      <c r="V35" s="11">
        <f t="shared" si="5"/>
        <v>0</v>
      </c>
      <c r="W35" s="11">
        <f t="shared" si="6"/>
        <v>0</v>
      </c>
      <c r="X35" s="11">
        <f t="shared" si="7"/>
        <v>0</v>
      </c>
    </row>
    <row r="36" spans="2:24" x14ac:dyDescent="0.15">
      <c r="B36" s="100"/>
      <c r="C36" s="100"/>
      <c r="D36" s="100"/>
      <c r="E36" s="32"/>
      <c r="F36" s="36"/>
      <c r="G36" s="33"/>
      <c r="H36" s="33"/>
      <c r="P36" s="11" t="s">
        <v>229</v>
      </c>
      <c r="Q36" s="11">
        <v>1.25</v>
      </c>
      <c r="R36" s="11">
        <v>1.359</v>
      </c>
      <c r="S36" s="11">
        <v>2.69</v>
      </c>
      <c r="T36" s="11">
        <v>6350</v>
      </c>
      <c r="U36" s="11">
        <f t="shared" si="4"/>
        <v>0</v>
      </c>
      <c r="V36" s="11">
        <f t="shared" si="5"/>
        <v>0</v>
      </c>
      <c r="W36" s="11">
        <f t="shared" si="6"/>
        <v>0</v>
      </c>
      <c r="X36" s="11">
        <f t="shared" si="7"/>
        <v>0</v>
      </c>
    </row>
    <row r="37" spans="2:24" x14ac:dyDescent="0.15">
      <c r="B37" s="92"/>
      <c r="C37" s="92"/>
      <c r="D37" s="92"/>
      <c r="E37" s="34"/>
      <c r="F37" s="37"/>
      <c r="G37" s="35"/>
      <c r="H37" s="35"/>
      <c r="P37" s="11" t="s">
        <v>230</v>
      </c>
      <c r="Q37" s="11">
        <v>1.21</v>
      </c>
      <c r="R37" s="11">
        <v>1.3240000000000001</v>
      </c>
      <c r="S37" s="11">
        <v>2.4500000000000002</v>
      </c>
      <c r="T37" s="11">
        <v>6280</v>
      </c>
      <c r="U37" s="11">
        <f t="shared" si="4"/>
        <v>0</v>
      </c>
      <c r="V37" s="11">
        <f t="shared" si="5"/>
        <v>0</v>
      </c>
      <c r="W37" s="11">
        <f t="shared" si="6"/>
        <v>0</v>
      </c>
      <c r="X37" s="11">
        <f t="shared" si="7"/>
        <v>0</v>
      </c>
    </row>
    <row r="38" spans="2:24" x14ac:dyDescent="0.15">
      <c r="B38" s="11" t="s">
        <v>167</v>
      </c>
      <c r="F38" s="18">
        <f>SUM(F31:F37)</f>
        <v>1</v>
      </c>
      <c r="P38" s="11" t="s">
        <v>231</v>
      </c>
      <c r="Q38" s="11">
        <v>1.18</v>
      </c>
      <c r="R38" s="11">
        <v>1.2210000000000001</v>
      </c>
      <c r="S38" s="11">
        <v>1.95</v>
      </c>
      <c r="T38" s="11">
        <v>6180</v>
      </c>
      <c r="U38" s="11">
        <f t="shared" si="4"/>
        <v>0</v>
      </c>
      <c r="V38" s="11">
        <f t="shared" si="5"/>
        <v>0</v>
      </c>
      <c r="W38" s="11">
        <f t="shared" si="6"/>
        <v>0</v>
      </c>
      <c r="X38" s="11">
        <f t="shared" si="7"/>
        <v>0</v>
      </c>
    </row>
    <row r="39" spans="2:24" x14ac:dyDescent="0.15">
      <c r="P39" s="11" t="s">
        <v>232</v>
      </c>
      <c r="Q39" s="11">
        <v>1.1299999999999999</v>
      </c>
      <c r="R39" s="11">
        <v>1.167</v>
      </c>
      <c r="S39" s="11">
        <v>1.66</v>
      </c>
      <c r="T39" s="11">
        <v>6050</v>
      </c>
      <c r="U39" s="11">
        <f t="shared" ref="U39:U55" si="8">IF(P39=M$14,Q39,0)</f>
        <v>0</v>
      </c>
      <c r="V39" s="11">
        <f t="shared" ref="V39:V55" si="9">IF(P39=M$14,R39,0)</f>
        <v>0</v>
      </c>
      <c r="W39" s="11">
        <f t="shared" ref="W39:W55" si="10">IF(P39=M$14,S39,0)</f>
        <v>0</v>
      </c>
      <c r="X39" s="11">
        <f t="shared" ref="X39:X55" si="11">IF(P39=M$14,T39,0)</f>
        <v>0</v>
      </c>
    </row>
    <row r="40" spans="2:24" x14ac:dyDescent="0.15">
      <c r="B40" s="12" t="s">
        <v>99</v>
      </c>
      <c r="P40" s="11" t="s">
        <v>233</v>
      </c>
      <c r="Q40" s="11">
        <v>1.06</v>
      </c>
      <c r="R40" s="11">
        <v>1.1000000000000001</v>
      </c>
      <c r="S40" s="11">
        <v>1.35</v>
      </c>
      <c r="T40" s="11">
        <v>5930</v>
      </c>
      <c r="U40" s="11">
        <f t="shared" si="8"/>
        <v>0</v>
      </c>
      <c r="V40" s="11">
        <f t="shared" si="9"/>
        <v>0</v>
      </c>
      <c r="W40" s="11">
        <f t="shared" si="10"/>
        <v>0</v>
      </c>
      <c r="X40" s="11">
        <f t="shared" si="11"/>
        <v>0</v>
      </c>
    </row>
    <row r="41" spans="2:24" ht="15.75" x14ac:dyDescent="0.25">
      <c r="B41" s="12" t="s">
        <v>103</v>
      </c>
      <c r="P41" s="11" t="s">
        <v>234</v>
      </c>
      <c r="Q41" s="11">
        <v>1.03</v>
      </c>
      <c r="R41" s="11">
        <v>1.06</v>
      </c>
      <c r="S41" s="11">
        <v>1.2</v>
      </c>
      <c r="T41" s="11">
        <v>5860</v>
      </c>
      <c r="U41" s="11">
        <f t="shared" si="8"/>
        <v>0</v>
      </c>
      <c r="V41" s="11">
        <f t="shared" si="9"/>
        <v>0</v>
      </c>
      <c r="W41" s="11">
        <f t="shared" si="10"/>
        <v>0</v>
      </c>
      <c r="X41" s="11">
        <f t="shared" si="11"/>
        <v>0</v>
      </c>
    </row>
    <row r="42" spans="2:24" x14ac:dyDescent="0.15">
      <c r="P42" s="11" t="s">
        <v>235</v>
      </c>
      <c r="Q42" s="11">
        <v>1</v>
      </c>
      <c r="R42" s="11">
        <v>1.012</v>
      </c>
      <c r="S42" s="11">
        <v>1.02</v>
      </c>
      <c r="T42" s="11">
        <v>5770</v>
      </c>
      <c r="U42" s="11">
        <f t="shared" si="8"/>
        <v>0</v>
      </c>
      <c r="V42" s="11">
        <f t="shared" si="9"/>
        <v>0</v>
      </c>
      <c r="W42" s="11">
        <f t="shared" si="10"/>
        <v>0</v>
      </c>
      <c r="X42" s="11">
        <f t="shared" si="11"/>
        <v>0</v>
      </c>
    </row>
    <row r="43" spans="2:24" x14ac:dyDescent="0.15">
      <c r="B43" s="90" t="s">
        <v>197</v>
      </c>
      <c r="C43" s="90"/>
      <c r="D43" s="90"/>
      <c r="E43" s="90"/>
      <c r="F43" s="90"/>
      <c r="G43" s="90"/>
      <c r="H43" s="90"/>
      <c r="P43" s="11" t="s">
        <v>236</v>
      </c>
      <c r="Q43" s="11">
        <v>0.99</v>
      </c>
      <c r="R43" s="11">
        <v>1.002</v>
      </c>
      <c r="S43" s="11">
        <v>0.97699999999999998</v>
      </c>
      <c r="T43" s="11">
        <v>5720</v>
      </c>
      <c r="U43" s="11">
        <f t="shared" si="8"/>
        <v>0</v>
      </c>
      <c r="V43" s="11">
        <f t="shared" si="9"/>
        <v>0</v>
      </c>
      <c r="W43" s="11">
        <f t="shared" si="10"/>
        <v>0</v>
      </c>
      <c r="X43" s="11">
        <f t="shared" si="11"/>
        <v>0</v>
      </c>
    </row>
    <row r="44" spans="2:24" x14ac:dyDescent="0.15">
      <c r="B44" s="90" t="s">
        <v>196</v>
      </c>
      <c r="C44" s="90"/>
      <c r="D44" s="90"/>
      <c r="E44" s="90"/>
      <c r="F44" s="90"/>
      <c r="G44" s="90"/>
      <c r="H44" s="90"/>
      <c r="P44" s="11" t="s">
        <v>237</v>
      </c>
      <c r="Q44" s="11">
        <v>0.98499999999999999</v>
      </c>
      <c r="R44" s="11">
        <v>0.99099999999999999</v>
      </c>
      <c r="S44" s="11">
        <v>0.91200000000000003</v>
      </c>
      <c r="T44" s="11">
        <v>5680</v>
      </c>
      <c r="U44" s="11">
        <f t="shared" si="8"/>
        <v>0</v>
      </c>
      <c r="V44" s="11">
        <f t="shared" si="9"/>
        <v>0</v>
      </c>
      <c r="W44" s="11">
        <f t="shared" si="10"/>
        <v>0</v>
      </c>
      <c r="X44" s="11">
        <f t="shared" si="11"/>
        <v>0</v>
      </c>
    </row>
    <row r="45" spans="2:24" x14ac:dyDescent="0.15">
      <c r="P45" s="11" t="s">
        <v>238</v>
      </c>
      <c r="Q45" s="11">
        <v>0.98</v>
      </c>
      <c r="R45" s="11">
        <v>0.97699999999999998</v>
      </c>
      <c r="S45" s="11">
        <v>0.89100000000000001</v>
      </c>
      <c r="T45" s="11">
        <v>5660</v>
      </c>
      <c r="U45" s="11">
        <f t="shared" si="8"/>
        <v>0</v>
      </c>
      <c r="V45" s="11">
        <f t="shared" si="9"/>
        <v>0</v>
      </c>
      <c r="W45" s="11">
        <f t="shared" si="10"/>
        <v>0</v>
      </c>
      <c r="X45" s="11">
        <f t="shared" si="11"/>
        <v>0</v>
      </c>
    </row>
    <row r="46" spans="2:24" x14ac:dyDescent="0.15">
      <c r="B46" s="11" t="s">
        <v>8</v>
      </c>
      <c r="P46" s="11" t="s">
        <v>239</v>
      </c>
      <c r="Q46" s="11">
        <v>0.97</v>
      </c>
      <c r="R46" s="11">
        <v>0.94899999999999995</v>
      </c>
      <c r="S46" s="11">
        <v>0.79400000000000004</v>
      </c>
      <c r="T46" s="11">
        <v>5600</v>
      </c>
      <c r="U46" s="11">
        <f t="shared" si="8"/>
        <v>0</v>
      </c>
      <c r="V46" s="11">
        <f t="shared" si="9"/>
        <v>0</v>
      </c>
      <c r="W46" s="11">
        <f t="shared" si="10"/>
        <v>0</v>
      </c>
      <c r="X46" s="11">
        <f t="shared" si="11"/>
        <v>0</v>
      </c>
    </row>
    <row r="47" spans="2:24" ht="15.75" x14ac:dyDescent="0.25">
      <c r="B47" s="12" t="s">
        <v>4</v>
      </c>
      <c r="G47" s="21">
        <f>MAX(,IF(G12&gt;0,IF(F11&gt;0,G12/F11^2/9.80665,25),IF(G13&gt;0,IF(F11&gt;0,G13*0.0000000000667408/F11^2/9.80665,25),IF(G14&gt;0,G14,25))),0.1)</f>
        <v>23.529692964955277</v>
      </c>
      <c r="H47" s="11" t="s">
        <v>90</v>
      </c>
      <c r="P47" s="11" t="s">
        <v>240</v>
      </c>
      <c r="Q47" s="11">
        <v>0.95</v>
      </c>
      <c r="R47" s="11">
        <v>0.92700000000000005</v>
      </c>
      <c r="S47" s="11">
        <v>0.74099999999999999</v>
      </c>
      <c r="T47" s="11">
        <v>5550</v>
      </c>
      <c r="U47" s="11">
        <f t="shared" si="8"/>
        <v>0</v>
      </c>
      <c r="V47" s="11">
        <f t="shared" si="9"/>
        <v>0</v>
      </c>
      <c r="W47" s="11">
        <f t="shared" si="10"/>
        <v>0</v>
      </c>
      <c r="X47" s="11">
        <f t="shared" si="11"/>
        <v>0</v>
      </c>
    </row>
    <row r="48" spans="2:24" x14ac:dyDescent="0.15">
      <c r="B48" s="12" t="s">
        <v>45</v>
      </c>
      <c r="G48" s="19">
        <f>IF(F38&gt;0,(F31*G31+F32*G32+F33*G33+F34*G34+F35*G35+F36*G36+F37*G37)/(SUM(F31:F34)+IF(G35&gt;0,F35,0)+IF(G36&gt;0,F36,0)+IF(G37&gt;0,F37,0)),1.3)</f>
        <v>1.2774595800000001</v>
      </c>
      <c r="H48" s="11" t="s">
        <v>43</v>
      </c>
      <c r="P48" s="11" t="s">
        <v>241</v>
      </c>
      <c r="Q48" s="11">
        <v>0.94</v>
      </c>
      <c r="R48" s="11">
        <v>0.91400000000000003</v>
      </c>
      <c r="S48" s="11">
        <v>0.67600000000000005</v>
      </c>
      <c r="T48" s="11">
        <v>5480</v>
      </c>
      <c r="U48" s="11">
        <f t="shared" si="8"/>
        <v>0</v>
      </c>
      <c r="V48" s="11">
        <f t="shared" si="9"/>
        <v>0</v>
      </c>
      <c r="W48" s="11">
        <f t="shared" si="10"/>
        <v>0</v>
      </c>
      <c r="X48" s="11">
        <f t="shared" si="11"/>
        <v>0</v>
      </c>
    </row>
    <row r="49" spans="1:24" x14ac:dyDescent="0.15">
      <c r="B49" s="12" t="s">
        <v>106</v>
      </c>
      <c r="G49" s="19">
        <f>IF(F38&gt;0,1/(1-8.3144621/((F31*H31+F32*H32+F33*H33+F34*H34+F35*H35+F36*H36+F37*H37)/(SUM(F31:F34)+IF(H35&gt;0,F35,0)+IF(H36&gt;0,F36,0)+IF(H37&gt;0,F37,0)))),4/3)</f>
        <v>1.6666749655629878</v>
      </c>
      <c r="P49" s="11" t="s">
        <v>242</v>
      </c>
      <c r="Q49" s="11">
        <v>0.9</v>
      </c>
      <c r="R49" s="11">
        <v>0.85299999999999998</v>
      </c>
      <c r="S49" s="11">
        <v>0.55000000000000004</v>
      </c>
      <c r="T49" s="11">
        <v>5380</v>
      </c>
      <c r="U49" s="11">
        <f t="shared" si="8"/>
        <v>0</v>
      </c>
      <c r="V49" s="11">
        <f t="shared" si="9"/>
        <v>0</v>
      </c>
      <c r="W49" s="11">
        <f t="shared" si="10"/>
        <v>0</v>
      </c>
      <c r="X49" s="11">
        <f t="shared" si="11"/>
        <v>0</v>
      </c>
    </row>
    <row r="50" spans="1:24" x14ac:dyDescent="0.15">
      <c r="B50" s="12" t="s">
        <v>189</v>
      </c>
      <c r="G50" s="80">
        <f>4*PI()*F11^2*0.000000056704*G19^4</f>
        <v>1.8950635259089002E+26</v>
      </c>
      <c r="H50" s="11" t="s">
        <v>190</v>
      </c>
      <c r="P50" s="11" t="s">
        <v>243</v>
      </c>
      <c r="Q50" s="11">
        <v>0.88</v>
      </c>
      <c r="R50" s="11">
        <v>0.81299999999999994</v>
      </c>
      <c r="S50" s="11">
        <v>0.45700000000000002</v>
      </c>
      <c r="T50" s="11">
        <v>5270</v>
      </c>
      <c r="U50" s="11">
        <f t="shared" si="8"/>
        <v>0</v>
      </c>
      <c r="V50" s="11">
        <f t="shared" si="9"/>
        <v>0</v>
      </c>
      <c r="W50" s="11">
        <f t="shared" si="10"/>
        <v>0</v>
      </c>
      <c r="X50" s="11">
        <f t="shared" si="11"/>
        <v>0</v>
      </c>
    </row>
    <row r="51" spans="1:24" ht="15.75" x14ac:dyDescent="0.25">
      <c r="B51" s="12" t="s">
        <v>353</v>
      </c>
      <c r="G51" s="20">
        <f>IF(F9&gt;0,G50/(4*PI()*F9^2),1000)</f>
        <v>3140.1286376604376</v>
      </c>
      <c r="H51" s="11" t="s">
        <v>91</v>
      </c>
      <c r="P51" s="11" t="s">
        <v>244</v>
      </c>
      <c r="Q51" s="11">
        <v>0.86</v>
      </c>
      <c r="R51" s="11">
        <v>0.79700000000000004</v>
      </c>
      <c r="S51" s="11">
        <v>0.40699999999999997</v>
      </c>
      <c r="T51" s="11">
        <v>5170</v>
      </c>
      <c r="U51" s="11">
        <f t="shared" si="8"/>
        <v>0</v>
      </c>
      <c r="V51" s="11">
        <f t="shared" si="9"/>
        <v>0</v>
      </c>
      <c r="W51" s="11">
        <f t="shared" si="10"/>
        <v>0</v>
      </c>
      <c r="X51" s="11">
        <f t="shared" si="11"/>
        <v>0</v>
      </c>
    </row>
    <row r="52" spans="1:24" x14ac:dyDescent="0.15">
      <c r="A52" s="13"/>
      <c r="G52" s="19"/>
      <c r="P52" s="11" t="s">
        <v>245</v>
      </c>
      <c r="Q52" s="11">
        <v>0.82</v>
      </c>
      <c r="R52" s="11">
        <v>0.78300000000000003</v>
      </c>
      <c r="S52" s="11">
        <v>0.372</v>
      </c>
      <c r="T52" s="11">
        <v>5100</v>
      </c>
      <c r="U52" s="11">
        <f t="shared" si="8"/>
        <v>0</v>
      </c>
      <c r="V52" s="11">
        <f t="shared" si="9"/>
        <v>0</v>
      </c>
      <c r="W52" s="11">
        <f t="shared" si="10"/>
        <v>0</v>
      </c>
      <c r="X52" s="11">
        <f t="shared" si="11"/>
        <v>0</v>
      </c>
    </row>
    <row r="53" spans="1:24" x14ac:dyDescent="0.15">
      <c r="A53" s="13"/>
      <c r="B53" s="91" t="s">
        <v>329</v>
      </c>
      <c r="C53" s="91"/>
      <c r="D53" s="91"/>
      <c r="E53" s="91"/>
      <c r="F53" s="91"/>
      <c r="G53" s="91"/>
      <c r="H53" s="91"/>
      <c r="P53" s="11" t="s">
        <v>246</v>
      </c>
      <c r="Q53" s="11">
        <v>0.78</v>
      </c>
      <c r="R53" s="11">
        <v>0.755</v>
      </c>
      <c r="S53" s="11">
        <v>0.28199999999999997</v>
      </c>
      <c r="T53" s="11">
        <v>4830</v>
      </c>
      <c r="U53" s="11">
        <f t="shared" si="8"/>
        <v>0</v>
      </c>
      <c r="V53" s="11">
        <f t="shared" si="9"/>
        <v>0</v>
      </c>
      <c r="W53" s="11">
        <f t="shared" si="10"/>
        <v>0</v>
      </c>
      <c r="X53" s="11">
        <f t="shared" si="11"/>
        <v>0</v>
      </c>
    </row>
    <row r="54" spans="1:24" x14ac:dyDescent="0.15">
      <c r="A54" s="13"/>
      <c r="B54" s="90" t="s">
        <v>330</v>
      </c>
      <c r="C54" s="90"/>
      <c r="D54" s="90"/>
      <c r="E54" s="90"/>
      <c r="F54" s="90"/>
      <c r="G54" s="90"/>
      <c r="H54" s="90"/>
      <c r="P54" s="11" t="s">
        <v>247</v>
      </c>
      <c r="Q54" s="11">
        <v>0.73</v>
      </c>
      <c r="R54" s="11">
        <v>0.71299999999999997</v>
      </c>
      <c r="S54" s="11">
        <v>0.20399999999999999</v>
      </c>
      <c r="T54" s="11">
        <v>4600</v>
      </c>
      <c r="U54" s="11">
        <f t="shared" si="8"/>
        <v>0</v>
      </c>
      <c r="V54" s="11">
        <f t="shared" si="9"/>
        <v>0</v>
      </c>
      <c r="W54" s="11">
        <f t="shared" si="10"/>
        <v>0</v>
      </c>
      <c r="X54" s="11">
        <f t="shared" si="11"/>
        <v>0</v>
      </c>
    </row>
    <row r="55" spans="1:24" x14ac:dyDescent="0.15">
      <c r="A55" s="13"/>
      <c r="G55" s="19"/>
      <c r="P55" s="11" t="s">
        <v>248</v>
      </c>
      <c r="Q55" s="11">
        <v>0.7</v>
      </c>
      <c r="R55" s="11">
        <v>0.70099999999999996</v>
      </c>
      <c r="S55" s="11">
        <v>0.17399999999999999</v>
      </c>
      <c r="T55" s="11">
        <v>4440</v>
      </c>
      <c r="U55" s="11">
        <f t="shared" si="8"/>
        <v>0.7</v>
      </c>
      <c r="V55" s="11">
        <f t="shared" si="9"/>
        <v>0.70099999999999996</v>
      </c>
      <c r="W55" s="11">
        <f t="shared" si="10"/>
        <v>0.17399999999999999</v>
      </c>
      <c r="X55" s="11">
        <f t="shared" si="11"/>
        <v>4440</v>
      </c>
    </row>
    <row r="56" spans="1:24" x14ac:dyDescent="0.15">
      <c r="A56" s="13"/>
      <c r="B56" s="12" t="s">
        <v>348</v>
      </c>
      <c r="G56" s="19">
        <f>IF(F11&gt;0,IF(F24&gt;0,F11/F24,0.1),0.1)</f>
        <v>1.4090368852459016</v>
      </c>
      <c r="P56" s="11" t="s">
        <v>249</v>
      </c>
      <c r="Q56" s="11">
        <v>0.69</v>
      </c>
      <c r="R56" s="11">
        <v>0.67600000000000005</v>
      </c>
      <c r="S56" s="11">
        <v>0.14099999999999999</v>
      </c>
      <c r="T56" s="11">
        <v>4300</v>
      </c>
      <c r="U56" s="11">
        <f t="shared" ref="U56:U89" si="12">IF(P56=M$14,Q56,0)</f>
        <v>0</v>
      </c>
      <c r="V56" s="11">
        <f t="shared" ref="V56:V89" si="13">IF(P56=M$14,R56,0)</f>
        <v>0</v>
      </c>
      <c r="W56" s="11">
        <f t="shared" ref="W56:W89" si="14">IF(P56=M$14,S56,0)</f>
        <v>0</v>
      </c>
      <c r="X56" s="11">
        <f t="shared" ref="X56:X89" si="15">IF(P56=M$14,T56,0)</f>
        <v>0</v>
      </c>
    </row>
    <row r="57" spans="1:24" x14ac:dyDescent="0.15">
      <c r="A57" s="13"/>
      <c r="B57" s="12" t="s">
        <v>315</v>
      </c>
      <c r="G57" s="20">
        <f ca="1">(F79-F94)/LN(H94/H79)</f>
        <v>136222.31148965808</v>
      </c>
      <c r="H57" s="11" t="s">
        <v>0</v>
      </c>
      <c r="P57" s="11" t="s">
        <v>250</v>
      </c>
      <c r="Q57" s="11">
        <v>0.64</v>
      </c>
      <c r="R57" s="11">
        <v>0.63300000000000001</v>
      </c>
      <c r="S57" s="11">
        <v>0.10199999999999999</v>
      </c>
      <c r="T57" s="11">
        <v>4100</v>
      </c>
      <c r="U57" s="11">
        <f t="shared" si="12"/>
        <v>0</v>
      </c>
      <c r="V57" s="11">
        <f t="shared" si="13"/>
        <v>0</v>
      </c>
      <c r="W57" s="11">
        <f t="shared" si="14"/>
        <v>0</v>
      </c>
      <c r="X57" s="11">
        <f t="shared" si="15"/>
        <v>0</v>
      </c>
    </row>
    <row r="58" spans="1:24" x14ac:dyDescent="0.15">
      <c r="A58" s="13"/>
      <c r="B58" s="12" t="s">
        <v>60</v>
      </c>
      <c r="G58" s="19">
        <f ca="1">(G56-0.09412)/0.90588*(1-IF(G57&gt;19609.054,0.024794*LOG(G57)^4-0.61307*LOG(G57)^3+5.7765*LOG(G57)^2-24.691*LOG(G57)+40.622,1))+IF(G57&gt;19609.054,0.024794*LOG(G57)^4-0.61307*LOG(G57)^3+5.7765*LOG(G57)^2-24.691*LOG(G57)+40.622,1)</f>
        <v>1.2805130869350605</v>
      </c>
      <c r="I58" s="19"/>
      <c r="P58" s="11" t="s">
        <v>251</v>
      </c>
      <c r="Q58" s="11">
        <v>0.62</v>
      </c>
      <c r="R58" s="11">
        <v>0.623</v>
      </c>
      <c r="S58" s="11">
        <v>8.9099999999999999E-2</v>
      </c>
      <c r="T58" s="11">
        <v>3990</v>
      </c>
      <c r="U58" s="11">
        <f t="shared" si="12"/>
        <v>0</v>
      </c>
      <c r="V58" s="11">
        <f t="shared" si="13"/>
        <v>0</v>
      </c>
      <c r="W58" s="11">
        <f t="shared" si="14"/>
        <v>0</v>
      </c>
      <c r="X58" s="11">
        <f t="shared" si="15"/>
        <v>0</v>
      </c>
    </row>
    <row r="59" spans="1:24" x14ac:dyDescent="0.15">
      <c r="A59" s="13"/>
      <c r="P59" s="11" t="s">
        <v>252</v>
      </c>
      <c r="Q59" s="11">
        <v>0.59</v>
      </c>
      <c r="R59" s="11">
        <v>0.59399999999999997</v>
      </c>
      <c r="S59" s="11">
        <v>7.5899999999999995E-2</v>
      </c>
      <c r="T59" s="11">
        <v>3930</v>
      </c>
      <c r="U59" s="11">
        <f t="shared" si="12"/>
        <v>0</v>
      </c>
      <c r="V59" s="11">
        <f t="shared" si="13"/>
        <v>0</v>
      </c>
      <c r="W59" s="11">
        <f t="shared" si="14"/>
        <v>0</v>
      </c>
      <c r="X59" s="11">
        <f t="shared" si="15"/>
        <v>0</v>
      </c>
    </row>
    <row r="60" spans="1:24" ht="15.75" x14ac:dyDescent="0.25">
      <c r="A60" s="13"/>
      <c r="B60" s="12" t="s">
        <v>107</v>
      </c>
      <c r="F60" s="42" t="s">
        <v>108</v>
      </c>
      <c r="G60" s="40">
        <f ca="1">G58</f>
        <v>1.2805130869350605</v>
      </c>
      <c r="P60" s="11" t="s">
        <v>253</v>
      </c>
      <c r="Q60" s="11">
        <v>0.56999999999999995</v>
      </c>
      <c r="R60" s="11">
        <v>0.57499999999999996</v>
      </c>
      <c r="S60" s="11">
        <v>6.6100000000000006E-2</v>
      </c>
      <c r="T60" s="11">
        <v>3850</v>
      </c>
      <c r="U60" s="11">
        <f t="shared" si="12"/>
        <v>0</v>
      </c>
      <c r="V60" s="11">
        <f t="shared" si="13"/>
        <v>0</v>
      </c>
      <c r="W60" s="11">
        <f t="shared" si="14"/>
        <v>0</v>
      </c>
      <c r="X60" s="11">
        <f t="shared" si="15"/>
        <v>0</v>
      </c>
    </row>
    <row r="61" spans="1:24" x14ac:dyDescent="0.15">
      <c r="A61" s="13"/>
      <c r="B61" s="12" t="s">
        <v>339</v>
      </c>
      <c r="G61" s="41">
        <f ca="1">'Star CFG'!B14</f>
        <v>2008000</v>
      </c>
      <c r="H61" s="11" t="s">
        <v>0</v>
      </c>
      <c r="P61" s="11" t="s">
        <v>254</v>
      </c>
      <c r="Q61" s="11">
        <v>0.5</v>
      </c>
      <c r="R61" s="11">
        <v>0.501</v>
      </c>
      <c r="S61" s="11">
        <v>4.07E-2</v>
      </c>
      <c r="T61" s="11">
        <v>3660</v>
      </c>
      <c r="U61" s="11">
        <f t="shared" si="12"/>
        <v>0</v>
      </c>
      <c r="V61" s="11">
        <f t="shared" si="13"/>
        <v>0</v>
      </c>
      <c r="W61" s="11">
        <f t="shared" si="14"/>
        <v>0</v>
      </c>
      <c r="X61" s="11">
        <f t="shared" si="15"/>
        <v>0</v>
      </c>
    </row>
    <row r="62" spans="1:24" x14ac:dyDescent="0.15">
      <c r="P62" s="11" t="s">
        <v>255</v>
      </c>
      <c r="Q62" s="11">
        <v>0.44</v>
      </c>
      <c r="R62" s="11">
        <v>0.44600000000000001</v>
      </c>
      <c r="S62" s="11">
        <v>2.8799999999999999E-2</v>
      </c>
      <c r="T62" s="11">
        <v>3560</v>
      </c>
      <c r="U62" s="11">
        <f t="shared" si="12"/>
        <v>0</v>
      </c>
      <c r="V62" s="11">
        <f t="shared" si="13"/>
        <v>0</v>
      </c>
      <c r="W62" s="11">
        <f t="shared" si="14"/>
        <v>0</v>
      </c>
      <c r="X62" s="11">
        <f t="shared" si="15"/>
        <v>0</v>
      </c>
    </row>
    <row r="63" spans="1:24" x14ac:dyDescent="0.15">
      <c r="B63" s="90" t="s">
        <v>340</v>
      </c>
      <c r="C63" s="90"/>
      <c r="D63" s="90"/>
      <c r="E63" s="90"/>
      <c r="F63" s="90"/>
      <c r="G63" s="90"/>
      <c r="H63" s="90"/>
      <c r="I63" s="90"/>
      <c r="J63" s="90"/>
      <c r="P63" s="11" t="s">
        <v>256</v>
      </c>
      <c r="Q63" s="11">
        <v>0.37</v>
      </c>
      <c r="R63" s="11">
        <v>0.36099999999999999</v>
      </c>
      <c r="S63" s="11">
        <v>1.6199999999999999E-2</v>
      </c>
      <c r="T63" s="11">
        <v>3430</v>
      </c>
      <c r="U63" s="11">
        <f t="shared" si="12"/>
        <v>0</v>
      </c>
      <c r="V63" s="11">
        <f t="shared" si="13"/>
        <v>0</v>
      </c>
      <c r="W63" s="11">
        <f t="shared" si="14"/>
        <v>0</v>
      </c>
      <c r="X63" s="11">
        <f t="shared" si="15"/>
        <v>0</v>
      </c>
    </row>
    <row r="64" spans="1:24" x14ac:dyDescent="0.15">
      <c r="B64" s="90" t="s">
        <v>305</v>
      </c>
      <c r="C64" s="90"/>
      <c r="D64" s="90"/>
      <c r="E64" s="90"/>
      <c r="F64" s="90"/>
      <c r="G64" s="90"/>
      <c r="H64" s="90"/>
      <c r="I64" s="90"/>
      <c r="J64" s="90"/>
      <c r="P64" s="11" t="s">
        <v>257</v>
      </c>
      <c r="Q64" s="11">
        <v>0.23</v>
      </c>
      <c r="R64" s="11">
        <v>0.27400000000000002</v>
      </c>
      <c r="S64" s="11">
        <v>7.2399999999999999E-3</v>
      </c>
      <c r="T64" s="11">
        <v>3210</v>
      </c>
      <c r="U64" s="11">
        <f t="shared" si="12"/>
        <v>0</v>
      </c>
      <c r="V64" s="11">
        <f t="shared" si="13"/>
        <v>0</v>
      </c>
      <c r="W64" s="11">
        <f t="shared" si="14"/>
        <v>0</v>
      </c>
      <c r="X64" s="11">
        <f t="shared" si="15"/>
        <v>0</v>
      </c>
    </row>
    <row r="65" spans="1:24" x14ac:dyDescent="0.15">
      <c r="B65" s="90" t="s">
        <v>198</v>
      </c>
      <c r="C65" s="90"/>
      <c r="D65" s="90"/>
      <c r="E65" s="90"/>
      <c r="F65" s="90"/>
      <c r="G65" s="90"/>
      <c r="H65" s="90"/>
      <c r="I65" s="90"/>
      <c r="J65" s="90"/>
      <c r="P65" s="11" t="s">
        <v>258</v>
      </c>
      <c r="Q65" s="11">
        <v>0.16200000000000001</v>
      </c>
      <c r="R65" s="11">
        <v>0.19600000000000001</v>
      </c>
      <c r="S65" s="11">
        <v>3.0200000000000001E-3</v>
      </c>
      <c r="T65" s="11">
        <v>3060</v>
      </c>
      <c r="U65" s="11">
        <f t="shared" si="12"/>
        <v>0</v>
      </c>
      <c r="V65" s="11">
        <f t="shared" si="13"/>
        <v>0</v>
      </c>
      <c r="W65" s="11">
        <f t="shared" si="14"/>
        <v>0</v>
      </c>
      <c r="X65" s="11">
        <f t="shared" si="15"/>
        <v>0</v>
      </c>
    </row>
    <row r="66" spans="1:24" x14ac:dyDescent="0.15">
      <c r="B66" s="90" t="s">
        <v>199</v>
      </c>
      <c r="C66" s="90"/>
      <c r="D66" s="90"/>
      <c r="E66" s="90"/>
      <c r="F66" s="90"/>
      <c r="G66" s="90"/>
      <c r="H66" s="90"/>
      <c r="I66" s="90"/>
      <c r="J66" s="90"/>
      <c r="P66" s="11" t="s">
        <v>259</v>
      </c>
      <c r="Q66" s="11">
        <v>0.10199999999999999</v>
      </c>
      <c r="R66" s="11">
        <v>0.13700000000000001</v>
      </c>
      <c r="S66" s="11">
        <v>1.047E-3</v>
      </c>
      <c r="T66" s="11">
        <v>2810</v>
      </c>
      <c r="U66" s="11">
        <f t="shared" si="12"/>
        <v>0</v>
      </c>
      <c r="V66" s="11">
        <f t="shared" si="13"/>
        <v>0</v>
      </c>
      <c r="W66" s="11">
        <f t="shared" si="14"/>
        <v>0</v>
      </c>
      <c r="X66" s="11">
        <f t="shared" si="15"/>
        <v>0</v>
      </c>
    </row>
    <row r="67" spans="1:24" x14ac:dyDescent="0.15">
      <c r="P67" s="11" t="s">
        <v>260</v>
      </c>
      <c r="Q67" s="11">
        <v>0.09</v>
      </c>
      <c r="R67" s="11">
        <v>0.12</v>
      </c>
      <c r="S67" s="11">
        <v>6.4599999999999998E-4</v>
      </c>
      <c r="T67" s="11">
        <v>2680</v>
      </c>
      <c r="U67" s="11">
        <f t="shared" si="12"/>
        <v>0</v>
      </c>
      <c r="V67" s="11">
        <f t="shared" si="13"/>
        <v>0</v>
      </c>
      <c r="W67" s="11">
        <f t="shared" si="14"/>
        <v>0</v>
      </c>
      <c r="X67" s="11">
        <f t="shared" si="15"/>
        <v>0</v>
      </c>
    </row>
    <row r="68" spans="1:24" x14ac:dyDescent="0.15">
      <c r="B68" s="12" t="s">
        <v>119</v>
      </c>
      <c r="P68" s="11" t="s">
        <v>261</v>
      </c>
      <c r="Q68" s="11">
        <v>8.5000000000000006E-2</v>
      </c>
      <c r="R68" s="11">
        <v>0.114</v>
      </c>
      <c r="S68" s="11">
        <v>5.2499999999999997E-4</v>
      </c>
      <c r="T68" s="11">
        <v>2570</v>
      </c>
      <c r="U68" s="11">
        <f t="shared" si="12"/>
        <v>0</v>
      </c>
      <c r="V68" s="11">
        <f t="shared" si="13"/>
        <v>0</v>
      </c>
      <c r="W68" s="11">
        <f t="shared" si="14"/>
        <v>0</v>
      </c>
      <c r="X68" s="11">
        <f t="shared" si="15"/>
        <v>0</v>
      </c>
    </row>
    <row r="69" spans="1:24" x14ac:dyDescent="0.15">
      <c r="B69" s="12" t="s">
        <v>109</v>
      </c>
      <c r="P69" s="11" t="s">
        <v>262</v>
      </c>
      <c r="Q69" s="11">
        <v>7.9000000000000001E-2</v>
      </c>
      <c r="R69" s="11">
        <v>0.10199999999999999</v>
      </c>
      <c r="S69" s="11">
        <v>3.0200000000000002E-4</v>
      </c>
      <c r="T69" s="11">
        <v>2380</v>
      </c>
      <c r="U69" s="11">
        <f t="shared" si="12"/>
        <v>0</v>
      </c>
      <c r="V69" s="11">
        <f t="shared" si="13"/>
        <v>0</v>
      </c>
      <c r="W69" s="11">
        <f t="shared" si="14"/>
        <v>0</v>
      </c>
      <c r="X69" s="11">
        <f t="shared" si="15"/>
        <v>0</v>
      </c>
    </row>
    <row r="70" spans="1:24" x14ac:dyDescent="0.15">
      <c r="B70" s="12" t="s">
        <v>110</v>
      </c>
      <c r="P70" s="11" t="s">
        <v>263</v>
      </c>
      <c r="Q70" s="11">
        <v>7.6999999999999999E-2</v>
      </c>
      <c r="R70" s="11">
        <v>0.10199999999999999</v>
      </c>
      <c r="S70" s="11">
        <v>2.5099999999999998E-4</v>
      </c>
      <c r="T70" s="11">
        <v>2270</v>
      </c>
      <c r="U70" s="11">
        <f t="shared" si="12"/>
        <v>0</v>
      </c>
      <c r="V70" s="11">
        <f t="shared" si="13"/>
        <v>0</v>
      </c>
      <c r="W70" s="11">
        <f t="shared" si="14"/>
        <v>0</v>
      </c>
      <c r="X70" s="11">
        <f t="shared" si="15"/>
        <v>0</v>
      </c>
    </row>
    <row r="71" spans="1:24" x14ac:dyDescent="0.15">
      <c r="B71" s="12" t="s">
        <v>111</v>
      </c>
      <c r="P71" s="11" t="s">
        <v>264</v>
      </c>
      <c r="Q71" s="11">
        <v>7.5999999999999998E-2</v>
      </c>
      <c r="R71" s="11">
        <v>9.9500000000000005E-2</v>
      </c>
      <c r="S71" s="11">
        <v>1.95E-4</v>
      </c>
      <c r="T71" s="11">
        <v>2160</v>
      </c>
      <c r="U71" s="11">
        <f t="shared" si="12"/>
        <v>0</v>
      </c>
      <c r="V71" s="11">
        <f t="shared" si="13"/>
        <v>0</v>
      </c>
      <c r="W71" s="11">
        <f t="shared" si="14"/>
        <v>0</v>
      </c>
      <c r="X71" s="11">
        <f t="shared" si="15"/>
        <v>0</v>
      </c>
    </row>
    <row r="72" spans="1:24" x14ac:dyDescent="0.15">
      <c r="B72" s="12" t="s">
        <v>112</v>
      </c>
      <c r="P72" s="11" t="s">
        <v>265</v>
      </c>
      <c r="Q72" s="11">
        <v>7.4999999999999997E-2</v>
      </c>
      <c r="R72" s="11">
        <v>9.7000000000000003E-2</v>
      </c>
      <c r="S72" s="11">
        <v>1.5100000000000001E-4</v>
      </c>
      <c r="T72" s="11">
        <v>2060</v>
      </c>
      <c r="U72" s="11">
        <f t="shared" si="12"/>
        <v>0</v>
      </c>
      <c r="V72" s="11">
        <f t="shared" si="13"/>
        <v>0</v>
      </c>
      <c r="W72" s="11">
        <f t="shared" si="14"/>
        <v>0</v>
      </c>
      <c r="X72" s="11">
        <f t="shared" si="15"/>
        <v>0</v>
      </c>
    </row>
    <row r="73" spans="1:24" ht="15.75" x14ac:dyDescent="0.25">
      <c r="B73" s="12" t="s">
        <v>113</v>
      </c>
      <c r="P73" s="11" t="s">
        <v>266</v>
      </c>
      <c r="R73" s="11">
        <v>9.4200000000000006E-2</v>
      </c>
      <c r="S73" s="11">
        <v>1.1E-4</v>
      </c>
      <c r="T73" s="11">
        <v>1920</v>
      </c>
      <c r="U73" s="11">
        <f t="shared" si="12"/>
        <v>0</v>
      </c>
      <c r="V73" s="11">
        <f t="shared" si="13"/>
        <v>0</v>
      </c>
      <c r="W73" s="11">
        <f t="shared" si="14"/>
        <v>0</v>
      </c>
      <c r="X73" s="11">
        <f t="shared" si="15"/>
        <v>0</v>
      </c>
    </row>
    <row r="74" spans="1:24" x14ac:dyDescent="0.15">
      <c r="P74" s="11" t="s">
        <v>267</v>
      </c>
      <c r="R74" s="11">
        <v>9.4E-2</v>
      </c>
      <c r="S74" s="11">
        <v>9.7700000000000003E-5</v>
      </c>
      <c r="T74" s="11">
        <v>1870</v>
      </c>
      <c r="U74" s="11">
        <f t="shared" si="12"/>
        <v>0</v>
      </c>
      <c r="V74" s="11">
        <f t="shared" si="13"/>
        <v>0</v>
      </c>
      <c r="W74" s="11">
        <f t="shared" si="14"/>
        <v>0</v>
      </c>
      <c r="X74" s="11">
        <f t="shared" si="15"/>
        <v>0</v>
      </c>
    </row>
    <row r="75" spans="1:24" x14ac:dyDescent="0.15">
      <c r="B75" s="14"/>
      <c r="C75" s="14" t="s">
        <v>18</v>
      </c>
      <c r="F75" s="14"/>
      <c r="J75" s="14" t="s">
        <v>62</v>
      </c>
      <c r="P75" s="11" t="s">
        <v>268</v>
      </c>
      <c r="R75" s="11">
        <v>9.0899999999999995E-2</v>
      </c>
      <c r="S75" s="11">
        <v>6.3100000000000002E-5</v>
      </c>
      <c r="T75" s="11">
        <v>1710</v>
      </c>
      <c r="U75" s="11">
        <f t="shared" si="12"/>
        <v>0</v>
      </c>
      <c r="V75" s="11">
        <f t="shared" si="13"/>
        <v>0</v>
      </c>
      <c r="W75" s="11">
        <f t="shared" si="14"/>
        <v>0</v>
      </c>
      <c r="X75" s="11">
        <f t="shared" si="15"/>
        <v>0</v>
      </c>
    </row>
    <row r="76" spans="1:24" x14ac:dyDescent="0.15">
      <c r="B76" s="14" t="s">
        <v>49</v>
      </c>
      <c r="C76" s="14" t="s">
        <v>2</v>
      </c>
      <c r="D76" s="14" t="s">
        <v>32</v>
      </c>
      <c r="E76" s="14" t="s">
        <v>31</v>
      </c>
      <c r="F76" s="14" t="s">
        <v>46</v>
      </c>
      <c r="G76" s="14" t="s">
        <v>59</v>
      </c>
      <c r="H76" s="14" t="s">
        <v>53</v>
      </c>
      <c r="I76" s="14" t="s">
        <v>48</v>
      </c>
      <c r="J76" s="14" t="s">
        <v>63</v>
      </c>
      <c r="P76" s="11" t="s">
        <v>269</v>
      </c>
      <c r="R76" s="11">
        <v>8.9099999999999999E-2</v>
      </c>
      <c r="S76" s="11">
        <v>4.1699999999999997E-5</v>
      </c>
      <c r="T76" s="11">
        <v>1550</v>
      </c>
      <c r="U76" s="11">
        <f t="shared" si="12"/>
        <v>0</v>
      </c>
      <c r="V76" s="11">
        <f t="shared" si="13"/>
        <v>0</v>
      </c>
      <c r="W76" s="11">
        <f t="shared" si="14"/>
        <v>0</v>
      </c>
      <c r="X76" s="11">
        <f t="shared" si="15"/>
        <v>0</v>
      </c>
    </row>
    <row r="77" spans="1:24" ht="15.75" x14ac:dyDescent="0.25">
      <c r="B77" s="14" t="s">
        <v>50</v>
      </c>
      <c r="C77" s="14" t="s">
        <v>1</v>
      </c>
      <c r="D77" s="14" t="s">
        <v>61</v>
      </c>
      <c r="E77" s="14" t="s">
        <v>52</v>
      </c>
      <c r="F77" s="14" t="s">
        <v>0</v>
      </c>
      <c r="G77" s="14" t="s">
        <v>0</v>
      </c>
      <c r="H77" s="14" t="s">
        <v>54</v>
      </c>
      <c r="I77" s="14" t="s">
        <v>95</v>
      </c>
      <c r="J77" s="14" t="s">
        <v>0</v>
      </c>
      <c r="P77" s="11" t="s">
        <v>270</v>
      </c>
      <c r="R77" s="11">
        <v>8.8599999999999998E-2</v>
      </c>
      <c r="S77" s="11">
        <v>3.8899999999999997E-5</v>
      </c>
      <c r="T77" s="11">
        <v>1530</v>
      </c>
      <c r="U77" s="11">
        <f t="shared" si="12"/>
        <v>0</v>
      </c>
      <c r="V77" s="11">
        <f t="shared" si="13"/>
        <v>0</v>
      </c>
      <c r="W77" s="11">
        <f t="shared" si="14"/>
        <v>0</v>
      </c>
      <c r="X77" s="11">
        <f t="shared" si="15"/>
        <v>0</v>
      </c>
    </row>
    <row r="78" spans="1:24" x14ac:dyDescent="0.15">
      <c r="B78" s="14"/>
      <c r="C78" s="14"/>
      <c r="D78" s="14"/>
      <c r="E78" s="26"/>
      <c r="P78" s="11" t="s">
        <v>271</v>
      </c>
      <c r="R78" s="11">
        <v>8.7499999999999994E-2</v>
      </c>
      <c r="S78" s="11">
        <v>2.8200000000000001E-5</v>
      </c>
      <c r="T78" s="11">
        <v>1420</v>
      </c>
      <c r="U78" s="11">
        <f t="shared" si="12"/>
        <v>0</v>
      </c>
      <c r="V78" s="11">
        <f t="shared" si="13"/>
        <v>0</v>
      </c>
      <c r="W78" s="11">
        <f t="shared" si="14"/>
        <v>0</v>
      </c>
      <c r="X78" s="11">
        <f t="shared" si="15"/>
        <v>0</v>
      </c>
    </row>
    <row r="79" spans="1:24" x14ac:dyDescent="0.15">
      <c r="B79" s="27">
        <f>LOG(0.1)</f>
        <v>-1</v>
      </c>
      <c r="C79" s="61">
        <f>IF(G$19&gt;0,G$19,5000)</f>
        <v>4870</v>
      </c>
      <c r="D79" s="14"/>
      <c r="E79" s="26">
        <v>0</v>
      </c>
      <c r="F79" s="26">
        <v>0</v>
      </c>
      <c r="G79" s="26">
        <f t="shared" ref="G79:G94" si="16">8314.4621*C79/(G$48*G$47*9.80665)</f>
        <v>137365.92529934554</v>
      </c>
      <c r="H79" s="28">
        <f t="shared" ref="H79:H94" si="17">10^B79*101325</f>
        <v>10132.5</v>
      </c>
      <c r="I79" s="28">
        <f t="shared" ref="I79:I94" si="18">H79/(8314.4621/G$48*C79)</f>
        <v>3.1966910177909976E-4</v>
      </c>
      <c r="J79" s="26">
        <f ca="1">F79*IF(G$60&gt;0,G$60,1)</f>
        <v>0</v>
      </c>
      <c r="P79" s="11" t="s">
        <v>272</v>
      </c>
      <c r="R79" s="11">
        <v>8.77E-2</v>
      </c>
      <c r="S79" s="11">
        <v>2.4499999999999999E-5</v>
      </c>
      <c r="T79" s="11">
        <v>1370</v>
      </c>
      <c r="U79" s="11">
        <f t="shared" si="12"/>
        <v>0</v>
      </c>
      <c r="V79" s="11">
        <f t="shared" si="13"/>
        <v>0</v>
      </c>
      <c r="W79" s="11">
        <f t="shared" si="14"/>
        <v>0</v>
      </c>
      <c r="X79" s="11">
        <f t="shared" si="15"/>
        <v>0</v>
      </c>
    </row>
    <row r="80" spans="1:24" x14ac:dyDescent="0.15">
      <c r="A80" s="20"/>
      <c r="B80" s="27">
        <f>B79-1/3</f>
        <v>-1.3333333333333333</v>
      </c>
      <c r="C80" s="62">
        <f>IF(G$19&gt;0,G$19,5000)*0.867</f>
        <v>4222.29</v>
      </c>
      <c r="D80" s="28">
        <f t="shared" ref="D80:D94" ca="1" si="19">(C80-C79)/(E80-E79)</f>
        <v>-6.5921805855362501E-3</v>
      </c>
      <c r="E80" s="26">
        <f t="shared" ref="E80:E94" ca="1" si="20">IF(D80=0,(8314.4621*C79*LN(H80/H79)/(-G$47*9.80665*G$48)),C79/D80*(1/(H80/H79)^(8314.4621*D80/(G$47*9.80665*G$48))-1))+E79</f>
        <v>98254.286513498344</v>
      </c>
      <c r="F80" s="26">
        <f t="shared" ref="F80:F94" ca="1" si="21">F$24*E80/(F$24-E80)</f>
        <v>98274.07308918309</v>
      </c>
      <c r="G80" s="26">
        <f t="shared" si="16"/>
        <v>119096.25723453259</v>
      </c>
      <c r="H80" s="28">
        <f t="shared" si="17"/>
        <v>4703.0898856581471</v>
      </c>
      <c r="I80" s="28">
        <f t="shared" si="18"/>
        <v>1.7113870049237554E-4</v>
      </c>
      <c r="J80" s="26">
        <f t="shared" ref="J80:J94" ca="1" si="22">F80*IF(G$60&gt;0,G$60,1)</f>
        <v>125841.2366971116</v>
      </c>
      <c r="P80" s="11" t="s">
        <v>273</v>
      </c>
      <c r="R80" s="11">
        <v>9.8000000000000004E-2</v>
      </c>
      <c r="S80" s="11">
        <v>2.19E-5</v>
      </c>
      <c r="T80" s="11">
        <v>1255</v>
      </c>
      <c r="U80" s="11">
        <f t="shared" si="12"/>
        <v>0</v>
      </c>
      <c r="V80" s="11">
        <f t="shared" si="13"/>
        <v>0</v>
      </c>
      <c r="W80" s="11">
        <f t="shared" si="14"/>
        <v>0</v>
      </c>
      <c r="X80" s="11">
        <f t="shared" si="15"/>
        <v>0</v>
      </c>
    </row>
    <row r="81" spans="1:24" x14ac:dyDescent="0.15">
      <c r="A81" s="20"/>
      <c r="B81" s="27">
        <f t="shared" ref="B81:B94" si="23">B80-1/3</f>
        <v>-1.6666666666666665</v>
      </c>
      <c r="C81" s="62">
        <f>IF(G$19&gt;0,G$19,5000)*0.785</f>
        <v>3822.9500000000003</v>
      </c>
      <c r="D81" s="28">
        <f t="shared" ca="1" si="19"/>
        <v>-4.589299185409383E-3</v>
      </c>
      <c r="E81" s="26">
        <f t="shared" ca="1" si="20"/>
        <v>185269.75093769823</v>
      </c>
      <c r="F81" s="26">
        <f t="shared" ca="1" si="21"/>
        <v>185340.11552179963</v>
      </c>
      <c r="G81" s="26">
        <f t="shared" si="16"/>
        <v>107832.25135998626</v>
      </c>
      <c r="H81" s="28">
        <f t="shared" si="17"/>
        <v>2182.9809496748062</v>
      </c>
      <c r="I81" s="28">
        <f t="shared" si="18"/>
        <v>8.7733274166143369E-5</v>
      </c>
      <c r="J81" s="26">
        <f t="shared" ca="1" si="22"/>
        <v>237330.44345972035</v>
      </c>
      <c r="P81" s="11" t="s">
        <v>274</v>
      </c>
      <c r="R81" s="11">
        <v>0.1</v>
      </c>
      <c r="S81" s="11">
        <v>2.0400000000000001E-5</v>
      </c>
      <c r="T81" s="11">
        <v>1240</v>
      </c>
      <c r="U81" s="11">
        <f t="shared" si="12"/>
        <v>0</v>
      </c>
      <c r="V81" s="11">
        <f t="shared" si="13"/>
        <v>0</v>
      </c>
      <c r="W81" s="11">
        <f t="shared" si="14"/>
        <v>0</v>
      </c>
      <c r="X81" s="11">
        <f t="shared" si="15"/>
        <v>0</v>
      </c>
    </row>
    <row r="82" spans="1:24" x14ac:dyDescent="0.15">
      <c r="A82" s="20"/>
      <c r="B82" s="27">
        <f t="shared" si="23"/>
        <v>-1.9999999999999998</v>
      </c>
      <c r="C82" s="62">
        <f>IF(G$19&gt;0,G$19,5000)*0.732</f>
        <v>3564.84</v>
      </c>
      <c r="D82" s="28">
        <f t="shared" ca="1" si="19"/>
        <v>-3.2288851097423397E-3</v>
      </c>
      <c r="E82" s="26">
        <f t="shared" ca="1" si="20"/>
        <v>265207.55957053532</v>
      </c>
      <c r="F82" s="26">
        <f t="shared" ca="1" si="21"/>
        <v>265351.76714141917</v>
      </c>
      <c r="G82" s="26">
        <f t="shared" si="16"/>
        <v>100551.85731912093</v>
      </c>
      <c r="H82" s="28">
        <f t="shared" si="17"/>
        <v>1013.2500000000003</v>
      </c>
      <c r="I82" s="28">
        <f t="shared" si="18"/>
        <v>4.3670642319549159E-5</v>
      </c>
      <c r="J82" s="26">
        <f t="shared" ca="1" si="22"/>
        <v>339786.41046593204</v>
      </c>
      <c r="P82" s="11" t="s">
        <v>275</v>
      </c>
      <c r="R82" s="11">
        <v>0.1</v>
      </c>
      <c r="S82" s="11">
        <v>1.8600000000000001E-5</v>
      </c>
      <c r="T82" s="11">
        <v>1220</v>
      </c>
      <c r="U82" s="11">
        <f t="shared" si="12"/>
        <v>0</v>
      </c>
      <c r="V82" s="11">
        <f t="shared" si="13"/>
        <v>0</v>
      </c>
      <c r="W82" s="11">
        <f t="shared" si="14"/>
        <v>0</v>
      </c>
      <c r="X82" s="11">
        <f t="shared" si="15"/>
        <v>0</v>
      </c>
    </row>
    <row r="83" spans="1:24" x14ac:dyDescent="0.15">
      <c r="A83" s="20"/>
      <c r="B83" s="27">
        <f t="shared" si="23"/>
        <v>-2.333333333333333</v>
      </c>
      <c r="C83" s="62">
        <f>IF(G$19&gt;0,G$19,5000)*0.71</f>
        <v>3457.7</v>
      </c>
      <c r="D83" s="28">
        <f t="shared" ca="1" si="19"/>
        <v>-1.4095374748539489E-3</v>
      </c>
      <c r="E83" s="26">
        <f t="shared" ca="1" si="20"/>
        <v>341218.30913297686</v>
      </c>
      <c r="F83" s="26">
        <f t="shared" ca="1" si="21"/>
        <v>341457.0620045726</v>
      </c>
      <c r="G83" s="26">
        <f t="shared" si="16"/>
        <v>97529.806962535324</v>
      </c>
      <c r="H83" s="28">
        <f t="shared" si="17"/>
        <v>470.30898856581501</v>
      </c>
      <c r="I83" s="28">
        <f t="shared" si="18"/>
        <v>2.089820469392813E-5</v>
      </c>
      <c r="J83" s="26">
        <f t="shared" ca="1" si="22"/>
        <v>437240.23652325163</v>
      </c>
      <c r="P83" s="11" t="s">
        <v>276</v>
      </c>
      <c r="R83" s="11">
        <v>0.10199999999999999</v>
      </c>
      <c r="S83" s="11">
        <v>1.7E-5</v>
      </c>
      <c r="T83" s="11">
        <v>1200</v>
      </c>
      <c r="U83" s="11">
        <f t="shared" si="12"/>
        <v>0</v>
      </c>
      <c r="V83" s="11">
        <f t="shared" si="13"/>
        <v>0</v>
      </c>
      <c r="W83" s="11">
        <f t="shared" si="14"/>
        <v>0</v>
      </c>
      <c r="X83" s="11">
        <f t="shared" si="15"/>
        <v>0</v>
      </c>
    </row>
    <row r="84" spans="1:24" x14ac:dyDescent="0.15">
      <c r="A84" s="20"/>
      <c r="B84" s="27">
        <f t="shared" si="23"/>
        <v>-2.6666666666666665</v>
      </c>
      <c r="C84" s="62">
        <f>IF(G$19&gt;0,G$19,5000)*0.725</f>
        <v>3530.75</v>
      </c>
      <c r="D84" s="28">
        <f t="shared" ca="1" si="19"/>
        <v>9.6569655777043112E-4</v>
      </c>
      <c r="E84" s="26">
        <f t="shared" ca="1" si="20"/>
        <v>416863.18889588641</v>
      </c>
      <c r="F84" s="26">
        <f t="shared" ca="1" si="21"/>
        <v>417219.58948716393</v>
      </c>
      <c r="G84" s="26">
        <f t="shared" si="16"/>
        <v>99590.295842025516</v>
      </c>
      <c r="H84" s="28">
        <f t="shared" si="17"/>
        <v>218.29809496748049</v>
      </c>
      <c r="I84" s="28">
        <f t="shared" si="18"/>
        <v>9.4993958924720709E-6</v>
      </c>
      <c r="J84" s="26">
        <f t="shared" ca="1" si="22"/>
        <v>534255.14446398697</v>
      </c>
      <c r="P84" s="11" t="s">
        <v>277</v>
      </c>
      <c r="R84" s="11">
        <v>0.10100000000000001</v>
      </c>
      <c r="S84" s="11">
        <v>1.45E-5</v>
      </c>
      <c r="T84" s="11">
        <v>1180</v>
      </c>
      <c r="U84" s="11">
        <f t="shared" si="12"/>
        <v>0</v>
      </c>
      <c r="V84" s="11">
        <f t="shared" si="13"/>
        <v>0</v>
      </c>
      <c r="W84" s="11">
        <f t="shared" si="14"/>
        <v>0</v>
      </c>
      <c r="X84" s="11">
        <f t="shared" si="15"/>
        <v>0</v>
      </c>
    </row>
    <row r="85" spans="1:24" x14ac:dyDescent="0.15">
      <c r="A85" s="20"/>
      <c r="B85" s="27">
        <f t="shared" si="23"/>
        <v>-3</v>
      </c>
      <c r="C85" s="62">
        <f>IF(G$19&gt;0,G$19,5000)*0.768</f>
        <v>3740.16</v>
      </c>
      <c r="D85" s="28">
        <f t="shared" ca="1" si="19"/>
        <v>2.6614252978785324E-3</v>
      </c>
      <c r="E85" s="26">
        <f t="shared" ca="1" si="20"/>
        <v>495546.5921711626</v>
      </c>
      <c r="F85" s="26">
        <f t="shared" ca="1" si="21"/>
        <v>496050.3135695947</v>
      </c>
      <c r="G85" s="26">
        <f t="shared" si="16"/>
        <v>105497.03062989736</v>
      </c>
      <c r="H85" s="28">
        <f t="shared" si="17"/>
        <v>101.325</v>
      </c>
      <c r="I85" s="28">
        <f t="shared" si="18"/>
        <v>4.1623580960820281E-6</v>
      </c>
      <c r="J85" s="26">
        <f t="shared" ca="1" si="22"/>
        <v>635198.91830410645</v>
      </c>
      <c r="P85" s="11" t="s">
        <v>278</v>
      </c>
      <c r="R85" s="11">
        <v>0.10100000000000001</v>
      </c>
      <c r="S85" s="11">
        <v>1.1199999999999999E-5</v>
      </c>
      <c r="T85" s="11">
        <v>1160</v>
      </c>
      <c r="U85" s="11">
        <f t="shared" si="12"/>
        <v>0</v>
      </c>
      <c r="V85" s="11">
        <f t="shared" si="13"/>
        <v>0</v>
      </c>
      <c r="W85" s="11">
        <f t="shared" si="14"/>
        <v>0</v>
      </c>
      <c r="X85" s="11">
        <f t="shared" si="15"/>
        <v>0</v>
      </c>
    </row>
    <row r="86" spans="1:24" x14ac:dyDescent="0.15">
      <c r="A86" s="20"/>
      <c r="B86" s="27">
        <f t="shared" si="23"/>
        <v>-3.3333333333333335</v>
      </c>
      <c r="C86" s="62">
        <f>IF(G$19&gt;0,G$19,5000)*0.835</f>
        <v>4066.45</v>
      </c>
      <c r="D86" s="28">
        <f t="shared" ca="1" si="19"/>
        <v>3.8634907528815004E-3</v>
      </c>
      <c r="E86" s="26">
        <f t="shared" ca="1" si="20"/>
        <v>580001.30446900928</v>
      </c>
      <c r="F86" s="26">
        <f t="shared" ca="1" si="21"/>
        <v>580691.47211515845</v>
      </c>
      <c r="G86" s="26">
        <f t="shared" si="16"/>
        <v>114700.54762495351</v>
      </c>
      <c r="H86" s="28">
        <f t="shared" si="17"/>
        <v>47.030898856581452</v>
      </c>
      <c r="I86" s="28">
        <f t="shared" si="18"/>
        <v>1.7769730937352041E-6</v>
      </c>
      <c r="J86" s="26">
        <f t="shared" ca="1" si="22"/>
        <v>743583.02951504616</v>
      </c>
      <c r="P86" s="11" t="s">
        <v>279</v>
      </c>
      <c r="R86" s="11">
        <v>0.1</v>
      </c>
      <c r="S86" s="11">
        <v>7.5900000000000002E-6</v>
      </c>
      <c r="T86" s="11">
        <v>950</v>
      </c>
      <c r="U86" s="11">
        <f t="shared" si="12"/>
        <v>0</v>
      </c>
      <c r="V86" s="11">
        <f t="shared" si="13"/>
        <v>0</v>
      </c>
      <c r="W86" s="11">
        <f t="shared" si="14"/>
        <v>0</v>
      </c>
      <c r="X86" s="11">
        <f t="shared" si="15"/>
        <v>0</v>
      </c>
    </row>
    <row r="87" spans="1:24" x14ac:dyDescent="0.15">
      <c r="A87" s="20"/>
      <c r="B87" s="27">
        <f t="shared" si="23"/>
        <v>-3.666666666666667</v>
      </c>
      <c r="C87" s="62">
        <f>IF(G$19&gt;0,G$19,5000)*0.92</f>
        <v>4480.4000000000005</v>
      </c>
      <c r="D87" s="28">
        <f t="shared" ca="1" si="19"/>
        <v>4.4778262830663124E-3</v>
      </c>
      <c r="E87" s="26">
        <f t="shared" ca="1" si="20"/>
        <v>672445.71249917848</v>
      </c>
      <c r="F87" s="26">
        <f t="shared" ca="1" si="21"/>
        <v>673373.5960803146</v>
      </c>
      <c r="G87" s="26">
        <f t="shared" si="16"/>
        <v>126376.65127539792</v>
      </c>
      <c r="H87" s="28">
        <f t="shared" si="17"/>
        <v>21.829809496748027</v>
      </c>
      <c r="I87" s="28">
        <f t="shared" si="18"/>
        <v>7.4859369804806989E-7</v>
      </c>
      <c r="J87" s="26">
        <f t="shared" ca="1" si="22"/>
        <v>862263.70217736624</v>
      </c>
      <c r="P87" s="11" t="s">
        <v>280</v>
      </c>
      <c r="R87" s="11">
        <v>9.8000000000000004E-2</v>
      </c>
      <c r="S87" s="11">
        <v>4.2699999999999998E-6</v>
      </c>
      <c r="T87" s="11">
        <v>825</v>
      </c>
      <c r="U87" s="11">
        <f t="shared" si="12"/>
        <v>0</v>
      </c>
      <c r="V87" s="11">
        <f t="shared" si="13"/>
        <v>0</v>
      </c>
      <c r="W87" s="11">
        <f t="shared" si="14"/>
        <v>0</v>
      </c>
      <c r="X87" s="11">
        <f t="shared" si="15"/>
        <v>0</v>
      </c>
    </row>
    <row r="88" spans="1:24" x14ac:dyDescent="0.15">
      <c r="B88" s="27">
        <f t="shared" si="23"/>
        <v>-4</v>
      </c>
      <c r="C88" s="62">
        <f>IF(G$19&gt;0,G$19,5000)*1.01</f>
        <v>4918.7</v>
      </c>
      <c r="D88" s="28">
        <f t="shared" ca="1" si="19"/>
        <v>4.3110772351683379E-3</v>
      </c>
      <c r="E88" s="26">
        <f t="shared" ca="1" si="20"/>
        <v>774114.03716394934</v>
      </c>
      <c r="F88" s="26">
        <f t="shared" ca="1" si="21"/>
        <v>775343.96471870155</v>
      </c>
      <c r="G88" s="26">
        <f t="shared" si="16"/>
        <v>138739.58455233899</v>
      </c>
      <c r="H88" s="28">
        <f t="shared" si="17"/>
        <v>10.1325</v>
      </c>
      <c r="I88" s="28">
        <f t="shared" si="18"/>
        <v>3.1650406116742551E-7</v>
      </c>
      <c r="J88" s="26">
        <f t="shared" ca="1" si="22"/>
        <v>992838.09369841311</v>
      </c>
      <c r="P88" s="11" t="s">
        <v>281</v>
      </c>
      <c r="R88" s="11">
        <v>9.5000000000000001E-2</v>
      </c>
      <c r="S88" s="11">
        <v>1.95E-6</v>
      </c>
      <c r="T88" s="11">
        <v>680</v>
      </c>
      <c r="U88" s="11">
        <f t="shared" si="12"/>
        <v>0</v>
      </c>
      <c r="V88" s="11">
        <f t="shared" si="13"/>
        <v>0</v>
      </c>
      <c r="W88" s="11">
        <f t="shared" si="14"/>
        <v>0</v>
      </c>
      <c r="X88" s="11">
        <f t="shared" si="15"/>
        <v>0</v>
      </c>
    </row>
    <row r="89" spans="1:24" x14ac:dyDescent="0.15">
      <c r="B89" s="27">
        <f t="shared" si="23"/>
        <v>-4.333333333333333</v>
      </c>
      <c r="C89" s="62">
        <f>IF(G$19&gt;0,G$19,5000)*1.08</f>
        <v>5259.6</v>
      </c>
      <c r="D89" s="28">
        <f t="shared" ca="1" si="19"/>
        <v>3.095278510834249E-3</v>
      </c>
      <c r="E89" s="26">
        <f t="shared" ca="1" si="20"/>
        <v>884249.52216368809</v>
      </c>
      <c r="F89" s="26">
        <f t="shared" ca="1" si="21"/>
        <v>885854.67908312613</v>
      </c>
      <c r="G89" s="26">
        <f t="shared" si="16"/>
        <v>148355.1993232932</v>
      </c>
      <c r="H89" s="28">
        <f t="shared" si="17"/>
        <v>4.703089885658148</v>
      </c>
      <c r="I89" s="28">
        <f t="shared" si="18"/>
        <v>1.3738634567304594E-7</v>
      </c>
      <c r="J89" s="26">
        <f t="shared" ca="1" si="22"/>
        <v>1134348.5096886011</v>
      </c>
      <c r="P89" s="11" t="s">
        <v>282</v>
      </c>
      <c r="R89" s="11">
        <v>0.1</v>
      </c>
      <c r="S89" s="11">
        <v>7.0800000000000004E-7</v>
      </c>
      <c r="T89" s="11">
        <v>560</v>
      </c>
      <c r="U89" s="11">
        <f t="shared" si="12"/>
        <v>0</v>
      </c>
      <c r="V89" s="11">
        <f t="shared" si="13"/>
        <v>0</v>
      </c>
      <c r="W89" s="11">
        <f t="shared" si="14"/>
        <v>0</v>
      </c>
      <c r="X89" s="11">
        <f t="shared" si="15"/>
        <v>0</v>
      </c>
    </row>
    <row r="90" spans="1:24" x14ac:dyDescent="0.15">
      <c r="B90" s="27">
        <f t="shared" si="23"/>
        <v>-4.6666666666666661</v>
      </c>
      <c r="C90" s="62">
        <f>IF(G$19&gt;0,G$19,5000)*1.15</f>
        <v>5600.5</v>
      </c>
      <c r="D90" s="28">
        <f t="shared" ca="1" si="19"/>
        <v>2.9008240510416342E-3</v>
      </c>
      <c r="E90" s="26">
        <f t="shared" ca="1" si="20"/>
        <v>1001767.8528178988</v>
      </c>
      <c r="F90" s="26">
        <f t="shared" ca="1" si="21"/>
        <v>1003828.5149819374</v>
      </c>
      <c r="G90" s="26">
        <f t="shared" si="16"/>
        <v>157970.81409424738</v>
      </c>
      <c r="H90" s="28">
        <f t="shared" si="17"/>
        <v>2.1829809496748078</v>
      </c>
      <c r="I90" s="28">
        <f t="shared" si="18"/>
        <v>5.9887495843845742E-8</v>
      </c>
      <c r="J90" s="26">
        <f t="shared" ca="1" si="22"/>
        <v>1285415.5504729582</v>
      </c>
    </row>
    <row r="91" spans="1:24" x14ac:dyDescent="0.15">
      <c r="B91" s="27">
        <f t="shared" si="23"/>
        <v>-4.9999999999999991</v>
      </c>
      <c r="C91" s="62">
        <f>IF(G$19&gt;0,G$19,5000)*1.22</f>
        <v>5941.4</v>
      </c>
      <c r="D91" s="28">
        <f t="shared" ca="1" si="19"/>
        <v>2.7293644895907024E-3</v>
      </c>
      <c r="E91" s="26">
        <f t="shared" ca="1" si="20"/>
        <v>1126668.7230754727</v>
      </c>
      <c r="F91" s="26">
        <f t="shared" ca="1" si="21"/>
        <v>1129275.9359376505</v>
      </c>
      <c r="G91" s="26">
        <f t="shared" si="16"/>
        <v>167586.42886520154</v>
      </c>
      <c r="H91" s="28">
        <f t="shared" si="17"/>
        <v>1.0132500000000015</v>
      </c>
      <c r="I91" s="28">
        <f t="shared" si="18"/>
        <v>2.620238539172953E-8</v>
      </c>
      <c r="J91" s="26">
        <f t="shared" ca="1" si="22"/>
        <v>1446052.6147290005</v>
      </c>
      <c r="U91" s="11">
        <f>SUM(U7:U90)</f>
        <v>0.7</v>
      </c>
      <c r="V91" s="11">
        <f>SUM(V7:V90)</f>
        <v>0.70099999999999996</v>
      </c>
      <c r="W91" s="11">
        <f>SUM(W7:W90)</f>
        <v>0.17399999999999999</v>
      </c>
      <c r="X91" s="11">
        <f>SUM(X7:X90)</f>
        <v>4440</v>
      </c>
    </row>
    <row r="92" spans="1:24" x14ac:dyDescent="0.15">
      <c r="B92" s="27">
        <f t="shared" si="23"/>
        <v>-5.3333333333333321</v>
      </c>
      <c r="C92" s="62">
        <f>IF(G$19&gt;0,G$19,5000)*1.3</f>
        <v>6331</v>
      </c>
      <c r="D92" s="28">
        <f t="shared" ca="1" si="19"/>
        <v>2.9337352051945352E-3</v>
      </c>
      <c r="E92" s="26">
        <f t="shared" ca="1" si="20"/>
        <v>1259468.7110601296</v>
      </c>
      <c r="F92" s="26">
        <f t="shared" ca="1" si="21"/>
        <v>1262727.6577312418</v>
      </c>
      <c r="G92" s="26">
        <f t="shared" si="16"/>
        <v>178575.70288914919</v>
      </c>
      <c r="H92" s="28">
        <f t="shared" si="17"/>
        <v>0.47030898856581588</v>
      </c>
      <c r="I92" s="28">
        <f t="shared" si="18"/>
        <v>1.141363487129923E-8</v>
      </c>
      <c r="J92" s="26">
        <f t="shared" ca="1" si="22"/>
        <v>1616939.290959711</v>
      </c>
    </row>
    <row r="93" spans="1:24" x14ac:dyDescent="0.15">
      <c r="B93" s="27">
        <f t="shared" si="23"/>
        <v>-5.6666666666666652</v>
      </c>
      <c r="C93" s="62">
        <f>IF(G$19&gt;0,G$19,5000)*1.42</f>
        <v>6915.4</v>
      </c>
      <c r="D93" s="28">
        <f t="shared" ca="1" si="19"/>
        <v>4.0783064141470598E-3</v>
      </c>
      <c r="E93" s="26">
        <f t="shared" ca="1" si="20"/>
        <v>1402763.4860610461</v>
      </c>
      <c r="F93" s="26">
        <f t="shared" ca="1" si="21"/>
        <v>1406807.3754425875</v>
      </c>
      <c r="G93" s="26">
        <f t="shared" si="16"/>
        <v>195059.61392507065</v>
      </c>
      <c r="H93" s="28">
        <f t="shared" si="17"/>
        <v>0.21829809496748093</v>
      </c>
      <c r="I93" s="28">
        <f t="shared" si="18"/>
        <v>4.8500436774945533E-9</v>
      </c>
      <c r="J93" s="26">
        <f t="shared" ca="1" si="22"/>
        <v>1801435.2550509984</v>
      </c>
    </row>
    <row r="94" spans="1:24" x14ac:dyDescent="0.15">
      <c r="B94" s="27">
        <f t="shared" si="23"/>
        <v>-5.9999999999999982</v>
      </c>
      <c r="C94" s="63">
        <f>IF(G$19&gt;0,G$19,5000)*1.63</f>
        <v>7938.0999999999995</v>
      </c>
      <c r="D94" s="28">
        <f t="shared" ca="1" si="19"/>
        <v>6.3707807230818196E-3</v>
      </c>
      <c r="E94" s="26">
        <f t="shared" ca="1" si="20"/>
        <v>1563293.2616809602</v>
      </c>
      <c r="F94" s="26">
        <f t="shared" ca="1" si="21"/>
        <v>1568317.3188463908</v>
      </c>
      <c r="G94" s="26">
        <f t="shared" si="16"/>
        <v>223906.45823793323</v>
      </c>
      <c r="H94" s="28">
        <f t="shared" si="17"/>
        <v>0.10132500000000023</v>
      </c>
      <c r="I94" s="28">
        <f t="shared" si="18"/>
        <v>1.9611601336141136E-9</v>
      </c>
      <c r="J94" s="26">
        <f t="shared" ca="1" si="22"/>
        <v>2008250.8512497095</v>
      </c>
    </row>
  </sheetData>
  <mergeCells count="30">
    <mergeCell ref="B21:H21"/>
    <mergeCell ref="B22:H22"/>
    <mergeCell ref="B33:D33"/>
    <mergeCell ref="B35:D35"/>
    <mergeCell ref="B36:D36"/>
    <mergeCell ref="F24:G24"/>
    <mergeCell ref="B2:H2"/>
    <mergeCell ref="B4:H4"/>
    <mergeCell ref="F11:G11"/>
    <mergeCell ref="D12:E14"/>
    <mergeCell ref="B16:H16"/>
    <mergeCell ref="B5:H5"/>
    <mergeCell ref="B6:H6"/>
    <mergeCell ref="F9:G9"/>
    <mergeCell ref="L5:M6"/>
    <mergeCell ref="B65:J65"/>
    <mergeCell ref="B66:J66"/>
    <mergeCell ref="B27:H27"/>
    <mergeCell ref="B44:H44"/>
    <mergeCell ref="B54:H54"/>
    <mergeCell ref="B64:J64"/>
    <mergeCell ref="B43:H43"/>
    <mergeCell ref="B53:H53"/>
    <mergeCell ref="B63:J63"/>
    <mergeCell ref="B37:D37"/>
    <mergeCell ref="B26:H26"/>
    <mergeCell ref="B31:D31"/>
    <mergeCell ref="B32:D32"/>
    <mergeCell ref="B34:D34"/>
    <mergeCell ref="B17:H17"/>
  </mergeCells>
  <phoneticPr fontId="18" type="noConversion"/>
  <dataValidations count="1">
    <dataValidation type="list" allowBlank="1" showInputMessage="1" showErrorMessage="1" sqref="M14" xr:uid="{00000000-0002-0000-0100-000000000000}">
      <formula1>$P$7:$P$72</formula1>
    </dataValidation>
  </dataValidations>
  <pageMargins left="0.7" right="0.7" top="0.75" bottom="0.75" header="0.3" footer="0.3"/>
  <pageSetup orientation="portrait" horizontalDpi="0" verticalDpi="0" r:id="rId1"/>
  <ignoredErrors>
    <ignoredError sqref="G4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5"/>
  <sheetViews>
    <sheetView topLeftCell="A20" workbookViewId="0">
      <selection activeCell="A10" sqref="A10:E81"/>
    </sheetView>
  </sheetViews>
  <sheetFormatPr defaultColWidth="9.125" defaultRowHeight="15" x14ac:dyDescent="0.25"/>
  <cols>
    <col min="1" max="1" width="27.625" style="2" customWidth="1"/>
    <col min="2" max="5" width="14.625" style="2" customWidth="1"/>
    <col min="6" max="16384" width="9.125" style="2"/>
  </cols>
  <sheetData>
    <row r="1" spans="1:5" ht="47.25" customHeight="1" x14ac:dyDescent="0.25">
      <c r="A1" s="102" t="s">
        <v>376</v>
      </c>
      <c r="B1" s="102"/>
      <c r="C1" s="102"/>
      <c r="D1" s="102"/>
      <c r="E1" s="102"/>
    </row>
    <row r="2" spans="1:5" x14ac:dyDescent="0.25">
      <c r="A2" s="1"/>
      <c r="B2" s="1"/>
      <c r="C2" s="1"/>
      <c r="D2" s="1"/>
      <c r="E2" s="1"/>
    </row>
    <row r="3" spans="1:5" x14ac:dyDescent="0.25">
      <c r="A3" s="1" t="s">
        <v>191</v>
      </c>
      <c r="B3" s="1"/>
      <c r="C3" s="1"/>
      <c r="D3" s="1"/>
      <c r="E3" s="1"/>
    </row>
    <row r="4" spans="1:5" x14ac:dyDescent="0.25">
      <c r="A4" s="1" t="s">
        <v>66</v>
      </c>
      <c r="B4" s="1"/>
      <c r="C4" s="1"/>
      <c r="D4" s="1"/>
      <c r="E4" s="1"/>
    </row>
    <row r="5" spans="1:5" x14ac:dyDescent="0.25">
      <c r="A5" s="10" t="s">
        <v>192</v>
      </c>
      <c r="B5" s="1"/>
      <c r="C5" s="1"/>
      <c r="D5" s="1"/>
      <c r="E5" s="1"/>
    </row>
    <row r="6" spans="1:5" x14ac:dyDescent="0.25">
      <c r="A6" s="10" t="s">
        <v>66</v>
      </c>
      <c r="B6" s="1"/>
      <c r="C6" s="1"/>
      <c r="D6" s="1"/>
      <c r="E6" s="1"/>
    </row>
    <row r="7" spans="1:5" x14ac:dyDescent="0.25">
      <c r="A7" s="69" t="s">
        <v>193</v>
      </c>
      <c r="B7" s="7">
        <f>ROUND(Star!G51,0)</f>
        <v>3140</v>
      </c>
      <c r="C7" s="1"/>
      <c r="D7" s="1"/>
      <c r="E7" s="1"/>
    </row>
    <row r="8" spans="1:5" x14ac:dyDescent="0.25">
      <c r="A8" s="10" t="s">
        <v>67</v>
      </c>
      <c r="B8" s="1"/>
      <c r="C8" s="1"/>
      <c r="D8" s="1"/>
      <c r="E8" s="1"/>
    </row>
    <row r="9" spans="1:5" x14ac:dyDescent="0.25">
      <c r="A9" s="1" t="s">
        <v>67</v>
      </c>
      <c r="B9" s="1"/>
      <c r="C9" s="1"/>
      <c r="D9" s="1"/>
      <c r="E9" s="1"/>
    </row>
    <row r="10" spans="1:5" x14ac:dyDescent="0.25">
      <c r="A10" s="1" t="s">
        <v>68</v>
      </c>
      <c r="B10" s="1"/>
      <c r="D10" s="1"/>
      <c r="E10" s="3"/>
    </row>
    <row r="11" spans="1:5" x14ac:dyDescent="0.25">
      <c r="A11" s="1" t="s">
        <v>66</v>
      </c>
      <c r="B11" s="3"/>
      <c r="D11" s="1"/>
      <c r="E11" s="3"/>
    </row>
    <row r="12" spans="1:5" x14ac:dyDescent="0.25">
      <c r="A12" s="10" t="s">
        <v>69</v>
      </c>
      <c r="B12" s="4" t="s">
        <v>70</v>
      </c>
      <c r="D12" s="3"/>
      <c r="E12" s="3"/>
    </row>
    <row r="13" spans="1:5" x14ac:dyDescent="0.25">
      <c r="A13" s="10" t="s">
        <v>71</v>
      </c>
      <c r="B13" s="4" t="s">
        <v>86</v>
      </c>
      <c r="D13" s="3"/>
      <c r="E13" s="3"/>
    </row>
    <row r="14" spans="1:5" x14ac:dyDescent="0.25">
      <c r="A14" s="10" t="s">
        <v>72</v>
      </c>
      <c r="B14" s="3">
        <f ca="1">MAX(B21:B36)</f>
        <v>2008000</v>
      </c>
      <c r="D14" s="3"/>
      <c r="E14" s="3"/>
    </row>
    <row r="15" spans="1:5" x14ac:dyDescent="0.25">
      <c r="A15" s="10" t="s">
        <v>73</v>
      </c>
      <c r="B15" s="49">
        <f>ROUND(Star!G$49,3)</f>
        <v>1.667</v>
      </c>
      <c r="D15" s="3"/>
      <c r="E15" s="3"/>
    </row>
    <row r="16" spans="1:5" x14ac:dyDescent="0.25">
      <c r="A16" s="10" t="s">
        <v>74</v>
      </c>
      <c r="B16" s="3">
        <f>ROUND(Star!G$48/1000,6)</f>
        <v>1.2769999999999999E-3</v>
      </c>
      <c r="D16" s="3"/>
      <c r="E16" s="3"/>
    </row>
    <row r="17" spans="1:5" x14ac:dyDescent="0.25">
      <c r="A17" s="10" t="s">
        <v>75</v>
      </c>
      <c r="B17" s="7">
        <f>ROUND(Star!C$79,0)</f>
        <v>4870</v>
      </c>
      <c r="D17" s="3"/>
      <c r="E17" s="3"/>
    </row>
    <row r="18" spans="1:5" x14ac:dyDescent="0.25">
      <c r="A18" s="10" t="s">
        <v>76</v>
      </c>
      <c r="B18" s="3">
        <f>C40</f>
        <v>10.1325</v>
      </c>
      <c r="D18" s="3"/>
      <c r="E18" s="3"/>
    </row>
    <row r="19" spans="1:5" x14ac:dyDescent="0.25">
      <c r="A19" s="10" t="s">
        <v>77</v>
      </c>
      <c r="B19" s="3"/>
      <c r="D19" s="3"/>
      <c r="E19" s="3"/>
    </row>
    <row r="20" spans="1:5" x14ac:dyDescent="0.25">
      <c r="A20" s="10" t="s">
        <v>66</v>
      </c>
      <c r="B20" s="1"/>
      <c r="C20" s="3"/>
      <c r="D20" s="3"/>
      <c r="E20" s="3"/>
    </row>
    <row r="21" spans="1:5" x14ac:dyDescent="0.25">
      <c r="A21" s="3" t="s">
        <v>78</v>
      </c>
      <c r="B21" s="3">
        <f ca="1">ROUND(Star!J79,-1)</f>
        <v>0</v>
      </c>
      <c r="C21" s="7">
        <f>ROUND(Star!C79,0)</f>
        <v>4870</v>
      </c>
      <c r="D21" s="6">
        <v>0</v>
      </c>
      <c r="E21" s="6">
        <f ca="1">(C22-C21)/(B22-B21)</f>
        <v>-5.1493960584869675E-3</v>
      </c>
    </row>
    <row r="22" spans="1:5" x14ac:dyDescent="0.25">
      <c r="A22" s="3" t="s">
        <v>78</v>
      </c>
      <c r="B22" s="3">
        <f ca="1">ROUND(Star!J80,-1)</f>
        <v>125840</v>
      </c>
      <c r="C22" s="7">
        <f>ROUND(Star!C80,0)</f>
        <v>4222</v>
      </c>
      <c r="D22" s="6">
        <f ca="1">(C22-C21)/(B22-B21)</f>
        <v>-5.1493960584869675E-3</v>
      </c>
      <c r="E22" s="6">
        <f ca="1">(C23-C22)/(B23-B22)</f>
        <v>-3.5787963046013094E-3</v>
      </c>
    </row>
    <row r="23" spans="1:5" x14ac:dyDescent="0.25">
      <c r="A23" s="3" t="s">
        <v>78</v>
      </c>
      <c r="B23" s="3">
        <f ca="1">ROUND(Star!J81,-1)</f>
        <v>237330</v>
      </c>
      <c r="C23" s="7">
        <f>ROUND(Star!C81,0)</f>
        <v>3823</v>
      </c>
      <c r="D23" s="6">
        <f t="shared" ref="D23:D36" ca="1" si="0">(C23-C22)/(B23-B22)</f>
        <v>-3.5787963046013094E-3</v>
      </c>
      <c r="E23" s="6">
        <f t="shared" ref="E23:E35" ca="1" si="1">(C24-C23)/(B24-B23)</f>
        <v>-2.518055826664064E-3</v>
      </c>
    </row>
    <row r="24" spans="1:5" x14ac:dyDescent="0.25">
      <c r="A24" s="3" t="s">
        <v>78</v>
      </c>
      <c r="B24" s="3">
        <f ca="1">ROUND(Star!J82,-1)</f>
        <v>339790</v>
      </c>
      <c r="C24" s="7">
        <f>ROUND(Star!C82,0)</f>
        <v>3565</v>
      </c>
      <c r="D24" s="6">
        <f t="shared" ca="1" si="0"/>
        <v>-2.518055826664064E-3</v>
      </c>
      <c r="E24" s="6">
        <f t="shared" ca="1" si="1"/>
        <v>-1.0979989738327347E-3</v>
      </c>
    </row>
    <row r="25" spans="1:5" x14ac:dyDescent="0.25">
      <c r="A25" s="3" t="s">
        <v>78</v>
      </c>
      <c r="B25" s="3">
        <f ca="1">ROUND(Star!J83,-1)</f>
        <v>437240</v>
      </c>
      <c r="C25" s="7">
        <f>ROUND(Star!C83,0)</f>
        <v>3458</v>
      </c>
      <c r="D25" s="6">
        <f t="shared" ca="1" si="0"/>
        <v>-1.0979989738327347E-3</v>
      </c>
      <c r="E25" s="6">
        <f t="shared" ca="1" si="1"/>
        <v>7.5242218099360952E-4</v>
      </c>
    </row>
    <row r="26" spans="1:5" x14ac:dyDescent="0.25">
      <c r="A26" s="3" t="s">
        <v>78</v>
      </c>
      <c r="B26" s="3">
        <f ca="1">ROUND(Star!J84,-1)</f>
        <v>534260</v>
      </c>
      <c r="C26" s="7">
        <f>ROUND(Star!C84,0)</f>
        <v>3531</v>
      </c>
      <c r="D26" s="6">
        <f t="shared" ca="1" si="0"/>
        <v>7.5242218099360952E-4</v>
      </c>
      <c r="E26" s="6">
        <f t="shared" ca="1" si="1"/>
        <v>2.0705369526451355E-3</v>
      </c>
    </row>
    <row r="27" spans="1:5" x14ac:dyDescent="0.25">
      <c r="A27" s="3" t="s">
        <v>78</v>
      </c>
      <c r="B27" s="3">
        <f ca="1">ROUND(Star!J85,-1)</f>
        <v>635200</v>
      </c>
      <c r="C27" s="7">
        <f>ROUND(Star!C85,0)</f>
        <v>3740</v>
      </c>
      <c r="D27" s="6">
        <f t="shared" ca="1" si="0"/>
        <v>2.0705369526451355E-3</v>
      </c>
      <c r="E27" s="6">
        <f t="shared" ca="1" si="1"/>
        <v>3.0079350433659348E-3</v>
      </c>
    </row>
    <row r="28" spans="1:5" x14ac:dyDescent="0.25">
      <c r="A28" s="3" t="s">
        <v>78</v>
      </c>
      <c r="B28" s="3">
        <f ca="1">ROUND(Star!J86,-1)</f>
        <v>743580</v>
      </c>
      <c r="C28" s="7">
        <f>ROUND(Star!C86,0)</f>
        <v>4066</v>
      </c>
      <c r="D28" s="6">
        <f t="shared" ca="1" si="0"/>
        <v>3.0079350433659348E-3</v>
      </c>
      <c r="E28" s="6">
        <f t="shared" ca="1" si="1"/>
        <v>3.4883720930232558E-3</v>
      </c>
    </row>
    <row r="29" spans="1:5" x14ac:dyDescent="0.25">
      <c r="A29" s="3" t="s">
        <v>78</v>
      </c>
      <c r="B29" s="3">
        <f ca="1">ROUND(Star!J87,-1)</f>
        <v>862260</v>
      </c>
      <c r="C29" s="7">
        <f>ROUND(Star!C87,0)</f>
        <v>4480</v>
      </c>
      <c r="D29" s="6">
        <f t="shared" ca="1" si="0"/>
        <v>3.4883720930232558E-3</v>
      </c>
      <c r="E29" s="6">
        <f t="shared" ca="1" si="1"/>
        <v>3.3619237249195894E-3</v>
      </c>
    </row>
    <row r="30" spans="1:5" x14ac:dyDescent="0.25">
      <c r="A30" s="3" t="s">
        <v>78</v>
      </c>
      <c r="B30" s="3">
        <f ca="1">ROUND(Star!J88,-1)</f>
        <v>992840</v>
      </c>
      <c r="C30" s="7">
        <f>ROUND(Star!C88,0)</f>
        <v>4919</v>
      </c>
      <c r="D30" s="6">
        <f t="shared" ca="1" si="0"/>
        <v>3.3619237249195894E-3</v>
      </c>
      <c r="E30" s="6">
        <f t="shared" ca="1" si="1"/>
        <v>2.4097236944385556E-3</v>
      </c>
    </row>
    <row r="31" spans="1:5" x14ac:dyDescent="0.25">
      <c r="A31" s="3" t="s">
        <v>78</v>
      </c>
      <c r="B31" s="3">
        <f ca="1">ROUND(Star!J89,-1)</f>
        <v>1134350</v>
      </c>
      <c r="C31" s="7">
        <f>ROUND(Star!C89,0)</f>
        <v>5260</v>
      </c>
      <c r="D31" s="6">
        <f t="shared" ca="1" si="0"/>
        <v>2.4097236944385556E-3</v>
      </c>
      <c r="E31" s="6">
        <f t="shared" ca="1" si="1"/>
        <v>2.2572317468723107E-3</v>
      </c>
    </row>
    <row r="32" spans="1:5" x14ac:dyDescent="0.25">
      <c r="A32" s="3" t="s">
        <v>78</v>
      </c>
      <c r="B32" s="3">
        <f ca="1">ROUND(Star!J90,-1)</f>
        <v>1285420</v>
      </c>
      <c r="C32" s="7">
        <f>ROUND(Star!C90,0)</f>
        <v>5601</v>
      </c>
      <c r="D32" s="6">
        <f t="shared" ca="1" si="0"/>
        <v>2.2572317468723107E-3</v>
      </c>
      <c r="E32" s="6">
        <f t="shared" ca="1" si="1"/>
        <v>2.1166656290854758E-3</v>
      </c>
    </row>
    <row r="33" spans="1:5" x14ac:dyDescent="0.25">
      <c r="A33" s="3" t="s">
        <v>78</v>
      </c>
      <c r="B33" s="3">
        <f ca="1">ROUND(Star!J91,-1)</f>
        <v>1446050</v>
      </c>
      <c r="C33" s="7">
        <f>ROUND(Star!C91,0)</f>
        <v>5941</v>
      </c>
      <c r="D33" s="6">
        <f t="shared" ca="1" si="0"/>
        <v>2.1166656290854758E-3</v>
      </c>
      <c r="E33" s="6">
        <f t="shared" ca="1" si="1"/>
        <v>2.2821698168412428E-3</v>
      </c>
    </row>
    <row r="34" spans="1:5" x14ac:dyDescent="0.25">
      <c r="A34" s="3" t="s">
        <v>78</v>
      </c>
      <c r="B34" s="3">
        <f ca="1">ROUND(Star!J92,-1)</f>
        <v>1616940</v>
      </c>
      <c r="C34" s="7">
        <f>ROUND(Star!C92,0)</f>
        <v>6331</v>
      </c>
      <c r="D34" s="6">
        <f t="shared" ca="1" si="0"/>
        <v>2.2821698168412428E-3</v>
      </c>
      <c r="E34" s="6">
        <f t="shared" ca="1" si="1"/>
        <v>3.165311653116531E-3</v>
      </c>
    </row>
    <row r="35" spans="1:5" x14ac:dyDescent="0.25">
      <c r="A35" s="3" t="s">
        <v>78</v>
      </c>
      <c r="B35" s="3">
        <f ca="1">ROUND(Star!J93,-1)</f>
        <v>1801440</v>
      </c>
      <c r="C35" s="7">
        <f>ROUND(Star!C93,0)</f>
        <v>6915</v>
      </c>
      <c r="D35" s="6">
        <f t="shared" ca="1" si="0"/>
        <v>3.165311653116531E-3</v>
      </c>
      <c r="E35" s="6">
        <f t="shared" ca="1" si="1"/>
        <v>4.9525561580170407E-3</v>
      </c>
    </row>
    <row r="36" spans="1:5" x14ac:dyDescent="0.25">
      <c r="A36" s="3" t="s">
        <v>78</v>
      </c>
      <c r="B36" s="7">
        <f ca="1">ROUND(Star!J94,-3)</f>
        <v>2008000</v>
      </c>
      <c r="C36" s="7">
        <f>ROUND(Star!C94,0)</f>
        <v>7938</v>
      </c>
      <c r="D36" s="6">
        <f t="shared" ca="1" si="0"/>
        <v>4.9525561580170407E-3</v>
      </c>
      <c r="E36" s="6">
        <v>0</v>
      </c>
    </row>
    <row r="37" spans="1:5" x14ac:dyDescent="0.25">
      <c r="A37" s="10" t="s">
        <v>67</v>
      </c>
      <c r="B37" s="3"/>
      <c r="C37" s="3"/>
      <c r="D37" s="6"/>
      <c r="E37" s="6"/>
    </row>
    <row r="38" spans="1:5" x14ac:dyDescent="0.25">
      <c r="A38" s="10" t="s">
        <v>85</v>
      </c>
      <c r="B38" s="3"/>
      <c r="C38" s="3"/>
      <c r="D38" s="3"/>
      <c r="E38" s="3"/>
    </row>
    <row r="39" spans="1:5" x14ac:dyDescent="0.25">
      <c r="A39" s="10" t="s">
        <v>66</v>
      </c>
      <c r="B39" s="3"/>
      <c r="C39" s="3"/>
      <c r="D39" s="3"/>
      <c r="E39" s="3"/>
    </row>
    <row r="40" spans="1:5" x14ac:dyDescent="0.25">
      <c r="A40" s="3" t="s">
        <v>78</v>
      </c>
      <c r="B40" s="7">
        <f ca="1">ROUND(Star!J79,-1)</f>
        <v>0</v>
      </c>
      <c r="C40" s="6">
        <f>Star!H79/1000</f>
        <v>10.1325</v>
      </c>
      <c r="D40" s="6">
        <v>0</v>
      </c>
      <c r="E40" s="6">
        <f ca="1">-(C40*1.001-C40*0.999)/(Star!G79*LN((C40*1.001)/(C40*0.999)))/IF(Star!G$60&gt;0,Star!G$60,0.5)</f>
        <v>-5.7604104608181613E-5</v>
      </c>
    </row>
    <row r="41" spans="1:5" x14ac:dyDescent="0.25">
      <c r="A41" s="3" t="s">
        <v>78</v>
      </c>
      <c r="B41" s="7">
        <f ca="1">ROUND(Star!J80,-1)</f>
        <v>125840</v>
      </c>
      <c r="C41" s="6">
        <f>Star!H80/1000</f>
        <v>4.7030898856581471</v>
      </c>
      <c r="D41" s="6">
        <f ca="1">-(C41*1.001-C41*0.999)/(Star!G80*LN((C41*1.001)/(C41*0.999)))/IF(Star!G$60&gt;0,Star!G$60,0.5)</f>
        <v>-3.083905060203271E-5</v>
      </c>
      <c r="E41" s="6">
        <f t="shared" ref="E41:E54" ca="1" si="2">D41</f>
        <v>-3.083905060203271E-5</v>
      </c>
    </row>
    <row r="42" spans="1:5" x14ac:dyDescent="0.25">
      <c r="A42" s="3" t="s">
        <v>78</v>
      </c>
      <c r="B42" s="7">
        <f ca="1">ROUND(Star!J81,-1)</f>
        <v>237330</v>
      </c>
      <c r="C42" s="6">
        <f>Star!H81/1000</f>
        <v>2.182980949674806</v>
      </c>
      <c r="D42" s="6">
        <f ca="1">-(C42*1.001-C42*0.999)/(Star!G81*LN((C42*1.001)/(C42*0.999)))/IF(Star!G$60&gt;0,Star!G$60,0.5)</f>
        <v>-1.5809462580394552E-5</v>
      </c>
      <c r="E42" s="6">
        <f t="shared" ca="1" si="2"/>
        <v>-1.5809462580394552E-5</v>
      </c>
    </row>
    <row r="43" spans="1:5" x14ac:dyDescent="0.25">
      <c r="A43" s="3" t="s">
        <v>78</v>
      </c>
      <c r="B43" s="7">
        <f ca="1">ROUND(Star!J82,-1)</f>
        <v>339790</v>
      </c>
      <c r="C43" s="6">
        <f>Star!H82/1000</f>
        <v>1.0132500000000004</v>
      </c>
      <c r="D43" s="6">
        <f ca="1">-(C43*1.001-C43*0.999)/(Star!G82*LN((C43*1.001)/(C43*0.999)))/IF(Star!G$60&gt;0,Star!G$60,0.5)</f>
        <v>-7.8694131978393647E-6</v>
      </c>
      <c r="E43" s="6">
        <f t="shared" ca="1" si="2"/>
        <v>-7.8694131978393647E-6</v>
      </c>
    </row>
    <row r="44" spans="1:5" x14ac:dyDescent="0.25">
      <c r="A44" s="3" t="s">
        <v>78</v>
      </c>
      <c r="B44" s="7">
        <f ca="1">ROUND(Star!J83,-1)</f>
        <v>437240</v>
      </c>
      <c r="C44" s="6">
        <f>Star!H83/1000</f>
        <v>0.47030898856581499</v>
      </c>
      <c r="D44" s="6">
        <f ca="1">-(C44*1.001-C44*0.999)/(Star!G83*LN((C44*1.001)/(C44*0.999)))/IF(Star!G$60&gt;0,Star!G$60,0.5)</f>
        <v>-3.7658389960507534E-6</v>
      </c>
      <c r="E44" s="6">
        <f t="shared" ca="1" si="2"/>
        <v>-3.7658389960507534E-6</v>
      </c>
    </row>
    <row r="45" spans="1:5" x14ac:dyDescent="0.25">
      <c r="A45" s="3" t="s">
        <v>78</v>
      </c>
      <c r="B45" s="7">
        <f ca="1">ROUND(Star!J84,-1)</f>
        <v>534260</v>
      </c>
      <c r="C45" s="6">
        <f>Star!H84/1000</f>
        <v>0.21829809496748048</v>
      </c>
      <c r="D45" s="6">
        <f ca="1">-(C45*1.001-C45*0.999)/(Star!G84*LN((C45*1.001)/(C45*0.999)))/IF(Star!G$60&gt;0,Star!G$60,0.5)</f>
        <v>-1.7117831897392505E-6</v>
      </c>
      <c r="E45" s="6">
        <f t="shared" ca="1" si="2"/>
        <v>-1.7117831897392505E-6</v>
      </c>
    </row>
    <row r="46" spans="1:5" x14ac:dyDescent="0.25">
      <c r="A46" s="3" t="s">
        <v>78</v>
      </c>
      <c r="B46" s="7">
        <f ca="1">ROUND(Star!J85,-1)</f>
        <v>635200</v>
      </c>
      <c r="C46" s="6">
        <f>Star!H85/1000</f>
        <v>0.101325</v>
      </c>
      <c r="D46" s="6">
        <f ca="1">-(C46*1.001-C46*0.999)/(Star!G85*LN((C46*1.001)/(C46*0.999)))/IF(Star!G$60&gt;0,Star!G$60,0.5)</f>
        <v>-7.5005344541903358E-7</v>
      </c>
      <c r="E46" s="6">
        <f t="shared" ca="1" si="2"/>
        <v>-7.5005344541903358E-7</v>
      </c>
    </row>
    <row r="47" spans="1:5" x14ac:dyDescent="0.25">
      <c r="A47" s="3" t="s">
        <v>78</v>
      </c>
      <c r="B47" s="7">
        <f ca="1">ROUND(Star!J86,-1)</f>
        <v>743580</v>
      </c>
      <c r="C47" s="6">
        <f>Star!H86/1000</f>
        <v>4.7030898856581453E-2</v>
      </c>
      <c r="D47" s="6">
        <f ca="1">-(C47*1.001-C47*0.999)/(Star!G86*LN((C47*1.001)/(C47*0.999)))/IF(Star!G$60&gt;0,Star!G$60,0.5)</f>
        <v>-3.202090643348592E-7</v>
      </c>
      <c r="E47" s="6">
        <f t="shared" ca="1" si="2"/>
        <v>-3.202090643348592E-7</v>
      </c>
    </row>
    <row r="48" spans="1:5" x14ac:dyDescent="0.25">
      <c r="A48" s="3" t="s">
        <v>78</v>
      </c>
      <c r="B48" s="7">
        <f ca="1">ROUND(Star!J87,-1)</f>
        <v>862260</v>
      </c>
      <c r="C48" s="6">
        <f>Star!H87/1000</f>
        <v>2.1829809496748027E-2</v>
      </c>
      <c r="D48" s="6">
        <f ca="1">-(C48*1.001-C48*0.999)/(Star!G87*LN((C48*1.001)/(C48*0.999)))/IF(Star!G$60&gt;0,Star!G$60,0.5)</f>
        <v>-1.3489595788705835E-7</v>
      </c>
      <c r="E48" s="6">
        <f t="shared" ca="1" si="2"/>
        <v>-1.3489595788705835E-7</v>
      </c>
    </row>
    <row r="49" spans="1:5" x14ac:dyDescent="0.25">
      <c r="A49" s="3" t="s">
        <v>78</v>
      </c>
      <c r="B49" s="7">
        <f ca="1">ROUND(Star!J88,-1)</f>
        <v>992840</v>
      </c>
      <c r="C49" s="6">
        <f>Star!H88/1000</f>
        <v>1.0132500000000001E-2</v>
      </c>
      <c r="D49" s="6">
        <f ca="1">-(C49*1.001-C49*0.999)/(Star!G88*LN((C49*1.001)/(C49*0.999)))/IF(Star!G$60&gt;0,Star!G$60,0.5)</f>
        <v>-5.7033766938793838E-8</v>
      </c>
      <c r="E49" s="6">
        <f t="shared" ca="1" si="2"/>
        <v>-5.7033766938793838E-8</v>
      </c>
    </row>
    <row r="50" spans="1:5" x14ac:dyDescent="0.25">
      <c r="A50" s="3" t="s">
        <v>78</v>
      </c>
      <c r="B50" s="7">
        <f ca="1">ROUND(Star!J89,-1)</f>
        <v>1134350</v>
      </c>
      <c r="C50" s="6">
        <f>Star!H89/1000</f>
        <v>4.7030898856581481E-3</v>
      </c>
      <c r="D50" s="6">
        <f ca="1">-(C50*1.001-C50*0.999)/(Star!G89*LN((C50*1.001)/(C50*0.999)))/IF(Star!G$60&gt;0,Star!G$60,0.5)</f>
        <v>-2.4756904511074753E-8</v>
      </c>
      <c r="E50" s="6">
        <f t="shared" ref="E50" ca="1" si="3">D50</f>
        <v>-2.4756904511074753E-8</v>
      </c>
    </row>
    <row r="51" spans="1:5" x14ac:dyDescent="0.25">
      <c r="A51" s="3" t="s">
        <v>78</v>
      </c>
      <c r="B51" s="7">
        <f ca="1">ROUND(Star!J90,-1)</f>
        <v>1285420</v>
      </c>
      <c r="C51" s="6">
        <f>Star!H90/1000</f>
        <v>2.1829809496748077E-3</v>
      </c>
      <c r="D51" s="6">
        <f ca="1">-(C51*1.001-C51*0.999)/(Star!G90*LN((C51*1.001)/(C51*0.999)))/IF(Star!G$60&gt;0,Star!G$60,0.5)</f>
        <v>-1.0791676630964669E-8</v>
      </c>
      <c r="E51" s="6">
        <f t="shared" ca="1" si="2"/>
        <v>-1.0791676630964669E-8</v>
      </c>
    </row>
    <row r="52" spans="1:5" x14ac:dyDescent="0.25">
      <c r="A52" s="3" t="s">
        <v>78</v>
      </c>
      <c r="B52" s="7">
        <f ca="1">ROUND(Star!J91,-1)</f>
        <v>1446050</v>
      </c>
      <c r="C52" s="6">
        <f>Star!H91/1000</f>
        <v>1.0132500000000016E-3</v>
      </c>
      <c r="D52" s="6">
        <f ca="1">-(C52*1.001-C52*0.999)/(Star!G91*LN((C52*1.001)/(C52*0.999)))/IF(Star!G$60&gt;0,Star!G$60,0.5)</f>
        <v>-4.7216479187037285E-9</v>
      </c>
      <c r="E52" s="6">
        <f t="shared" ca="1" si="2"/>
        <v>-4.7216479187037285E-9</v>
      </c>
    </row>
    <row r="53" spans="1:5" x14ac:dyDescent="0.25">
      <c r="A53" s="3" t="s">
        <v>78</v>
      </c>
      <c r="B53" s="7">
        <f ca="1">ROUND(Star!J92,-1)</f>
        <v>1616940</v>
      </c>
      <c r="C53" s="6">
        <f>Star!H92/1000</f>
        <v>4.7030898856581586E-4</v>
      </c>
      <c r="D53" s="6">
        <f ca="1">-(C53*1.001-C53*0.999)/(Star!G92*LN((C53*1.001)/(C53*0.999)))/IF(Star!G$60&gt;0,Star!G$60,0.5)</f>
        <v>-2.0567274516893115E-9</v>
      </c>
      <c r="E53" s="6">
        <f t="shared" ca="1" si="2"/>
        <v>-2.0567274516893115E-9</v>
      </c>
    </row>
    <row r="54" spans="1:5" x14ac:dyDescent="0.25">
      <c r="A54" s="3" t="s">
        <v>78</v>
      </c>
      <c r="B54" s="7">
        <f ca="1">ROUND(Star!J93,-1)</f>
        <v>1801440</v>
      </c>
      <c r="C54" s="6">
        <f>Star!H93/1000</f>
        <v>2.1829809496748092E-4</v>
      </c>
      <c r="D54" s="6">
        <f ca="1">-(C54*1.001-C54*0.999)/(Star!G93*LN((C54*1.001)/(C54*0.999)))/IF(Star!G$60&gt;0,Star!G$60,0.5)</f>
        <v>-8.7397381166264259E-10</v>
      </c>
      <c r="E54" s="6">
        <f t="shared" ca="1" si="2"/>
        <v>-8.7397381166264259E-10</v>
      </c>
    </row>
    <row r="55" spans="1:5" x14ac:dyDescent="0.25">
      <c r="A55" s="3" t="s">
        <v>78</v>
      </c>
      <c r="B55" s="7">
        <f ca="1">ROUND(Star!J94,-3)</f>
        <v>2008000</v>
      </c>
      <c r="C55" s="6">
        <v>0</v>
      </c>
      <c r="D55" s="6">
        <v>0</v>
      </c>
      <c r="E55" s="6">
        <v>0</v>
      </c>
    </row>
    <row r="56" spans="1:5" x14ac:dyDescent="0.25">
      <c r="A56" s="10" t="s">
        <v>67</v>
      </c>
      <c r="B56" s="3"/>
      <c r="C56" s="3"/>
      <c r="D56" s="3"/>
      <c r="E56" s="3"/>
    </row>
    <row r="57" spans="1:5" x14ac:dyDescent="0.25">
      <c r="A57" s="10" t="s">
        <v>79</v>
      </c>
      <c r="B57" s="3"/>
      <c r="C57" s="3"/>
      <c r="D57" s="6"/>
      <c r="E57" s="6"/>
    </row>
    <row r="58" spans="1:5" x14ac:dyDescent="0.25">
      <c r="A58" s="10" t="s">
        <v>66</v>
      </c>
      <c r="B58" s="3"/>
      <c r="C58" s="3"/>
      <c r="D58" s="6"/>
      <c r="E58" s="6"/>
    </row>
    <row r="59" spans="1:5" x14ac:dyDescent="0.25">
      <c r="A59" s="3" t="s">
        <v>78</v>
      </c>
      <c r="B59" s="3">
        <v>0</v>
      </c>
      <c r="C59" s="3">
        <v>0</v>
      </c>
      <c r="D59" s="3">
        <v>0</v>
      </c>
      <c r="E59" s="3">
        <v>0</v>
      </c>
    </row>
    <row r="60" spans="1:5" x14ac:dyDescent="0.25">
      <c r="A60" s="10" t="s">
        <v>67</v>
      </c>
      <c r="B60" s="3"/>
      <c r="C60" s="3"/>
      <c r="D60" s="3"/>
      <c r="E60" s="3"/>
    </row>
    <row r="61" spans="1:5" x14ac:dyDescent="0.25">
      <c r="A61" s="10" t="s">
        <v>80</v>
      </c>
      <c r="B61" s="3"/>
      <c r="C61" s="3"/>
      <c r="D61" s="3"/>
      <c r="E61" s="3"/>
    </row>
    <row r="62" spans="1:5" x14ac:dyDescent="0.25">
      <c r="A62" s="10" t="s">
        <v>66</v>
      </c>
      <c r="B62" s="3"/>
      <c r="C62" s="3"/>
      <c r="D62" s="3"/>
      <c r="E62" s="3"/>
    </row>
    <row r="63" spans="1:5" x14ac:dyDescent="0.25">
      <c r="A63" s="3" t="s">
        <v>78</v>
      </c>
      <c r="B63" s="3">
        <v>0</v>
      </c>
      <c r="C63" s="3">
        <v>0</v>
      </c>
      <c r="D63" s="3">
        <v>0</v>
      </c>
      <c r="E63" s="3">
        <v>0</v>
      </c>
    </row>
    <row r="64" spans="1:5" x14ac:dyDescent="0.25">
      <c r="A64" s="10" t="s">
        <v>67</v>
      </c>
      <c r="B64" s="3"/>
      <c r="C64" s="3"/>
      <c r="D64" s="3"/>
      <c r="E64" s="3"/>
    </row>
    <row r="65" spans="1:5" x14ac:dyDescent="0.25">
      <c r="A65" s="10" t="s">
        <v>81</v>
      </c>
      <c r="B65" s="3"/>
      <c r="C65" s="3"/>
      <c r="D65" s="3"/>
      <c r="E65" s="3"/>
    </row>
    <row r="66" spans="1:5" x14ac:dyDescent="0.25">
      <c r="A66" s="10" t="s">
        <v>66</v>
      </c>
      <c r="B66" s="3"/>
      <c r="C66" s="3"/>
      <c r="D66" s="3"/>
      <c r="E66" s="3"/>
    </row>
    <row r="67" spans="1:5" x14ac:dyDescent="0.25">
      <c r="A67" s="3" t="s">
        <v>78</v>
      </c>
      <c r="B67" s="3">
        <v>0</v>
      </c>
      <c r="C67" s="3">
        <v>0</v>
      </c>
      <c r="D67" s="3">
        <v>0</v>
      </c>
      <c r="E67" s="3">
        <v>0</v>
      </c>
    </row>
    <row r="68" spans="1:5" x14ac:dyDescent="0.25">
      <c r="A68" s="10" t="s">
        <v>67</v>
      </c>
      <c r="B68" s="3"/>
      <c r="C68" s="3"/>
      <c r="D68" s="3"/>
      <c r="E68" s="3"/>
    </row>
    <row r="69" spans="1:5" x14ac:dyDescent="0.25">
      <c r="A69" s="10" t="s">
        <v>82</v>
      </c>
      <c r="B69" s="3"/>
      <c r="C69" s="3"/>
      <c r="D69" s="3"/>
      <c r="E69" s="3"/>
    </row>
    <row r="70" spans="1:5" x14ac:dyDescent="0.25">
      <c r="A70" s="10" t="s">
        <v>66</v>
      </c>
      <c r="B70" s="3"/>
      <c r="C70" s="3"/>
      <c r="D70" s="3"/>
      <c r="E70" s="3"/>
    </row>
    <row r="71" spans="1:5" x14ac:dyDescent="0.25">
      <c r="A71" s="3" t="s">
        <v>78</v>
      </c>
      <c r="B71" s="3">
        <v>0</v>
      </c>
      <c r="C71" s="3">
        <v>0</v>
      </c>
      <c r="D71" s="3">
        <v>0</v>
      </c>
      <c r="E71" s="3">
        <v>0</v>
      </c>
    </row>
    <row r="72" spans="1:5" x14ac:dyDescent="0.25">
      <c r="A72" s="10" t="s">
        <v>67</v>
      </c>
      <c r="B72" s="3"/>
      <c r="C72" s="3"/>
      <c r="D72" s="3"/>
      <c r="E72" s="3"/>
    </row>
    <row r="73" spans="1:5" x14ac:dyDescent="0.25">
      <c r="A73" s="10" t="s">
        <v>83</v>
      </c>
      <c r="B73" s="3"/>
      <c r="C73" s="3"/>
      <c r="D73" s="3"/>
      <c r="E73" s="3"/>
    </row>
    <row r="74" spans="1:5" x14ac:dyDescent="0.25">
      <c r="A74" s="10" t="s">
        <v>66</v>
      </c>
      <c r="B74" s="3"/>
      <c r="C74" s="3"/>
      <c r="D74" s="3"/>
      <c r="E74" s="3"/>
    </row>
    <row r="75" spans="1:5" x14ac:dyDescent="0.25">
      <c r="A75" s="3" t="s">
        <v>78</v>
      </c>
      <c r="B75" s="3">
        <v>0</v>
      </c>
      <c r="C75" s="3">
        <v>0</v>
      </c>
      <c r="D75" s="3">
        <v>0</v>
      </c>
      <c r="E75" s="3">
        <v>0</v>
      </c>
    </row>
    <row r="76" spans="1:5" x14ac:dyDescent="0.25">
      <c r="A76" s="10" t="s">
        <v>67</v>
      </c>
      <c r="B76" s="3"/>
      <c r="C76" s="3"/>
      <c r="D76" s="3"/>
      <c r="E76" s="3"/>
    </row>
    <row r="77" spans="1:5" x14ac:dyDescent="0.25">
      <c r="A77" s="10" t="s">
        <v>84</v>
      </c>
      <c r="B77" s="3"/>
      <c r="C77" s="3"/>
      <c r="D77" s="3"/>
      <c r="E77" s="3"/>
    </row>
    <row r="78" spans="1:5" x14ac:dyDescent="0.25">
      <c r="A78" s="10" t="s">
        <v>66</v>
      </c>
      <c r="B78" s="3"/>
      <c r="C78" s="3"/>
      <c r="D78" s="3"/>
      <c r="E78" s="3"/>
    </row>
    <row r="79" spans="1:5" x14ac:dyDescent="0.25">
      <c r="A79" s="3" t="s">
        <v>78</v>
      </c>
      <c r="B79" s="3">
        <v>0</v>
      </c>
      <c r="C79" s="3">
        <v>0</v>
      </c>
      <c r="D79" s="3">
        <v>0</v>
      </c>
      <c r="E79" s="3">
        <v>0</v>
      </c>
    </row>
    <row r="80" spans="1:5" x14ac:dyDescent="0.25">
      <c r="A80" s="10" t="s">
        <v>67</v>
      </c>
      <c r="B80" s="3"/>
      <c r="C80" s="3"/>
      <c r="D80" s="3"/>
      <c r="E80" s="3"/>
    </row>
    <row r="81" spans="1:5" x14ac:dyDescent="0.25">
      <c r="A81" s="1" t="s">
        <v>67</v>
      </c>
      <c r="B81" s="3"/>
      <c r="C81" s="3"/>
      <c r="D81" s="3"/>
      <c r="E81" s="3"/>
    </row>
    <row r="83" spans="1:5" x14ac:dyDescent="0.25">
      <c r="C83" s="8"/>
      <c r="D83" s="9"/>
      <c r="E83" s="9"/>
    </row>
    <row r="85" spans="1:5" x14ac:dyDescent="0.25">
      <c r="E85" s="9"/>
    </row>
    <row r="86" spans="1:5" x14ac:dyDescent="0.25">
      <c r="D86" s="9"/>
      <c r="E86" s="9"/>
    </row>
    <row r="87" spans="1:5" x14ac:dyDescent="0.25">
      <c r="D87" s="9"/>
      <c r="E87" s="9"/>
    </row>
    <row r="88" spans="1:5" x14ac:dyDescent="0.25">
      <c r="C88" s="8"/>
      <c r="D88" s="9"/>
      <c r="E88" s="9"/>
    </row>
    <row r="95" spans="1:5" x14ac:dyDescent="0.25">
      <c r="D95" s="9"/>
      <c r="E95" s="9"/>
    </row>
  </sheetData>
  <mergeCells count="1">
    <mergeCell ref="A1:E1"/>
  </mergeCells>
  <phoneticPr fontId="18"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Q143"/>
  <sheetViews>
    <sheetView topLeftCell="A8" zoomScaleNormal="100" workbookViewId="0">
      <selection activeCell="F32" sqref="F32"/>
    </sheetView>
  </sheetViews>
  <sheetFormatPr defaultColWidth="9.125" defaultRowHeight="14.25" x14ac:dyDescent="0.15"/>
  <cols>
    <col min="1" max="1" width="3.625" style="11" customWidth="1"/>
    <col min="2" max="16" width="12.625" style="11" customWidth="1"/>
    <col min="17" max="16384" width="9.125" style="11"/>
  </cols>
  <sheetData>
    <row r="2" spans="2:8" ht="31.5" x14ac:dyDescent="0.4">
      <c r="B2" s="95" t="s">
        <v>96</v>
      </c>
      <c r="C2" s="95"/>
      <c r="D2" s="95"/>
      <c r="E2" s="95"/>
      <c r="F2" s="95"/>
      <c r="G2" s="95"/>
      <c r="H2" s="95"/>
    </row>
    <row r="4" spans="2:8" x14ac:dyDescent="0.15">
      <c r="B4" s="90" t="s">
        <v>286</v>
      </c>
      <c r="C4" s="90"/>
      <c r="D4" s="90"/>
      <c r="E4" s="90"/>
      <c r="F4" s="90"/>
      <c r="G4" s="90"/>
      <c r="H4" s="90"/>
    </row>
    <row r="5" spans="2:8" x14ac:dyDescent="0.15">
      <c r="B5" s="90" t="s">
        <v>311</v>
      </c>
      <c r="C5" s="90"/>
      <c r="D5" s="90"/>
      <c r="E5" s="90"/>
      <c r="F5" s="90"/>
      <c r="G5" s="90"/>
      <c r="H5" s="90"/>
    </row>
    <row r="6" spans="2:8" x14ac:dyDescent="0.15">
      <c r="B6" s="90" t="s">
        <v>310</v>
      </c>
      <c r="C6" s="90"/>
      <c r="D6" s="90"/>
      <c r="E6" s="90"/>
      <c r="F6" s="90"/>
      <c r="G6" s="90"/>
      <c r="H6" s="90"/>
    </row>
    <row r="7" spans="2:8" x14ac:dyDescent="0.15">
      <c r="B7" s="90" t="s">
        <v>309</v>
      </c>
      <c r="C7" s="90"/>
      <c r="D7" s="90"/>
      <c r="E7" s="90"/>
      <c r="F7" s="90"/>
      <c r="G7" s="90"/>
      <c r="H7" s="90"/>
    </row>
    <row r="9" spans="2:8" x14ac:dyDescent="0.15">
      <c r="B9" s="11" t="s">
        <v>6</v>
      </c>
    </row>
    <row r="10" spans="2:8" x14ac:dyDescent="0.15">
      <c r="B10" s="12" t="s">
        <v>7</v>
      </c>
      <c r="F10" s="96">
        <v>69300000000</v>
      </c>
      <c r="G10" s="96"/>
      <c r="H10" s="11" t="s">
        <v>0</v>
      </c>
    </row>
    <row r="11" spans="2:8" x14ac:dyDescent="0.15">
      <c r="B11" s="11" t="s">
        <v>8</v>
      </c>
      <c r="F11" s="30"/>
      <c r="G11" s="30"/>
    </row>
    <row r="12" spans="2:8" x14ac:dyDescent="0.15">
      <c r="B12" s="12" t="s">
        <v>9</v>
      </c>
      <c r="F12" s="96">
        <v>261600000</v>
      </c>
      <c r="G12" s="96"/>
      <c r="H12" s="11" t="s">
        <v>0</v>
      </c>
    </row>
    <row r="13" spans="2:8" ht="15" customHeight="1" x14ac:dyDescent="0.25">
      <c r="B13" s="50" t="s">
        <v>5</v>
      </c>
      <c r="C13" s="51"/>
      <c r="D13" s="97" t="s">
        <v>102</v>
      </c>
      <c r="E13" s="97"/>
      <c r="F13" s="52"/>
      <c r="G13" s="86"/>
      <c r="H13" s="11" t="s">
        <v>89</v>
      </c>
    </row>
    <row r="14" spans="2:8" x14ac:dyDescent="0.15">
      <c r="B14" s="53" t="s">
        <v>3</v>
      </c>
      <c r="D14" s="98"/>
      <c r="E14" s="98"/>
      <c r="F14" s="30"/>
      <c r="G14" s="54"/>
      <c r="H14" s="11" t="s">
        <v>10</v>
      </c>
    </row>
    <row r="15" spans="2:8" ht="15.75" x14ac:dyDescent="0.25">
      <c r="B15" s="55" t="s">
        <v>4</v>
      </c>
      <c r="C15" s="56"/>
      <c r="D15" s="99"/>
      <c r="E15" s="99"/>
      <c r="F15" s="57"/>
      <c r="G15" s="58">
        <v>1.7468465610013699</v>
      </c>
      <c r="H15" s="11" t="s">
        <v>90</v>
      </c>
    </row>
    <row r="16" spans="2:8" ht="15.75" x14ac:dyDescent="0.25">
      <c r="B16" s="12" t="s">
        <v>16</v>
      </c>
      <c r="F16" s="30"/>
      <c r="G16" s="31">
        <v>1360</v>
      </c>
      <c r="H16" s="11" t="s">
        <v>91</v>
      </c>
    </row>
    <row r="17" spans="2:8" x14ac:dyDescent="0.15">
      <c r="B17" s="11" t="s">
        <v>12</v>
      </c>
      <c r="F17" s="30"/>
      <c r="G17" s="30"/>
    </row>
    <row r="18" spans="2:8" x14ac:dyDescent="0.15">
      <c r="B18" s="12" t="s">
        <v>9</v>
      </c>
      <c r="F18" s="96">
        <v>70444600</v>
      </c>
      <c r="G18" s="96"/>
      <c r="H18" s="11" t="s">
        <v>0</v>
      </c>
    </row>
    <row r="19" spans="2:8" ht="15" customHeight="1" x14ac:dyDescent="0.25">
      <c r="B19" s="50" t="s">
        <v>5</v>
      </c>
      <c r="C19" s="51"/>
      <c r="D19" s="97" t="s">
        <v>102</v>
      </c>
      <c r="E19" s="97"/>
      <c r="F19" s="52"/>
      <c r="G19" s="86"/>
      <c r="H19" s="11" t="s">
        <v>89</v>
      </c>
    </row>
    <row r="20" spans="2:8" x14ac:dyDescent="0.15">
      <c r="B20" s="53" t="s">
        <v>3</v>
      </c>
      <c r="D20" s="98"/>
      <c r="E20" s="98"/>
      <c r="F20" s="30"/>
      <c r="G20" s="54">
        <v>1.8652247193E+27</v>
      </c>
      <c r="H20" s="11" t="s">
        <v>10</v>
      </c>
    </row>
    <row r="21" spans="2:8" ht="15.75" x14ac:dyDescent="0.25">
      <c r="B21" s="55" t="s">
        <v>4</v>
      </c>
      <c r="C21" s="56"/>
      <c r="D21" s="99"/>
      <c r="E21" s="99"/>
      <c r="F21" s="57"/>
      <c r="G21" s="58">
        <v>0.800273295870079</v>
      </c>
      <c r="H21" s="11" t="s">
        <v>90</v>
      </c>
    </row>
    <row r="22" spans="2:8" x14ac:dyDescent="0.15">
      <c r="B22" s="12" t="s">
        <v>11</v>
      </c>
      <c r="F22" s="30"/>
      <c r="G22" s="31">
        <v>0.32</v>
      </c>
    </row>
    <row r="23" spans="2:8" x14ac:dyDescent="0.15">
      <c r="B23" s="12" t="s">
        <v>7</v>
      </c>
      <c r="F23" s="96">
        <v>314982134176</v>
      </c>
      <c r="G23" s="96"/>
      <c r="H23" s="11" t="s">
        <v>0</v>
      </c>
    </row>
    <row r="24" spans="2:8" x14ac:dyDescent="0.15">
      <c r="B24" s="12" t="s">
        <v>13</v>
      </c>
      <c r="F24" s="30"/>
      <c r="G24" s="87">
        <v>6.1124461376500003E-2</v>
      </c>
    </row>
    <row r="25" spans="2:8" ht="15.75" x14ac:dyDescent="0.25">
      <c r="B25" s="12" t="s">
        <v>14</v>
      </c>
      <c r="F25" s="30"/>
      <c r="G25" s="87">
        <v>40.987552821500003</v>
      </c>
      <c r="H25" s="38" t="s">
        <v>101</v>
      </c>
    </row>
    <row r="26" spans="2:8" ht="15.75" x14ac:dyDescent="0.25">
      <c r="B26" s="12" t="s">
        <v>15</v>
      </c>
      <c r="F26" s="30"/>
      <c r="G26" s="87">
        <v>214.189027178</v>
      </c>
      <c r="H26" s="38" t="s">
        <v>101</v>
      </c>
    </row>
    <row r="27" spans="2:8" x14ac:dyDescent="0.15">
      <c r="B27" s="13"/>
      <c r="F27" s="30"/>
      <c r="G27" s="30"/>
    </row>
    <row r="28" spans="2:8" x14ac:dyDescent="0.15">
      <c r="B28" s="90" t="s">
        <v>195</v>
      </c>
      <c r="C28" s="90"/>
      <c r="D28" s="90"/>
      <c r="E28" s="90"/>
      <c r="F28" s="90"/>
      <c r="G28" s="90"/>
      <c r="H28" s="90"/>
    </row>
    <row r="29" spans="2:8" x14ac:dyDescent="0.15">
      <c r="B29" s="90" t="s">
        <v>312</v>
      </c>
      <c r="C29" s="90"/>
      <c r="D29" s="90"/>
      <c r="E29" s="90"/>
      <c r="F29" s="90"/>
      <c r="G29" s="90"/>
      <c r="H29" s="90"/>
    </row>
    <row r="30" spans="2:8" x14ac:dyDescent="0.15">
      <c r="F30" s="30"/>
      <c r="G30" s="30"/>
    </row>
    <row r="31" spans="2:8" x14ac:dyDescent="0.15">
      <c r="B31" s="12" t="s">
        <v>24</v>
      </c>
      <c r="F31" s="101">
        <v>18550000</v>
      </c>
      <c r="G31" s="101">
        <v>60000000</v>
      </c>
      <c r="H31" s="11" t="s">
        <v>0</v>
      </c>
    </row>
    <row r="33" spans="2:8" x14ac:dyDescent="0.15">
      <c r="B33" s="90" t="s">
        <v>307</v>
      </c>
      <c r="C33" s="90"/>
      <c r="D33" s="90"/>
      <c r="E33" s="90"/>
      <c r="F33" s="90"/>
      <c r="G33" s="90"/>
      <c r="H33" s="90"/>
    </row>
    <row r="34" spans="2:8" x14ac:dyDescent="0.15">
      <c r="B34" s="90" t="s">
        <v>306</v>
      </c>
      <c r="C34" s="90"/>
      <c r="D34" s="90"/>
      <c r="E34" s="90"/>
      <c r="F34" s="90"/>
      <c r="G34" s="90"/>
      <c r="H34" s="90"/>
    </row>
    <row r="36" spans="2:8" ht="15.75" x14ac:dyDescent="0.25">
      <c r="F36" s="14" t="s">
        <v>38</v>
      </c>
      <c r="G36" s="14" t="s">
        <v>40</v>
      </c>
      <c r="H36" s="14" t="s">
        <v>100</v>
      </c>
    </row>
    <row r="37" spans="2:8" x14ac:dyDescent="0.15">
      <c r="B37" s="15" t="s">
        <v>88</v>
      </c>
      <c r="C37" s="15"/>
      <c r="D37" s="15"/>
      <c r="E37" s="15" t="s">
        <v>87</v>
      </c>
      <c r="F37" s="16" t="s">
        <v>39</v>
      </c>
      <c r="G37" s="16" t="s">
        <v>41</v>
      </c>
      <c r="H37" s="16" t="s">
        <v>42</v>
      </c>
    </row>
    <row r="38" spans="2:8" ht="15.75" x14ac:dyDescent="0.25">
      <c r="B38" s="93" t="s">
        <v>33</v>
      </c>
      <c r="C38" s="93"/>
      <c r="D38" s="93"/>
      <c r="E38" s="11" t="s">
        <v>92</v>
      </c>
      <c r="F38" s="36">
        <v>0.90749999999999997</v>
      </c>
      <c r="G38" s="17">
        <v>2.0158800000000001</v>
      </c>
      <c r="H38" s="17">
        <f>IF(G$66&lt;100,28.154,IF(G$66&lt;298.15,-0.0000012385*G$66^3+0.000847907*G$66^2-0.174747*G$66+38.3882,IF(G$66&lt;1000,33.066178-11.363417*(G$66/1000)+11.432816*(G$66/1000)^2-2.772874*(G$66/1000)^3-0.158558/(G$66/1000)^2,IF(G$66&lt;2500,18.563083+12.257357*(G$66/1000)-2.859786*(G$66/1000)^2+0.268238*(G$66/1000)^3+1.97799/(G$66/1000)^2,IF(G$66&lt;6000,43.41356-4.293079*(G$66/1000)+1.272428*(G$66/1000)^2-0.096876*(G$66/1000)^3-20.533862/(G$66/1000)^2,41.965)))))</f>
        <v>28.696707814682199</v>
      </c>
    </row>
    <row r="39" spans="2:8" x14ac:dyDescent="0.15">
      <c r="B39" s="94" t="s">
        <v>34</v>
      </c>
      <c r="C39" s="94"/>
      <c r="D39" s="94"/>
      <c r="E39" s="11" t="s">
        <v>37</v>
      </c>
      <c r="F39" s="36">
        <v>9.2499999999999999E-2</v>
      </c>
      <c r="G39" s="17">
        <v>4.0026020000000004</v>
      </c>
      <c r="H39" s="17">
        <v>20.786000000000001</v>
      </c>
    </row>
    <row r="40" spans="2:8" ht="15.75" x14ac:dyDescent="0.25">
      <c r="B40" s="94" t="s">
        <v>35</v>
      </c>
      <c r="C40" s="94"/>
      <c r="D40" s="94"/>
      <c r="E40" s="11" t="s">
        <v>93</v>
      </c>
      <c r="F40" s="36">
        <v>0</v>
      </c>
      <c r="G40" s="17">
        <v>16.0425</v>
      </c>
      <c r="H40" s="17">
        <f>IF(G$66&lt;100,33.258,IF(G$66&lt;298.15,0.000000327888*G$66^3-0.000095605*G$66^2+0.00787935*G$66+33.0982,IF(G$66&lt;1300,-0.703029+108.4773*(G$66/1000)-42.52157*(G$66/1000)^2+5.862788*(G$66/1000)^3+0.678565/(G$66/1000)^2,IF(G$66&lt;6000,85.81217+11.26467*(G$66/1000)-2.114146*(G$66/1000)^2+0.13819*(G$66/1000)^3-26.42221/(G$66/1000)^2,106.306))))</f>
        <v>34.848080700723116</v>
      </c>
    </row>
    <row r="41" spans="2:8" ht="15.75" x14ac:dyDescent="0.25">
      <c r="B41" s="94" t="s">
        <v>36</v>
      </c>
      <c r="C41" s="94"/>
      <c r="D41" s="94"/>
      <c r="E41" s="11" t="s">
        <v>94</v>
      </c>
      <c r="F41" s="36">
        <v>0</v>
      </c>
      <c r="G41" s="17">
        <v>17.0305</v>
      </c>
      <c r="H41" s="17">
        <f>IF(G$66&lt;100,33.284,IF(G$66&lt;298.15,0.0000735664*G$66^2-0.0173399*G$66+34.2823,IF(G$66&lt;1400,19.99563+49.77119*(G$66/1000)-15.37599*(G$66/1000)^2+1.921168*(G$66/1000)^3+0.189174/(G$66/1000)^2,IF(G$66&lt;6000,52.02427+18.48801*(G$66/1000)-3.765128*(G$66/1000)^2+0.248541*(G$66/1000)^3-12.45799/(G$66/1000)^2,80.751))))</f>
        <v>35.072721312399565</v>
      </c>
    </row>
    <row r="42" spans="2:8" x14ac:dyDescent="0.15">
      <c r="B42" s="94" t="s">
        <v>141</v>
      </c>
      <c r="C42" s="94"/>
      <c r="D42" s="94"/>
      <c r="E42" s="11" t="s">
        <v>44</v>
      </c>
      <c r="F42" s="36">
        <v>0</v>
      </c>
      <c r="G42" s="17">
        <v>3.0220400000000001</v>
      </c>
      <c r="H42" s="17">
        <f>IF(G$66&lt;100,29.288,IF(G$66&lt;298.15,0.0000056637*G$66^2-0.00269911*G$66+29.5013,IF(G$66&lt;1000,31.24992-7.58919*(G$66/1000)+9.011375*(G$66/1000)^2-1.914415*(G$66/1000)^3-0.047793/(G$66/1000)^2,IF(G$66&lt;6000,28.22296+4.575371*(G$66/1000)-0.551669*(G$66/1000)^2+0.031038*(G$66/1000)^3-1.732276/(G$66/1000)^2,42.339))))</f>
        <v>29.187280110694307</v>
      </c>
    </row>
    <row r="43" spans="2:8" x14ac:dyDescent="0.15">
      <c r="B43" s="100"/>
      <c r="C43" s="100"/>
      <c r="D43" s="100"/>
      <c r="E43" s="32"/>
      <c r="F43" s="36"/>
      <c r="G43" s="33"/>
      <c r="H43" s="33"/>
    </row>
    <row r="44" spans="2:8" x14ac:dyDescent="0.15">
      <c r="B44" s="100"/>
      <c r="C44" s="100"/>
      <c r="D44" s="100"/>
      <c r="E44" s="32"/>
      <c r="F44" s="36"/>
      <c r="G44" s="33"/>
      <c r="H44" s="33"/>
    </row>
    <row r="45" spans="2:8" x14ac:dyDescent="0.15">
      <c r="B45" s="92"/>
      <c r="C45" s="92"/>
      <c r="D45" s="92"/>
      <c r="E45" s="34"/>
      <c r="F45" s="37"/>
      <c r="G45" s="35"/>
      <c r="H45" s="35"/>
    </row>
    <row r="46" spans="2:8" x14ac:dyDescent="0.15">
      <c r="B46" s="11" t="s">
        <v>167</v>
      </c>
      <c r="F46" s="18">
        <f>SUM(F38:F45)</f>
        <v>1</v>
      </c>
    </row>
    <row r="48" spans="2:8" x14ac:dyDescent="0.15">
      <c r="B48" s="12" t="s">
        <v>99</v>
      </c>
    </row>
    <row r="49" spans="2:8" ht="15.75" x14ac:dyDescent="0.25">
      <c r="B49" s="12" t="s">
        <v>103</v>
      </c>
    </row>
    <row r="51" spans="2:8" x14ac:dyDescent="0.15">
      <c r="B51" s="90" t="s">
        <v>197</v>
      </c>
      <c r="C51" s="90"/>
      <c r="D51" s="90"/>
      <c r="E51" s="90"/>
      <c r="F51" s="90"/>
      <c r="G51" s="90"/>
      <c r="H51" s="90"/>
    </row>
    <row r="52" spans="2:8" x14ac:dyDescent="0.15">
      <c r="B52" s="90" t="s">
        <v>313</v>
      </c>
      <c r="C52" s="90"/>
      <c r="D52" s="90"/>
      <c r="E52" s="90"/>
      <c r="F52" s="90"/>
      <c r="G52" s="90"/>
      <c r="H52" s="90"/>
    </row>
    <row r="53" spans="2:8" x14ac:dyDescent="0.15">
      <c r="B53" s="90" t="s">
        <v>341</v>
      </c>
      <c r="C53" s="90"/>
      <c r="D53" s="90"/>
      <c r="E53" s="90"/>
      <c r="F53" s="90"/>
      <c r="G53" s="90"/>
      <c r="H53" s="90"/>
    </row>
    <row r="55" spans="2:8" x14ac:dyDescent="0.15">
      <c r="B55" s="104" t="s">
        <v>104</v>
      </c>
      <c r="C55" s="104"/>
      <c r="D55" s="104"/>
      <c r="E55" s="104"/>
      <c r="F55" s="104"/>
      <c r="G55" s="104"/>
      <c r="H55" s="104"/>
    </row>
    <row r="57" spans="2:8" x14ac:dyDescent="0.15">
      <c r="B57" s="11" t="s">
        <v>8</v>
      </c>
    </row>
    <row r="58" spans="2:8" ht="15.75" x14ac:dyDescent="0.25">
      <c r="B58" s="12" t="s">
        <v>5</v>
      </c>
      <c r="G58" s="22">
        <f>IF(G13&gt;0,G13,IF(G14&gt;0,G14*0.0000000000667408,IF(G15&gt;0,IF(F12&gt;0,F12^2*G15*9.80665,1000000000000000000),1000000000000000000)))</f>
        <v>1.1723327948324918E+18</v>
      </c>
      <c r="H58" s="11" t="s">
        <v>89</v>
      </c>
    </row>
    <row r="59" spans="2:8" x14ac:dyDescent="0.15">
      <c r="B59" s="11" t="s">
        <v>12</v>
      </c>
    </row>
    <row r="60" spans="2:8" ht="15.75" x14ac:dyDescent="0.25">
      <c r="B60" s="12" t="s">
        <v>5</v>
      </c>
      <c r="G60" s="22">
        <f>IF(G19&gt;0,G19,IF(G20&gt;0,G20*0.0000000000667408,IF(G21&gt;0,IF(F18&gt;0,F18^2*G21*9.80665,100000000000000),100000000000000)))</f>
        <v>1.2448658994585744E+17</v>
      </c>
      <c r="H60" s="11" t="s">
        <v>89</v>
      </c>
    </row>
    <row r="61" spans="2:8" ht="15.75" x14ac:dyDescent="0.25">
      <c r="B61" s="12" t="s">
        <v>4</v>
      </c>
      <c r="G61" s="11">
        <f>MAX(IF(G19&gt;0,IF(F18&gt;0,G19/F18^2/9.80665,1),IF(G20&gt;0,IF(F18&gt;0,G20*0.0000000000667408/F18^2/9.80665,1),IF(G21&gt;0,G21,1))),IF(F31&gt;0,F31*0.000000001,0.01))</f>
        <v>2.5580349861848046</v>
      </c>
      <c r="H61" s="11" t="s">
        <v>90</v>
      </c>
    </row>
    <row r="62" spans="2:8" x14ac:dyDescent="0.15">
      <c r="B62" s="12" t="s">
        <v>21</v>
      </c>
      <c r="G62" s="20">
        <f>2*PI()*SQRT(F23^3/G58)/3600</f>
        <v>284957.95959310007</v>
      </c>
      <c r="H62" s="11" t="s">
        <v>342</v>
      </c>
    </row>
    <row r="63" spans="2:8" ht="15.75" x14ac:dyDescent="0.25">
      <c r="B63" s="12" t="s">
        <v>22</v>
      </c>
      <c r="G63" s="23">
        <f>IF(F10&gt;0,IF(G16&gt;0,IF(F23&gt;0,G16*(F10/F23)^2,10),10),10)</f>
        <v>65.831467301937508</v>
      </c>
      <c r="H63" s="11" t="s">
        <v>91</v>
      </c>
    </row>
    <row r="64" spans="2:8" x14ac:dyDescent="0.15">
      <c r="B64" s="12" t="s">
        <v>105</v>
      </c>
      <c r="G64" s="23">
        <f>(G63*(1-G22)/(4*0.000000056704))^0.25</f>
        <v>118.52697213520962</v>
      </c>
      <c r="H64" s="11" t="s">
        <v>1</v>
      </c>
    </row>
    <row r="65" spans="1:11" x14ac:dyDescent="0.15">
      <c r="B65" s="12" t="s">
        <v>45</v>
      </c>
      <c r="G65" s="19">
        <f>IF(F46&gt;0,(F38*G38+F39*G39+F40*G40+F41*G41+F42*G42+F43*G43+F44*G44+F45*G45)/(SUM(F38:F42)+IF(G43&gt;0,F43,0)+IF(G44&gt;0,F44,0)+IF(G45&gt;0,F45,0)),2.2)</f>
        <v>2.1996517849999999</v>
      </c>
      <c r="H65" s="11" t="s">
        <v>43</v>
      </c>
    </row>
    <row r="66" spans="1:11" x14ac:dyDescent="0.15">
      <c r="B66" s="47" t="s">
        <v>136</v>
      </c>
      <c r="G66" s="20">
        <f>(C113*I113+C114*I114+C115*I115+C116*I116+C117*I117+C118*I118+C119*I119+C120*I120+C121*I121+C122*I122)/SUM(I113:I122)</f>
        <v>274.80243343310286</v>
      </c>
      <c r="H66" s="11" t="s">
        <v>1</v>
      </c>
    </row>
    <row r="67" spans="1:11" x14ac:dyDescent="0.15">
      <c r="B67" s="12" t="s">
        <v>106</v>
      </c>
      <c r="G67" s="21">
        <f>IF(F46&gt;0,1/(1-8.3144621/((F38*H38+F39*H39+F40*H40+F41*H41+F42*H42+F43*H43+F44*H44+F45*H45)/(SUM(F38:F42)+IF(H43&gt;0,F43,0)+IF(H44&gt;0,F44,0)+IF(H45&gt;0,F45,0)))),1.4)</f>
        <v>1.4231169630337808</v>
      </c>
    </row>
    <row r="68" spans="1:11" x14ac:dyDescent="0.15">
      <c r="B68" s="13"/>
      <c r="G68" s="23"/>
    </row>
    <row r="69" spans="1:11" x14ac:dyDescent="0.15">
      <c r="B69" s="103" t="s">
        <v>120</v>
      </c>
      <c r="C69" s="103"/>
      <c r="D69" s="103"/>
      <c r="E69" s="103"/>
      <c r="F69" s="103"/>
      <c r="G69" s="103"/>
      <c r="H69" s="103"/>
    </row>
    <row r="71" spans="1:11" x14ac:dyDescent="0.15">
      <c r="B71" s="11" t="s">
        <v>12</v>
      </c>
    </row>
    <row r="72" spans="1:11" x14ac:dyDescent="0.15">
      <c r="B72" s="12" t="s">
        <v>20</v>
      </c>
      <c r="G72" s="20">
        <f>ROUND(IF(250*LOG(G63)+500&gt;1.5*G64,250*LOG(G63)+500,1.5*G64),-1)</f>
        <v>950</v>
      </c>
      <c r="H72" s="11" t="s">
        <v>1</v>
      </c>
    </row>
    <row r="73" spans="1:11" x14ac:dyDescent="0.15">
      <c r="B73" s="12" t="s">
        <v>23</v>
      </c>
      <c r="G73" s="20">
        <f>ROUND(IF(310*G61+510&gt;1.25*G64,310*G61+510,1.25*G64),-1)</f>
        <v>1300</v>
      </c>
      <c r="H73" s="11" t="s">
        <v>1</v>
      </c>
    </row>
    <row r="74" spans="1:11" x14ac:dyDescent="0.15">
      <c r="A74" s="13"/>
      <c r="B74" s="12" t="s">
        <v>25</v>
      </c>
      <c r="G74" s="11">
        <f>ROUND(G64*0.04405,0)</f>
        <v>5</v>
      </c>
      <c r="H74" s="11" t="s">
        <v>1</v>
      </c>
    </row>
    <row r="75" spans="1:11" x14ac:dyDescent="0.15">
      <c r="A75" s="13"/>
      <c r="B75" s="12" t="s">
        <v>26</v>
      </c>
      <c r="G75" s="11">
        <f>ROUND(G64*0.01269,0)</f>
        <v>2</v>
      </c>
      <c r="H75" s="11" t="s">
        <v>1</v>
      </c>
    </row>
    <row r="76" spans="1:11" x14ac:dyDescent="0.15">
      <c r="A76" s="13"/>
      <c r="B76" s="12" t="s">
        <v>27</v>
      </c>
      <c r="G76" s="11">
        <f>ROUND(G64*0.03928,0)</f>
        <v>5</v>
      </c>
      <c r="H76" s="11" t="s">
        <v>1</v>
      </c>
    </row>
    <row r="77" spans="1:11" x14ac:dyDescent="0.15">
      <c r="A77" s="13"/>
      <c r="B77" s="12" t="s">
        <v>29</v>
      </c>
      <c r="G77" s="23">
        <f>(COS(RADIANS(38.2425-G25))*G63*(1-G22)/(PI()*0.000000056704))^0.25-(COS(RADIANS(38.2425+G25))*G63*(1-G22)/(PI()*0.000000056704))^0.25</f>
        <v>43.089008285068076</v>
      </c>
      <c r="H77" s="11" t="s">
        <v>1</v>
      </c>
      <c r="K77" s="20"/>
    </row>
    <row r="78" spans="1:11" x14ac:dyDescent="0.15">
      <c r="A78" s="13"/>
      <c r="B78" s="12" t="s">
        <v>30</v>
      </c>
      <c r="G78" s="23">
        <f>IF(F23&gt;0,((F10/(F23*(1-G24)))^2*G16*(1-G22)/(4*0.000000056704))^0.25-((F10/(F23*(1+G24)))^2*G16*(1-G22)/(4*0.000000056704))^0.25,0)</f>
        <v>7.2618650053971265</v>
      </c>
      <c r="H78" s="11" t="s">
        <v>1</v>
      </c>
      <c r="K78" s="20"/>
    </row>
    <row r="79" spans="1:11" x14ac:dyDescent="0.15">
      <c r="A79" s="13"/>
      <c r="B79" s="12" t="s">
        <v>137</v>
      </c>
      <c r="G79" s="21">
        <f>IF(F18&gt;0,IF(G62&gt;0,IF((G62*(G31/F18)^0.5)^(2/3)&lt;400,0.0009*(G62*(G31/F18)^0.5)^(2/3),IF((G62*(G31/F18)^0.5)^(2/3)&lt;1600,-0.0000003333333333*((G62*(G31/F18)^0.5)^(2/3))^2+0.0012*((G62*(G31/F18)^0.5)^(2/3))-0.06666666667,1)),1),1)</f>
        <v>1</v>
      </c>
    </row>
    <row r="80" spans="1:11" x14ac:dyDescent="0.15">
      <c r="A80" s="13"/>
      <c r="G80" s="19"/>
    </row>
    <row r="81" spans="1:17" x14ac:dyDescent="0.15">
      <c r="A81" s="13"/>
      <c r="B81" s="91" t="s">
        <v>329</v>
      </c>
      <c r="C81" s="91"/>
      <c r="D81" s="91"/>
      <c r="E81" s="91"/>
      <c r="F81" s="91"/>
      <c r="G81" s="91"/>
      <c r="H81" s="91"/>
    </row>
    <row r="82" spans="1:17" x14ac:dyDescent="0.15">
      <c r="A82" s="13"/>
      <c r="B82" s="90" t="s">
        <v>330</v>
      </c>
      <c r="C82" s="90"/>
      <c r="D82" s="90"/>
      <c r="E82" s="90"/>
      <c r="F82" s="90"/>
      <c r="G82" s="90"/>
      <c r="H82" s="90"/>
    </row>
    <row r="83" spans="1:17" x14ac:dyDescent="0.15">
      <c r="A83" s="13"/>
      <c r="G83" s="19"/>
    </row>
    <row r="84" spans="1:17" x14ac:dyDescent="0.15">
      <c r="A84" s="13"/>
      <c r="B84" s="12" t="s">
        <v>348</v>
      </c>
      <c r="G84" s="19">
        <f>IF(F18&gt;0,IF(F31&gt;0,F18/F31,0.1),0.1)</f>
        <v>3.7975525606469001</v>
      </c>
    </row>
    <row r="85" spans="1:17" x14ac:dyDescent="0.15">
      <c r="A85" s="13"/>
      <c r="B85" s="12" t="s">
        <v>315</v>
      </c>
      <c r="G85" s="20">
        <f ca="1">(F113-F131)/LN(H131/H113)</f>
        <v>25150.831603721123</v>
      </c>
      <c r="H85" s="11" t="s">
        <v>0</v>
      </c>
    </row>
    <row r="86" spans="1:17" x14ac:dyDescent="0.15">
      <c r="A86" s="13"/>
      <c r="B86" s="12" t="s">
        <v>60</v>
      </c>
      <c r="G86" s="19">
        <f ca="1">(G84-0.09412)/0.90588*(1-IF(G85&gt;3344.087,0.16684*LOG(G85)^2-1.8388*LOG(G85)+5.4082,1))+IF(G85&gt;3344.087,0.16684*LOG(G85)^2-1.8388*LOG(G85)+5.4082,1)</f>
        <v>2.3980420701337213</v>
      </c>
    </row>
    <row r="87" spans="1:17" x14ac:dyDescent="0.15">
      <c r="A87" s="13"/>
    </row>
    <row r="88" spans="1:17" ht="15.75" x14ac:dyDescent="0.25">
      <c r="A88" s="13"/>
      <c r="B88" s="12" t="s">
        <v>107</v>
      </c>
      <c r="F88" s="42" t="s">
        <v>108</v>
      </c>
      <c r="G88" s="40">
        <f ca="1">G86</f>
        <v>2.3980420701337213</v>
      </c>
    </row>
    <row r="89" spans="1:17" x14ac:dyDescent="0.15">
      <c r="A89" s="13"/>
      <c r="B89" s="12" t="s">
        <v>339</v>
      </c>
      <c r="G89" s="41">
        <f ca="1">'Gas Giant CFG'!B11</f>
        <v>1880000</v>
      </c>
      <c r="H89" s="11" t="s">
        <v>0</v>
      </c>
    </row>
    <row r="91" spans="1:17" x14ac:dyDescent="0.15">
      <c r="B91" s="90" t="s">
        <v>343</v>
      </c>
      <c r="C91" s="90"/>
      <c r="D91" s="90"/>
      <c r="E91" s="90"/>
      <c r="F91" s="90"/>
      <c r="G91" s="90"/>
      <c r="H91" s="90"/>
      <c r="I91" s="90"/>
      <c r="J91" s="90"/>
      <c r="K91" s="90"/>
      <c r="L91" s="90"/>
      <c r="M91" s="90"/>
      <c r="N91" s="90"/>
      <c r="O91" s="90"/>
      <c r="P91" s="90"/>
      <c r="Q91" s="90"/>
    </row>
    <row r="92" spans="1:17" x14ac:dyDescent="0.15">
      <c r="B92" s="90" t="s">
        <v>314</v>
      </c>
      <c r="C92" s="90"/>
      <c r="D92" s="90"/>
      <c r="E92" s="90"/>
      <c r="F92" s="90"/>
      <c r="G92" s="90"/>
      <c r="H92" s="90"/>
      <c r="I92" s="90"/>
      <c r="J92" s="90"/>
      <c r="K92" s="90"/>
      <c r="L92" s="90"/>
      <c r="M92" s="90"/>
      <c r="N92" s="90"/>
      <c r="O92" s="90"/>
      <c r="P92" s="90"/>
      <c r="Q92" s="90"/>
    </row>
    <row r="93" spans="1:17" x14ac:dyDescent="0.15">
      <c r="B93" s="90" t="s">
        <v>344</v>
      </c>
      <c r="C93" s="90"/>
      <c r="D93" s="90"/>
      <c r="E93" s="90"/>
      <c r="F93" s="90"/>
      <c r="G93" s="90"/>
      <c r="H93" s="90"/>
      <c r="I93" s="90"/>
      <c r="J93" s="90"/>
      <c r="K93" s="90"/>
      <c r="L93" s="90"/>
      <c r="M93" s="90"/>
      <c r="N93" s="90"/>
      <c r="O93" s="90"/>
      <c r="P93" s="90"/>
      <c r="Q93" s="90"/>
    </row>
    <row r="94" spans="1:17" x14ac:dyDescent="0.15">
      <c r="J94" s="20"/>
    </row>
    <row r="95" spans="1:17" x14ac:dyDescent="0.15">
      <c r="B95" s="12" t="s">
        <v>119</v>
      </c>
      <c r="J95" s="20"/>
    </row>
    <row r="96" spans="1:17" x14ac:dyDescent="0.15">
      <c r="B96" s="12" t="s">
        <v>109</v>
      </c>
      <c r="J96" s="20"/>
    </row>
    <row r="97" spans="1:17" x14ac:dyDescent="0.15">
      <c r="B97" s="12" t="s">
        <v>110</v>
      </c>
      <c r="J97" s="20"/>
    </row>
    <row r="98" spans="1:17" x14ac:dyDescent="0.15">
      <c r="B98" s="12" t="s">
        <v>111</v>
      </c>
      <c r="J98" s="20"/>
    </row>
    <row r="99" spans="1:17" x14ac:dyDescent="0.15">
      <c r="B99" s="12" t="s">
        <v>112</v>
      </c>
      <c r="J99" s="20"/>
    </row>
    <row r="100" spans="1:17" ht="15.75" x14ac:dyDescent="0.25">
      <c r="B100" s="12" t="s">
        <v>113</v>
      </c>
      <c r="J100" s="20"/>
    </row>
    <row r="101" spans="1:17" ht="15.75" x14ac:dyDescent="0.25">
      <c r="B101" s="39" t="s">
        <v>115</v>
      </c>
      <c r="J101" s="20"/>
    </row>
    <row r="102" spans="1:17" ht="15.75" x14ac:dyDescent="0.25">
      <c r="B102" s="39" t="s">
        <v>114</v>
      </c>
      <c r="J102" s="20"/>
    </row>
    <row r="103" spans="1:17" ht="15.75" x14ac:dyDescent="0.25">
      <c r="B103" s="39" t="s">
        <v>117</v>
      </c>
      <c r="J103" s="20"/>
    </row>
    <row r="104" spans="1:17" ht="15.75" x14ac:dyDescent="0.25">
      <c r="B104" s="39" t="s">
        <v>118</v>
      </c>
      <c r="J104" s="20"/>
      <c r="K104" s="44" t="s">
        <v>351</v>
      </c>
      <c r="L104" s="44">
        <f>854.416*LOG(G84)^2+100</f>
        <v>386.93395131867936</v>
      </c>
      <c r="M104" s="11" t="s">
        <v>350</v>
      </c>
    </row>
    <row r="106" spans="1:17" x14ac:dyDescent="0.15">
      <c r="B106" s="14"/>
      <c r="C106" s="14" t="s">
        <v>18</v>
      </c>
      <c r="F106" s="14"/>
      <c r="N106" s="14" t="s">
        <v>62</v>
      </c>
      <c r="O106" s="14" t="s">
        <v>19</v>
      </c>
      <c r="P106" s="14" t="s">
        <v>28</v>
      </c>
      <c r="Q106" s="14" t="s">
        <v>64</v>
      </c>
    </row>
    <row r="107" spans="1:17" ht="15.75" x14ac:dyDescent="0.25">
      <c r="B107" s="14" t="s">
        <v>49</v>
      </c>
      <c r="C107" s="14" t="s">
        <v>2</v>
      </c>
      <c r="D107" s="14" t="s">
        <v>32</v>
      </c>
      <c r="E107" s="14" t="s">
        <v>31</v>
      </c>
      <c r="F107" s="14" t="s">
        <v>46</v>
      </c>
      <c r="G107" s="14" t="s">
        <v>59</v>
      </c>
      <c r="H107" s="14" t="s">
        <v>53</v>
      </c>
      <c r="I107" s="14" t="s">
        <v>48</v>
      </c>
      <c r="J107" s="24" t="s">
        <v>116</v>
      </c>
      <c r="K107" s="24" t="s">
        <v>58</v>
      </c>
      <c r="L107" s="24" t="s">
        <v>47</v>
      </c>
      <c r="M107" s="24" t="s">
        <v>55</v>
      </c>
      <c r="N107" s="14" t="s">
        <v>63</v>
      </c>
      <c r="O107" s="14" t="s">
        <v>2</v>
      </c>
      <c r="P107" s="14" t="s">
        <v>17</v>
      </c>
      <c r="Q107" s="14" t="s">
        <v>65</v>
      </c>
    </row>
    <row r="108" spans="1:17" ht="15.75" x14ac:dyDescent="0.25">
      <c r="B108" s="14" t="s">
        <v>50</v>
      </c>
      <c r="C108" s="14" t="s">
        <v>1</v>
      </c>
      <c r="D108" s="14" t="s">
        <v>61</v>
      </c>
      <c r="E108" s="14" t="s">
        <v>52</v>
      </c>
      <c r="F108" s="14" t="s">
        <v>0</v>
      </c>
      <c r="G108" s="14" t="s">
        <v>0</v>
      </c>
      <c r="H108" s="14" t="s">
        <v>54</v>
      </c>
      <c r="I108" s="14" t="s">
        <v>95</v>
      </c>
      <c r="J108" s="24" t="s">
        <v>56</v>
      </c>
      <c r="K108" s="24" t="s">
        <v>56</v>
      </c>
      <c r="L108" s="24" t="s">
        <v>54</v>
      </c>
      <c r="M108" s="24" t="s">
        <v>57</v>
      </c>
      <c r="N108" s="14" t="s">
        <v>0</v>
      </c>
      <c r="O108" s="14" t="s">
        <v>1</v>
      </c>
      <c r="P108" s="25" t="s">
        <v>51</v>
      </c>
      <c r="Q108" s="25" t="s">
        <v>51</v>
      </c>
    </row>
    <row r="109" spans="1:17" x14ac:dyDescent="0.15">
      <c r="B109" s="14"/>
      <c r="C109" s="14"/>
      <c r="D109" s="14"/>
      <c r="E109" s="26"/>
      <c r="O109" s="14"/>
      <c r="P109" s="14"/>
    </row>
    <row r="110" spans="1:17" x14ac:dyDescent="0.15">
      <c r="B110" s="27">
        <f t="shared" ref="B110:B115" si="0">B111+1/3</f>
        <v>3</v>
      </c>
      <c r="C110" s="61">
        <f>G$73+(C$119-G$73)*0.52</f>
        <v>688.71572678582447</v>
      </c>
      <c r="D110" s="14"/>
      <c r="E110" s="26">
        <v>0</v>
      </c>
      <c r="F110" s="26">
        <v>0</v>
      </c>
      <c r="G110" s="26">
        <f t="shared" ref="G110:G139" si="1">8314.4621*C110/(G$65*G$61*9.80665)</f>
        <v>103775.07768115182</v>
      </c>
      <c r="H110" s="28">
        <f t="shared" ref="H110:H139" si="2">10^B110*101325</f>
        <v>101325000</v>
      </c>
      <c r="I110" s="28">
        <f t="shared" ref="I110:I139" si="3">H110/(8314.4621/G$65*C110)</f>
        <v>38.922111252415831</v>
      </c>
      <c r="J110" s="26">
        <f t="shared" ref="J110:J139" si="4">SQRT(8314.4621/G$65*G$67*C110)</f>
        <v>1924.7769493616943</v>
      </c>
      <c r="K110" s="26">
        <f t="shared" ref="K110:K139" si="5">IF(F$18&gt;0,SQRT(2*G$60/(F$18+N110)),10000)</f>
        <v>59450.07808148129</v>
      </c>
      <c r="L110" s="28">
        <f t="shared" ref="L110:L139" si="6">I110*K110^2/2</f>
        <v>68781438226.727585</v>
      </c>
      <c r="M110" s="28">
        <f t="shared" ref="M110:M139" si="7">I110*K110^3/2</f>
        <v>4089061873135537</v>
      </c>
      <c r="N110" s="14">
        <v>0</v>
      </c>
      <c r="O110" s="26">
        <f>C110-P110*(G$75+(G$74-G$75)*COS(RADIANS(38)))/2</f>
        <v>688.71572678582447</v>
      </c>
      <c r="P110" s="29">
        <v>0</v>
      </c>
      <c r="Q110" s="14" t="str">
        <f>IF(M110/1000&gt;L$104,"|",IF(M109/1000&gt;L$104,"V",""))</f>
        <v>|</v>
      </c>
    </row>
    <row r="111" spans="1:17" x14ac:dyDescent="0.15">
      <c r="A111" s="20"/>
      <c r="B111" s="27">
        <f t="shared" si="0"/>
        <v>2.6666666666666665</v>
      </c>
      <c r="C111" s="62">
        <f>G$73+(C$119-G$73)*0.639</f>
        <v>548.82567195411889</v>
      </c>
      <c r="D111" s="28">
        <f t="shared" ref="D111:D143" ca="1" si="8">(C111-C110)/(E111-E110)</f>
        <v>-1.9632232572086446E-3</v>
      </c>
      <c r="E111" s="26">
        <f ca="1">IF(D111=0,(8314.4621*C110*LN(H111/H110)/(-G$61*9.80665*G$65)),C110/D111*(1/(H111/H110)^(8314.4621*D111/(G$61*9.80665*G$65))-1))+E110</f>
        <v>71255.296267529164</v>
      </c>
      <c r="F111" s="26">
        <f t="shared" ref="F111:F139" ca="1" si="9">G$31*E111/(G$31-E111)</f>
        <v>71340.018837162061</v>
      </c>
      <c r="G111" s="26">
        <f t="shared" si="1"/>
        <v>82696.567720691266</v>
      </c>
      <c r="H111" s="28">
        <f t="shared" si="2"/>
        <v>47030898.856581509</v>
      </c>
      <c r="I111" s="28">
        <f t="shared" si="3"/>
        <v>22.670893601991519</v>
      </c>
      <c r="J111" s="26">
        <f t="shared" si="4"/>
        <v>1718.2154420388895</v>
      </c>
      <c r="K111" s="26">
        <f t="shared" ca="1" si="5"/>
        <v>59446.619641251491</v>
      </c>
      <c r="L111" s="28">
        <f t="shared" ca="1" si="6"/>
        <v>40058342101.357483</v>
      </c>
      <c r="M111" s="28">
        <f t="shared" ca="1" si="7"/>
        <v>2381333026358529.5</v>
      </c>
      <c r="N111" s="26">
        <f ca="1">IF(F$113&gt;0,20000*F111/F$113,20000)</f>
        <v>8196.7831609932073</v>
      </c>
      <c r="O111" s="26">
        <f t="shared" ref="O111:O139" si="10">C111-P111*(G$75+(G$74-G$75)*COS(RADIANS(38)))/2</f>
        <v>548.82567195411889</v>
      </c>
      <c r="P111" s="29">
        <v>0</v>
      </c>
      <c r="Q111" s="14" t="str">
        <f t="shared" ref="Q111:Q139" ca="1" si="11">IF(M111/1000&gt;L$104,"|",IF(M110/1000&gt;L$104,"V",""))</f>
        <v>|</v>
      </c>
    </row>
    <row r="112" spans="1:17" x14ac:dyDescent="0.15">
      <c r="A112" s="20"/>
      <c r="B112" s="27">
        <f t="shared" si="0"/>
        <v>2.333333333333333</v>
      </c>
      <c r="C112" s="62">
        <f>G$73+(C$119-G$73)*0.732</f>
        <v>439.49983078312221</v>
      </c>
      <c r="D112" s="28">
        <f t="shared" ca="1" si="8"/>
        <v>-1.9208177103518763E-3</v>
      </c>
      <c r="E112" s="26">
        <f t="shared" ref="E112:E139" ca="1" si="12">IF(D112=0,(8314.4621*C111*LN(H112/H111)/(-G$61*9.80665*G$65)),C111/D112*(1/(H112/H111)^(8314.4621*D112/(G$61*9.80665*G$65))-1))+E111</f>
        <v>128171.59841416503</v>
      </c>
      <c r="F112" s="26">
        <f t="shared" ca="1" si="9"/>
        <v>128445.98386519639</v>
      </c>
      <c r="G112" s="26">
        <f t="shared" si="1"/>
        <v>66223.446491087656</v>
      </c>
      <c r="H112" s="28">
        <f t="shared" si="2"/>
        <v>21829809.496748053</v>
      </c>
      <c r="I112" s="28">
        <f t="shared" si="3"/>
        <v>13.140473386634079</v>
      </c>
      <c r="J112" s="26">
        <f t="shared" si="4"/>
        <v>1537.5872356735954</v>
      </c>
      <c r="K112" s="26">
        <f t="shared" ca="1" si="5"/>
        <v>59443.851678136052</v>
      </c>
      <c r="L112" s="28">
        <f t="shared" ca="1" si="6"/>
        <v>23216401143.082687</v>
      </c>
      <c r="M112" s="28">
        <f t="shared" ca="1" si="7"/>
        <v>1380072306049515.5</v>
      </c>
      <c r="N112" s="26">
        <f ca="1">IF(F$113&gt;0,20000*F112/F$113,20000)</f>
        <v>14758.110451955827</v>
      </c>
      <c r="O112" s="26">
        <f t="shared" si="10"/>
        <v>439.49983078312221</v>
      </c>
      <c r="P112" s="29">
        <v>0</v>
      </c>
      <c r="Q112" s="14" t="str">
        <f t="shared" ca="1" si="11"/>
        <v>|</v>
      </c>
    </row>
    <row r="113" spans="1:17" x14ac:dyDescent="0.15">
      <c r="A113" s="20"/>
      <c r="B113" s="27">
        <f t="shared" si="0"/>
        <v>1.9999999999999998</v>
      </c>
      <c r="C113" s="62">
        <f>G$73+(C$119-G$73)*0.809</f>
        <v>348.98273648025383</v>
      </c>
      <c r="D113" s="28">
        <f t="shared" ca="1" si="8"/>
        <v>-1.9940673332302606E-3</v>
      </c>
      <c r="E113" s="26">
        <f t="shared" ca="1" si="12"/>
        <v>173564.79692579023</v>
      </c>
      <c r="F113" s="26">
        <f t="shared" ca="1" si="9"/>
        <v>174068.33250549904</v>
      </c>
      <c r="G113" s="26">
        <f t="shared" si="1"/>
        <v>52584.410634319043</v>
      </c>
      <c r="H113" s="28">
        <f t="shared" si="2"/>
        <v>10132499.999999996</v>
      </c>
      <c r="I113" s="28">
        <f t="shared" si="3"/>
        <v>7.681259654734534</v>
      </c>
      <c r="J113" s="26">
        <f t="shared" si="4"/>
        <v>1370.131909264534</v>
      </c>
      <c r="K113" s="26">
        <f t="shared" ca="1" si="5"/>
        <v>59441.640611160583</v>
      </c>
      <c r="L113" s="28">
        <f t="shared" ca="1" si="6"/>
        <v>13570130546.495638</v>
      </c>
      <c r="M113" s="28">
        <f t="shared" ca="1" si="7"/>
        <v>806630822991325.88</v>
      </c>
      <c r="N113" s="26">
        <f ca="1">IF(F$113&gt;0,20000*F113/F$113,20000)</f>
        <v>20000</v>
      </c>
      <c r="O113" s="26">
        <f t="shared" si="10"/>
        <v>348.98273648025383</v>
      </c>
      <c r="P113" s="29">
        <v>0</v>
      </c>
      <c r="Q113" s="14" t="str">
        <f t="shared" ca="1" si="11"/>
        <v>|</v>
      </c>
    </row>
    <row r="114" spans="1:17" x14ac:dyDescent="0.15">
      <c r="A114" s="20"/>
      <c r="B114" s="27">
        <f t="shared" si="0"/>
        <v>1.6666666666666665</v>
      </c>
      <c r="C114" s="62">
        <f>G$73+(C$119-G$73)*0.874</f>
        <v>272.57220232848204</v>
      </c>
      <c r="D114" s="28">
        <f t="shared" ca="1" si="8"/>
        <v>-2.1367734810877823E-3</v>
      </c>
      <c r="E114" s="26">
        <f t="shared" ca="1" si="12"/>
        <v>209324.56969911803</v>
      </c>
      <c r="F114" s="26">
        <f t="shared" ca="1" si="9"/>
        <v>210057.40596772314</v>
      </c>
      <c r="G114" s="26">
        <f t="shared" si="1"/>
        <v>41070.938807176746</v>
      </c>
      <c r="H114" s="28">
        <f t="shared" si="2"/>
        <v>4703089.8856581477</v>
      </c>
      <c r="I114" s="28">
        <f t="shared" si="3"/>
        <v>4.5647972568819704</v>
      </c>
      <c r="J114" s="26">
        <f t="shared" si="4"/>
        <v>1210.8802355469202</v>
      </c>
      <c r="K114" s="26">
        <f t="shared" ca="1" si="5"/>
        <v>59405.272683574985</v>
      </c>
      <c r="L114" s="28">
        <f t="shared" ca="1" si="6"/>
        <v>8054553770.7516956</v>
      </c>
      <c r="M114" s="28">
        <f t="shared" ca="1" si="7"/>
        <v>478482963096021.63</v>
      </c>
      <c r="N114" s="26">
        <f t="shared" ref="N114:N139" ca="1" si="13">20000+(F114-F$113)*IF(G$88&gt;0,G$88,0.5)</f>
        <v>106303.31222754646</v>
      </c>
      <c r="O114" s="26">
        <f t="shared" si="10"/>
        <v>272.57220232848204</v>
      </c>
      <c r="P114" s="29">
        <v>0</v>
      </c>
      <c r="Q114" s="14" t="str">
        <f t="shared" ca="1" si="11"/>
        <v>|</v>
      </c>
    </row>
    <row r="115" spans="1:17" x14ac:dyDescent="0.15">
      <c r="A115" s="20"/>
      <c r="B115" s="27">
        <f t="shared" si="0"/>
        <v>1.3333333333333333</v>
      </c>
      <c r="C115" s="62">
        <f>G$73+(C$119-G$73)*0.923</f>
        <v>214.97041504483832</v>
      </c>
      <c r="D115" s="28">
        <f t="shared" ca="1" si="8"/>
        <v>-2.0527635851412761E-3</v>
      </c>
      <c r="E115" s="26">
        <f t="shared" ca="1" si="12"/>
        <v>237385.17429118522</v>
      </c>
      <c r="F115" s="26">
        <f t="shared" ca="1" si="9"/>
        <v>238328.10025146324</v>
      </c>
      <c r="G115" s="26">
        <f t="shared" si="1"/>
        <v>32391.552352869418</v>
      </c>
      <c r="H115" s="28">
        <f t="shared" si="2"/>
        <v>2182980.9496748066</v>
      </c>
      <c r="I115" s="28">
        <f t="shared" si="3"/>
        <v>2.6865258778196104</v>
      </c>
      <c r="J115" s="26">
        <f t="shared" si="4"/>
        <v>1075.3497944038895</v>
      </c>
      <c r="K115" s="26">
        <f t="shared" ca="1" si="5"/>
        <v>59376.751152518511</v>
      </c>
      <c r="L115" s="28">
        <f t="shared" ca="1" si="6"/>
        <v>4735805906.5323086</v>
      </c>
      <c r="M115" s="28">
        <f t="shared" ca="1" si="7"/>
        <v>281196768818796.28</v>
      </c>
      <c r="N115" s="26">
        <f t="shared" ca="1" si="13"/>
        <v>174097.62647184412</v>
      </c>
      <c r="O115" s="26">
        <f t="shared" si="10"/>
        <v>214.97041504483832</v>
      </c>
      <c r="P115" s="29">
        <v>0</v>
      </c>
      <c r="Q115" s="14" t="str">
        <f t="shared" ca="1" si="11"/>
        <v>|</v>
      </c>
    </row>
    <row r="116" spans="1:17" x14ac:dyDescent="0.15">
      <c r="A116" s="20"/>
      <c r="B116" s="27">
        <v>1</v>
      </c>
      <c r="C116" s="62">
        <f>G$73+(C$119-G$73)*0.96</f>
        <v>171.4751879122914</v>
      </c>
      <c r="D116" s="28">
        <f t="shared" ca="1" si="8"/>
        <v>-1.954698355418481E-3</v>
      </c>
      <c r="E116" s="26">
        <f t="shared" ca="1" si="12"/>
        <v>259636.8056040048</v>
      </c>
      <c r="F116" s="26">
        <f t="shared" ca="1" si="9"/>
        <v>260765.20970501259</v>
      </c>
      <c r="G116" s="26">
        <f t="shared" si="1"/>
        <v>25837.729928188433</v>
      </c>
      <c r="H116" s="28">
        <f t="shared" si="2"/>
        <v>1013250</v>
      </c>
      <c r="I116" s="28">
        <f t="shared" si="3"/>
        <v>1.5632739911594407</v>
      </c>
      <c r="J116" s="26">
        <f t="shared" si="4"/>
        <v>960.41968450547188</v>
      </c>
      <c r="K116" s="26">
        <f t="shared" ca="1" si="5"/>
        <v>59354.144182806733</v>
      </c>
      <c r="L116" s="28">
        <f t="shared" ca="1" si="6"/>
        <v>2753640252.0576425</v>
      </c>
      <c r="M116" s="28">
        <f t="shared" ca="1" si="7"/>
        <v>163439960548209.59</v>
      </c>
      <c r="N116" s="26">
        <f t="shared" ca="1" si="13"/>
        <v>227902.75887365048</v>
      </c>
      <c r="O116" s="26">
        <f t="shared" si="10"/>
        <v>171.4751879122914</v>
      </c>
      <c r="P116" s="29">
        <v>0</v>
      </c>
      <c r="Q116" s="14" t="str">
        <f t="shared" ca="1" si="11"/>
        <v>|</v>
      </c>
    </row>
    <row r="117" spans="1:17" x14ac:dyDescent="0.15">
      <c r="A117" s="20"/>
      <c r="B117" s="27">
        <f t="shared" ref="B117:B143" si="14">B116-1/3</f>
        <v>0.66666666666666674</v>
      </c>
      <c r="C117" s="62">
        <f>G$73+(C$119-G$73)*0.984</f>
        <v>143.26206761009871</v>
      </c>
      <c r="D117" s="28">
        <f t="shared" ca="1" si="8"/>
        <v>-1.5543641514670914E-3</v>
      </c>
      <c r="E117" s="26">
        <f t="shared" ca="1" si="12"/>
        <v>277787.71334049857</v>
      </c>
      <c r="F117" s="26">
        <f t="shared" ca="1" si="9"/>
        <v>279079.795645028</v>
      </c>
      <c r="G117" s="26">
        <f t="shared" si="1"/>
        <v>21586.60186893589</v>
      </c>
      <c r="H117" s="28">
        <f t="shared" si="2"/>
        <v>470308.98856581497</v>
      </c>
      <c r="I117" s="28">
        <f t="shared" si="3"/>
        <v>0.86850403756397077</v>
      </c>
      <c r="J117" s="26">
        <f t="shared" si="4"/>
        <v>877.86152736979807</v>
      </c>
      <c r="K117" s="26">
        <f t="shared" ca="1" si="5"/>
        <v>59335.710075030511</v>
      </c>
      <c r="L117" s="28">
        <f t="shared" ca="1" si="6"/>
        <v>1528882585.9086461</v>
      </c>
      <c r="M117" s="28">
        <f t="shared" ca="1" si="7"/>
        <v>90717333856238.344</v>
      </c>
      <c r="N117" s="26">
        <f t="shared" ca="1" si="13"/>
        <v>271821.90645488701</v>
      </c>
      <c r="O117" s="26">
        <f t="shared" si="10"/>
        <v>143.15296680357821</v>
      </c>
      <c r="P117" s="29">
        <v>0.05</v>
      </c>
      <c r="Q117" s="14" t="str">
        <f t="shared" ca="1" si="11"/>
        <v>|</v>
      </c>
    </row>
    <row r="118" spans="1:17" x14ac:dyDescent="0.15">
      <c r="A118" s="20"/>
      <c r="B118" s="27">
        <f t="shared" si="14"/>
        <v>0.33333333333333343</v>
      </c>
      <c r="C118" s="62">
        <f>G$73+(C$119-G$73)*0.997</f>
        <v>127.97996077974426</v>
      </c>
      <c r="D118" s="28">
        <f t="shared" ca="1" si="8"/>
        <v>-9.7536890874157331E-4</v>
      </c>
      <c r="E118" s="26">
        <f t="shared" ca="1" si="12"/>
        <v>293455.74078466988</v>
      </c>
      <c r="F118" s="26">
        <f t="shared" ca="1" si="9"/>
        <v>294898.06629300286</v>
      </c>
      <c r="G118" s="26">
        <f t="shared" si="1"/>
        <v>19283.907503507417</v>
      </c>
      <c r="H118" s="28">
        <f t="shared" si="2"/>
        <v>218298.09496748066</v>
      </c>
      <c r="I118" s="28">
        <f t="shared" si="3"/>
        <v>0.45126094699896685</v>
      </c>
      <c r="J118" s="26">
        <f t="shared" si="4"/>
        <v>829.71968787458081</v>
      </c>
      <c r="K118" s="26">
        <f t="shared" ca="1" si="5"/>
        <v>59319.802389631717</v>
      </c>
      <c r="L118" s="28">
        <f t="shared" ca="1" si="6"/>
        <v>793957299.7080363</v>
      </c>
      <c r="M118" s="28">
        <f t="shared" ca="1" si="7"/>
        <v>47097390124486.32</v>
      </c>
      <c r="N118" s="26">
        <f t="shared" ca="1" si="13"/>
        <v>309754.78494549211</v>
      </c>
      <c r="O118" s="26">
        <f t="shared" si="10"/>
        <v>127.54355755366224</v>
      </c>
      <c r="P118" s="29">
        <v>0.2</v>
      </c>
      <c r="Q118" s="14" t="str">
        <f t="shared" ca="1" si="11"/>
        <v>|</v>
      </c>
    </row>
    <row r="119" spans="1:17" x14ac:dyDescent="0.15">
      <c r="B119" s="27">
        <f t="shared" si="14"/>
        <v>0</v>
      </c>
      <c r="C119" s="62">
        <f>1.05*G64</f>
        <v>124.4533207419701</v>
      </c>
      <c r="D119" s="28">
        <f t="shared" ca="1" si="8"/>
        <v>-2.4161576770114778E-4</v>
      </c>
      <c r="E119" s="26">
        <f t="shared" ca="1" si="12"/>
        <v>308051.80821573338</v>
      </c>
      <c r="F119" s="26">
        <f t="shared" ca="1" si="9"/>
        <v>309641.56896939635</v>
      </c>
      <c r="G119" s="26">
        <f t="shared" si="1"/>
        <v>18752.516496100838</v>
      </c>
      <c r="H119" s="28">
        <f t="shared" si="2"/>
        <v>101325</v>
      </c>
      <c r="I119" s="28">
        <f t="shared" si="3"/>
        <v>0.21539216454355528</v>
      </c>
      <c r="J119" s="26">
        <f t="shared" si="4"/>
        <v>818.20787200013967</v>
      </c>
      <c r="K119" s="26">
        <f t="shared" ca="1" si="5"/>
        <v>59304.987061583372</v>
      </c>
      <c r="L119" s="28">
        <f t="shared" ca="1" si="6"/>
        <v>378775897.54392618</v>
      </c>
      <c r="M119" s="28">
        <f t="shared" ca="1" si="7"/>
        <v>22463299703082.168</v>
      </c>
      <c r="N119" s="26">
        <f t="shared" ca="1" si="13"/>
        <v>345110.32462461281</v>
      </c>
      <c r="O119" s="26">
        <f t="shared" si="10"/>
        <v>123.52596388654582</v>
      </c>
      <c r="P119" s="29">
        <v>0.42499999999999999</v>
      </c>
      <c r="Q119" s="14" t="str">
        <f t="shared" ca="1" si="11"/>
        <v>|</v>
      </c>
    </row>
    <row r="120" spans="1:17" x14ac:dyDescent="0.15">
      <c r="B120" s="27">
        <f t="shared" si="14"/>
        <v>-0.33333333333333331</v>
      </c>
      <c r="C120" s="62">
        <f>1.05*G64</f>
        <v>124.4533207419701</v>
      </c>
      <c r="D120" s="28">
        <f t="shared" ca="1" si="8"/>
        <v>0</v>
      </c>
      <c r="E120" s="26">
        <f t="shared" ca="1" si="12"/>
        <v>322444.89652908227</v>
      </c>
      <c r="F120" s="26">
        <f t="shared" ca="1" si="9"/>
        <v>324187.10448511172</v>
      </c>
      <c r="G120" s="26">
        <f t="shared" si="1"/>
        <v>18752.516496100838</v>
      </c>
      <c r="H120" s="28">
        <f t="shared" si="2"/>
        <v>47030.89885658148</v>
      </c>
      <c r="I120" s="28">
        <f t="shared" si="3"/>
        <v>9.9976186579305237E-2</v>
      </c>
      <c r="J120" s="26">
        <f t="shared" si="4"/>
        <v>818.20787200013967</v>
      </c>
      <c r="K120" s="26">
        <f t="shared" ca="1" si="5"/>
        <v>59290.381537718131</v>
      </c>
      <c r="L120" s="28">
        <f t="shared" ca="1" si="6"/>
        <v>175725610.89801371</v>
      </c>
      <c r="M120" s="28">
        <f t="shared" ca="1" si="7"/>
        <v>10418838516091.832</v>
      </c>
      <c r="N120" s="26">
        <f t="shared" ca="1" si="13"/>
        <v>379991.13072392246</v>
      </c>
      <c r="O120" s="26">
        <f t="shared" si="10"/>
        <v>123.03501025720355</v>
      </c>
      <c r="P120" s="29">
        <v>0.65</v>
      </c>
      <c r="Q120" s="14" t="str">
        <f t="shared" ca="1" si="11"/>
        <v>|</v>
      </c>
    </row>
    <row r="121" spans="1:17" x14ac:dyDescent="0.15">
      <c r="B121" s="27">
        <f t="shared" si="14"/>
        <v>-0.66666666666666663</v>
      </c>
      <c r="C121" s="62">
        <f>C$120+(C$127-C$120)*0.085</f>
        <v>127.83718479464905</v>
      </c>
      <c r="D121" s="28">
        <f t="shared" ca="1" si="8"/>
        <v>2.3196397342833952E-4</v>
      </c>
      <c r="E121" s="26">
        <f t="shared" ca="1" si="12"/>
        <v>337032.78275411407</v>
      </c>
      <c r="F121" s="26">
        <f t="shared" ca="1" si="9"/>
        <v>338936.66219472873</v>
      </c>
      <c r="G121" s="26">
        <f t="shared" si="1"/>
        <v>19262.394144122689</v>
      </c>
      <c r="H121" s="28">
        <f t="shared" si="2"/>
        <v>21829.809496748061</v>
      </c>
      <c r="I121" s="28">
        <f t="shared" si="3"/>
        <v>4.5176494140674615E-2</v>
      </c>
      <c r="J121" s="26">
        <f t="shared" si="4"/>
        <v>829.25673608318732</v>
      </c>
      <c r="K121" s="26">
        <f t="shared" ca="1" si="5"/>
        <v>59275.582163914587</v>
      </c>
      <c r="L121" s="28">
        <f t="shared" ca="1" si="6"/>
        <v>79365943.853006989</v>
      </c>
      <c r="M121" s="28">
        <f t="shared" ca="1" si="7"/>
        <v>4704462525875.5479</v>
      </c>
      <c r="N121" s="26">
        <f t="shared" ca="1" si="13"/>
        <v>415361.19062744925</v>
      </c>
      <c r="O121" s="26">
        <f t="shared" si="10"/>
        <v>125.98247108380048</v>
      </c>
      <c r="P121" s="29">
        <v>0.85</v>
      </c>
      <c r="Q121" s="14" t="str">
        <f t="shared" ca="1" si="11"/>
        <v>|</v>
      </c>
    </row>
    <row r="122" spans="1:17" x14ac:dyDescent="0.15">
      <c r="B122" s="27">
        <f t="shared" si="14"/>
        <v>-1</v>
      </c>
      <c r="C122" s="62">
        <f>C$120+(C$127-C$120)*0.253</f>
        <v>134.52529256935568</v>
      </c>
      <c r="D122" s="28">
        <f t="shared" ca="1" si="8"/>
        <v>4.4093861564160192E-4</v>
      </c>
      <c r="E122" s="26">
        <f t="shared" ca="1" si="12"/>
        <v>352200.67129337217</v>
      </c>
      <c r="F122" s="26">
        <f t="shared" ca="1" si="9"/>
        <v>354280.30062178907</v>
      </c>
      <c r="G122" s="26">
        <f t="shared" si="1"/>
        <v>20270.152319036461</v>
      </c>
      <c r="H122" s="28">
        <f t="shared" si="2"/>
        <v>10132.5</v>
      </c>
      <c r="I122" s="28">
        <f t="shared" si="3"/>
        <v>1.992656520365944E-2</v>
      </c>
      <c r="J122" s="26">
        <f t="shared" si="4"/>
        <v>850.67247671854784</v>
      </c>
      <c r="K122" s="26">
        <f t="shared" ca="1" si="5"/>
        <v>59260.198457520979</v>
      </c>
      <c r="L122" s="28">
        <f t="shared" ca="1" si="6"/>
        <v>34988768.11370682</v>
      </c>
      <c r="M122" s="28">
        <f t="shared" ca="1" si="7"/>
        <v>2073441342202.448</v>
      </c>
      <c r="N122" s="26">
        <f t="shared" ca="1" si="13"/>
        <v>452155.8810844603</v>
      </c>
      <c r="O122" s="26">
        <f t="shared" si="10"/>
        <v>132.34327643894559</v>
      </c>
      <c r="P122" s="29">
        <v>1</v>
      </c>
      <c r="Q122" s="14" t="str">
        <f t="shared" ca="1" si="11"/>
        <v>|</v>
      </c>
    </row>
    <row r="123" spans="1:17" x14ac:dyDescent="0.15">
      <c r="B123" s="27">
        <f t="shared" si="14"/>
        <v>-1.3333333333333333</v>
      </c>
      <c r="C123" s="62">
        <f>C$120+(C$127-C$120)*0.467</f>
        <v>143.04466794904152</v>
      </c>
      <c r="D123" s="28">
        <f t="shared" ca="1" si="8"/>
        <v>5.3095072229814044E-4</v>
      </c>
      <c r="E123" s="26">
        <f t="shared" ca="1" si="12"/>
        <v>368246.18177466677</v>
      </c>
      <c r="F123" s="26">
        <f t="shared" ca="1" si="9"/>
        <v>370520.22608342528</v>
      </c>
      <c r="G123" s="26">
        <f t="shared" si="1"/>
        <v>21553.844279938534</v>
      </c>
      <c r="H123" s="28">
        <f t="shared" si="2"/>
        <v>4703.0898856581471</v>
      </c>
      <c r="I123" s="28">
        <f t="shared" si="3"/>
        <v>8.698239922753228E-3</v>
      </c>
      <c r="J123" s="26">
        <f t="shared" si="4"/>
        <v>877.19519866532528</v>
      </c>
      <c r="K123" s="26">
        <f t="shared" ca="1" si="5"/>
        <v>59243.929163911096</v>
      </c>
      <c r="L123" s="28">
        <f t="shared" ca="1" si="6"/>
        <v>15264728.873558871</v>
      </c>
      <c r="M123" s="28">
        <f t="shared" ca="1" si="7"/>
        <v>904342516091.4303</v>
      </c>
      <c r="N123" s="26">
        <f t="shared" ca="1" si="13"/>
        <v>491099.90555729973</v>
      </c>
      <c r="O123" s="26">
        <f t="shared" ca="1" si="10"/>
        <v>140.80313797642901</v>
      </c>
      <c r="P123" s="29">
        <f ca="1">IF(ROUND(N123,-3)&lt;G$89,2-(G$89-N123)/(G$89-N$122),2)</f>
        <v>1.027274703139456</v>
      </c>
      <c r="Q123" s="14" t="str">
        <f t="shared" ca="1" si="11"/>
        <v>|</v>
      </c>
    </row>
    <row r="124" spans="1:17" x14ac:dyDescent="0.15">
      <c r="B124" s="27">
        <f t="shared" si="14"/>
        <v>-1.6666666666666665</v>
      </c>
      <c r="C124" s="62">
        <f>C$120+(C$127-C$120)*0.685</f>
        <v>151.72328399002987</v>
      </c>
      <c r="D124" s="28">
        <f t="shared" ca="1" si="8"/>
        <v>5.0930535330617126E-4</v>
      </c>
      <c r="E124" s="26">
        <f t="shared" ca="1" si="12"/>
        <v>385286.28548583091</v>
      </c>
      <c r="F124" s="26">
        <f t="shared" ca="1" si="9"/>
        <v>387776.3674225547</v>
      </c>
      <c r="G124" s="26">
        <f t="shared" si="1"/>
        <v>22861.530483100451</v>
      </c>
      <c r="H124" s="28">
        <f t="shared" si="2"/>
        <v>2182.9809496748062</v>
      </c>
      <c r="I124" s="28">
        <f t="shared" si="3"/>
        <v>3.8064268568134252E-3</v>
      </c>
      <c r="J124" s="26">
        <f t="shared" si="4"/>
        <v>903.41339596424666</v>
      </c>
      <c r="K124" s="26">
        <f t="shared" ca="1" si="5"/>
        <v>59226.656491912123</v>
      </c>
      <c r="L124" s="28">
        <f t="shared" ca="1" si="6"/>
        <v>6676086.0485089151</v>
      </c>
      <c r="M124" s="28">
        <f t="shared" ca="1" si="7"/>
        <v>395402255105.4845</v>
      </c>
      <c r="N124" s="26">
        <f t="shared" ca="1" si="13"/>
        <v>532480.8584567057</v>
      </c>
      <c r="O124" s="26">
        <f t="shared" ca="1" si="10"/>
        <v>149.4185160872245</v>
      </c>
      <c r="P124" s="29">
        <f t="shared" ref="P124:P143" ca="1" si="15">IF(ROUND(N124,-3)&lt;G$89,2-(G$89-N124)/(G$89-N$122),2)</f>
        <v>1.0562561250966618</v>
      </c>
      <c r="Q124" s="14" t="str">
        <f t="shared" ca="1" si="11"/>
        <v>|</v>
      </c>
    </row>
    <row r="125" spans="1:17" x14ac:dyDescent="0.15">
      <c r="B125" s="27">
        <f t="shared" si="14"/>
        <v>-1.9999999999999998</v>
      </c>
      <c r="C125" s="62">
        <f>C$120+(C$127-C$120)*0.871</f>
        <v>159.12797474059795</v>
      </c>
      <c r="D125" s="28">
        <f t="shared" ca="1" si="8"/>
        <v>4.120206218150693E-4</v>
      </c>
      <c r="E125" s="26">
        <f t="shared" ca="1" si="12"/>
        <v>403257.93631716119</v>
      </c>
      <c r="F125" s="26">
        <f t="shared" ca="1" si="9"/>
        <v>405986.55800975318</v>
      </c>
      <c r="G125" s="26">
        <f t="shared" si="1"/>
        <v>23977.262748183563</v>
      </c>
      <c r="H125" s="28">
        <f t="shared" si="2"/>
        <v>1013.2500000000003</v>
      </c>
      <c r="I125" s="28">
        <f t="shared" si="3"/>
        <v>1.684573072895854E-3</v>
      </c>
      <c r="J125" s="26">
        <f t="shared" si="4"/>
        <v>925.195851268708</v>
      </c>
      <c r="K125" s="26">
        <f t="shared" ca="1" si="5"/>
        <v>59208.445230357909</v>
      </c>
      <c r="L125" s="28">
        <f t="shared" ca="1" si="6"/>
        <v>2952753.3623435483</v>
      </c>
      <c r="M125" s="28">
        <f t="shared" ca="1" si="7"/>
        <v>174827935733.07312</v>
      </c>
      <c r="N125" s="26">
        <f t="shared" ca="1" si="13"/>
        <v>576149.6615899608</v>
      </c>
      <c r="O125" s="26">
        <f t="shared" ca="1" si="10"/>
        <v>156.756472639311</v>
      </c>
      <c r="P125" s="29">
        <f t="shared" ca="1" si="15"/>
        <v>1.0868398579809082</v>
      </c>
      <c r="Q125" s="14" t="str">
        <f t="shared" ca="1" si="11"/>
        <v>|</v>
      </c>
    </row>
    <row r="126" spans="1:17" x14ac:dyDescent="0.15">
      <c r="B126" s="27">
        <f t="shared" si="14"/>
        <v>-2.333333333333333</v>
      </c>
      <c r="C126" s="62">
        <f>C$120+(C$127-C$120)*0.983</f>
        <v>163.58671325706902</v>
      </c>
      <c r="D126" s="28">
        <f t="shared" ca="1" si="8"/>
        <v>2.3894800170984952E-4</v>
      </c>
      <c r="E126" s="26">
        <f t="shared" ca="1" si="12"/>
        <v>421917.80576392554</v>
      </c>
      <c r="F126" s="26">
        <f t="shared" ca="1" si="9"/>
        <v>424905.72729923582</v>
      </c>
      <c r="G126" s="26">
        <f t="shared" si="1"/>
        <v>24649.101531459411</v>
      </c>
      <c r="H126" s="28">
        <f t="shared" si="2"/>
        <v>470.30898856581501</v>
      </c>
      <c r="I126" s="28">
        <f t="shared" si="3"/>
        <v>7.6059773848263074E-4</v>
      </c>
      <c r="J126" s="26">
        <f t="shared" si="4"/>
        <v>938.06821824228086</v>
      </c>
      <c r="K126" s="26">
        <f t="shared" ca="1" si="5"/>
        <v>59189.542729930268</v>
      </c>
      <c r="L126" s="28">
        <f t="shared" ca="1" si="6"/>
        <v>1332339.8071481034</v>
      </c>
      <c r="M126" s="28">
        <f t="shared" ca="1" si="7"/>
        <v>78860583945.979706</v>
      </c>
      <c r="N126" s="26">
        <f t="shared" ca="1" si="13"/>
        <v>621518.62547812203</v>
      </c>
      <c r="O126" s="26">
        <f t="shared" ca="1" si="10"/>
        <v>161.14587878979583</v>
      </c>
      <c r="P126" s="29">
        <f t="shared" ca="1" si="15"/>
        <v>1.1186143096084566</v>
      </c>
      <c r="Q126" s="14" t="str">
        <f t="shared" ca="1" si="11"/>
        <v>|</v>
      </c>
    </row>
    <row r="127" spans="1:17" x14ac:dyDescent="0.15">
      <c r="B127" s="27">
        <f t="shared" si="14"/>
        <v>-2.6666666666666665</v>
      </c>
      <c r="C127" s="62">
        <f>IF(G64&gt;140,1.25*G64,IF(G64&gt;42,0.5*G64+105,3*G64))</f>
        <v>164.26348606760482</v>
      </c>
      <c r="D127" s="28">
        <f t="shared" ca="1" si="8"/>
        <v>3.5698548828531669E-5</v>
      </c>
      <c r="E127" s="26">
        <f t="shared" ca="1" si="12"/>
        <v>440875.79797213763</v>
      </c>
      <c r="F127" s="26">
        <f t="shared" ca="1" si="9"/>
        <v>444139.30246186536</v>
      </c>
      <c r="G127" s="26">
        <f t="shared" si="1"/>
        <v>24751.077061063777</v>
      </c>
      <c r="H127" s="28">
        <f t="shared" si="2"/>
        <v>218.29809496748049</v>
      </c>
      <c r="I127" s="28">
        <f t="shared" si="3"/>
        <v>3.5158366403224411E-4</v>
      </c>
      <c r="J127" s="26">
        <f t="shared" si="4"/>
        <v>940.00665135067857</v>
      </c>
      <c r="K127" s="26">
        <f t="shared" ca="1" si="5"/>
        <v>59170.344646489189</v>
      </c>
      <c r="L127" s="28">
        <f t="shared" ca="1" si="6"/>
        <v>615470.00155489554</v>
      </c>
      <c r="M127" s="28">
        <f t="shared" ca="1" si="7"/>
        <v>36417572111.578407</v>
      </c>
      <c r="N127" s="26">
        <f t="shared" ca="1" si="13"/>
        <v>667641.54787718679</v>
      </c>
      <c r="O127" s="26">
        <f t="shared" ca="1" si="10"/>
        <v>161.75216704300274</v>
      </c>
      <c r="P127" s="29">
        <f t="shared" ca="1" si="15"/>
        <v>1.1509168010275448</v>
      </c>
      <c r="Q127" s="14" t="str">
        <f t="shared" ca="1" si="11"/>
        <v>|</v>
      </c>
    </row>
    <row r="128" spans="1:17" x14ac:dyDescent="0.15">
      <c r="B128" s="27">
        <f t="shared" si="14"/>
        <v>-3</v>
      </c>
      <c r="C128" s="62">
        <f>IF(G64&gt;140,1.25*G64,IF(G64&gt;42,0.5*G64+105,3*G64))</f>
        <v>164.26348606760482</v>
      </c>
      <c r="D128" s="28">
        <f t="shared" ca="1" si="8"/>
        <v>0</v>
      </c>
      <c r="E128" s="26">
        <f t="shared" ca="1" si="12"/>
        <v>459872.95166425506</v>
      </c>
      <c r="F128" s="26">
        <f t="shared" ca="1" si="9"/>
        <v>463424.89456657215</v>
      </c>
      <c r="G128" s="26">
        <f t="shared" si="1"/>
        <v>24751.077061063777</v>
      </c>
      <c r="H128" s="28">
        <f t="shared" si="2"/>
        <v>101.325</v>
      </c>
      <c r="I128" s="28">
        <f t="shared" si="3"/>
        <v>1.6319068090527321E-4</v>
      </c>
      <c r="J128" s="26">
        <f t="shared" si="4"/>
        <v>940.00665135067857</v>
      </c>
      <c r="K128" s="26">
        <f t="shared" ca="1" si="5"/>
        <v>59151.113386408644</v>
      </c>
      <c r="L128" s="28">
        <f t="shared" ca="1" si="6"/>
        <v>285490.20085497288</v>
      </c>
      <c r="M128" s="28">
        <f t="shared" ca="1" si="7"/>
        <v>16887063241.481077</v>
      </c>
      <c r="N128" s="26">
        <f t="shared" ca="1" si="13"/>
        <v>713889.20909171249</v>
      </c>
      <c r="O128" s="26">
        <f t="shared" ca="1" si="10"/>
        <v>161.68149186114852</v>
      </c>
      <c r="P128" s="29">
        <f t="shared" ca="1" si="15"/>
        <v>1.1833066540947348</v>
      </c>
      <c r="Q128" s="14" t="str">
        <f t="shared" ca="1" si="11"/>
        <v>|</v>
      </c>
    </row>
    <row r="129" spans="2:17" x14ac:dyDescent="0.15">
      <c r="B129" s="27">
        <f t="shared" si="14"/>
        <v>-3.3333333333333335</v>
      </c>
      <c r="C129" s="62">
        <f>IF(G64&gt;140,1.25*G64,IF(G64&gt;42,0.5*G64+105,3*G64))</f>
        <v>164.26348606760482</v>
      </c>
      <c r="D129" s="28">
        <f t="shared" ca="1" si="8"/>
        <v>0</v>
      </c>
      <c r="E129" s="26">
        <f t="shared" ca="1" si="12"/>
        <v>478870.10535637254</v>
      </c>
      <c r="F129" s="26">
        <f t="shared" ca="1" si="9"/>
        <v>482722.79730308003</v>
      </c>
      <c r="G129" s="26">
        <f t="shared" si="1"/>
        <v>24751.077061063777</v>
      </c>
      <c r="H129" s="28">
        <f t="shared" si="2"/>
        <v>47.030898856581452</v>
      </c>
      <c r="I129" s="28">
        <f t="shared" si="3"/>
        <v>7.5746404223958169E-5</v>
      </c>
      <c r="J129" s="26">
        <f t="shared" si="4"/>
        <v>940.00665135067857</v>
      </c>
      <c r="K129" s="26">
        <f t="shared" ca="1" si="5"/>
        <v>59131.888607491856</v>
      </c>
      <c r="L129" s="28">
        <f t="shared" ca="1" si="6"/>
        <v>132426.69051994308</v>
      </c>
      <c r="M129" s="28">
        <f t="shared" ca="1" si="7"/>
        <v>7830640312.4840717</v>
      </c>
      <c r="N129" s="26">
        <f t="shared" ca="1" si="13"/>
        <v>760166.39171920682</v>
      </c>
      <c r="O129" s="26">
        <f t="shared" ca="1" si="10"/>
        <v>161.61077156498635</v>
      </c>
      <c r="P129" s="29">
        <f t="shared" ca="1" si="15"/>
        <v>1.2157171826772541</v>
      </c>
      <c r="Q129" s="14" t="str">
        <f t="shared" ca="1" si="11"/>
        <v>|</v>
      </c>
    </row>
    <row r="130" spans="2:17" x14ac:dyDescent="0.15">
      <c r="B130" s="27">
        <f t="shared" si="14"/>
        <v>-3.666666666666667</v>
      </c>
      <c r="C130" s="62">
        <f>IF(G64&gt;140,1.25*G64,IF(G64&gt;42,0.5*G64+105,3*G64))</f>
        <v>164.26348606760482</v>
      </c>
      <c r="D130" s="28">
        <f t="shared" ca="1" si="8"/>
        <v>0</v>
      </c>
      <c r="E130" s="26">
        <f t="shared" ca="1" si="12"/>
        <v>497867.25904849003</v>
      </c>
      <c r="F130" s="26">
        <f t="shared" ca="1" si="9"/>
        <v>502033.02246257791</v>
      </c>
      <c r="G130" s="26">
        <f t="shared" si="1"/>
        <v>24751.077061063777</v>
      </c>
      <c r="H130" s="28">
        <f t="shared" si="2"/>
        <v>21.829809496748027</v>
      </c>
      <c r="I130" s="28">
        <f t="shared" si="3"/>
        <v>3.5158366403224375E-5</v>
      </c>
      <c r="J130" s="26">
        <f t="shared" si="4"/>
        <v>940.00665135067857</v>
      </c>
      <c r="K130" s="26">
        <f t="shared" ca="1" si="5"/>
        <v>59112.670303417442</v>
      </c>
      <c r="L130" s="28">
        <f t="shared" ca="1" si="6"/>
        <v>61427.076810271603</v>
      </c>
      <c r="M130" s="28">
        <f t="shared" ca="1" si="7"/>
        <v>3631118539.1882844</v>
      </c>
      <c r="N130" s="26">
        <f t="shared" ca="1" si="13"/>
        <v>806473.12403543759</v>
      </c>
      <c r="O130" s="26">
        <f t="shared" ca="1" si="10"/>
        <v>161.5400061113055</v>
      </c>
      <c r="P130" s="29">
        <f t="shared" ca="1" si="15"/>
        <v>1.2481484065782227</v>
      </c>
      <c r="Q130" s="14" t="str">
        <f t="shared" ca="1" si="11"/>
        <v>|</v>
      </c>
    </row>
    <row r="131" spans="2:17" x14ac:dyDescent="0.15">
      <c r="B131" s="27">
        <f t="shared" si="14"/>
        <v>-4</v>
      </c>
      <c r="C131" s="62">
        <f>C$130+(G$72-C$130)*0.004</f>
        <v>167.40643212333438</v>
      </c>
      <c r="D131" s="28">
        <f t="shared" ca="1" si="8"/>
        <v>1.6388014443816806E-4</v>
      </c>
      <c r="E131" s="26">
        <f t="shared" ca="1" si="12"/>
        <v>517045.58029359562</v>
      </c>
      <c r="F131" s="26">
        <f t="shared" ca="1" si="9"/>
        <v>521539.9120682893</v>
      </c>
      <c r="G131" s="26">
        <f t="shared" si="1"/>
        <v>25224.653397999144</v>
      </c>
      <c r="H131" s="28">
        <f t="shared" si="2"/>
        <v>10.1325</v>
      </c>
      <c r="I131" s="28">
        <f t="shared" si="3"/>
        <v>1.6012688281593109E-5</v>
      </c>
      <c r="J131" s="26">
        <f t="shared" si="4"/>
        <v>948.95688084457095</v>
      </c>
      <c r="K131" s="26">
        <f t="shared" ca="1" si="5"/>
        <v>59093.275284107935</v>
      </c>
      <c r="L131" s="28">
        <f t="shared" ca="1" si="6"/>
        <v>27958.27530641665</v>
      </c>
      <c r="M131" s="28">
        <f t="shared" ca="1" si="7"/>
        <v>1652146059.1509564</v>
      </c>
      <c r="N131" s="26">
        <f t="shared" ca="1" si="13"/>
        <v>853251.46596738754</v>
      </c>
      <c r="O131" s="26">
        <f t="shared" ca="1" si="10"/>
        <v>164.61146600457715</v>
      </c>
      <c r="P131" s="29">
        <f t="shared" ca="1" si="15"/>
        <v>1.2809099253688583</v>
      </c>
      <c r="Q131" s="14" t="str">
        <f t="shared" ca="1" si="11"/>
        <v>|</v>
      </c>
    </row>
    <row r="132" spans="2:17" x14ac:dyDescent="0.15">
      <c r="B132" s="27">
        <f t="shared" si="14"/>
        <v>-4.333333333333333</v>
      </c>
      <c r="C132" s="62">
        <f>C$130+(G$72-C$130)*0.017</f>
        <v>177.62100680445553</v>
      </c>
      <c r="D132" s="28">
        <f t="shared" ca="1" si="8"/>
        <v>5.1212511842134E-4</v>
      </c>
      <c r="E132" s="26">
        <f t="shared" ca="1" si="12"/>
        <v>536991.04735564475</v>
      </c>
      <c r="F132" s="26">
        <f t="shared" ca="1" si="9"/>
        <v>541840.43843119149</v>
      </c>
      <c r="G132" s="26">
        <f t="shared" si="1"/>
        <v>26763.776493039069</v>
      </c>
      <c r="H132" s="28">
        <f t="shared" si="2"/>
        <v>4.703089885658148</v>
      </c>
      <c r="I132" s="28">
        <f t="shared" si="3"/>
        <v>7.0050095080314639E-6</v>
      </c>
      <c r="J132" s="26">
        <f t="shared" si="4"/>
        <v>977.47930788235408</v>
      </c>
      <c r="K132" s="26">
        <f t="shared" ca="1" si="5"/>
        <v>59073.111437256201</v>
      </c>
      <c r="L132" s="28">
        <f t="shared" ca="1" si="6"/>
        <v>12222.45440307969</v>
      </c>
      <c r="M132" s="28">
        <f t="shared" ca="1" si="7"/>
        <v>722018410.98990917</v>
      </c>
      <c r="N132" s="26">
        <f t="shared" ca="1" si="13"/>
        <v>901932.98223148577</v>
      </c>
      <c r="O132" s="26">
        <f t="shared" ca="1" si="10"/>
        <v>174.75164611255556</v>
      </c>
      <c r="P132" s="29">
        <f t="shared" ca="1" si="15"/>
        <v>1.3150043447940489</v>
      </c>
      <c r="Q132" s="14" t="str">
        <f t="shared" ca="1" si="11"/>
        <v>|</v>
      </c>
    </row>
    <row r="133" spans="2:17" x14ac:dyDescent="0.15">
      <c r="B133" s="27">
        <f t="shared" si="14"/>
        <v>-4.6666666666666661</v>
      </c>
      <c r="C133" s="62">
        <f>C$130+(G$72-C$130)*0.04</f>
        <v>195.69294662490063</v>
      </c>
      <c r="D133" s="28">
        <f t="shared" ca="1" si="8"/>
        <v>8.3782370103241128E-4</v>
      </c>
      <c r="E133" s="26">
        <f t="shared" ca="1" si="12"/>
        <v>558561.14593148511</v>
      </c>
      <c r="F133" s="26">
        <f t="shared" ca="1" si="9"/>
        <v>563809.85053485516</v>
      </c>
      <c r="G133" s="26">
        <f t="shared" si="1"/>
        <v>29486.840430417407</v>
      </c>
      <c r="H133" s="28">
        <f t="shared" si="2"/>
        <v>2.1829809496748078</v>
      </c>
      <c r="I133" s="28">
        <f t="shared" si="3"/>
        <v>2.9511721957489015E-6</v>
      </c>
      <c r="J133" s="26">
        <f t="shared" si="4"/>
        <v>1026.0014989126123</v>
      </c>
      <c r="K133" s="26">
        <f t="shared" ca="1" si="5"/>
        <v>59051.313180024939</v>
      </c>
      <c r="L133" s="28">
        <f t="shared" ca="1" si="6"/>
        <v>5145.4536997615269</v>
      </c>
      <c r="M133" s="28">
        <f t="shared" ca="1" si="7"/>
        <v>303845797.87793595</v>
      </c>
      <c r="N133" s="26">
        <f t="shared" ca="1" si="13"/>
        <v>954616.5567121763</v>
      </c>
      <c r="O133" s="26">
        <f t="shared" ca="1" si="10"/>
        <v>192.74307545724102</v>
      </c>
      <c r="P133" s="29">
        <f t="shared" ca="1" si="15"/>
        <v>1.3519016319577934</v>
      </c>
      <c r="Q133" s="14" t="str">
        <f t="shared" ca="1" si="11"/>
        <v>|</v>
      </c>
    </row>
    <row r="134" spans="2:17" x14ac:dyDescent="0.15">
      <c r="B134" s="27">
        <f t="shared" si="14"/>
        <v>-4.9999999999999991</v>
      </c>
      <c r="C134" s="62">
        <f>C$130+(G$72-C$130)*0.079</f>
        <v>226.33667066826405</v>
      </c>
      <c r="D134" s="28">
        <f t="shared" ca="1" si="8"/>
        <v>1.2578999368260233E-3</v>
      </c>
      <c r="E134" s="26">
        <f t="shared" ca="1" si="12"/>
        <v>582922.16475837491</v>
      </c>
      <c r="F134" s="26">
        <f t="shared" ca="1" si="9"/>
        <v>588641.02981445903</v>
      </c>
      <c r="G134" s="26">
        <f t="shared" si="1"/>
        <v>34104.209715537196</v>
      </c>
      <c r="H134" s="28">
        <f t="shared" si="2"/>
        <v>1.0132500000000015</v>
      </c>
      <c r="I134" s="28">
        <f t="shared" si="3"/>
        <v>1.1843538238898813E-6</v>
      </c>
      <c r="J134" s="26">
        <f t="shared" si="4"/>
        <v>1103.4124263749493</v>
      </c>
      <c r="K134" s="26">
        <f t="shared" ca="1" si="5"/>
        <v>59026.704477462161</v>
      </c>
      <c r="L134" s="28">
        <f t="shared" ca="1" si="6"/>
        <v>2063.2342782287769</v>
      </c>
      <c r="M134" s="28">
        <f t="shared" ca="1" si="7"/>
        <v>121785920.00877994</v>
      </c>
      <c r="N134" s="26">
        <f t="shared" ca="1" si="13"/>
        <v>1014162.7692756992</v>
      </c>
      <c r="O134" s="26">
        <f t="shared" ca="1" si="10"/>
        <v>223.29580161463272</v>
      </c>
      <c r="P134" s="29">
        <f t="shared" ca="1" si="15"/>
        <v>1.3936052127441532</v>
      </c>
      <c r="Q134" s="14" t="str">
        <f t="shared" ca="1" si="11"/>
        <v>|</v>
      </c>
    </row>
    <row r="135" spans="2:17" x14ac:dyDescent="0.15">
      <c r="B135" s="27">
        <f t="shared" si="14"/>
        <v>-5.3333333333333321</v>
      </c>
      <c r="C135" s="62">
        <f>C$130+(G$72-C$130)*0.139</f>
        <v>273.48086150420772</v>
      </c>
      <c r="D135" s="28">
        <f t="shared" ca="1" si="8"/>
        <v>1.6360332657590678E-3</v>
      </c>
      <c r="E135" s="26">
        <f t="shared" ca="1" si="12"/>
        <v>611738.32138711447</v>
      </c>
      <c r="F135" s="26">
        <f t="shared" ca="1" si="9"/>
        <v>618039.63015211385</v>
      </c>
      <c r="G135" s="26">
        <f t="shared" si="1"/>
        <v>41207.854769567632</v>
      </c>
      <c r="H135" s="28">
        <f t="shared" si="2"/>
        <v>0.47030898856581588</v>
      </c>
      <c r="I135" s="28">
        <f t="shared" si="3"/>
        <v>4.5496304006347862E-7</v>
      </c>
      <c r="J135" s="26">
        <f t="shared" si="4"/>
        <v>1212.8968791532811</v>
      </c>
      <c r="K135" s="26">
        <f t="shared" ca="1" si="5"/>
        <v>58997.609012666289</v>
      </c>
      <c r="L135" s="28">
        <f t="shared" ca="1" si="6"/>
        <v>791.79899168985571</v>
      </c>
      <c r="M135" s="28">
        <f t="shared" ca="1" si="7"/>
        <v>46714247.328341506</v>
      </c>
      <c r="N135" s="26">
        <f t="shared" ca="1" si="13"/>
        <v>1084661.8496884429</v>
      </c>
      <c r="O135" s="26">
        <f t="shared" ca="1" si="10"/>
        <v>270.3322565089552</v>
      </c>
      <c r="P135" s="29">
        <f t="shared" ca="1" si="15"/>
        <v>1.442979706415275</v>
      </c>
      <c r="Q135" s="14" t="str">
        <f t="shared" ca="1" si="11"/>
        <v>|</v>
      </c>
    </row>
    <row r="136" spans="2:17" x14ac:dyDescent="0.15">
      <c r="B136" s="27">
        <f t="shared" si="14"/>
        <v>-5.6666666666666652</v>
      </c>
      <c r="C136" s="62">
        <f>C$130+(G$72-C$130)*0.216</f>
        <v>333.98257307700214</v>
      </c>
      <c r="D136" s="28">
        <f t="shared" ca="1" si="8"/>
        <v>1.728113396411886E-3</v>
      </c>
      <c r="E136" s="26">
        <f t="shared" ca="1" si="12"/>
        <v>646748.58847862168</v>
      </c>
      <c r="F136" s="26">
        <f t="shared" ca="1" si="9"/>
        <v>653795.94859372219</v>
      </c>
      <c r="G136" s="26">
        <f t="shared" si="1"/>
        <v>50324.199255573374</v>
      </c>
      <c r="H136" s="28">
        <f t="shared" si="2"/>
        <v>0.21829809496748093</v>
      </c>
      <c r="I136" s="28">
        <f t="shared" si="3"/>
        <v>1.729202747505118E-7</v>
      </c>
      <c r="J136" s="26">
        <f t="shared" si="4"/>
        <v>1340.3626333927452</v>
      </c>
      <c r="K136" s="26">
        <f t="shared" ca="1" si="5"/>
        <v>58962.279306483833</v>
      </c>
      <c r="L136" s="28">
        <f t="shared" ca="1" si="6"/>
        <v>300.58302353462528</v>
      </c>
      <c r="M136" s="28">
        <f t="shared" ca="1" si="7"/>
        <v>17723060.188435979</v>
      </c>
      <c r="N136" s="26">
        <f t="shared" ca="1" si="13"/>
        <v>1170407.0055845177</v>
      </c>
      <c r="O136" s="26">
        <f t="shared" ca="1" si="10"/>
        <v>330.70293325043212</v>
      </c>
      <c r="P136" s="29">
        <f t="shared" ca="1" si="15"/>
        <v>1.5030318891151615</v>
      </c>
      <c r="Q136" s="14" t="str">
        <f t="shared" ca="1" si="11"/>
        <v>|</v>
      </c>
    </row>
    <row r="137" spans="2:17" x14ac:dyDescent="0.15">
      <c r="B137" s="27">
        <f t="shared" si="14"/>
        <v>-5.9999999999999982</v>
      </c>
      <c r="C137" s="62">
        <f>C$130+(G$72-C$130)*0.303</f>
        <v>402.34164978912054</v>
      </c>
      <c r="D137" s="28">
        <f t="shared" ca="1" si="8"/>
        <v>1.6101339249872432E-3</v>
      </c>
      <c r="E137" s="26">
        <f t="shared" ca="1" si="12"/>
        <v>689204.11074994889</v>
      </c>
      <c r="F137" s="26">
        <f t="shared" ca="1" si="9"/>
        <v>697212.80965801259</v>
      </c>
      <c r="G137" s="26">
        <f t="shared" si="1"/>
        <v>60624.484583917525</v>
      </c>
      <c r="H137" s="28">
        <f t="shared" si="2"/>
        <v>0.10132500000000023</v>
      </c>
      <c r="I137" s="28">
        <f t="shared" si="3"/>
        <v>6.662564055522546E-8</v>
      </c>
      <c r="J137" s="26">
        <f t="shared" si="4"/>
        <v>1471.1532147700163</v>
      </c>
      <c r="K137" s="26">
        <f t="shared" ca="1" si="5"/>
        <v>58919.465659467045</v>
      </c>
      <c r="L137" s="28">
        <f t="shared" ca="1" si="6"/>
        <v>115.64556997653624</v>
      </c>
      <c r="M137" s="28">
        <f t="shared" ca="1" si="7"/>
        <v>6813775.1889020205</v>
      </c>
      <c r="N137" s="26">
        <f t="shared" ca="1" si="13"/>
        <v>1274522.4649698369</v>
      </c>
      <c r="O137" s="26">
        <f t="shared" ca="1" si="10"/>
        <v>398.9029018296709</v>
      </c>
      <c r="P137" s="29">
        <f t="shared" ca="1" si="15"/>
        <v>1.5759498344328871</v>
      </c>
      <c r="Q137" s="14" t="str">
        <f t="shared" ca="1" si="11"/>
        <v>|</v>
      </c>
    </row>
    <row r="138" spans="2:17" x14ac:dyDescent="0.15">
      <c r="B138" s="27">
        <f t="shared" si="14"/>
        <v>-6.3333333333333313</v>
      </c>
      <c r="C138" s="62">
        <f>C$130+(G$72-C$130)*0.389</f>
        <v>469.91498998730651</v>
      </c>
      <c r="D138" s="28">
        <f t="shared" ca="1" si="8"/>
        <v>1.3424084472700426E-3</v>
      </c>
      <c r="E138" s="26">
        <f t="shared" ca="1" si="12"/>
        <v>739541.50272301189</v>
      </c>
      <c r="F138" s="26">
        <f t="shared" ca="1" si="9"/>
        <v>748770.61853005434</v>
      </c>
      <c r="G138" s="26">
        <f t="shared" si="1"/>
        <v>70806.375828027827</v>
      </c>
      <c r="H138" s="28">
        <f t="shared" si="2"/>
        <v>4.703089885658162E-2</v>
      </c>
      <c r="I138" s="28">
        <f t="shared" si="3"/>
        <v>2.647791340993284E-8</v>
      </c>
      <c r="J138" s="26">
        <f t="shared" si="4"/>
        <v>1589.9009118121439</v>
      </c>
      <c r="K138" s="26">
        <f t="shared" ca="1" si="5"/>
        <v>58868.745102427645</v>
      </c>
      <c r="L138" s="28">
        <f t="shared" ca="1" si="6"/>
        <v>45.879990375783237</v>
      </c>
      <c r="M138" s="28">
        <f t="shared" ca="1" si="7"/>
        <v>2700897.4587338171</v>
      </c>
      <c r="N138" s="26">
        <f t="shared" ca="1" si="13"/>
        <v>1398160.2596889066</v>
      </c>
      <c r="O138" s="26">
        <f t="shared" ca="1" si="10"/>
        <v>466.28730007065622</v>
      </c>
      <c r="P138" s="29">
        <f t="shared" ca="1" si="15"/>
        <v>1.6625403754318397</v>
      </c>
      <c r="Q138" s="14" t="str">
        <f t="shared" ca="1" si="11"/>
        <v>|</v>
      </c>
    </row>
    <row r="139" spans="2:17" x14ac:dyDescent="0.15">
      <c r="B139" s="27">
        <f t="shared" si="14"/>
        <v>-6.6666666666666643</v>
      </c>
      <c r="C139" s="62">
        <f>C$130+(G$72-C$130)*0.468</f>
        <v>531.98817458796577</v>
      </c>
      <c r="D139" s="28">
        <f t="shared" ca="1" si="8"/>
        <v>1.0727965623978913E-3</v>
      </c>
      <c r="E139" s="26">
        <f t="shared" ca="1" si="12"/>
        <v>797402.59845761408</v>
      </c>
      <c r="F139" s="26">
        <f t="shared" ca="1" si="9"/>
        <v>808142.85195889685</v>
      </c>
      <c r="G139" s="26">
        <f t="shared" si="1"/>
        <v>80159.508482501245</v>
      </c>
      <c r="H139" s="28">
        <f t="shared" si="2"/>
        <v>2.1829809496748148E-2</v>
      </c>
      <c r="I139" s="28">
        <f t="shared" si="3"/>
        <v>1.0855947755434312E-8</v>
      </c>
      <c r="J139" s="26">
        <f t="shared" si="4"/>
        <v>1691.6534478066787</v>
      </c>
      <c r="K139" s="26">
        <f t="shared" ca="1" si="5"/>
        <v>58810.498978141215</v>
      </c>
      <c r="L139" s="28">
        <f t="shared" ca="1" si="6"/>
        <v>18.773596411953417</v>
      </c>
      <c r="M139" s="28">
        <f t="shared" ca="1" si="7"/>
        <v>1104084.572601222</v>
      </c>
      <c r="N139" s="26">
        <f t="shared" ca="1" si="13"/>
        <v>1540537.3732490707</v>
      </c>
      <c r="O139" s="26">
        <f t="shared" ca="1" si="10"/>
        <v>528.14290548723375</v>
      </c>
      <c r="P139" s="29">
        <f t="shared" ca="1" si="15"/>
        <v>1.7622551213722446</v>
      </c>
      <c r="Q139" s="14" t="str">
        <f t="shared" ca="1" si="11"/>
        <v>|</v>
      </c>
    </row>
    <row r="140" spans="2:17" x14ac:dyDescent="0.15">
      <c r="B140" s="27">
        <f t="shared" si="14"/>
        <v>-6.9999999999999973</v>
      </c>
      <c r="C140" s="62">
        <f>C$130+(G$72-C$130)*0.548</f>
        <v>594.84709570255734</v>
      </c>
      <c r="D140" s="28">
        <f t="shared" ca="1" si="8"/>
        <v>9.6569520389553016E-4</v>
      </c>
      <c r="E140" s="26">
        <f t="shared" ref="E140:E142" ca="1" si="16">IF(D140=0,(8314.4621*C139*LN(H140/H139)/(-G$61*9.80665*G$65)),C139/D140*(1/(H140/H139)^(8314.4621*D140/(G$61*9.80665*G$65))-1))+E139</f>
        <v>862494.48341367615</v>
      </c>
      <c r="F140" s="26">
        <f t="shared" ref="F140:F142" ca="1" si="17">G$31*E140/(G$31-E140)</f>
        <v>875073.58575187647</v>
      </c>
      <c r="G140" s="26">
        <f t="shared" ref="G140:G142" si="18">8314.4621*C140/(G$65*G$61*9.80665)</f>
        <v>89631.035221208484</v>
      </c>
      <c r="H140" s="28">
        <f t="shared" ref="H140:H142" si="19">10^B140*101325</f>
        <v>1.013250000000003E-2</v>
      </c>
      <c r="I140" s="28">
        <f t="shared" ref="I140:I142" si="20">H140/(8314.4621/G$65*C140)</f>
        <v>4.5064135528116227E-9</v>
      </c>
      <c r="J140" s="26">
        <f t="shared" ref="J140:J142" si="21">SQRT(8314.4621/G$65*G$67*C140)</f>
        <v>1788.8053359298337</v>
      </c>
      <c r="K140" s="26">
        <f t="shared" ref="K140:K142" ca="1" si="22">IF(F$18&gt;0,SQRT(2*G$60/(F$18+N140)),10000)</f>
        <v>58745.044568841011</v>
      </c>
      <c r="L140" s="28">
        <f t="shared" ref="L140:L142" ca="1" si="23">I140*K140^2/2</f>
        <v>7.7757721102181758</v>
      </c>
      <c r="M140" s="28">
        <f t="shared" ref="M140:M142" ca="1" si="24">I140*K140^3/2</f>
        <v>456788.07917191763</v>
      </c>
      <c r="N140" s="26">
        <f t="shared" ref="N140:N142" ca="1" si="25">20000+(F140-F$113)*IF(G$88&gt;0,G$88,0.5)</f>
        <v>1701040.0886695564</v>
      </c>
      <c r="O140" s="26">
        <f t="shared" ref="O140:O142" ca="1" si="26">C140-P140*(G$75+(G$74-G$75)*COS(RADIANS(38)))/2</f>
        <v>590.75654806659691</v>
      </c>
      <c r="P140" s="29">
        <f t="shared" ca="1" si="15"/>
        <v>1.8746642515386307</v>
      </c>
      <c r="Q140" s="14" t="str">
        <f t="shared" ref="Q140:Q142" ca="1" si="27">IF(M140/1000&gt;L$104,"|",IF(M139/1000&gt;L$104,"V",""))</f>
        <v>|</v>
      </c>
    </row>
    <row r="141" spans="2:17" x14ac:dyDescent="0.15">
      <c r="B141" s="27">
        <f t="shared" si="14"/>
        <v>-7.3333333333333304</v>
      </c>
      <c r="C141" s="62">
        <f>C$130+(G$72-C$130)*0.627</f>
        <v>656.9202803032166</v>
      </c>
      <c r="D141" s="28">
        <f t="shared" ca="1" si="8"/>
        <v>8.5826074947511046E-4</v>
      </c>
      <c r="E141" s="26">
        <f t="shared" ca="1" si="16"/>
        <v>934818.87275411701</v>
      </c>
      <c r="F141" s="26">
        <f t="shared" ca="1" si="17"/>
        <v>949614.16006517503</v>
      </c>
      <c r="G141" s="26">
        <f t="shared" si="18"/>
        <v>98984.167875681916</v>
      </c>
      <c r="H141" s="28">
        <f t="shared" si="19"/>
        <v>4.7030898856581654E-3</v>
      </c>
      <c r="I141" s="28">
        <f t="shared" si="20"/>
        <v>1.8940454097672716E-9</v>
      </c>
      <c r="J141" s="26">
        <f t="shared" si="21"/>
        <v>1879.8220681612879</v>
      </c>
      <c r="K141" s="26">
        <f t="shared" ca="1" si="22"/>
        <v>58672.40477931207</v>
      </c>
      <c r="L141" s="28">
        <f t="shared" ca="1" si="23"/>
        <v>3.2600793356615596</v>
      </c>
      <c r="M141" s="28">
        <f t="shared" ca="1" si="24"/>
        <v>191276.69439460582</v>
      </c>
      <c r="N141" s="26">
        <f t="shared" ca="1" si="25"/>
        <v>1879791.5218047756</v>
      </c>
      <c r="O141" s="26">
        <f t="shared" ca="1" si="26"/>
        <v>652.55624804239642</v>
      </c>
      <c r="P141" s="29">
        <f t="shared" ca="1" si="15"/>
        <v>2</v>
      </c>
      <c r="Q141" s="14" t="str">
        <f t="shared" ca="1" si="27"/>
        <v>V</v>
      </c>
    </row>
    <row r="142" spans="2:17" x14ac:dyDescent="0.15">
      <c r="B142" s="27">
        <f t="shared" si="14"/>
        <v>-7.6666666666666634</v>
      </c>
      <c r="C142" s="62">
        <f>C$130+(G$72-C$130)*0.696</f>
        <v>711.13609976455189</v>
      </c>
      <c r="D142" s="28">
        <f t="shared" ca="1" si="8"/>
        <v>6.8569666403751591E-4</v>
      </c>
      <c r="E142" s="26">
        <f t="shared" ca="1" si="16"/>
        <v>1013885.6413484096</v>
      </c>
      <c r="F142" s="26">
        <f t="shared" ca="1" si="17"/>
        <v>1031312.8630752413</v>
      </c>
      <c r="G142" s="26">
        <f t="shared" si="18"/>
        <v>107153.35968781692</v>
      </c>
      <c r="H142" s="28">
        <f t="shared" si="19"/>
        <v>2.1829809496748159E-3</v>
      </c>
      <c r="I142" s="28">
        <f t="shared" si="20"/>
        <v>8.1211400064599925E-10</v>
      </c>
      <c r="J142" s="26">
        <f t="shared" si="21"/>
        <v>1955.8555271912253</v>
      </c>
      <c r="K142" s="26">
        <f t="shared" ca="1" si="22"/>
        <v>58593.098089231811</v>
      </c>
      <c r="L142" s="28">
        <f t="shared" ca="1" si="23"/>
        <v>1.3940550550639994</v>
      </c>
      <c r="M142" s="28">
        <f t="shared" ca="1" si="24"/>
        <v>81682.004583154368</v>
      </c>
      <c r="N142" s="26">
        <f t="shared" ca="1" si="25"/>
        <v>2075708.448698275</v>
      </c>
      <c r="O142" s="26">
        <f t="shared" ca="1" si="26"/>
        <v>706.77206750373171</v>
      </c>
      <c r="P142" s="29">
        <f t="shared" ca="1" si="15"/>
        <v>2</v>
      </c>
      <c r="Q142" s="14" t="str">
        <f t="shared" ca="1" si="27"/>
        <v/>
      </c>
    </row>
    <row r="143" spans="2:17" x14ac:dyDescent="0.15">
      <c r="B143" s="27">
        <f t="shared" si="14"/>
        <v>-7.9999999999999964</v>
      </c>
      <c r="C143" s="63">
        <f>C$130+(G$72-C$130)*0.749</f>
        <v>752.78013500296879</v>
      </c>
      <c r="D143" s="28">
        <f t="shared" ca="1" si="8"/>
        <v>4.9208062131525651E-4</v>
      </c>
      <c r="E143" s="26">
        <f t="shared" ref="E143" ca="1" si="28">IF(D143=0,(8314.4621*C142*LN(H143/H142)/(-G$61*9.80665*G$65)),C142/D143*(1/(H143/H142)^(8314.4621*D143/(G$61*9.80665*G$65))-1))+E142</f>
        <v>1098514.1217935584</v>
      </c>
      <c r="F143" s="26">
        <f t="shared" ref="F143" ca="1" si="29">G$31*E143/(G$31-E143)</f>
        <v>1119001.4364646194</v>
      </c>
      <c r="G143" s="26">
        <f t="shared" ref="G143" si="30">8314.4621*C143/(G$65*G$61*9.80665)</f>
        <v>113428.24615221047</v>
      </c>
      <c r="H143" s="28">
        <f t="shared" ref="H143" si="31">10^B143*101325</f>
        <v>1.0132500000000055E-3</v>
      </c>
      <c r="I143" s="28">
        <f t="shared" ref="I143" si="32">H143/(8314.4621/G$65*C143)</f>
        <v>3.5609693843927899E-10</v>
      </c>
      <c r="J143" s="26">
        <f t="shared" ref="J143" si="33">SQRT(8314.4621/G$65*G$67*C143)</f>
        <v>2012.308139939752</v>
      </c>
      <c r="K143" s="26">
        <f t="shared" ref="K143" ca="1" si="34">IF(F$18&gt;0,SQRT(2*G$60/(F$18+N143)),10000)</f>
        <v>58508.333704473916</v>
      </c>
      <c r="L143" s="28">
        <f t="shared" ref="L143" ca="1" si="35">I143*K143^2/2</f>
        <v>0.60949999114145725</v>
      </c>
      <c r="M143" s="28">
        <f t="shared" ref="M143" ca="1" si="36">I143*K143^3/2</f>
        <v>35660.828874578277</v>
      </c>
      <c r="N143" s="26">
        <f t="shared" ref="N143" ca="1" si="37">20000+(F143-F$113)*IF(G$88&gt;0,G$88,0.5)</f>
        <v>2285989.3367560119</v>
      </c>
      <c r="O143" s="26">
        <f t="shared" ref="O143" ca="1" si="38">C143-P143*(G$75+(G$74-G$75)*COS(RADIANS(38)))/2</f>
        <v>748.41610274214861</v>
      </c>
      <c r="P143" s="29">
        <f t="shared" ca="1" si="15"/>
        <v>2</v>
      </c>
      <c r="Q143" s="14" t="str">
        <f t="shared" ref="Q143" ca="1" si="39">IF(M143/1000&gt;L$104,"|",IF(M142/1000&gt;L$104,"V",""))</f>
        <v/>
      </c>
    </row>
  </sheetData>
  <mergeCells count="34">
    <mergeCell ref="B92:Q92"/>
    <mergeCell ref="B93:Q93"/>
    <mergeCell ref="B2:H2"/>
    <mergeCell ref="F10:G10"/>
    <mergeCell ref="F23:G23"/>
    <mergeCell ref="D13:E15"/>
    <mergeCell ref="D19:E21"/>
    <mergeCell ref="B4:H4"/>
    <mergeCell ref="F12:G12"/>
    <mergeCell ref="F18:G18"/>
    <mergeCell ref="B5:H5"/>
    <mergeCell ref="B6:H6"/>
    <mergeCell ref="B7:H7"/>
    <mergeCell ref="B28:H28"/>
    <mergeCell ref="B33:H33"/>
    <mergeCell ref="B38:D38"/>
    <mergeCell ref="B39:D39"/>
    <mergeCell ref="B40:D40"/>
    <mergeCell ref="F31:G31"/>
    <mergeCell ref="B29:H29"/>
    <mergeCell ref="B34:H34"/>
    <mergeCell ref="B51:H51"/>
    <mergeCell ref="B81:H81"/>
    <mergeCell ref="B69:H69"/>
    <mergeCell ref="B91:Q91"/>
    <mergeCell ref="B41:D41"/>
    <mergeCell ref="B42:D42"/>
    <mergeCell ref="B43:D43"/>
    <mergeCell ref="B44:D44"/>
    <mergeCell ref="B45:D45"/>
    <mergeCell ref="B55:H55"/>
    <mergeCell ref="B52:H52"/>
    <mergeCell ref="B53:H53"/>
    <mergeCell ref="B82:H82"/>
  </mergeCells>
  <phoneticPr fontId="18" type="noConversion"/>
  <pageMargins left="0.7" right="0.7" top="0.75" bottom="0.75" header="0.3" footer="0.3"/>
  <pageSetup orientation="portrait" horizontalDpi="0" verticalDpi="0" r:id="rId1"/>
  <ignoredErrors>
    <ignoredError sqref="G59"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8"/>
  <sheetViews>
    <sheetView topLeftCell="A89" workbookViewId="0">
      <selection activeCell="A16" sqref="A16:E133"/>
    </sheetView>
  </sheetViews>
  <sheetFormatPr defaultColWidth="9.125" defaultRowHeight="15" x14ac:dyDescent="0.25"/>
  <cols>
    <col min="1" max="1" width="27.625" style="2" customWidth="1"/>
    <col min="2" max="5" width="14.625" style="2" customWidth="1"/>
    <col min="6" max="16384" width="9.125" style="2"/>
  </cols>
  <sheetData>
    <row r="1" spans="1:5" ht="78.75" customHeight="1" x14ac:dyDescent="0.25">
      <c r="A1" s="102" t="s">
        <v>377</v>
      </c>
      <c r="B1" s="102"/>
      <c r="C1" s="102"/>
      <c r="D1" s="102"/>
      <c r="E1" s="102"/>
    </row>
    <row r="2" spans="1:5" x14ac:dyDescent="0.25">
      <c r="A2" s="1"/>
      <c r="B2" s="1"/>
      <c r="C2" s="1"/>
      <c r="D2" s="1"/>
      <c r="E2" s="1"/>
    </row>
    <row r="3" spans="1:5" x14ac:dyDescent="0.25">
      <c r="A3" s="1" t="s">
        <v>97</v>
      </c>
      <c r="B3" s="1"/>
      <c r="C3" s="1"/>
      <c r="D3" s="1"/>
      <c r="E3" s="1"/>
    </row>
    <row r="4" spans="1:5" x14ac:dyDescent="0.25">
      <c r="A4" s="1" t="s">
        <v>66</v>
      </c>
      <c r="B4" s="3"/>
      <c r="D4" s="1"/>
      <c r="E4" s="3"/>
    </row>
    <row r="5" spans="1:5" x14ac:dyDescent="0.25">
      <c r="A5" s="10" t="s">
        <v>98</v>
      </c>
      <c r="B5" s="3">
        <f>'Gas Giant'!G22</f>
        <v>0.32</v>
      </c>
      <c r="D5" s="1"/>
      <c r="E5" s="3"/>
    </row>
    <row r="6" spans="1:5" x14ac:dyDescent="0.25">
      <c r="A6" s="1" t="s">
        <v>67</v>
      </c>
      <c r="B6" s="3"/>
      <c r="D6" s="1"/>
      <c r="E6" s="3"/>
    </row>
    <row r="7" spans="1:5" x14ac:dyDescent="0.25">
      <c r="A7" s="1" t="s">
        <v>68</v>
      </c>
      <c r="B7" s="1"/>
      <c r="D7" s="1"/>
      <c r="E7" s="3"/>
    </row>
    <row r="8" spans="1:5" x14ac:dyDescent="0.25">
      <c r="A8" s="1" t="s">
        <v>66</v>
      </c>
      <c r="B8" s="3"/>
      <c r="D8" s="1"/>
      <c r="E8" s="3"/>
    </row>
    <row r="9" spans="1:5" x14ac:dyDescent="0.25">
      <c r="A9" s="10" t="s">
        <v>69</v>
      </c>
      <c r="B9" s="4" t="s">
        <v>70</v>
      </c>
      <c r="D9" s="3"/>
      <c r="E9" s="3"/>
    </row>
    <row r="10" spans="1:5" x14ac:dyDescent="0.25">
      <c r="A10" s="10" t="s">
        <v>71</v>
      </c>
      <c r="B10" s="4" t="s">
        <v>86</v>
      </c>
      <c r="D10" s="3"/>
      <c r="E10" s="3"/>
    </row>
    <row r="11" spans="1:5" x14ac:dyDescent="0.25">
      <c r="A11" s="10" t="s">
        <v>72</v>
      </c>
      <c r="B11" s="3">
        <f ca="1">MAX(B18:B51)</f>
        <v>1880000</v>
      </c>
      <c r="D11" s="3"/>
      <c r="E11" s="3"/>
    </row>
    <row r="12" spans="1:5" x14ac:dyDescent="0.25">
      <c r="A12" s="10" t="s">
        <v>73</v>
      </c>
      <c r="B12" s="5">
        <f>ROUND('Gas Giant'!G$67,2)</f>
        <v>1.42</v>
      </c>
      <c r="D12" s="3"/>
      <c r="E12" s="3"/>
    </row>
    <row r="13" spans="1:5" x14ac:dyDescent="0.25">
      <c r="A13" s="10" t="s">
        <v>74</v>
      </c>
      <c r="B13" s="3">
        <f>ROUND('Gas Giant'!G$65/1000,6)</f>
        <v>2.2000000000000001E-3</v>
      </c>
      <c r="D13" s="3"/>
      <c r="E13" s="3"/>
    </row>
    <row r="14" spans="1:5" x14ac:dyDescent="0.25">
      <c r="A14" s="10" t="s">
        <v>75</v>
      </c>
      <c r="B14" s="7">
        <f>ROUND('Gas Giant'!C$110,0)</f>
        <v>689</v>
      </c>
      <c r="D14" s="3"/>
      <c r="E14" s="3"/>
    </row>
    <row r="15" spans="1:5" x14ac:dyDescent="0.25">
      <c r="A15" s="10" t="s">
        <v>76</v>
      </c>
      <c r="B15" s="3">
        <f ca="1">C99</f>
        <v>101325</v>
      </c>
      <c r="D15" s="3"/>
      <c r="E15" s="3"/>
    </row>
    <row r="16" spans="1:5" x14ac:dyDescent="0.25">
      <c r="A16" s="10" t="s">
        <v>77</v>
      </c>
      <c r="B16" s="3"/>
      <c r="D16" s="3"/>
      <c r="E16" s="3"/>
    </row>
    <row r="17" spans="1:5" x14ac:dyDescent="0.25">
      <c r="A17" s="10" t="s">
        <v>66</v>
      </c>
      <c r="B17" s="1"/>
      <c r="C17" s="3"/>
      <c r="D17" s="3"/>
      <c r="E17" s="3"/>
    </row>
    <row r="18" spans="1:5" x14ac:dyDescent="0.25">
      <c r="A18" s="3" t="str">
        <f t="shared" ref="A18:A47" si="0">IF(B18="","Unused","key =")</f>
        <v>key =</v>
      </c>
      <c r="B18" s="3">
        <f>IF('Gas Giant'!Q110="|",ROUND('Gas Giant'!N110,0),IF('Gas Giant'!Q110="V",ROUND('Gas Giant'!N110,-3),""))</f>
        <v>0</v>
      </c>
      <c r="C18" s="3">
        <f>IF(B18="","",ROUND('Gas Giant'!O110,0))</f>
        <v>689</v>
      </c>
      <c r="D18" s="6">
        <v>0</v>
      </c>
      <c r="E18" s="6">
        <f ca="1">(C19-C18)/(B19-B18)</f>
        <v>-1.7079419299743808E-2</v>
      </c>
    </row>
    <row r="19" spans="1:5" x14ac:dyDescent="0.25">
      <c r="A19" s="3" t="str">
        <f t="shared" ca="1" si="0"/>
        <v>key =</v>
      </c>
      <c r="B19" s="3">
        <f ca="1">IF('Gas Giant'!Q111="|",ROUND('Gas Giant'!N111,0),IF('Gas Giant'!Q111="V",ROUND('Gas Giant'!N111,-3),""))</f>
        <v>8197</v>
      </c>
      <c r="C19" s="3">
        <f ca="1">IF(B19="","",ROUND('Gas Giant'!O111,0))</f>
        <v>549</v>
      </c>
      <c r="D19" s="6">
        <f ca="1">IF(C19="","",(C19-C18)/(B19-B18))</f>
        <v>-1.7079419299743808E-2</v>
      </c>
      <c r="E19" s="6">
        <f ca="1">IF(C19="","",IF(C20="",0,(C20-C19)/(B20-B19)))</f>
        <v>-1.6765736930345984E-2</v>
      </c>
    </row>
    <row r="20" spans="1:5" x14ac:dyDescent="0.25">
      <c r="A20" s="3" t="str">
        <f t="shared" ca="1" si="0"/>
        <v>key =</v>
      </c>
      <c r="B20" s="3">
        <f ca="1">IF('Gas Giant'!Q112="|",ROUND('Gas Giant'!N112,0),IF('Gas Giant'!Q112="V",ROUND('Gas Giant'!N112,-3),""))</f>
        <v>14758</v>
      </c>
      <c r="C20" s="3">
        <f ca="1">IF(B20="","",ROUND('Gas Giant'!O112,0))</f>
        <v>439</v>
      </c>
      <c r="D20" s="6">
        <f t="shared" ref="D20:D47" ca="1" si="1">IF(C20="","",(C20-C19)/(B20-B19))</f>
        <v>-1.6765736930345984E-2</v>
      </c>
      <c r="E20" s="6">
        <f t="shared" ref="E20:E47" ca="1" si="2">IF(C20="","",IF(C21="",0,(C21-C20)/(B21-B20)))</f>
        <v>-1.7169019458222051E-2</v>
      </c>
    </row>
    <row r="21" spans="1:5" x14ac:dyDescent="0.25">
      <c r="A21" s="3" t="str">
        <f t="shared" ca="1" si="0"/>
        <v>key =</v>
      </c>
      <c r="B21" s="3">
        <f ca="1">IF('Gas Giant'!Q113="|",ROUND('Gas Giant'!N113,0),IF('Gas Giant'!Q113="V",ROUND('Gas Giant'!N113,-3),""))</f>
        <v>20000</v>
      </c>
      <c r="C21" s="3">
        <f ca="1">IF(B21="","",ROUND('Gas Giant'!O113,0))</f>
        <v>349</v>
      </c>
      <c r="D21" s="6">
        <f t="shared" ca="1" si="1"/>
        <v>-1.7169019458222051E-2</v>
      </c>
      <c r="E21" s="6">
        <f t="shared" ca="1" si="2"/>
        <v>-8.8061828673394898E-4</v>
      </c>
    </row>
    <row r="22" spans="1:5" x14ac:dyDescent="0.25">
      <c r="A22" s="3" t="str">
        <f t="shared" ca="1" si="0"/>
        <v>key =</v>
      </c>
      <c r="B22" s="3">
        <f ca="1">IF('Gas Giant'!Q114="|",ROUND('Gas Giant'!N114,0),IF('Gas Giant'!Q114="V",ROUND('Gas Giant'!N114,-3),""))</f>
        <v>106303</v>
      </c>
      <c r="C22" s="3">
        <f ca="1">IF(B22="","",ROUND('Gas Giant'!O114,0))</f>
        <v>273</v>
      </c>
      <c r="D22" s="6">
        <f t="shared" ca="1" si="1"/>
        <v>-8.8061828673394898E-4</v>
      </c>
      <c r="E22" s="6">
        <f t="shared" ca="1" si="2"/>
        <v>-8.5552031860756689E-4</v>
      </c>
    </row>
    <row r="23" spans="1:5" x14ac:dyDescent="0.25">
      <c r="A23" s="3" t="str">
        <f t="shared" ca="1" si="0"/>
        <v>key =</v>
      </c>
      <c r="B23" s="3">
        <f ca="1">IF('Gas Giant'!Q115="|",ROUND('Gas Giant'!N115,0),IF('Gas Giant'!Q115="V",ROUND('Gas Giant'!N115,-3),""))</f>
        <v>174098</v>
      </c>
      <c r="C23" s="3">
        <f ca="1">IF(B23="","",ROUND('Gas Giant'!O115,0))</f>
        <v>215</v>
      </c>
      <c r="D23" s="6">
        <f t="shared" ca="1" si="1"/>
        <v>-8.5552031860756689E-4</v>
      </c>
      <c r="E23" s="6">
        <f t="shared" ca="1" si="2"/>
        <v>-8.1776786544001485E-4</v>
      </c>
    </row>
    <row r="24" spans="1:5" x14ac:dyDescent="0.25">
      <c r="A24" s="3" t="str">
        <f t="shared" ca="1" si="0"/>
        <v>key =</v>
      </c>
      <c r="B24" s="3">
        <f ca="1">IF('Gas Giant'!Q116="|",ROUND('Gas Giant'!N116,0),IF('Gas Giant'!Q116="V",ROUND('Gas Giant'!N116,-3),""))</f>
        <v>227903</v>
      </c>
      <c r="C24" s="3">
        <f ca="1">IF(B24="","",ROUND('Gas Giant'!O116,0))</f>
        <v>171</v>
      </c>
      <c r="D24" s="6">
        <f t="shared" ca="1" si="1"/>
        <v>-8.1776786544001485E-4</v>
      </c>
      <c r="E24" s="6">
        <f t="shared" ca="1" si="2"/>
        <v>-6.3753728454655155E-4</v>
      </c>
    </row>
    <row r="25" spans="1:5" x14ac:dyDescent="0.25">
      <c r="A25" s="3" t="str">
        <f t="shared" ca="1" si="0"/>
        <v>key =</v>
      </c>
      <c r="B25" s="3">
        <f ca="1">IF('Gas Giant'!Q117="|",ROUND('Gas Giant'!N117,0),IF('Gas Giant'!Q117="V",ROUND('Gas Giant'!N117,-3),""))</f>
        <v>271822</v>
      </c>
      <c r="C25" s="3">
        <f ca="1">IF(B25="","",ROUND('Gas Giant'!O117,0))</f>
        <v>143</v>
      </c>
      <c r="D25" s="6">
        <f t="shared" ca="1" si="1"/>
        <v>-6.3753728454655155E-4</v>
      </c>
      <c r="E25" s="6">
        <f t="shared" ca="1" si="2"/>
        <v>-3.9543405478079775E-4</v>
      </c>
    </row>
    <row r="26" spans="1:5" x14ac:dyDescent="0.25">
      <c r="A26" s="3" t="str">
        <f t="shared" ca="1" si="0"/>
        <v>key =</v>
      </c>
      <c r="B26" s="3">
        <f ca="1">IF('Gas Giant'!Q118="|",ROUND('Gas Giant'!N118,0),IF('Gas Giant'!Q118="V",ROUND('Gas Giant'!N118,-3),""))</f>
        <v>309755</v>
      </c>
      <c r="C26" s="3">
        <f ca="1">IF(B26="","",ROUND('Gas Giant'!O118,0))</f>
        <v>128</v>
      </c>
      <c r="D26" s="6">
        <f t="shared" ca="1" si="1"/>
        <v>-3.9543405478079775E-4</v>
      </c>
      <c r="E26" s="6">
        <f t="shared" ca="1" si="2"/>
        <v>-1.1313816999010041E-4</v>
      </c>
    </row>
    <row r="27" spans="1:5" x14ac:dyDescent="0.25">
      <c r="A27" s="3" t="str">
        <f t="shared" ca="1" si="0"/>
        <v>key =</v>
      </c>
      <c r="B27" s="3">
        <f ca="1">IF('Gas Giant'!Q119="|",ROUND('Gas Giant'!N119,0),IF('Gas Giant'!Q119="V",ROUND('Gas Giant'!N119,-3),""))</f>
        <v>345110</v>
      </c>
      <c r="C27" s="3">
        <f ca="1">IF(B27="","",ROUND('Gas Giant'!O119,0))</f>
        <v>124</v>
      </c>
      <c r="D27" s="6">
        <f t="shared" ca="1" si="1"/>
        <v>-1.1313816999010041E-4</v>
      </c>
      <c r="E27" s="6">
        <f t="shared" ca="1" si="2"/>
        <v>-2.8668902841088272E-5</v>
      </c>
    </row>
    <row r="28" spans="1:5" x14ac:dyDescent="0.25">
      <c r="A28" s="3" t="str">
        <f t="shared" ca="1" si="0"/>
        <v>key =</v>
      </c>
      <c r="B28" s="3">
        <f ca="1">IF('Gas Giant'!Q120="|",ROUND('Gas Giant'!N120,0),IF('Gas Giant'!Q120="V",ROUND('Gas Giant'!N120,-3),""))</f>
        <v>379991</v>
      </c>
      <c r="C28" s="3">
        <f ca="1">IF(B28="","",ROUND('Gas Giant'!O120,0))</f>
        <v>123</v>
      </c>
      <c r="D28" s="6">
        <f t="shared" ca="1" si="1"/>
        <v>-2.8668902841088272E-5</v>
      </c>
      <c r="E28" s="6">
        <f t="shared" ca="1" si="2"/>
        <v>8.4817642069550466E-5</v>
      </c>
    </row>
    <row r="29" spans="1:5" x14ac:dyDescent="0.25">
      <c r="A29" s="3" t="str">
        <f t="shared" ca="1" si="0"/>
        <v>key =</v>
      </c>
      <c r="B29" s="3">
        <f ca="1">IF('Gas Giant'!Q121="|",ROUND('Gas Giant'!N121,0),IF('Gas Giant'!Q121="V",ROUND('Gas Giant'!N121,-3),""))</f>
        <v>415361</v>
      </c>
      <c r="C29" s="3">
        <f ca="1">IF(B29="","",ROUND('Gas Giant'!O121,0))</f>
        <v>126</v>
      </c>
      <c r="D29" s="6">
        <f t="shared" ca="1" si="1"/>
        <v>8.4817642069550466E-5</v>
      </c>
      <c r="E29" s="6">
        <f t="shared" ca="1" si="2"/>
        <v>1.6306563391765185E-4</v>
      </c>
    </row>
    <row r="30" spans="1:5" x14ac:dyDescent="0.25">
      <c r="A30" s="3" t="str">
        <f t="shared" ca="1" si="0"/>
        <v>key =</v>
      </c>
      <c r="B30" s="3">
        <f ca="1">IF('Gas Giant'!Q122="|",ROUND('Gas Giant'!N122,0),IF('Gas Giant'!Q122="V",ROUND('Gas Giant'!N122,-3),""))</f>
        <v>452156</v>
      </c>
      <c r="C30" s="3">
        <f ca="1">IF(B30="","",ROUND('Gas Giant'!O122,0))</f>
        <v>132</v>
      </c>
      <c r="D30" s="6">
        <f t="shared" ca="1" si="1"/>
        <v>1.6306563391765185E-4</v>
      </c>
      <c r="E30" s="6">
        <f t="shared" ca="1" si="2"/>
        <v>2.3110106820049302E-4</v>
      </c>
    </row>
    <row r="31" spans="1:5" x14ac:dyDescent="0.25">
      <c r="A31" s="3" t="str">
        <f t="shared" ca="1" si="0"/>
        <v>key =</v>
      </c>
      <c r="B31" s="3">
        <f ca="1">IF('Gas Giant'!Q123="|",ROUND('Gas Giant'!N123,0),IF('Gas Giant'!Q123="V",ROUND('Gas Giant'!N123,-3),""))</f>
        <v>491100</v>
      </c>
      <c r="C31" s="3">
        <f ca="1">IF(B31="","",ROUND('Gas Giant'!O123,0))</f>
        <v>141</v>
      </c>
      <c r="D31" s="6">
        <f t="shared" ca="1" si="1"/>
        <v>2.3110106820049302E-4</v>
      </c>
      <c r="E31" s="6">
        <f t="shared" ca="1" si="2"/>
        <v>1.9332543921123221E-4</v>
      </c>
    </row>
    <row r="32" spans="1:5" x14ac:dyDescent="0.25">
      <c r="A32" s="3" t="str">
        <f t="shared" ca="1" si="0"/>
        <v>key =</v>
      </c>
      <c r="B32" s="3">
        <f ca="1">IF('Gas Giant'!Q124="|",ROUND('Gas Giant'!N124,0),IF('Gas Giant'!Q124="V",ROUND('Gas Giant'!N124,-3),""))</f>
        <v>532481</v>
      </c>
      <c r="C32" s="3">
        <f ca="1">IF(B32="","",ROUND('Gas Giant'!O124,0))</f>
        <v>149</v>
      </c>
      <c r="D32" s="6">
        <f t="shared" ca="1" si="1"/>
        <v>1.9332543921123221E-4</v>
      </c>
      <c r="E32" s="6">
        <f t="shared" ca="1" si="2"/>
        <v>1.8319631775401315E-4</v>
      </c>
    </row>
    <row r="33" spans="1:5" x14ac:dyDescent="0.25">
      <c r="A33" s="3" t="str">
        <f t="shared" ca="1" si="0"/>
        <v>key =</v>
      </c>
      <c r="B33" s="3">
        <f ca="1">IF('Gas Giant'!Q125="|",ROUND('Gas Giant'!N125,0),IF('Gas Giant'!Q125="V",ROUND('Gas Giant'!N125,-3),""))</f>
        <v>576150</v>
      </c>
      <c r="C33" s="3">
        <f ca="1">IF(B33="","",ROUND('Gas Giant'!O125,0))</f>
        <v>157</v>
      </c>
      <c r="D33" s="6">
        <f t="shared" ca="1" si="1"/>
        <v>1.8319631775401315E-4</v>
      </c>
      <c r="E33" s="6">
        <f t="shared" ca="1" si="2"/>
        <v>8.816592827701734E-5</v>
      </c>
    </row>
    <row r="34" spans="1:5" x14ac:dyDescent="0.25">
      <c r="A34" s="3" t="str">
        <f t="shared" ca="1" si="0"/>
        <v>key =</v>
      </c>
      <c r="B34" s="3">
        <f ca="1">IF('Gas Giant'!Q126="|",ROUND('Gas Giant'!N126,0),IF('Gas Giant'!Q126="V",ROUND('Gas Giant'!N126,-3),""))</f>
        <v>621519</v>
      </c>
      <c r="C34" s="3">
        <f ca="1">IF(B34="","",ROUND('Gas Giant'!O126,0))</f>
        <v>161</v>
      </c>
      <c r="D34" s="6">
        <f t="shared" ca="1" si="1"/>
        <v>8.816592827701734E-5</v>
      </c>
      <c r="E34" s="6">
        <f t="shared" ca="1" si="2"/>
        <v>2.1681156906532534E-5</v>
      </c>
    </row>
    <row r="35" spans="1:5" x14ac:dyDescent="0.25">
      <c r="A35" s="3" t="str">
        <f t="shared" ca="1" si="0"/>
        <v>key =</v>
      </c>
      <c r="B35" s="3">
        <f ca="1">IF('Gas Giant'!Q127="|",ROUND('Gas Giant'!N127,0),IF('Gas Giant'!Q127="V",ROUND('Gas Giant'!N127,-3),""))</f>
        <v>667642</v>
      </c>
      <c r="C35" s="3">
        <f ca="1">IF(B35="","",ROUND('Gas Giant'!O127,0))</f>
        <v>162</v>
      </c>
      <c r="D35" s="6">
        <f t="shared" ca="1" si="1"/>
        <v>2.1681156906532534E-5</v>
      </c>
      <c r="E35" s="6">
        <f t="shared" ca="1" si="2"/>
        <v>0</v>
      </c>
    </row>
    <row r="36" spans="1:5" x14ac:dyDescent="0.25">
      <c r="A36" s="3" t="str">
        <f t="shared" ca="1" si="0"/>
        <v>key =</v>
      </c>
      <c r="B36" s="3">
        <f ca="1">IF('Gas Giant'!Q128="|",ROUND('Gas Giant'!N128,0),IF('Gas Giant'!Q128="V",ROUND('Gas Giant'!N128,-3),""))</f>
        <v>713889</v>
      </c>
      <c r="C36" s="3">
        <f ca="1">IF(B36="","",ROUND('Gas Giant'!O128,0))</f>
        <v>162</v>
      </c>
      <c r="D36" s="6">
        <f t="shared" ca="1" si="1"/>
        <v>0</v>
      </c>
      <c r="E36" s="6">
        <f t="shared" ca="1" si="2"/>
        <v>0</v>
      </c>
    </row>
    <row r="37" spans="1:5" x14ac:dyDescent="0.25">
      <c r="A37" s="3" t="str">
        <f t="shared" ca="1" si="0"/>
        <v>key =</v>
      </c>
      <c r="B37" s="3">
        <f ca="1">IF('Gas Giant'!Q129="|",ROUND('Gas Giant'!N129,0),IF('Gas Giant'!Q129="V",ROUND('Gas Giant'!N129,-3),""))</f>
        <v>760166</v>
      </c>
      <c r="C37" s="3">
        <f ca="1">IF(B37="","",ROUND('Gas Giant'!O129,0))</f>
        <v>162</v>
      </c>
      <c r="D37" s="6">
        <f t="shared" ca="1" si="1"/>
        <v>0</v>
      </c>
      <c r="E37" s="6">
        <f t="shared" ca="1" si="2"/>
        <v>0</v>
      </c>
    </row>
    <row r="38" spans="1:5" x14ac:dyDescent="0.25">
      <c r="A38" s="3" t="str">
        <f t="shared" ca="1" si="0"/>
        <v>key =</v>
      </c>
      <c r="B38" s="3">
        <f ca="1">IF('Gas Giant'!Q130="|",ROUND('Gas Giant'!N130,0),IF('Gas Giant'!Q130="V",ROUND('Gas Giant'!N130,-3),""))</f>
        <v>806473</v>
      </c>
      <c r="C38" s="3">
        <f ca="1">IF(B38="","",ROUND('Gas Giant'!O130,0))</f>
        <v>162</v>
      </c>
      <c r="D38" s="6">
        <f t="shared" ca="1" si="1"/>
        <v>0</v>
      </c>
      <c r="E38" s="6">
        <f t="shared" ca="1" si="2"/>
        <v>6.4132711958613024E-5</v>
      </c>
    </row>
    <row r="39" spans="1:5" x14ac:dyDescent="0.25">
      <c r="A39" s="3" t="str">
        <f t="shared" ca="1" si="0"/>
        <v>key =</v>
      </c>
      <c r="B39" s="3">
        <f ca="1">IF('Gas Giant'!Q131="|",ROUND('Gas Giant'!N131,0),IF('Gas Giant'!Q131="V",ROUND('Gas Giant'!N131,-3),""))</f>
        <v>853251</v>
      </c>
      <c r="C39" s="3">
        <f ca="1">IF(B39="","",ROUND('Gas Giant'!O131,0))</f>
        <v>165</v>
      </c>
      <c r="D39" s="6">
        <f t="shared" ca="1" si="1"/>
        <v>6.4132711958613024E-5</v>
      </c>
      <c r="E39" s="6">
        <f t="shared" ca="1" si="2"/>
        <v>2.0541473234460375E-4</v>
      </c>
    </row>
    <row r="40" spans="1:5" x14ac:dyDescent="0.25">
      <c r="A40" s="3" t="str">
        <f t="shared" ca="1" si="0"/>
        <v>key =</v>
      </c>
      <c r="B40" s="3">
        <f ca="1">IF('Gas Giant'!Q132="|",ROUND('Gas Giant'!N132,0),IF('Gas Giant'!Q132="V",ROUND('Gas Giant'!N132,-3),""))</f>
        <v>901933</v>
      </c>
      <c r="C40" s="3">
        <f ca="1">IF(B40="","",ROUND('Gas Giant'!O132,0))</f>
        <v>175</v>
      </c>
      <c r="D40" s="6">
        <f t="shared" ca="1" si="1"/>
        <v>2.0541473234460375E-4</v>
      </c>
      <c r="E40" s="6">
        <f t="shared" ca="1" si="2"/>
        <v>3.4165970693189585E-4</v>
      </c>
    </row>
    <row r="41" spans="1:5" x14ac:dyDescent="0.25">
      <c r="A41" s="3" t="str">
        <f t="shared" ca="1" si="0"/>
        <v>key =</v>
      </c>
      <c r="B41" s="3">
        <f ca="1">IF('Gas Giant'!Q133="|",ROUND('Gas Giant'!N133,0),IF('Gas Giant'!Q133="V",ROUND('Gas Giant'!N133,-3),""))</f>
        <v>954617</v>
      </c>
      <c r="C41" s="3">
        <f ca="1">IF(B41="","",ROUND('Gas Giant'!O133,0))</f>
        <v>193</v>
      </c>
      <c r="D41" s="6">
        <f t="shared" ca="1" si="1"/>
        <v>3.4165970693189585E-4</v>
      </c>
      <c r="E41" s="6">
        <f t="shared" ca="1" si="2"/>
        <v>5.03812178819736E-4</v>
      </c>
    </row>
    <row r="42" spans="1:5" x14ac:dyDescent="0.25">
      <c r="A42" s="3" t="str">
        <f t="shared" ca="1" si="0"/>
        <v>key =</v>
      </c>
      <c r="B42" s="3">
        <f ca="1">IF('Gas Giant'!Q134="|",ROUND('Gas Giant'!N134,0),IF('Gas Giant'!Q134="V",ROUND('Gas Giant'!N134,-3),""))</f>
        <v>1014163</v>
      </c>
      <c r="C42" s="3">
        <f ca="1">IF(B42="","",ROUND('Gas Giant'!O134,0))</f>
        <v>223</v>
      </c>
      <c r="D42" s="6">
        <f t="shared" ca="1" si="1"/>
        <v>5.03812178819736E-4</v>
      </c>
      <c r="E42" s="6">
        <f t="shared" ca="1" si="2"/>
        <v>6.6667612306557536E-4</v>
      </c>
    </row>
    <row r="43" spans="1:5" x14ac:dyDescent="0.25">
      <c r="A43" s="3" t="str">
        <f t="shared" ca="1" si="0"/>
        <v>key =</v>
      </c>
      <c r="B43" s="3">
        <f ca="1">IF('Gas Giant'!Q135="|",ROUND('Gas Giant'!N135,0),IF('Gas Giant'!Q135="V",ROUND('Gas Giant'!N135,-3),""))</f>
        <v>1084662</v>
      </c>
      <c r="C43" s="3">
        <f ca="1">IF(B43="","",ROUND('Gas Giant'!O135,0))</f>
        <v>270</v>
      </c>
      <c r="D43" s="6">
        <f t="shared" ca="1" si="1"/>
        <v>6.6667612306557536E-4</v>
      </c>
      <c r="E43" s="6">
        <f t="shared" ca="1" si="2"/>
        <v>7.1141174412502192E-4</v>
      </c>
    </row>
    <row r="44" spans="1:5" x14ac:dyDescent="0.25">
      <c r="A44" s="3" t="str">
        <f t="shared" ca="1" si="0"/>
        <v>key =</v>
      </c>
      <c r="B44" s="3">
        <f ca="1">IF('Gas Giant'!Q136="|",ROUND('Gas Giant'!N136,0),IF('Gas Giant'!Q136="V",ROUND('Gas Giant'!N136,-3),""))</f>
        <v>1170407</v>
      </c>
      <c r="C44" s="3">
        <f ca="1">IF(B44="","",ROUND('Gas Giant'!O136,0))</f>
        <v>331</v>
      </c>
      <c r="D44" s="6">
        <f t="shared" ca="1" si="1"/>
        <v>7.1141174412502192E-4</v>
      </c>
      <c r="E44" s="6">
        <f t="shared" ca="1" si="2"/>
        <v>6.5312394947894157E-4</v>
      </c>
    </row>
    <row r="45" spans="1:5" x14ac:dyDescent="0.25">
      <c r="A45" s="3" t="str">
        <f t="shared" ca="1" si="0"/>
        <v>key =</v>
      </c>
      <c r="B45" s="3">
        <f ca="1">IF('Gas Giant'!Q137="|",ROUND('Gas Giant'!N137,0),IF('Gas Giant'!Q137="V",ROUND('Gas Giant'!N137,-3),""))</f>
        <v>1274522</v>
      </c>
      <c r="C45" s="3">
        <f ca="1">IF(B45="","",ROUND('Gas Giant'!O137,0))</f>
        <v>399</v>
      </c>
      <c r="D45" s="6">
        <f t="shared" ca="1" si="1"/>
        <v>6.5312394947894157E-4</v>
      </c>
      <c r="E45" s="6">
        <f t="shared" ca="1" si="2"/>
        <v>5.4190459243921775E-4</v>
      </c>
    </row>
    <row r="46" spans="1:5" x14ac:dyDescent="0.25">
      <c r="A46" s="3" t="str">
        <f t="shared" ca="1" si="0"/>
        <v>key =</v>
      </c>
      <c r="B46" s="3">
        <f ca="1">IF('Gas Giant'!Q138="|",ROUND('Gas Giant'!N138,0),IF('Gas Giant'!Q138="V",ROUND('Gas Giant'!N138,-3),""))</f>
        <v>1398160</v>
      </c>
      <c r="C46" s="3">
        <f ca="1">IF(B46="","",ROUND('Gas Giant'!O138,0))</f>
        <v>466</v>
      </c>
      <c r="D46" s="6">
        <f t="shared" ca="1" si="1"/>
        <v>5.4190459243921775E-4</v>
      </c>
      <c r="E46" s="6">
        <f t="shared" ca="1" si="2"/>
        <v>4.3546359313653189E-4</v>
      </c>
    </row>
    <row r="47" spans="1:5" x14ac:dyDescent="0.25">
      <c r="A47" s="3" t="str">
        <f t="shared" ca="1" si="0"/>
        <v>key =</v>
      </c>
      <c r="B47" s="3">
        <f ca="1">IF('Gas Giant'!Q139="|",ROUND('Gas Giant'!N139,0),IF('Gas Giant'!Q139="V",ROUND('Gas Giant'!N139,-3),""))</f>
        <v>1540537</v>
      </c>
      <c r="C47" s="3">
        <f ca="1">IF(B47="","",ROUND('Gas Giant'!O139,0))</f>
        <v>528</v>
      </c>
      <c r="D47" s="6">
        <f t="shared" ca="1" si="1"/>
        <v>4.3546359313653189E-4</v>
      </c>
      <c r="E47" s="6">
        <f t="shared" ca="1" si="2"/>
        <v>3.9251602773779929E-4</v>
      </c>
    </row>
    <row r="48" spans="1:5" x14ac:dyDescent="0.25">
      <c r="A48" s="3" t="str">
        <f t="shared" ref="A48:A51" ca="1" si="3">IF(B48="","Unused","key =")</f>
        <v>key =</v>
      </c>
      <c r="B48" s="3">
        <f ca="1">IF('Gas Giant'!Q140="|",ROUND('Gas Giant'!N140,0),IF('Gas Giant'!Q140="V",ROUND('Gas Giant'!N140,-3),""))</f>
        <v>1701040</v>
      </c>
      <c r="C48" s="3">
        <f ca="1">IF(B48="","",ROUND('Gas Giant'!O140,0))</f>
        <v>591</v>
      </c>
      <c r="D48" s="6">
        <f t="shared" ref="D48:D51" ca="1" si="4">IF(C48="","",(C48-C47)/(B48-B47))</f>
        <v>3.9251602773779929E-4</v>
      </c>
      <c r="E48" s="6">
        <f t="shared" ref="E48:E51" ca="1" si="5">IF(C48="","",IF(C49="",0,(C49-C48)/(B49-B48)))</f>
        <v>3.4644613321412607E-4</v>
      </c>
    </row>
    <row r="49" spans="1:5" x14ac:dyDescent="0.25">
      <c r="A49" s="3" t="str">
        <f t="shared" ca="1" si="3"/>
        <v>key =</v>
      </c>
      <c r="B49" s="3">
        <f ca="1">IF('Gas Giant'!Q141="|",ROUND('Gas Giant'!N141,0),IF('Gas Giant'!Q141="V",ROUND('Gas Giant'!N141,-3),""))</f>
        <v>1880000</v>
      </c>
      <c r="C49" s="3">
        <f ca="1">IF(B49="","",ROUND('Gas Giant'!O141,0))</f>
        <v>653</v>
      </c>
      <c r="D49" s="6">
        <f t="shared" ca="1" si="4"/>
        <v>3.4644613321412607E-4</v>
      </c>
      <c r="E49" s="6">
        <f t="shared" ca="1" si="5"/>
        <v>0</v>
      </c>
    </row>
    <row r="50" spans="1:5" x14ac:dyDescent="0.25">
      <c r="A50" s="3" t="str">
        <f t="shared" ca="1" si="3"/>
        <v>Unused</v>
      </c>
      <c r="B50" s="3" t="str">
        <f ca="1">IF('Gas Giant'!Q142="|",ROUND('Gas Giant'!N142,0),IF('Gas Giant'!Q142="V",ROUND('Gas Giant'!N142,-3),""))</f>
        <v/>
      </c>
      <c r="C50" s="3" t="str">
        <f ca="1">IF(B50="","",ROUND('Gas Giant'!O142,0))</f>
        <v/>
      </c>
      <c r="D50" s="6" t="str">
        <f t="shared" ca="1" si="4"/>
        <v/>
      </c>
      <c r="E50" s="6" t="str">
        <f t="shared" ca="1" si="5"/>
        <v/>
      </c>
    </row>
    <row r="51" spans="1:5" x14ac:dyDescent="0.25">
      <c r="A51" s="3" t="str">
        <f t="shared" ca="1" si="3"/>
        <v>Unused</v>
      </c>
      <c r="B51" s="3" t="str">
        <f ca="1">IF('Gas Giant'!Q143="|",ROUND('Gas Giant'!N143,0),IF('Gas Giant'!Q143="V",ROUND('Gas Giant'!N143,-3),""))</f>
        <v/>
      </c>
      <c r="C51" s="3" t="str">
        <f ca="1">IF(B51="","",ROUND('Gas Giant'!O143,0))</f>
        <v/>
      </c>
      <c r="D51" s="6" t="str">
        <f t="shared" ca="1" si="4"/>
        <v/>
      </c>
      <c r="E51" s="6" t="str">
        <f t="shared" ca="1" si="5"/>
        <v/>
      </c>
    </row>
    <row r="52" spans="1:5" x14ac:dyDescent="0.25">
      <c r="A52" s="10" t="s">
        <v>67</v>
      </c>
      <c r="B52" s="3"/>
      <c r="C52" s="3"/>
      <c r="D52" s="6"/>
      <c r="E52" s="6"/>
    </row>
    <row r="53" spans="1:5" x14ac:dyDescent="0.25">
      <c r="A53" s="10" t="s">
        <v>79</v>
      </c>
      <c r="B53" s="3"/>
      <c r="C53" s="3"/>
      <c r="D53" s="6"/>
      <c r="E53" s="6"/>
    </row>
    <row r="54" spans="1:5" x14ac:dyDescent="0.25">
      <c r="A54" s="10" t="s">
        <v>66</v>
      </c>
      <c r="B54" s="3"/>
      <c r="C54" s="3"/>
      <c r="D54" s="6"/>
      <c r="E54" s="6"/>
    </row>
    <row r="55" spans="1:5" x14ac:dyDescent="0.25">
      <c r="A55" s="3" t="str">
        <f t="shared" ref="A55:A63" si="6">IF(B55="","Unused","key =")</f>
        <v>key =</v>
      </c>
      <c r="B55" s="3">
        <v>0</v>
      </c>
      <c r="C55" s="49">
        <v>0</v>
      </c>
      <c r="D55" s="6">
        <v>0</v>
      </c>
      <c r="E55" s="6">
        <f ca="1">(C56-C55)/(B56-B55)</f>
        <v>0</v>
      </c>
    </row>
    <row r="56" spans="1:5" x14ac:dyDescent="0.25">
      <c r="A56" s="3" t="str">
        <f t="shared" ca="1" si="6"/>
        <v>key =</v>
      </c>
      <c r="B56" s="7">
        <f ca="1">ROUND('Gas Giant'!N116,0)</f>
        <v>227903</v>
      </c>
      <c r="C56" s="49">
        <f>ROUND('Gas Giant'!P116,3)</f>
        <v>0</v>
      </c>
      <c r="D56" s="6">
        <f ca="1">(C56-C55)/(B56-B55)</f>
        <v>0</v>
      </c>
      <c r="E56" s="6">
        <f t="shared" ref="E56:E62" ca="1" si="7">(C57-C56)/(B57-B56)</f>
        <v>1.1384594366902709E-6</v>
      </c>
    </row>
    <row r="57" spans="1:5" x14ac:dyDescent="0.25">
      <c r="A57" s="3" t="str">
        <f t="shared" ca="1" si="6"/>
        <v>key =</v>
      </c>
      <c r="B57" s="7">
        <f ca="1">ROUND('Gas Giant'!N117,0)</f>
        <v>271822</v>
      </c>
      <c r="C57" s="49">
        <f>ROUND('Gas Giant'!P117,3)</f>
        <v>0.05</v>
      </c>
      <c r="D57" s="6">
        <f t="shared" ref="D57:D63" ca="1" si="8">(C57-C56)/(B57-B56)</f>
        <v>1.1384594366902709E-6</v>
      </c>
      <c r="E57" s="6">
        <f t="shared" ca="1" si="7"/>
        <v>3.9543405478079782E-6</v>
      </c>
    </row>
    <row r="58" spans="1:5" x14ac:dyDescent="0.25">
      <c r="A58" s="3" t="str">
        <f t="shared" ca="1" si="6"/>
        <v>key =</v>
      </c>
      <c r="B58" s="7">
        <f ca="1">ROUND('Gas Giant'!N118,0)</f>
        <v>309755</v>
      </c>
      <c r="C58" s="49">
        <f>ROUND('Gas Giant'!P118,3)</f>
        <v>0.2</v>
      </c>
      <c r="D58" s="6">
        <f t="shared" ca="1" si="8"/>
        <v>3.9543405478079782E-6</v>
      </c>
      <c r="E58" s="6">
        <f t="shared" ca="1" si="7"/>
        <v>6.3640220619431473E-6</v>
      </c>
    </row>
    <row r="59" spans="1:5" x14ac:dyDescent="0.25">
      <c r="A59" s="3" t="str">
        <f t="shared" ca="1" si="6"/>
        <v>key =</v>
      </c>
      <c r="B59" s="7">
        <f ca="1">ROUND('Gas Giant'!N119,0)</f>
        <v>345110</v>
      </c>
      <c r="C59" s="49">
        <f>ROUND('Gas Giant'!P119,3)</f>
        <v>0.42499999999999999</v>
      </c>
      <c r="D59" s="6">
        <f t="shared" ca="1" si="8"/>
        <v>6.3640220619431473E-6</v>
      </c>
      <c r="E59" s="6">
        <f t="shared" ca="1" si="7"/>
        <v>6.4505031392448619E-6</v>
      </c>
    </row>
    <row r="60" spans="1:5" x14ac:dyDescent="0.25">
      <c r="A60" s="3" t="str">
        <f t="shared" ca="1" si="6"/>
        <v>key =</v>
      </c>
      <c r="B60" s="7">
        <f ca="1">ROUND('Gas Giant'!N120,0)</f>
        <v>379991</v>
      </c>
      <c r="C60" s="49">
        <f>ROUND('Gas Giant'!P120,3)</f>
        <v>0.65</v>
      </c>
      <c r="D60" s="6">
        <f t="shared" ca="1" si="8"/>
        <v>6.4505031392448619E-6</v>
      </c>
      <c r="E60" s="6">
        <f t="shared" ca="1" si="7"/>
        <v>5.6545094713033631E-6</v>
      </c>
    </row>
    <row r="61" spans="1:5" x14ac:dyDescent="0.25">
      <c r="A61" s="3" t="str">
        <f t="shared" ca="1" si="6"/>
        <v>key =</v>
      </c>
      <c r="B61" s="7">
        <f ca="1">ROUND('Gas Giant'!N121,0)</f>
        <v>415361</v>
      </c>
      <c r="C61" s="49">
        <f>ROUND('Gas Giant'!P121,3)</f>
        <v>0.85</v>
      </c>
      <c r="D61" s="6">
        <f t="shared" ca="1" si="8"/>
        <v>5.6545094713033631E-6</v>
      </c>
      <c r="E61" s="6">
        <f t="shared" ca="1" si="7"/>
        <v>4.0766408479412972E-6</v>
      </c>
    </row>
    <row r="62" spans="1:5" x14ac:dyDescent="0.25">
      <c r="A62" s="3" t="str">
        <f t="shared" ca="1" si="6"/>
        <v>key =</v>
      </c>
      <c r="B62" s="7">
        <f ca="1">ROUND('Gas Giant'!N122,0)</f>
        <v>452156</v>
      </c>
      <c r="C62" s="49">
        <f>ROUND('Gas Giant'!P122,3)</f>
        <v>1</v>
      </c>
      <c r="D62" s="6">
        <f t="shared" ca="1" si="8"/>
        <v>4.0766408479412972E-6</v>
      </c>
      <c r="E62" s="6">
        <f t="shared" ca="1" si="7"/>
        <v>7.0035662159171454E-7</v>
      </c>
    </row>
    <row r="63" spans="1:5" x14ac:dyDescent="0.25">
      <c r="A63" s="3" t="str">
        <f t="shared" ca="1" si="6"/>
        <v>key =</v>
      </c>
      <c r="B63" s="7">
        <f ca="1">'Gas Giant'!G89</f>
        <v>1880000</v>
      </c>
      <c r="C63" s="49">
        <v>2</v>
      </c>
      <c r="D63" s="6">
        <f t="shared" ca="1" si="8"/>
        <v>7.0035662159171454E-7</v>
      </c>
      <c r="E63" s="6">
        <v>0</v>
      </c>
    </row>
    <row r="64" spans="1:5" x14ac:dyDescent="0.25">
      <c r="A64" s="10" t="s">
        <v>67</v>
      </c>
      <c r="B64" s="3"/>
      <c r="C64" s="3"/>
      <c r="D64" s="3"/>
      <c r="E64" s="3"/>
    </row>
    <row r="65" spans="1:5" x14ac:dyDescent="0.25">
      <c r="A65" s="10" t="s">
        <v>80</v>
      </c>
      <c r="B65" s="3"/>
      <c r="C65" s="3"/>
      <c r="D65" s="3"/>
      <c r="E65" s="3"/>
    </row>
    <row r="66" spans="1:5" x14ac:dyDescent="0.25">
      <c r="A66" s="10" t="s">
        <v>66</v>
      </c>
      <c r="B66" s="3"/>
      <c r="C66" s="3"/>
      <c r="D66" s="3"/>
      <c r="E66" s="3"/>
    </row>
    <row r="67" spans="1:5" x14ac:dyDescent="0.25">
      <c r="A67" s="3" t="s">
        <v>78</v>
      </c>
      <c r="B67" s="3">
        <v>0</v>
      </c>
      <c r="C67" s="3">
        <f>ROUND('Gas Giant'!G$76*(COS(RADIANS(B67))-COS(RADIANS(38))),2)</f>
        <v>1.06</v>
      </c>
      <c r="D67" s="3">
        <v>0</v>
      </c>
      <c r="E67" s="3">
        <f>ROUND(-'Gas Giant'!G$76*SIN(RADIANS(B67))*PI()/180,4)</f>
        <v>0</v>
      </c>
    </row>
    <row r="68" spans="1:5" x14ac:dyDescent="0.25">
      <c r="A68" s="3" t="s">
        <v>78</v>
      </c>
      <c r="B68" s="3">
        <v>38</v>
      </c>
      <c r="C68" s="3">
        <f>ROUND('Gas Giant'!G$76*(COS(RADIANS(B68))-COS(RADIANS(38))),2)</f>
        <v>0</v>
      </c>
      <c r="D68" s="3">
        <f>ROUND(-'Gas Giant'!G$76*SIN(RADIANS(B68))*PI()/180,4)</f>
        <v>-5.3699999999999998E-2</v>
      </c>
      <c r="E68" s="3">
        <f>ROUND(-'Gas Giant'!G$76*SIN(RADIANS(B68))*PI()/180,4)</f>
        <v>-5.3699999999999998E-2</v>
      </c>
    </row>
    <row r="69" spans="1:5" x14ac:dyDescent="0.25">
      <c r="A69" s="3" t="s">
        <v>78</v>
      </c>
      <c r="B69" s="3">
        <v>90</v>
      </c>
      <c r="C69" s="3">
        <f>ROUND('Gas Giant'!G$76*(COS(RADIANS(B69))-COS(RADIANS(38))),2)</f>
        <v>-3.94</v>
      </c>
      <c r="D69" s="3">
        <f>ROUND(-'Gas Giant'!G$76*SIN(RADIANS(B69))*PI()/180,4)</f>
        <v>-8.7300000000000003E-2</v>
      </c>
      <c r="E69" s="3">
        <v>0</v>
      </c>
    </row>
    <row r="70" spans="1:5" x14ac:dyDescent="0.25">
      <c r="A70" s="10" t="s">
        <v>67</v>
      </c>
      <c r="B70" s="3"/>
      <c r="C70" s="3"/>
      <c r="D70" s="3"/>
      <c r="E70" s="3"/>
    </row>
    <row r="71" spans="1:5" x14ac:dyDescent="0.25">
      <c r="A71" s="10" t="s">
        <v>81</v>
      </c>
      <c r="B71" s="3"/>
      <c r="C71" s="3"/>
      <c r="D71" s="3"/>
      <c r="E71" s="3"/>
    </row>
    <row r="72" spans="1:5" x14ac:dyDescent="0.25">
      <c r="A72" s="10" t="s">
        <v>66</v>
      </c>
      <c r="B72" s="3"/>
      <c r="C72" s="3"/>
      <c r="D72" s="3"/>
      <c r="E72" s="3"/>
    </row>
    <row r="73" spans="1:5" x14ac:dyDescent="0.25">
      <c r="A73" s="3" t="s">
        <v>78</v>
      </c>
      <c r="B73" s="3">
        <v>0</v>
      </c>
      <c r="C73" s="3">
        <f>ROUND(('Gas Giant'!G$74-'Gas Giant'!G$75)*COS(RADIANS(B73))+'Gas Giant'!G$75,2)</f>
        <v>5</v>
      </c>
      <c r="D73" s="3">
        <v>0</v>
      </c>
      <c r="E73" s="3">
        <f>ROUND(('Gas Giant'!G$75-'Gas Giant'!G$74)*SIN(RADIANS(B73))*PI()/180,4)</f>
        <v>0</v>
      </c>
    </row>
    <row r="74" spans="1:5" x14ac:dyDescent="0.25">
      <c r="A74" s="3" t="s">
        <v>78</v>
      </c>
      <c r="B74" s="3">
        <v>38</v>
      </c>
      <c r="C74" s="3">
        <f>ROUND(('Gas Giant'!G$74-'Gas Giant'!G$75)*COS(RADIANS(B74))+'Gas Giant'!G$75,2)</f>
        <v>4.3600000000000003</v>
      </c>
      <c r="D74" s="3">
        <f>ROUND(('Gas Giant'!G$75-'Gas Giant'!G$74)*SIN(RADIANS(B74))*PI()/180,4)</f>
        <v>-3.2199999999999999E-2</v>
      </c>
      <c r="E74" s="3">
        <f>ROUND(('Gas Giant'!G$75-'Gas Giant'!G$74)*SIN(RADIANS(B74))*PI()/180,4)</f>
        <v>-3.2199999999999999E-2</v>
      </c>
    </row>
    <row r="75" spans="1:5" x14ac:dyDescent="0.25">
      <c r="A75" s="3" t="s">
        <v>78</v>
      </c>
      <c r="B75" s="3">
        <v>90</v>
      </c>
      <c r="C75" s="3">
        <f>ROUND(('Gas Giant'!G$74-'Gas Giant'!G$75)*COS(RADIANS(B75))+'Gas Giant'!G$75,2)</f>
        <v>2</v>
      </c>
      <c r="D75" s="3">
        <f>ROUND(('Gas Giant'!G$75-'Gas Giant'!G$74)*SIN(RADIANS(B75))*PI()/180,4)</f>
        <v>-5.2400000000000002E-2</v>
      </c>
      <c r="E75" s="3">
        <v>0</v>
      </c>
    </row>
    <row r="76" spans="1:5" x14ac:dyDescent="0.25">
      <c r="A76" s="10" t="s">
        <v>67</v>
      </c>
      <c r="B76" s="3"/>
      <c r="C76" s="3"/>
      <c r="D76" s="3"/>
      <c r="E76" s="3"/>
    </row>
    <row r="77" spans="1:5" x14ac:dyDescent="0.25">
      <c r="A77" s="10" t="s">
        <v>82</v>
      </c>
      <c r="B77" s="3"/>
      <c r="C77" s="3"/>
      <c r="D77" s="3"/>
      <c r="E77" s="3"/>
    </row>
    <row r="78" spans="1:5" x14ac:dyDescent="0.25">
      <c r="A78" s="10" t="s">
        <v>66</v>
      </c>
      <c r="B78" s="3"/>
      <c r="C78" s="3"/>
      <c r="D78" s="3"/>
      <c r="E78" s="3"/>
    </row>
    <row r="79" spans="1:5" x14ac:dyDescent="0.25">
      <c r="A79" s="3" t="s">
        <v>78</v>
      </c>
      <c r="B79" s="3">
        <v>0</v>
      </c>
      <c r="C79" s="3">
        <f>ROUND(-'Gas Giant'!G$77*'Gas Giant'!G$79*SIN(RADIANS(B79-36+'Gas Giant'!G$26)),2)</f>
        <v>-1.36</v>
      </c>
      <c r="D79" s="3">
        <v>0</v>
      </c>
      <c r="E79" s="3">
        <f>IF('Gas Giant'!G$25,D84,0)</f>
        <v>0.75170000000000003</v>
      </c>
    </row>
    <row r="80" spans="1:5" x14ac:dyDescent="0.25">
      <c r="A80" s="3" t="str">
        <f t="shared" ref="A80:A84" si="9">IF(B80="","Unused","key =")</f>
        <v>key =</v>
      </c>
      <c r="B80" s="3">
        <f>IF('Gas Giant'!G$25&gt;0,MIN(IF(36-'Gas Giant'!G$26&lt;0,36-'Gas Giant'!G$26+360,36-'Gas Giant'!G$26),IF(126-'Gas Giant'!G$26&lt;0,126-'Gas Giant'!G$26+360,126-'Gas Giant'!G$26),IF(216-'Gas Giant'!G$26&lt;0,216-'Gas Giant'!G$26+360,216-'Gas Giant'!G$26),IF(306-'Gas Giant'!G$26&lt;0,306-'Gas Giant'!G$26+360,306-'Gas Giant'!G$26)),"")</f>
        <v>1.8109728219999965</v>
      </c>
      <c r="C80" s="3">
        <f>IF('Gas Giant'!G$25&gt;0,ROUND(-'Gas Giant'!G$77*'Gas Giant'!G$79*SIN(RADIANS(B80-36+'Gas Giant'!G$26)),2),"")</f>
        <v>0</v>
      </c>
      <c r="D80" s="3">
        <f>IF('Gas Giant'!G$25&gt;0,ROUND('Gas Giant'!G$77*'Gas Giant'!G$79*SIN(RADIANS(270))*COS(RADIANS(B80-36+'Gas Giant'!G$26))*PI()/180,4),"")</f>
        <v>0.752</v>
      </c>
      <c r="E80" s="3">
        <f>IF('Gas Giant'!G$25,D80,"")</f>
        <v>0.752</v>
      </c>
    </row>
    <row r="81" spans="1:5" x14ac:dyDescent="0.25">
      <c r="A81" s="3" t="str">
        <f t="shared" si="9"/>
        <v>key =</v>
      </c>
      <c r="B81" s="3">
        <f>IF('Gas Giant'!G$25&gt;0,B80+90,"")</f>
        <v>91.810972821999997</v>
      </c>
      <c r="C81" s="3">
        <f>IF('Gas Giant'!G$25&gt;0,ROUND(-'Gas Giant'!G$77*'Gas Giant'!G$79*SIN(RADIANS(B81-36+'Gas Giant'!G$26)),2),"")</f>
        <v>43.09</v>
      </c>
      <c r="D81" s="3">
        <f>IF('Gas Giant'!G$25&gt;0,ROUND('Gas Giant'!G$77*'Gas Giant'!G$79*SIN(RADIANS(270))*COS(RADIANS(B81-36+'Gas Giant'!G$26))*PI()/180,4),"")</f>
        <v>0</v>
      </c>
      <c r="E81" s="3">
        <f>IF('Gas Giant'!G$25&gt;0,D81,"")</f>
        <v>0</v>
      </c>
    </row>
    <row r="82" spans="1:5" x14ac:dyDescent="0.25">
      <c r="A82" s="3" t="str">
        <f t="shared" si="9"/>
        <v>key =</v>
      </c>
      <c r="B82" s="3">
        <f>IF('Gas Giant'!G$25&gt;0,B81+90,"")</f>
        <v>181.810972822</v>
      </c>
      <c r="C82" s="3">
        <f>IF('Gas Giant'!G$25&gt;0,ROUND(-'Gas Giant'!G$77*'Gas Giant'!G$79*SIN(RADIANS(B82-36+'Gas Giant'!G$26)),2),"")</f>
        <v>0</v>
      </c>
      <c r="D82" s="3">
        <f>IF('Gas Giant'!G$25&gt;0,ROUND('Gas Giant'!G$77*'Gas Giant'!G$79*SIN(RADIANS(270))*COS(RADIANS(B82-36+'Gas Giant'!G$26))*PI()/180,4),"")</f>
        <v>-0.752</v>
      </c>
      <c r="E82" s="3">
        <f>IF('Gas Giant'!G$25&gt;0,D82,"")</f>
        <v>-0.752</v>
      </c>
    </row>
    <row r="83" spans="1:5" x14ac:dyDescent="0.25">
      <c r="A83" s="3" t="str">
        <f t="shared" si="9"/>
        <v>key =</v>
      </c>
      <c r="B83" s="3">
        <f>IF('Gas Giant'!G$25&gt;0,B82+90,"")</f>
        <v>271.810972822</v>
      </c>
      <c r="C83" s="3">
        <f>IF('Gas Giant'!G$25&gt;0,ROUND(-'Gas Giant'!G$77*'Gas Giant'!G$79*SIN(RADIANS(B83-36+'Gas Giant'!G$26)),2),"")</f>
        <v>-43.09</v>
      </c>
      <c r="D83" s="3">
        <f>IF('Gas Giant'!G$25&gt;0,ROUND('Gas Giant'!G$77*'Gas Giant'!G$79*SIN(RADIANS(270))*COS(RADIANS(B83-36+'Gas Giant'!G$26))*PI()/180,4),"")</f>
        <v>0</v>
      </c>
      <c r="E83" s="3">
        <f>IF('Gas Giant'!G$25&gt;0,D83,"")</f>
        <v>0</v>
      </c>
    </row>
    <row r="84" spans="1:5" x14ac:dyDescent="0.25">
      <c r="A84" s="3" t="str">
        <f t="shared" si="9"/>
        <v>key =</v>
      </c>
      <c r="B84" s="3">
        <f>IF('Gas Giant'!G$25&gt;0,360,"")</f>
        <v>360</v>
      </c>
      <c r="C84" s="3">
        <f>IF('Gas Giant'!G$25&gt;0,ROUND(-'Gas Giant'!G$77*'Gas Giant'!G$79*SIN(RADIANS(B84-36+'Gas Giant'!G$26)),2),"")</f>
        <v>-1.36</v>
      </c>
      <c r="D84" s="3">
        <f>IF('Gas Giant'!G$25&gt;0,ROUND('Gas Giant'!G$77*'Gas Giant'!G$79*SIN(RADIANS(270))*COS(RADIANS(B84-36+'Gas Giant'!G$26))*PI()/180,4),"")</f>
        <v>0.75170000000000003</v>
      </c>
      <c r="E84" s="3">
        <f>IF('Gas Giant'!G$25&gt;0,0,"")</f>
        <v>0</v>
      </c>
    </row>
    <row r="85" spans="1:5" x14ac:dyDescent="0.25">
      <c r="A85" s="10" t="s">
        <v>67</v>
      </c>
      <c r="B85" s="3"/>
      <c r="C85" s="3"/>
      <c r="D85" s="3"/>
      <c r="E85" s="3"/>
    </row>
    <row r="86" spans="1:5" x14ac:dyDescent="0.25">
      <c r="A86" s="10" t="s">
        <v>83</v>
      </c>
      <c r="B86" s="3"/>
      <c r="C86" s="3"/>
      <c r="D86" s="3"/>
      <c r="E86" s="3"/>
    </row>
    <row r="87" spans="1:5" x14ac:dyDescent="0.25">
      <c r="A87" s="10" t="s">
        <v>66</v>
      </c>
      <c r="B87" s="3"/>
      <c r="C87" s="3"/>
      <c r="D87" s="3"/>
      <c r="E87" s="3"/>
    </row>
    <row r="88" spans="1:5" x14ac:dyDescent="0.25">
      <c r="A88" s="3" t="s">
        <v>78</v>
      </c>
      <c r="B88" s="3">
        <v>0</v>
      </c>
      <c r="C88" s="3">
        <v>0</v>
      </c>
      <c r="D88" s="3">
        <v>0</v>
      </c>
      <c r="E88" s="3">
        <v>0</v>
      </c>
    </row>
    <row r="89" spans="1:5" x14ac:dyDescent="0.25">
      <c r="A89" s="3" t="str">
        <f t="shared" ref="A89:A90" si="10">IF(B89="","Unused","key =")</f>
        <v>key =</v>
      </c>
      <c r="B89" s="3">
        <f>IF('Gas Giant'!G$25&gt;0,38,"")</f>
        <v>38</v>
      </c>
      <c r="C89" s="3">
        <f>IF('Gas Giant'!G$25&gt;0,0.5,"")</f>
        <v>0.5</v>
      </c>
      <c r="D89" s="3">
        <f>IF('Gas Giant'!G$25&gt;0,0.02,"")</f>
        <v>0.02</v>
      </c>
      <c r="E89" s="3">
        <f>IF('Gas Giant'!G$25&gt;0,0.02,"")</f>
        <v>0.02</v>
      </c>
    </row>
    <row r="90" spans="1:5" x14ac:dyDescent="0.25">
      <c r="A90" s="3" t="str">
        <f t="shared" si="10"/>
        <v>key =</v>
      </c>
      <c r="B90" s="3">
        <f>IF('Gas Giant'!G$25&gt;0,90,"")</f>
        <v>90</v>
      </c>
      <c r="C90" s="3">
        <f>IF('Gas Giant'!G$25&gt;0,1,"")</f>
        <v>1</v>
      </c>
      <c r="D90" s="3">
        <f>IF('Gas Giant'!G$25&gt;0,0,"")</f>
        <v>0</v>
      </c>
      <c r="E90" s="3">
        <f>IF('Gas Giant'!G$25&gt;0,0,"")</f>
        <v>0</v>
      </c>
    </row>
    <row r="91" spans="1:5" x14ac:dyDescent="0.25">
      <c r="A91" s="10" t="s">
        <v>67</v>
      </c>
      <c r="B91" s="3"/>
      <c r="C91" s="3"/>
      <c r="D91" s="3"/>
      <c r="E91" s="3"/>
    </row>
    <row r="92" spans="1:5" x14ac:dyDescent="0.25">
      <c r="A92" s="10" t="s">
        <v>84</v>
      </c>
      <c r="B92" s="3"/>
      <c r="C92" s="3"/>
      <c r="D92" s="3"/>
      <c r="E92" s="3"/>
    </row>
    <row r="93" spans="1:5" x14ac:dyDescent="0.25">
      <c r="A93" s="10" t="s">
        <v>66</v>
      </c>
      <c r="B93" s="3"/>
      <c r="C93" s="3"/>
      <c r="D93" s="3"/>
      <c r="E93" s="3"/>
    </row>
    <row r="94" spans="1:5" x14ac:dyDescent="0.25">
      <c r="A94" s="3" t="s">
        <v>78</v>
      </c>
      <c r="B94" s="3">
        <v>0</v>
      </c>
      <c r="C94" s="3">
        <f>ROUND('Gas Giant'!G$78*'Gas Giant'!G$79,1)/2</f>
        <v>3.65</v>
      </c>
      <c r="D94" s="3">
        <v>0</v>
      </c>
      <c r="E94" s="3">
        <f>-2*C94</f>
        <v>-7.3</v>
      </c>
    </row>
    <row r="95" spans="1:5" x14ac:dyDescent="0.25">
      <c r="A95" s="3" t="str">
        <f t="shared" ref="A95" si="11">IF(B95="","Unused","key =")</f>
        <v>key =</v>
      </c>
      <c r="B95" s="3">
        <f>IF('Gas Giant'!G$24&gt;0,1,"")</f>
        <v>1</v>
      </c>
      <c r="C95" s="3">
        <f>IF('Gas Giant'!G$24&gt;0,-C94,"")</f>
        <v>-3.65</v>
      </c>
      <c r="D95" s="3">
        <f>IF('Gas Giant'!G$24&gt;0,E94,"")</f>
        <v>-7.3</v>
      </c>
      <c r="E95" s="3">
        <f>IF('Gas Giant'!G$24&gt;0,0,"")</f>
        <v>0</v>
      </c>
    </row>
    <row r="96" spans="1:5" x14ac:dyDescent="0.25">
      <c r="A96" s="10" t="s">
        <v>67</v>
      </c>
      <c r="B96" s="3"/>
      <c r="C96" s="3"/>
      <c r="D96" s="3"/>
      <c r="E96" s="3"/>
    </row>
    <row r="97" spans="1:5" x14ac:dyDescent="0.25">
      <c r="A97" s="10" t="s">
        <v>85</v>
      </c>
      <c r="B97" s="3"/>
      <c r="C97" s="3"/>
      <c r="D97" s="3"/>
      <c r="E97" s="3"/>
    </row>
    <row r="98" spans="1:5" x14ac:dyDescent="0.25">
      <c r="A98" s="10" t="s">
        <v>66</v>
      </c>
      <c r="B98" s="3"/>
      <c r="C98" s="3"/>
      <c r="D98" s="3"/>
      <c r="E98" s="3"/>
    </row>
    <row r="99" spans="1:5" x14ac:dyDescent="0.25">
      <c r="A99" s="3" t="str">
        <f t="shared" ref="A99:A128" si="12">IF(B99="","Unused","key =")</f>
        <v>key =</v>
      </c>
      <c r="B99" s="3">
        <f>IF('Gas Giant'!Q110="|",ROUND('Gas Giant'!N110,0),IF('Gas Giant'!Q110="V",ROUND('Gas Giant'!N110,-3),""))</f>
        <v>0</v>
      </c>
      <c r="C99" s="6">
        <f ca="1">IF(B99="","",IF(B100="",0,'Gas Giant'!H110/1000))</f>
        <v>101325</v>
      </c>
      <c r="D99" s="6">
        <v>0</v>
      </c>
      <c r="E99" s="6">
        <f ca="1">-(C99*1.001-C99*0.999)/('Gas Giant'!G110*LN((C99*1.001)/(C99*0.999)))*('Gas Giant'!F$113/20000)</f>
        <v>-8.4979304791039354</v>
      </c>
    </row>
    <row r="100" spans="1:5" x14ac:dyDescent="0.25">
      <c r="A100" s="3" t="str">
        <f t="shared" ca="1" si="12"/>
        <v>key =</v>
      </c>
      <c r="B100" s="3">
        <f ca="1">IF('Gas Giant'!Q111="|",ROUND('Gas Giant'!N111,0),IF('Gas Giant'!Q111="V",ROUND('Gas Giant'!N111,-3),""))</f>
        <v>8197</v>
      </c>
      <c r="C100" s="6">
        <f ca="1">IF(B100="","",IF(B101="",0,'Gas Giant'!H111/1000))</f>
        <v>47030.898856581509</v>
      </c>
      <c r="D100" s="6">
        <f ca="1">-(C100*1.001-C100*0.999)/('Gas Giant'!G111*LN((C100*1.001)/(C100*0.999)))*('Gas Giant'!F$113/20000)</f>
        <v>-4.9497746018834334</v>
      </c>
      <c r="E100" s="6">
        <f ca="1">D100</f>
        <v>-4.9497746018834334</v>
      </c>
    </row>
    <row r="101" spans="1:5" x14ac:dyDescent="0.25">
      <c r="A101" s="3" t="str">
        <f t="shared" ca="1" si="12"/>
        <v>key =</v>
      </c>
      <c r="B101" s="3">
        <f ca="1">IF('Gas Giant'!Q112="|",ROUND('Gas Giant'!N112,0),IF('Gas Giant'!Q112="V",ROUND('Gas Giant'!N112,-3),""))</f>
        <v>14758</v>
      </c>
      <c r="C101" s="6">
        <f ca="1">IF(B101="","",IF(B102="",0,'Gas Giant'!H112/1000))</f>
        <v>21829.809496748054</v>
      </c>
      <c r="D101" s="6">
        <f ca="1">-(C101*1.001-C101*0.999)/('Gas Giant'!G112*LN((C101*1.001)/(C101*0.999)))*('Gas Giant'!F$113/20000)</f>
        <v>-2.8689818128813105</v>
      </c>
      <c r="E101" s="6">
        <f ca="1">D101</f>
        <v>-2.8689818128813105</v>
      </c>
    </row>
    <row r="102" spans="1:5" x14ac:dyDescent="0.25">
      <c r="A102" s="3" t="str">
        <f t="shared" ca="1" si="12"/>
        <v>key =</v>
      </c>
      <c r="B102" s="3">
        <f ca="1">IF('Gas Giant'!Q113="|",ROUND('Gas Giant'!N113,0),IF('Gas Giant'!Q113="V",ROUND('Gas Giant'!N113,-3),""))</f>
        <v>20000</v>
      </c>
      <c r="C102" s="6">
        <f ca="1">IF(B102="","",IF(B103="",0,'Gas Giant'!H113/1000))</f>
        <v>10132.499999999996</v>
      </c>
      <c r="D102" s="6">
        <f ca="1">-(C102*1.001-C102*0.999)/('Gas Giant'!G113*LN((C102*1.001)/(C102*0.999)))*('Gas Giant'!F$113/20000)</f>
        <v>-1.6770624315459237</v>
      </c>
      <c r="E102" s="6">
        <f ca="1">-(C102*1.001-C102*0.999)/('Gas Giant'!G$113*LN((C102*1.001)/(C102*0.999)))/IF('Gas Giant'!G$88&gt;0,'Gas Giant'!G$88,0.5)</f>
        <v>-8.0353104193347888E-2</v>
      </c>
    </row>
    <row r="103" spans="1:5" x14ac:dyDescent="0.25">
      <c r="A103" s="3" t="str">
        <f t="shared" ca="1" si="12"/>
        <v>key =</v>
      </c>
      <c r="B103" s="3">
        <f ca="1">IF('Gas Giant'!Q114="|",ROUND('Gas Giant'!N114,0),IF('Gas Giant'!Q114="V",ROUND('Gas Giant'!N114,-3),""))</f>
        <v>106303</v>
      </c>
      <c r="C103" s="6">
        <f ca="1">IF(B103="","",IF(B104="",0,'Gas Giant'!H114/1000))</f>
        <v>4703.089885658148</v>
      </c>
      <c r="D103" s="6">
        <f ca="1">IF(C103="","",IF(C103=0,0,-(C103*1.001-C103*0.999)/('Gas Giant'!G114*LN((C103*1.001)/(C103*0.999)))/IF('Gas Giant'!G$88&gt;0,'Gas Giant'!G$88,0.5)))</f>
        <v>-4.7752015436380787E-2</v>
      </c>
      <c r="E103" s="6">
        <f t="shared" ref="E103:E128" ca="1" si="13">D103</f>
        <v>-4.7752015436380787E-2</v>
      </c>
    </row>
    <row r="104" spans="1:5" x14ac:dyDescent="0.25">
      <c r="A104" s="3" t="str">
        <f t="shared" ca="1" si="12"/>
        <v>key =</v>
      </c>
      <c r="B104" s="3">
        <f ca="1">IF('Gas Giant'!Q115="|",ROUND('Gas Giant'!N115,0),IF('Gas Giant'!Q115="V",ROUND('Gas Giant'!N115,-3),""))</f>
        <v>174098</v>
      </c>
      <c r="C104" s="6">
        <f ca="1">IF(B104="","",IF(B105="",0,'Gas Giant'!H115/1000))</f>
        <v>2182.9809496748067</v>
      </c>
      <c r="D104" s="6">
        <f ca="1">IF(C104="","",IF(C104=0,0,-(C104*1.001-C104*0.999)/('Gas Giant'!G115*LN((C104*1.001)/(C104*0.999)))/IF('Gas Giant'!G$88&gt;0,'Gas Giant'!G$88,0.5)))</f>
        <v>-2.8103553776563175E-2</v>
      </c>
      <c r="E104" s="6">
        <f t="shared" ca="1" si="13"/>
        <v>-2.8103553776563175E-2</v>
      </c>
    </row>
    <row r="105" spans="1:5" x14ac:dyDescent="0.25">
      <c r="A105" s="3" t="str">
        <f t="shared" ca="1" si="12"/>
        <v>key =</v>
      </c>
      <c r="B105" s="3">
        <f ca="1">IF('Gas Giant'!Q116="|",ROUND('Gas Giant'!N116,0),IF('Gas Giant'!Q116="V",ROUND('Gas Giant'!N116,-3),""))</f>
        <v>227903</v>
      </c>
      <c r="C105" s="6">
        <f ca="1">IF(B105="","",IF(B106="",0,'Gas Giant'!H116/1000))</f>
        <v>1013.25</v>
      </c>
      <c r="D105" s="6">
        <f ca="1">IF(C105="","",IF(C105=0,0,-(C105*1.001-C105*0.999)/('Gas Giant'!G116*LN((C105*1.001)/(C105*0.999)))/IF('Gas Giant'!G$88&gt;0,'Gas Giant'!G$88,0.5)))</f>
        <v>-1.63532966649509E-2</v>
      </c>
      <c r="E105" s="6">
        <f t="shared" ca="1" si="13"/>
        <v>-1.63532966649509E-2</v>
      </c>
    </row>
    <row r="106" spans="1:5" x14ac:dyDescent="0.25">
      <c r="A106" s="3" t="str">
        <f t="shared" ca="1" si="12"/>
        <v>key =</v>
      </c>
      <c r="B106" s="3">
        <f ca="1">IF('Gas Giant'!Q117="|",ROUND('Gas Giant'!N117,0),IF('Gas Giant'!Q117="V",ROUND('Gas Giant'!N117,-3),""))</f>
        <v>271822</v>
      </c>
      <c r="C106" s="6">
        <f ca="1">IF(B106="","",IF(B107="",0,'Gas Giant'!H117/1000))</f>
        <v>470.30898856581496</v>
      </c>
      <c r="D106" s="6">
        <f ca="1">IF(C106="","",IF(C106=0,0,-(C106*1.001-C106*0.999)/('Gas Giant'!G117*LN((C106*1.001)/(C106*0.999)))/IF('Gas Giant'!G$88&gt;0,'Gas Giant'!G$88,0.5)))</f>
        <v>-9.0853582041982434E-3</v>
      </c>
      <c r="E106" s="6">
        <f t="shared" ca="1" si="13"/>
        <v>-9.0853582041982434E-3</v>
      </c>
    </row>
    <row r="107" spans="1:5" x14ac:dyDescent="0.25">
      <c r="A107" s="3" t="str">
        <f t="shared" ca="1" si="12"/>
        <v>key =</v>
      </c>
      <c r="B107" s="3">
        <f ca="1">IF('Gas Giant'!Q118="|",ROUND('Gas Giant'!N118,0),IF('Gas Giant'!Q118="V",ROUND('Gas Giant'!N118,-3),""))</f>
        <v>309755</v>
      </c>
      <c r="C107" s="6">
        <f ca="1">IF(B107="","",IF(B108="",0,'Gas Giant'!H118/1000))</f>
        <v>218.29809496748067</v>
      </c>
      <c r="D107" s="6">
        <f ca="1">IF(C107="","",IF(C107=0,0,-(C107*1.001-C107*0.999)/('Gas Giant'!G118*LN((C107*1.001)/(C107*0.999)))/IF('Gas Giant'!G$88&gt;0,'Gas Giant'!G$88,0.5)))</f>
        <v>-4.7206082755248992E-3</v>
      </c>
      <c r="E107" s="6">
        <f t="shared" ca="1" si="13"/>
        <v>-4.7206082755248992E-3</v>
      </c>
    </row>
    <row r="108" spans="1:5" x14ac:dyDescent="0.25">
      <c r="A108" s="3" t="str">
        <f t="shared" ca="1" si="12"/>
        <v>key =</v>
      </c>
      <c r="B108" s="3">
        <f ca="1">IF('Gas Giant'!Q119="|",ROUND('Gas Giant'!N119,0),IF('Gas Giant'!Q119="V",ROUND('Gas Giant'!N119,-3),""))</f>
        <v>345110</v>
      </c>
      <c r="C108" s="6">
        <f ca="1">IF(B108="","",IF(B109="",0,'Gas Giant'!H119/1000))</f>
        <v>101.325</v>
      </c>
      <c r="D108" s="6">
        <f ca="1">IF(C108="","",IF(C108=0,0,-(C108*1.001-C108*0.999)/('Gas Giant'!G119*LN((C108*1.001)/(C108*0.999)))/IF('Gas Giant'!G$88&gt;0,'Gas Giant'!G$88,0.5)))</f>
        <v>-2.2532019249383033E-3</v>
      </c>
      <c r="E108" s="6">
        <f t="shared" ca="1" si="13"/>
        <v>-2.2532019249383033E-3</v>
      </c>
    </row>
    <row r="109" spans="1:5" x14ac:dyDescent="0.25">
      <c r="A109" s="3" t="str">
        <f t="shared" ca="1" si="12"/>
        <v>key =</v>
      </c>
      <c r="B109" s="3">
        <f ca="1">IF('Gas Giant'!Q120="|",ROUND('Gas Giant'!N120,0),IF('Gas Giant'!Q120="V",ROUND('Gas Giant'!N120,-3),""))</f>
        <v>379991</v>
      </c>
      <c r="C109" s="6">
        <f ca="1">IF(B109="","",IF(B110="",0,'Gas Giant'!H120/1000))</f>
        <v>47.03089885658148</v>
      </c>
      <c r="D109" s="6">
        <f ca="1">IF(C109="","",IF(C109=0,0,-(C109*1.001-C109*0.999)/('Gas Giant'!G120*LN((C109*1.001)/(C109*0.999)))/IF('Gas Giant'!G$88&gt;0,'Gas Giant'!G$88,0.5)))</f>
        <v>-1.0458436894668507E-3</v>
      </c>
      <c r="E109" s="6">
        <f t="shared" ca="1" si="13"/>
        <v>-1.0458436894668507E-3</v>
      </c>
    </row>
    <row r="110" spans="1:5" x14ac:dyDescent="0.25">
      <c r="A110" s="3" t="str">
        <f t="shared" ca="1" si="12"/>
        <v>key =</v>
      </c>
      <c r="B110" s="3">
        <f ca="1">IF('Gas Giant'!Q121="|",ROUND('Gas Giant'!N121,0),IF('Gas Giant'!Q121="V",ROUND('Gas Giant'!N121,-3),""))</f>
        <v>415361</v>
      </c>
      <c r="C110" s="6">
        <f ca="1">IF(B110="","",IF(B111="",0,'Gas Giant'!H121/1000))</f>
        <v>21.829809496748062</v>
      </c>
      <c r="D110" s="6">
        <f ca="1">IF(C110="","",IF(C110=0,0,-(C110*1.001-C110*0.999)/('Gas Giant'!G121*LN((C110*1.001)/(C110*0.999)))/IF('Gas Giant'!G$88&gt;0,'Gas Giant'!G$88,0.5)))</f>
        <v>-4.7258805247369653E-4</v>
      </c>
      <c r="E110" s="6">
        <f t="shared" ca="1" si="13"/>
        <v>-4.7258805247369653E-4</v>
      </c>
    </row>
    <row r="111" spans="1:5" x14ac:dyDescent="0.25">
      <c r="A111" s="3" t="str">
        <f t="shared" ca="1" si="12"/>
        <v>key =</v>
      </c>
      <c r="B111" s="3">
        <f ca="1">IF('Gas Giant'!Q122="|",ROUND('Gas Giant'!N122,0),IF('Gas Giant'!Q122="V",ROUND('Gas Giant'!N122,-3),""))</f>
        <v>452156</v>
      </c>
      <c r="C111" s="6">
        <f ca="1">IF(B111="","",IF(B112="",0,'Gas Giant'!H122/1000))</f>
        <v>10.1325</v>
      </c>
      <c r="D111" s="6">
        <f ca="1">IF(C111="","",IF(C111=0,0,-(C111*1.001-C111*0.999)/('Gas Giant'!G122*LN((C111*1.001)/(C111*0.999)))/IF('Gas Giant'!G$88&gt;0,'Gas Giant'!G$88,0.5)))</f>
        <v>-2.0845036387204965E-4</v>
      </c>
      <c r="E111" s="6">
        <f t="shared" ca="1" si="13"/>
        <v>-2.0845036387204965E-4</v>
      </c>
    </row>
    <row r="112" spans="1:5" x14ac:dyDescent="0.25">
      <c r="A112" s="3" t="str">
        <f t="shared" ca="1" si="12"/>
        <v>key =</v>
      </c>
      <c r="B112" s="3">
        <f ca="1">IF('Gas Giant'!Q123="|",ROUND('Gas Giant'!N123,0),IF('Gas Giant'!Q123="V",ROUND('Gas Giant'!N123,-3),""))</f>
        <v>491100</v>
      </c>
      <c r="C112" s="6">
        <f ca="1">IF(B112="","",IF(B113="",0,'Gas Giant'!H123/1000))</f>
        <v>4.7030898856581471</v>
      </c>
      <c r="D112" s="6">
        <f ca="1">IF(C112="","",IF(C112=0,0,-(C112*1.001-C112*0.999)/('Gas Giant'!G123*LN((C112*1.001)/(C112*0.999)))/IF('Gas Giant'!G$88&gt;0,'Gas Giant'!G$88,0.5)))</f>
        <v>-9.0991661553968843E-5</v>
      </c>
      <c r="E112" s="6">
        <f t="shared" ca="1" si="13"/>
        <v>-9.0991661553968843E-5</v>
      </c>
    </row>
    <row r="113" spans="1:5" x14ac:dyDescent="0.25">
      <c r="A113" s="3" t="str">
        <f t="shared" ca="1" si="12"/>
        <v>key =</v>
      </c>
      <c r="B113" s="3">
        <f ca="1">IF('Gas Giant'!Q124="|",ROUND('Gas Giant'!N124,0),IF('Gas Giant'!Q124="V",ROUND('Gas Giant'!N124,-3),""))</f>
        <v>532481</v>
      </c>
      <c r="C113" s="6">
        <f ca="1">IF(B113="","",IF(B114="",0,'Gas Giant'!H124/1000))</f>
        <v>2.182980949674806</v>
      </c>
      <c r="D113" s="6">
        <f ca="1">IF(C113="","",IF(C113=0,0,-(C113*1.001-C113*0.999)/('Gas Giant'!G124*LN((C113*1.001)/(C113*0.999)))/IF('Gas Giant'!G$88&gt;0,'Gas Giant'!G$88,0.5)))</f>
        <v>-3.9818757284342219E-5</v>
      </c>
      <c r="E113" s="6">
        <f t="shared" ca="1" si="13"/>
        <v>-3.9818757284342219E-5</v>
      </c>
    </row>
    <row r="114" spans="1:5" x14ac:dyDescent="0.25">
      <c r="A114" s="3" t="str">
        <f t="shared" ca="1" si="12"/>
        <v>key =</v>
      </c>
      <c r="B114" s="3">
        <f ca="1">IF('Gas Giant'!Q125="|",ROUND('Gas Giant'!N125,0),IF('Gas Giant'!Q125="V",ROUND('Gas Giant'!N125,-3),""))</f>
        <v>576150</v>
      </c>
      <c r="C114" s="6">
        <f ca="1">IF(B114="","",IF(B115="",0,'Gas Giant'!H125/1000))</f>
        <v>1.0132500000000004</v>
      </c>
      <c r="D114" s="6">
        <f ca="1">IF(C114="","",IF(C114=0,0,-(C114*1.001-C114*0.999)/('Gas Giant'!G125*LN((C114*1.001)/(C114*0.999)))/IF('Gas Giant'!G$88&gt;0,'Gas Giant'!G$88,0.5)))</f>
        <v>-1.7622197625395346E-5</v>
      </c>
      <c r="E114" s="6">
        <f t="shared" ca="1" si="13"/>
        <v>-1.7622197625395346E-5</v>
      </c>
    </row>
    <row r="115" spans="1:5" x14ac:dyDescent="0.25">
      <c r="A115" s="3" t="str">
        <f t="shared" ca="1" si="12"/>
        <v>key =</v>
      </c>
      <c r="B115" s="3">
        <f ca="1">IF('Gas Giant'!Q126="|",ROUND('Gas Giant'!N126,0),IF('Gas Giant'!Q126="V",ROUND('Gas Giant'!N126,-3),""))</f>
        <v>621519</v>
      </c>
      <c r="C115" s="6">
        <f ca="1">IF(B115="","",IF(B116="",0,'Gas Giant'!H126/1000))</f>
        <v>0.47030898856581499</v>
      </c>
      <c r="D115" s="6">
        <f ca="1">IF(C115="","",IF(C115=0,0,-(C115*1.001-C115*0.999)/('Gas Giant'!G126*LN((C115*1.001)/(C115*0.999)))/IF('Gas Giant'!G$88&gt;0,'Gas Giant'!G$88,0.5)))</f>
        <v>-7.9565581788199456E-6</v>
      </c>
      <c r="E115" s="6">
        <f t="shared" ca="1" si="13"/>
        <v>-7.9565581788199456E-6</v>
      </c>
    </row>
    <row r="116" spans="1:5" x14ac:dyDescent="0.25">
      <c r="A116" s="3" t="str">
        <f t="shared" ca="1" si="12"/>
        <v>key =</v>
      </c>
      <c r="B116" s="3">
        <f ca="1">IF('Gas Giant'!Q127="|",ROUND('Gas Giant'!N127,0),IF('Gas Giant'!Q127="V",ROUND('Gas Giant'!N127,-3),""))</f>
        <v>667642</v>
      </c>
      <c r="C116" s="6">
        <f ca="1">IF(B116="","",IF(B117="",0,'Gas Giant'!H127/1000))</f>
        <v>0.21829809496748048</v>
      </c>
      <c r="D116" s="6">
        <f ca="1">IF(C116="","",IF(C116=0,0,-(C116*1.001-C116*0.999)/('Gas Giant'!G127*LN((C116*1.001)/(C116*0.999)))/IF('Gas Giant'!G$88&gt;0,'Gas Giant'!G$88,0.5)))</f>
        <v>-3.6778913952281621E-6</v>
      </c>
      <c r="E116" s="6">
        <f t="shared" ca="1" si="13"/>
        <v>-3.6778913952281621E-6</v>
      </c>
    </row>
    <row r="117" spans="1:5" x14ac:dyDescent="0.25">
      <c r="A117" s="3" t="str">
        <f t="shared" ca="1" si="12"/>
        <v>key =</v>
      </c>
      <c r="B117" s="3">
        <f ca="1">IF('Gas Giant'!Q128="|",ROUND('Gas Giant'!N128,0),IF('Gas Giant'!Q128="V",ROUND('Gas Giant'!N128,-3),""))</f>
        <v>713889</v>
      </c>
      <c r="C117" s="6">
        <f ca="1">IF(B117="","",IF(B118="",0,'Gas Giant'!H128/1000))</f>
        <v>0.101325</v>
      </c>
      <c r="D117" s="6">
        <f ca="1">IF(C117="","",IF(C117=0,0,-(C117*1.001-C117*0.999)/('Gas Giant'!G128*LN((C117*1.001)/(C117*0.999)))/IF('Gas Giant'!G$88&gt;0,'Gas Giant'!G$88,0.5)))</f>
        <v>-1.7071259631331102E-6</v>
      </c>
      <c r="E117" s="6">
        <f t="shared" ca="1" si="13"/>
        <v>-1.7071259631331102E-6</v>
      </c>
    </row>
    <row r="118" spans="1:5" x14ac:dyDescent="0.25">
      <c r="A118" s="3" t="str">
        <f t="shared" ca="1" si="12"/>
        <v>key =</v>
      </c>
      <c r="B118" s="3">
        <f ca="1">IF('Gas Giant'!Q129="|",ROUND('Gas Giant'!N129,0),IF('Gas Giant'!Q129="V",ROUND('Gas Giant'!N129,-3),""))</f>
        <v>760166</v>
      </c>
      <c r="C118" s="6">
        <f ca="1">IF(B118="","",IF(B119="",0,'Gas Giant'!H129/1000))</f>
        <v>4.7030898856581453E-2</v>
      </c>
      <c r="D118" s="6">
        <f ca="1">IF(C118="","",IF(C118=0,0,-(C118*1.001-C118*0.999)/('Gas Giant'!G129*LN((C118*1.001)/(C118*0.999)))/IF('Gas Giant'!G$88&gt;0,'Gas Giant'!G$88,0.5)))</f>
        <v>-7.9237768080493547E-7</v>
      </c>
      <c r="E118" s="6">
        <f t="shared" ca="1" si="13"/>
        <v>-7.9237768080493547E-7</v>
      </c>
    </row>
    <row r="119" spans="1:5" x14ac:dyDescent="0.25">
      <c r="A119" s="3" t="str">
        <f t="shared" ca="1" si="12"/>
        <v>key =</v>
      </c>
      <c r="B119" s="3">
        <f ca="1">IF('Gas Giant'!Q130="|",ROUND('Gas Giant'!N130,0),IF('Gas Giant'!Q130="V",ROUND('Gas Giant'!N130,-3),""))</f>
        <v>806473</v>
      </c>
      <c r="C119" s="6">
        <f ca="1">IF(B119="","",IF(B120="",0,'Gas Giant'!H130/1000))</f>
        <v>2.1829809496748027E-2</v>
      </c>
      <c r="D119" s="6">
        <f ca="1">IF(C119="","",IF(C119=0,0,-(C119*1.001-C119*0.999)/('Gas Giant'!G130*LN((C119*1.001)/(C119*0.999)))/IF('Gas Giant'!G$88&gt;0,'Gas Giant'!G$88,0.5)))</f>
        <v>-3.6778913952281032E-7</v>
      </c>
      <c r="E119" s="6">
        <f t="shared" ca="1" si="13"/>
        <v>-3.6778913952281032E-7</v>
      </c>
    </row>
    <row r="120" spans="1:5" x14ac:dyDescent="0.25">
      <c r="A120" s="3" t="str">
        <f t="shared" ca="1" si="12"/>
        <v>key =</v>
      </c>
      <c r="B120" s="3">
        <f ca="1">IF('Gas Giant'!Q131="|",ROUND('Gas Giant'!N131,0),IF('Gas Giant'!Q131="V",ROUND('Gas Giant'!N131,-3),""))</f>
        <v>853251</v>
      </c>
      <c r="C120" s="6">
        <f ca="1">IF(B120="","",IF(B121="",0,'Gas Giant'!H131/1000))</f>
        <v>1.0132500000000001E-2</v>
      </c>
      <c r="D120" s="6">
        <f ca="1">IF(C120="","",IF(C120=0,0,-(C120*1.001-C120*0.999)/('Gas Giant'!G131*LN((C120*1.001)/(C120*0.999)))/IF('Gas Giant'!G$88&gt;0,'Gas Giant'!G$88,0.5)))</f>
        <v>-1.6750757919156151E-7</v>
      </c>
      <c r="E120" s="6">
        <f t="shared" ca="1" si="13"/>
        <v>-1.6750757919156151E-7</v>
      </c>
    </row>
    <row r="121" spans="1:5" x14ac:dyDescent="0.25">
      <c r="A121" s="3" t="str">
        <f t="shared" ca="1" si="12"/>
        <v>key =</v>
      </c>
      <c r="B121" s="3">
        <f ca="1">IF('Gas Giant'!Q132="|",ROUND('Gas Giant'!N132,0),IF('Gas Giant'!Q132="V",ROUND('Gas Giant'!N132,-3),""))</f>
        <v>901933</v>
      </c>
      <c r="C121" s="6">
        <f ca="1">IF(B121="","",IF(B122="",0,'Gas Giant'!H132/1000))</f>
        <v>4.7030898856581481E-3</v>
      </c>
      <c r="D121" s="6">
        <f ca="1">IF(C121="","",IF(C121=0,0,-(C121*1.001-C121*0.999)/('Gas Giant'!G132*LN((C121*1.001)/(C121*0.999)))/IF('Gas Giant'!G$88&gt;0,'Gas Giant'!G$88,0.5)))</f>
        <v>-7.3278900099060555E-8</v>
      </c>
      <c r="E121" s="6">
        <f t="shared" ca="1" si="13"/>
        <v>-7.3278900099060555E-8</v>
      </c>
    </row>
    <row r="122" spans="1:5" x14ac:dyDescent="0.25">
      <c r="A122" s="3" t="str">
        <f t="shared" ca="1" si="12"/>
        <v>key =</v>
      </c>
      <c r="B122" s="3">
        <f ca="1">IF('Gas Giant'!Q133="|",ROUND('Gas Giant'!N133,0),IF('Gas Giant'!Q133="V",ROUND('Gas Giant'!N133,-3),""))</f>
        <v>954617</v>
      </c>
      <c r="C122" s="6">
        <f ca="1">IF(B122="","",IF(B123="",0,'Gas Giant'!H133/1000))</f>
        <v>2.1829809496748077E-3</v>
      </c>
      <c r="D122" s="6">
        <f ca="1">IF(C122="","",IF(C122=0,0,-(C122*1.001-C122*0.999)/('Gas Giant'!G133*LN((C122*1.001)/(C122*0.999)))/IF('Gas Giant'!G$88&gt;0,'Gas Giant'!G$88,0.5)))</f>
        <v>-3.0871999853741378E-8</v>
      </c>
      <c r="E122" s="6">
        <f t="shared" ca="1" si="13"/>
        <v>-3.0871999853741378E-8</v>
      </c>
    </row>
    <row r="123" spans="1:5" x14ac:dyDescent="0.25">
      <c r="A123" s="3" t="str">
        <f t="shared" ca="1" si="12"/>
        <v>key =</v>
      </c>
      <c r="B123" s="3">
        <f ca="1">IF('Gas Giant'!Q134="|",ROUND('Gas Giant'!N134,0),IF('Gas Giant'!Q134="V",ROUND('Gas Giant'!N134,-3),""))</f>
        <v>1014163</v>
      </c>
      <c r="C123" s="6">
        <f ca="1">IF(B123="","",IF(B124="",0,'Gas Giant'!H134/1000))</f>
        <v>1.0132500000000016E-3</v>
      </c>
      <c r="D123" s="6">
        <f ca="1">IF(C123="","",IF(C123=0,0,-(C123*1.001-C123*0.999)/('Gas Giant'!G134*LN((C123*1.001)/(C123*0.999)))/IF('Gas Giant'!G$88&gt;0,'Gas Giant'!G$88,0.5)))</f>
        <v>-1.2389440077599371E-8</v>
      </c>
      <c r="E123" s="6">
        <f t="shared" ca="1" si="13"/>
        <v>-1.2389440077599371E-8</v>
      </c>
    </row>
    <row r="124" spans="1:5" x14ac:dyDescent="0.25">
      <c r="A124" s="3" t="str">
        <f t="shared" ca="1" si="12"/>
        <v>key =</v>
      </c>
      <c r="B124" s="3">
        <f ca="1">IF('Gas Giant'!Q135="|",ROUND('Gas Giant'!N135,0),IF('Gas Giant'!Q135="V",ROUND('Gas Giant'!N135,-3),""))</f>
        <v>1084662</v>
      </c>
      <c r="C124" s="6">
        <f ca="1">IF(B124="","",IF(B125="",0,'Gas Giant'!H135/1000))</f>
        <v>4.7030898856581586E-4</v>
      </c>
      <c r="D124" s="6">
        <f ca="1">IF(C124="","",IF(C124=0,0,-(C124*1.001-C124*0.999)/('Gas Giant'!G135*LN((C124*1.001)/(C124*0.999)))/IF('Gas Giant'!G$88&gt;0,'Gas Giant'!G$88,0.5)))</f>
        <v>-4.7593356045202245E-9</v>
      </c>
      <c r="E124" s="6">
        <f t="shared" ca="1" si="13"/>
        <v>-4.7593356045202245E-9</v>
      </c>
    </row>
    <row r="125" spans="1:5" x14ac:dyDescent="0.25">
      <c r="A125" s="3" t="str">
        <f t="shared" ca="1" si="12"/>
        <v>key =</v>
      </c>
      <c r="B125" s="3">
        <f ca="1">IF('Gas Giant'!Q136="|",ROUND('Gas Giant'!N136,0),IF('Gas Giant'!Q136="V",ROUND('Gas Giant'!N136,-3),""))</f>
        <v>1170407</v>
      </c>
      <c r="C125" s="6">
        <f ca="1">IF(B125="","",IF(B126="",0,'Gas Giant'!H136/1000))</f>
        <v>2.1829809496748092E-4</v>
      </c>
      <c r="D125" s="6">
        <f ca="1">IF(C125="","",IF(C125=0,0,-(C125*1.001-C125*0.999)/('Gas Giant'!G136*LN((C125*1.001)/(C125*0.999)))/IF('Gas Giant'!G$88&gt;0,'Gas Giant'!G$88,0.5)))</f>
        <v>-1.8089065438121915E-9</v>
      </c>
      <c r="E125" s="6">
        <f t="shared" ca="1" si="13"/>
        <v>-1.8089065438121915E-9</v>
      </c>
    </row>
    <row r="126" spans="1:5" x14ac:dyDescent="0.25">
      <c r="A126" s="3" t="str">
        <f t="shared" ca="1" si="12"/>
        <v>key =</v>
      </c>
      <c r="B126" s="3">
        <f ca="1">IF('Gas Giant'!Q137="|",ROUND('Gas Giant'!N137,0),IF('Gas Giant'!Q137="V",ROUND('Gas Giant'!N137,-3),""))</f>
        <v>1274522</v>
      </c>
      <c r="C126" s="6">
        <f ca="1">IF(B126="","",IF(B127="",0,'Gas Giant'!H137/1000))</f>
        <v>1.0132500000000024E-4</v>
      </c>
      <c r="D126" s="6">
        <f ca="1">IF(C126="","",IF(C126=0,0,-(C126*1.001-C126*0.999)/('Gas Giant'!G137*LN((C126*1.001)/(C126*0.999)))/IF('Gas Giant'!G$88&gt;0,'Gas Giant'!G$88,0.5)))</f>
        <v>-6.9696602876624773E-10</v>
      </c>
      <c r="E126" s="6">
        <f t="shared" ca="1" si="13"/>
        <v>-6.9696602876624773E-10</v>
      </c>
    </row>
    <row r="127" spans="1:5" x14ac:dyDescent="0.25">
      <c r="A127" s="3" t="str">
        <f t="shared" ca="1" si="12"/>
        <v>key =</v>
      </c>
      <c r="B127" s="3">
        <f ca="1">IF('Gas Giant'!Q138="|",ROUND('Gas Giant'!N138,0),IF('Gas Giant'!Q138="V",ROUND('Gas Giant'!N138,-3),""))</f>
        <v>1398160</v>
      </c>
      <c r="C127" s="6">
        <f ca="1">IF(B127="","",IF(B128="",0,'Gas Giant'!H138/1000))</f>
        <v>4.7030898856581623E-5</v>
      </c>
      <c r="D127" s="6">
        <f ca="1">IF(C127="","",IF(C127=0,0,-(C127*1.001-C127*0.999)/('Gas Giant'!G138*LN((C127*1.001)/(C127*0.999)))/IF('Gas Giant'!G$88&gt;0,'Gas Giant'!G$88,0.5)))</f>
        <v>-2.7698354575730534E-10</v>
      </c>
      <c r="E127" s="6">
        <f t="shared" ca="1" si="13"/>
        <v>-2.7698354575730534E-10</v>
      </c>
    </row>
    <row r="128" spans="1:5" x14ac:dyDescent="0.25">
      <c r="A128" s="3" t="str">
        <f t="shared" ca="1" si="12"/>
        <v>key =</v>
      </c>
      <c r="B128" s="3">
        <f ca="1">IF('Gas Giant'!Q139="|",ROUND('Gas Giant'!N139,0),IF('Gas Giant'!Q139="V",ROUND('Gas Giant'!N139,-3),""))</f>
        <v>1540537</v>
      </c>
      <c r="C128" s="6">
        <f ca="1">IF(B128="","",IF(B129="",0,'Gas Giant'!H139/1000))</f>
        <v>2.1829809496748147E-5</v>
      </c>
      <c r="D128" s="6">
        <f ca="1">IF(C128="","",IF(C128=0,0,-(C128*1.001-C128*0.999)/('Gas Giant'!G139*LN((C128*1.001)/(C128*0.999)))/IF('Gas Giant'!G$88&gt;0,'Gas Giant'!G$88,0.5)))</f>
        <v>-1.135632878355182E-10</v>
      </c>
      <c r="E128" s="6">
        <f t="shared" ca="1" si="13"/>
        <v>-1.135632878355182E-10</v>
      </c>
    </row>
    <row r="129" spans="1:5" x14ac:dyDescent="0.25">
      <c r="A129" s="3" t="str">
        <f t="shared" ref="A129:A132" ca="1" si="14">IF(B129="","Unused","key =")</f>
        <v>key =</v>
      </c>
      <c r="B129" s="3">
        <f ca="1">IF('Gas Giant'!Q140="|",ROUND('Gas Giant'!N140,0),IF('Gas Giant'!Q140="V",ROUND('Gas Giant'!N140,-3),""))</f>
        <v>1701040</v>
      </c>
      <c r="C129" s="6">
        <f ca="1">IF(B129="","",IF(B130="",0,'Gas Giant'!H140/1000))</f>
        <v>1.013250000000003E-5</v>
      </c>
      <c r="D129" s="6">
        <f ca="1">IF(C129="","",IF(C129=0,0,-(C129*1.001-C129*0.999)/('Gas Giant'!G140*LN((C129*1.001)/(C129*0.999)))/IF('Gas Giant'!G$88&gt;0,'Gas Giant'!G$88,0.5)))</f>
        <v>-4.7141267711761245E-11</v>
      </c>
      <c r="E129" s="6">
        <f t="shared" ref="E129:E132" ca="1" si="15">D129</f>
        <v>-4.7141267711761245E-11</v>
      </c>
    </row>
    <row r="130" spans="1:5" x14ac:dyDescent="0.25">
      <c r="A130" s="3" t="str">
        <f t="shared" ca="1" si="14"/>
        <v>key =</v>
      </c>
      <c r="B130" s="3">
        <f ca="1">IF('Gas Giant'!Q141="|",ROUND('Gas Giant'!N141,0),IF('Gas Giant'!Q141="V",ROUND('Gas Giant'!N141,-3),""))</f>
        <v>1880000</v>
      </c>
      <c r="C130" s="6">
        <f ca="1">IF(B130="","",IF(B131="",0,'Gas Giant'!H141/1000))</f>
        <v>0</v>
      </c>
      <c r="D130" s="6">
        <f ca="1">IF(C130="","",IF(C130=0,0,-(C130*1.001-C130*0.999)/('Gas Giant'!G141*LN((C130*1.001)/(C130*0.999)))/IF('Gas Giant'!G$88&gt;0,'Gas Giant'!G$88,0.5)))</f>
        <v>0</v>
      </c>
      <c r="E130" s="6">
        <f t="shared" ca="1" si="15"/>
        <v>0</v>
      </c>
    </row>
    <row r="131" spans="1:5" x14ac:dyDescent="0.25">
      <c r="A131" s="3" t="str">
        <f t="shared" ca="1" si="14"/>
        <v>Unused</v>
      </c>
      <c r="B131" s="3" t="str">
        <f ca="1">IF('Gas Giant'!Q142="|",ROUND('Gas Giant'!N142,0),IF('Gas Giant'!Q142="V",ROUND('Gas Giant'!N142,-3),""))</f>
        <v/>
      </c>
      <c r="C131" s="6" t="str">
        <f ca="1">IF(B131="","",IF(B132="",0,'Gas Giant'!H142/1000))</f>
        <v/>
      </c>
      <c r="D131" s="6" t="str">
        <f ca="1">IF(C131="","",IF(C131=0,0,-(C131*1.001-C131*0.999)/('Gas Giant'!G142*LN((C131*1.001)/(C131*0.999)))/IF('Gas Giant'!G$88&gt;0,'Gas Giant'!G$88,0.5)))</f>
        <v/>
      </c>
      <c r="E131" s="6" t="str">
        <f t="shared" ca="1" si="15"/>
        <v/>
      </c>
    </row>
    <row r="132" spans="1:5" x14ac:dyDescent="0.25">
      <c r="A132" s="3" t="str">
        <f t="shared" ca="1" si="14"/>
        <v>Unused</v>
      </c>
      <c r="B132" s="3" t="str">
        <f ca="1">IF('Gas Giant'!Q143="|",ROUND('Gas Giant'!N143,0),IF('Gas Giant'!Q143="V",ROUND('Gas Giant'!N143,-3),""))</f>
        <v/>
      </c>
      <c r="C132" s="6" t="str">
        <f ca="1">IF(B132="","",IF(B133="",0,'Gas Giant'!H143/1000))</f>
        <v/>
      </c>
      <c r="D132" s="6" t="str">
        <f ca="1">IF(C132="","",IF(C132=0,0,-(C132*1.001-C132*0.999)/('Gas Giant'!G143*LN((C132*1.001)/(C132*0.999)))/IF('Gas Giant'!G$88&gt;0,'Gas Giant'!G$88,0.5)))</f>
        <v/>
      </c>
      <c r="E132" s="6" t="str">
        <f t="shared" ca="1" si="15"/>
        <v/>
      </c>
    </row>
    <row r="133" spans="1:5" x14ac:dyDescent="0.25">
      <c r="A133" s="10" t="s">
        <v>67</v>
      </c>
      <c r="B133" s="3"/>
      <c r="C133" s="3"/>
      <c r="D133" s="3"/>
      <c r="E133" s="3"/>
    </row>
    <row r="134" spans="1:5" x14ac:dyDescent="0.25">
      <c r="A134" s="1" t="s">
        <v>67</v>
      </c>
      <c r="B134" s="3"/>
      <c r="C134" s="3"/>
      <c r="D134" s="3"/>
      <c r="E134" s="3"/>
    </row>
    <row r="136" spans="1:5" x14ac:dyDescent="0.25">
      <c r="C136" s="8"/>
      <c r="D136" s="9"/>
      <c r="E136" s="9"/>
    </row>
    <row r="138" spans="1:5" x14ac:dyDescent="0.25">
      <c r="E138" s="9"/>
    </row>
    <row r="139" spans="1:5" x14ac:dyDescent="0.25">
      <c r="D139" s="9"/>
      <c r="E139" s="9"/>
    </row>
    <row r="140" spans="1:5" x14ac:dyDescent="0.25">
      <c r="D140" s="9"/>
      <c r="E140" s="9"/>
    </row>
    <row r="141" spans="1:5" x14ac:dyDescent="0.25">
      <c r="C141" s="8"/>
      <c r="D141" s="9"/>
      <c r="E141" s="9"/>
    </row>
    <row r="148" spans="4:5" x14ac:dyDescent="0.25">
      <c r="D148" s="9"/>
      <c r="E148" s="9"/>
    </row>
  </sheetData>
  <mergeCells count="1">
    <mergeCell ref="A1:E1"/>
  </mergeCells>
  <phoneticPr fontId="18" type="noConversion"/>
  <pageMargins left="0.7" right="0.7" top="0.75" bottom="0.75" header="0.3" footer="0.3"/>
  <pageSetup orientation="portrait" r:id="rId1"/>
  <ignoredErrors>
    <ignoredError sqref="E102"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R160"/>
  <sheetViews>
    <sheetView zoomScaleNormal="100" workbookViewId="0"/>
  </sheetViews>
  <sheetFormatPr defaultColWidth="9.125" defaultRowHeight="14.25" x14ac:dyDescent="0.15"/>
  <cols>
    <col min="1" max="1" width="3.625" style="11" customWidth="1"/>
    <col min="2" max="16" width="12.625" style="11" customWidth="1"/>
    <col min="17" max="17" width="9.125" style="11"/>
    <col min="18" max="18" width="0" style="11" hidden="1" customWidth="1"/>
    <col min="19" max="16384" width="9.125" style="11"/>
  </cols>
  <sheetData>
    <row r="2" spans="2:8" ht="31.5" x14ac:dyDescent="0.4">
      <c r="B2" s="95" t="s">
        <v>121</v>
      </c>
      <c r="C2" s="95"/>
      <c r="D2" s="95"/>
      <c r="E2" s="95"/>
      <c r="F2" s="95"/>
      <c r="G2" s="95"/>
      <c r="H2" s="95"/>
    </row>
    <row r="4" spans="2:8" x14ac:dyDescent="0.15">
      <c r="B4" s="90" t="s">
        <v>286</v>
      </c>
      <c r="C4" s="90"/>
      <c r="D4" s="90"/>
      <c r="E4" s="90"/>
      <c r="F4" s="90"/>
      <c r="G4" s="90"/>
      <c r="H4" s="90"/>
    </row>
    <row r="5" spans="2:8" x14ac:dyDescent="0.15">
      <c r="B5" s="90" t="s">
        <v>319</v>
      </c>
      <c r="C5" s="90"/>
      <c r="D5" s="90"/>
      <c r="E5" s="90"/>
      <c r="F5" s="90"/>
      <c r="G5" s="90"/>
      <c r="H5" s="90"/>
    </row>
    <row r="6" spans="2:8" x14ac:dyDescent="0.15">
      <c r="B6" s="90" t="s">
        <v>318</v>
      </c>
      <c r="C6" s="90"/>
      <c r="D6" s="90"/>
      <c r="E6" s="90"/>
      <c r="F6" s="90"/>
      <c r="G6" s="90"/>
      <c r="H6" s="90"/>
    </row>
    <row r="7" spans="2:8" x14ac:dyDescent="0.15">
      <c r="B7" s="90" t="s">
        <v>317</v>
      </c>
      <c r="C7" s="90"/>
      <c r="D7" s="90"/>
      <c r="E7" s="90"/>
      <c r="F7" s="90"/>
      <c r="G7" s="90"/>
      <c r="H7" s="90"/>
    </row>
    <row r="8" spans="2:8" x14ac:dyDescent="0.15">
      <c r="B8" s="90" t="s">
        <v>316</v>
      </c>
      <c r="C8" s="90"/>
      <c r="D8" s="90"/>
      <c r="E8" s="90"/>
      <c r="F8" s="90"/>
      <c r="G8" s="90"/>
      <c r="H8" s="90"/>
    </row>
    <row r="10" spans="2:8" x14ac:dyDescent="0.15">
      <c r="B10" s="11" t="s">
        <v>6</v>
      </c>
    </row>
    <row r="11" spans="2:8" x14ac:dyDescent="0.15">
      <c r="B11" s="12" t="s">
        <v>7</v>
      </c>
      <c r="F11" s="96">
        <v>13599840256</v>
      </c>
      <c r="G11" s="96"/>
      <c r="H11" s="11" t="s">
        <v>0</v>
      </c>
    </row>
    <row r="12" spans="2:8" x14ac:dyDescent="0.15">
      <c r="B12" s="11" t="s">
        <v>8</v>
      </c>
      <c r="F12" s="30"/>
      <c r="G12" s="30"/>
    </row>
    <row r="13" spans="2:8" x14ac:dyDescent="0.15">
      <c r="B13" s="12" t="s">
        <v>9</v>
      </c>
      <c r="F13" s="96">
        <v>261600000</v>
      </c>
      <c r="G13" s="96"/>
      <c r="H13" s="11" t="s">
        <v>0</v>
      </c>
    </row>
    <row r="14" spans="2:8" ht="15" customHeight="1" x14ac:dyDescent="0.25">
      <c r="B14" s="50" t="s">
        <v>5</v>
      </c>
      <c r="C14" s="51"/>
      <c r="D14" s="97" t="s">
        <v>102</v>
      </c>
      <c r="E14" s="97"/>
      <c r="F14" s="52"/>
      <c r="G14" s="86"/>
      <c r="H14" s="11" t="s">
        <v>89</v>
      </c>
    </row>
    <row r="15" spans="2:8" x14ac:dyDescent="0.15">
      <c r="B15" s="53" t="s">
        <v>3</v>
      </c>
      <c r="D15" s="98"/>
      <c r="E15" s="98"/>
      <c r="F15" s="30"/>
      <c r="G15" s="54"/>
      <c r="H15" s="11" t="s">
        <v>10</v>
      </c>
    </row>
    <row r="16" spans="2:8" ht="15.75" x14ac:dyDescent="0.25">
      <c r="B16" s="55" t="s">
        <v>4</v>
      </c>
      <c r="C16" s="56"/>
      <c r="D16" s="99"/>
      <c r="E16" s="99"/>
      <c r="F16" s="57"/>
      <c r="G16" s="58">
        <v>1.7468465610013699</v>
      </c>
      <c r="H16" s="11" t="s">
        <v>90</v>
      </c>
    </row>
    <row r="17" spans="2:8" ht="15.75" x14ac:dyDescent="0.25">
      <c r="B17" s="12" t="s">
        <v>16</v>
      </c>
      <c r="F17" s="30"/>
      <c r="G17" s="31">
        <v>1360</v>
      </c>
      <c r="H17" s="11" t="s">
        <v>91</v>
      </c>
    </row>
    <row r="18" spans="2:8" x14ac:dyDescent="0.15">
      <c r="B18" s="11" t="s">
        <v>12</v>
      </c>
      <c r="F18" s="30"/>
      <c r="G18" s="30"/>
    </row>
    <row r="19" spans="2:8" x14ac:dyDescent="0.15">
      <c r="B19" s="12" t="s">
        <v>131</v>
      </c>
      <c r="F19" s="30"/>
      <c r="G19" s="43" t="s">
        <v>135</v>
      </c>
    </row>
    <row r="20" spans="2:8" x14ac:dyDescent="0.15">
      <c r="B20" s="12" t="s">
        <v>9</v>
      </c>
      <c r="F20" s="96">
        <v>600000</v>
      </c>
      <c r="G20" s="96"/>
      <c r="H20" s="11" t="s">
        <v>0</v>
      </c>
    </row>
    <row r="21" spans="2:8" ht="15" customHeight="1" x14ac:dyDescent="0.25">
      <c r="B21" s="50" t="s">
        <v>5</v>
      </c>
      <c r="C21" s="51"/>
      <c r="D21" s="97" t="s">
        <v>102</v>
      </c>
      <c r="E21" s="97"/>
      <c r="F21" s="52"/>
      <c r="G21" s="86"/>
      <c r="H21" s="11" t="s">
        <v>89</v>
      </c>
    </row>
    <row r="22" spans="2:8" x14ac:dyDescent="0.15">
      <c r="B22" s="53" t="s">
        <v>3</v>
      </c>
      <c r="D22" s="98"/>
      <c r="E22" s="98"/>
      <c r="F22" s="30"/>
      <c r="G22" s="54"/>
      <c r="H22" s="11" t="s">
        <v>10</v>
      </c>
    </row>
    <row r="23" spans="2:8" ht="15.75" x14ac:dyDescent="0.25">
      <c r="B23" s="55" t="s">
        <v>4</v>
      </c>
      <c r="C23" s="56"/>
      <c r="D23" s="99"/>
      <c r="E23" s="99"/>
      <c r="F23" s="57"/>
      <c r="G23" s="58">
        <v>1.00034160493135</v>
      </c>
      <c r="H23" s="11" t="s">
        <v>90</v>
      </c>
    </row>
    <row r="24" spans="2:8" x14ac:dyDescent="0.15">
      <c r="B24" s="12" t="s">
        <v>11</v>
      </c>
      <c r="F24" s="30"/>
      <c r="G24" s="31">
        <v>0.3</v>
      </c>
    </row>
    <row r="25" spans="2:8" x14ac:dyDescent="0.15">
      <c r="B25" s="12" t="s">
        <v>7</v>
      </c>
      <c r="F25" s="96">
        <v>13599840256</v>
      </c>
      <c r="G25" s="96"/>
      <c r="H25" s="11" t="s">
        <v>0</v>
      </c>
    </row>
    <row r="26" spans="2:8" x14ac:dyDescent="0.15">
      <c r="B26" s="12" t="s">
        <v>13</v>
      </c>
      <c r="F26" s="30"/>
      <c r="G26" s="31">
        <v>0</v>
      </c>
    </row>
    <row r="27" spans="2:8" ht="15.75" x14ac:dyDescent="0.25">
      <c r="B27" s="12" t="s">
        <v>14</v>
      </c>
      <c r="F27" s="30"/>
      <c r="G27" s="31">
        <v>0</v>
      </c>
      <c r="H27" s="38" t="s">
        <v>101</v>
      </c>
    </row>
    <row r="28" spans="2:8" ht="15.75" x14ac:dyDescent="0.25">
      <c r="B28" s="12" t="s">
        <v>15</v>
      </c>
      <c r="F28" s="30"/>
      <c r="G28" s="31">
        <v>0</v>
      </c>
      <c r="H28" s="38" t="s">
        <v>101</v>
      </c>
    </row>
    <row r="29" spans="2:8" ht="15.75" x14ac:dyDescent="0.25">
      <c r="B29" s="11" t="s">
        <v>132</v>
      </c>
      <c r="F29" s="30"/>
      <c r="G29" s="30"/>
      <c r="H29" s="38"/>
    </row>
    <row r="30" spans="2:8" x14ac:dyDescent="0.15">
      <c r="B30" s="12" t="str">
        <f>IF(G19="Moon","semiMajorAxis","")</f>
        <v/>
      </c>
      <c r="D30" s="14" t="str">
        <f>IF(G19="Planet","not applicable","")</f>
        <v>not applicable</v>
      </c>
      <c r="F30" s="96"/>
      <c r="G30" s="96"/>
      <c r="H30" s="11" t="str">
        <f>IF(G19="Moon","m","")</f>
        <v/>
      </c>
    </row>
    <row r="31" spans="2:8" x14ac:dyDescent="0.15">
      <c r="B31" s="12" t="str">
        <f>IF(G19="Moon","eccentricity","")</f>
        <v/>
      </c>
      <c r="D31" s="14" t="str">
        <f>IF(G19="Planet","|","")</f>
        <v>|</v>
      </c>
      <c r="F31" s="30"/>
      <c r="G31" s="31"/>
    </row>
    <row r="32" spans="2:8" ht="15.75" x14ac:dyDescent="0.25">
      <c r="B32" s="12" t="str">
        <f>IF(G19="Moon","inclination","")</f>
        <v/>
      </c>
      <c r="D32" s="14" t="str">
        <f>IF(G19="Planet","|","")</f>
        <v>|</v>
      </c>
      <c r="F32" s="30"/>
      <c r="G32" s="31"/>
      <c r="H32" s="38" t="str">
        <f>IF(G19="Moon","°","")</f>
        <v/>
      </c>
    </row>
    <row r="33" spans="2:8" ht="15.75" x14ac:dyDescent="0.25">
      <c r="B33" s="12" t="str">
        <f>IF(G19="Moon","argumentOfPeriapsis","")</f>
        <v/>
      </c>
      <c r="D33" s="14" t="str">
        <f>IF(G19="Planet","V","")</f>
        <v>V</v>
      </c>
      <c r="F33" s="30"/>
      <c r="G33" s="31"/>
      <c r="H33" s="38" t="str">
        <f>IF(G19="Moon","°","")</f>
        <v/>
      </c>
    </row>
    <row r="34" spans="2:8" x14ac:dyDescent="0.15">
      <c r="B34" s="13"/>
      <c r="F34" s="30"/>
      <c r="G34" s="30"/>
    </row>
    <row r="35" spans="2:8" x14ac:dyDescent="0.15">
      <c r="B35" s="90" t="s">
        <v>195</v>
      </c>
      <c r="C35" s="90"/>
      <c r="D35" s="90"/>
      <c r="E35" s="90"/>
      <c r="F35" s="90"/>
      <c r="G35" s="90"/>
      <c r="H35" s="90"/>
    </row>
    <row r="36" spans="2:8" x14ac:dyDescent="0.15">
      <c r="B36" s="90" t="s">
        <v>312</v>
      </c>
      <c r="C36" s="90"/>
      <c r="D36" s="90"/>
      <c r="E36" s="90"/>
      <c r="F36" s="90"/>
      <c r="G36" s="90"/>
      <c r="H36" s="90"/>
    </row>
    <row r="37" spans="2:8" x14ac:dyDescent="0.15">
      <c r="F37" s="30"/>
      <c r="G37" s="30"/>
    </row>
    <row r="38" spans="2:8" x14ac:dyDescent="0.15">
      <c r="B38" s="12" t="s">
        <v>24</v>
      </c>
      <c r="F38" s="101">
        <v>6371000</v>
      </c>
      <c r="G38" s="101"/>
      <c r="H38" s="11" t="s">
        <v>0</v>
      </c>
    </row>
    <row r="40" spans="2:8" x14ac:dyDescent="0.15">
      <c r="B40" s="90" t="s">
        <v>321</v>
      </c>
      <c r="C40" s="90"/>
      <c r="D40" s="90"/>
      <c r="E40" s="90"/>
      <c r="F40" s="90"/>
      <c r="G40" s="90"/>
      <c r="H40" s="90"/>
    </row>
    <row r="41" spans="2:8" x14ac:dyDescent="0.15">
      <c r="B41" s="90" t="s">
        <v>320</v>
      </c>
      <c r="C41" s="90"/>
      <c r="D41" s="90"/>
      <c r="E41" s="90"/>
      <c r="F41" s="90"/>
      <c r="G41" s="90"/>
      <c r="H41" s="90"/>
    </row>
    <row r="43" spans="2:8" x14ac:dyDescent="0.15">
      <c r="B43" s="12" t="s">
        <v>133</v>
      </c>
      <c r="G43" s="32">
        <v>1</v>
      </c>
      <c r="H43" s="11" t="s">
        <v>50</v>
      </c>
    </row>
    <row r="45" spans="2:8" ht="15.75" x14ac:dyDescent="0.25">
      <c r="F45" s="14" t="s">
        <v>38</v>
      </c>
      <c r="G45" s="14" t="s">
        <v>40</v>
      </c>
      <c r="H45" s="14" t="s">
        <v>100</v>
      </c>
    </row>
    <row r="46" spans="2:8" x14ac:dyDescent="0.15">
      <c r="B46" s="15" t="s">
        <v>88</v>
      </c>
      <c r="C46" s="15"/>
      <c r="D46" s="15"/>
      <c r="E46" s="15" t="s">
        <v>87</v>
      </c>
      <c r="F46" s="16" t="s">
        <v>39</v>
      </c>
      <c r="G46" s="16" t="s">
        <v>41</v>
      </c>
      <c r="H46" s="16" t="s">
        <v>42</v>
      </c>
    </row>
    <row r="47" spans="2:8" ht="15.75" x14ac:dyDescent="0.25">
      <c r="B47" s="93" t="s">
        <v>122</v>
      </c>
      <c r="C47" s="93"/>
      <c r="D47" s="93"/>
      <c r="E47" s="11" t="s">
        <v>126</v>
      </c>
      <c r="F47" s="84">
        <v>0.78</v>
      </c>
      <c r="G47" s="17">
        <v>28.013400000000001</v>
      </c>
      <c r="H47" s="17">
        <f>IF(G$75&lt;100,29.104,IF(G$75&lt;500,28.98641+1.853978*(G$75/1000)-9.647459*(G$75/1000)^2+16.63537*(G$75/1000)^3+0.000117/(G$75/1000)^2,IF(G$75&lt;2000,19.50583+19.88705*(G$75/1000)-8.598535*(G$75/1000)^2+1.369784*(G$75/1000)^3+0.527601/(G$75/1000)^2,IF(G$75&lt;6000,35.51872+1.128728*(G$75/1000)-0.196103*(G$75/1000)^2+0.014662*(G$75/1000)^3-4.55376/(G$75/1000)^2,38.276))))</f>
        <v>29.110232512205435</v>
      </c>
    </row>
    <row r="48" spans="2:8" ht="15.75" x14ac:dyDescent="0.25">
      <c r="B48" s="94" t="s">
        <v>123</v>
      </c>
      <c r="C48" s="94"/>
      <c r="D48" s="94"/>
      <c r="E48" s="11" t="s">
        <v>127</v>
      </c>
      <c r="F48" s="84">
        <v>0.21</v>
      </c>
      <c r="G48" s="17">
        <v>31.998799999999999</v>
      </c>
      <c r="H48" s="17">
        <f>IF(G$75&lt;100,29.106,IF(G$75&lt;700,31.32234-20.23531*(G$75/1000)+57.86644*(G$75/1000)^2-36.50624*(G$75/1000)^3-0.007374/(G$75/1000)^2,IF(G$75&lt;2000,30.03235+8.772972*(G$75/1000)-3.988133*(G$75/1000)^2+0.788313*(G$75/1000)^3-0.741599/(G$75/1000)^2,IF(G$75&lt;6000,20.91111+10.72071*(G$75/1000)-2.020498*(G$75/1000)^2+0.146449*(G$75/1000)^3+9.245722/(G$75/1000)^2,44.387))))</f>
        <v>29.219569648292321</v>
      </c>
    </row>
    <row r="49" spans="2:10" x14ac:dyDescent="0.15">
      <c r="B49" s="94" t="s">
        <v>124</v>
      </c>
      <c r="C49" s="94"/>
      <c r="D49" s="94"/>
      <c r="E49" s="11" t="s">
        <v>130</v>
      </c>
      <c r="F49" s="84">
        <v>0.01</v>
      </c>
      <c r="G49" s="17">
        <v>39.948</v>
      </c>
      <c r="H49" s="17">
        <v>20.786000000000001</v>
      </c>
    </row>
    <row r="50" spans="2:10" ht="15.75" x14ac:dyDescent="0.25">
      <c r="B50" s="94" t="s">
        <v>125</v>
      </c>
      <c r="C50" s="94"/>
      <c r="D50" s="94"/>
      <c r="E50" s="38" t="s">
        <v>129</v>
      </c>
      <c r="F50" s="84">
        <v>0</v>
      </c>
      <c r="G50" s="17">
        <v>18.0153</v>
      </c>
      <c r="H50" s="17">
        <f>IF(G$75&lt;100,33.284,IF(G$75&lt;298.15,0.00000986841*G$75^2-0.00246052*G$75+33.4464,IF(G$75&lt;500,-0.0000000923802*G$75^3+0.000125756*G$75^2-0.0471887*G$75+38.9288,IF(G$75&lt;1700,30.092+6.832514*(G$75/1000)+6.793435*(G$75/1000)^2-2.53448*(G$75/1000)^3+0.082139/(G$75/1000)^2,IF(G$75&lt;6000,41.96426+8.622053*(G$75/1000)-1.49978*(G$75/1000)^2+0.098119*(G$75/1000)^3-11.15764/(G$75/1000)^2,60.571)))))</f>
        <v>33.471616248516341</v>
      </c>
      <c r="I50" s="11" t="str">
        <f>IF(G78&gt;1,"Too much water, oversaturated","")</f>
        <v/>
      </c>
    </row>
    <row r="51" spans="2:10" ht="15.75" x14ac:dyDescent="0.25">
      <c r="B51" s="94" t="s">
        <v>156</v>
      </c>
      <c r="C51" s="94"/>
      <c r="D51" s="94"/>
      <c r="E51" s="11" t="s">
        <v>128</v>
      </c>
      <c r="F51" s="84">
        <v>0</v>
      </c>
      <c r="G51" s="17">
        <v>44.009500000000003</v>
      </c>
      <c r="H51" s="17">
        <f>IF(G$75&lt;100,29.208,IF(G$75&lt;298.15,0.0000862432*G$75^2+0.00563705*G$75+27.7819,IF(G$75&lt;1200,24.99735+55.18696*(G$75/1000)-33.69137*(G$75/1000)^2+7.948387*(G$75/1000)^3-0.136638/(G$75/1000)^2,IF(G$75&lt;6000,58.16639+2.720074*(G$75/1000)-0.492289*(G$75/1000)^2+0.038844*(G$75/1000)^3-6.447293/(G$75/1000)^2,64.957))))</f>
        <v>35.036814310754146</v>
      </c>
    </row>
    <row r="52" spans="2:10" x14ac:dyDescent="0.15">
      <c r="B52" s="100"/>
      <c r="C52" s="100"/>
      <c r="D52" s="100"/>
      <c r="E52" s="32"/>
      <c r="F52" s="84"/>
      <c r="G52" s="33"/>
      <c r="H52" s="33"/>
      <c r="I52" s="105" t="s">
        <v>375</v>
      </c>
      <c r="J52" s="105"/>
    </row>
    <row r="53" spans="2:10" x14ac:dyDescent="0.15">
      <c r="B53" s="100"/>
      <c r="C53" s="100"/>
      <c r="D53" s="100"/>
      <c r="E53" s="32"/>
      <c r="F53" s="84"/>
      <c r="G53" s="33"/>
      <c r="H53" s="33"/>
      <c r="I53" s="105" t="s">
        <v>375</v>
      </c>
      <c r="J53" s="105"/>
    </row>
    <row r="54" spans="2:10" x14ac:dyDescent="0.15">
      <c r="B54" s="92"/>
      <c r="C54" s="92"/>
      <c r="D54" s="92"/>
      <c r="E54" s="34"/>
      <c r="F54" s="37"/>
      <c r="G54" s="35"/>
      <c r="H54" s="35"/>
      <c r="I54" s="106" t="s">
        <v>375</v>
      </c>
      <c r="J54" s="106"/>
    </row>
    <row r="55" spans="2:10" x14ac:dyDescent="0.15">
      <c r="B55" s="11" t="s">
        <v>167</v>
      </c>
      <c r="F55" s="18">
        <f>SUM(F47:F54)</f>
        <v>1</v>
      </c>
    </row>
    <row r="57" spans="2:10" x14ac:dyDescent="0.15">
      <c r="B57" s="12" t="s">
        <v>99</v>
      </c>
    </row>
    <row r="58" spans="2:10" ht="15.75" x14ac:dyDescent="0.25">
      <c r="B58" s="12" t="s">
        <v>103</v>
      </c>
    </row>
    <row r="60" spans="2:10" x14ac:dyDescent="0.15">
      <c r="B60" s="90" t="s">
        <v>197</v>
      </c>
      <c r="C60" s="90"/>
      <c r="D60" s="90"/>
      <c r="E60" s="90"/>
      <c r="F60" s="90"/>
      <c r="G60" s="90"/>
      <c r="H60" s="90"/>
    </row>
    <row r="61" spans="2:10" x14ac:dyDescent="0.15">
      <c r="B61" s="90" t="s">
        <v>313</v>
      </c>
      <c r="C61" s="90"/>
      <c r="D61" s="90"/>
      <c r="E61" s="90"/>
      <c r="F61" s="90"/>
      <c r="G61" s="90"/>
      <c r="H61" s="90"/>
    </row>
    <row r="62" spans="2:10" x14ac:dyDescent="0.15">
      <c r="B62" s="90" t="s">
        <v>341</v>
      </c>
      <c r="C62" s="90"/>
      <c r="D62" s="90"/>
      <c r="E62" s="90"/>
      <c r="F62" s="90"/>
      <c r="G62" s="90"/>
      <c r="H62" s="90"/>
    </row>
    <row r="64" spans="2:10" x14ac:dyDescent="0.15">
      <c r="B64" s="104" t="s">
        <v>104</v>
      </c>
      <c r="C64" s="104"/>
      <c r="D64" s="104"/>
      <c r="E64" s="104"/>
      <c r="F64" s="104"/>
      <c r="G64" s="104"/>
      <c r="H64" s="104"/>
    </row>
    <row r="66" spans="2:8" x14ac:dyDescent="0.15">
      <c r="B66" s="11" t="s">
        <v>8</v>
      </c>
    </row>
    <row r="67" spans="2:8" ht="15.75" x14ac:dyDescent="0.25">
      <c r="B67" s="12" t="s">
        <v>5</v>
      </c>
      <c r="G67" s="22">
        <f>IF(G14&gt;0,G14,IF(G15&gt;0,G15*0.0000000000667408,IF(G16&gt;0,IF(F13&gt;0,F13^2*G16*9.80665,1000000000000000000),1000000000000000000)))</f>
        <v>1.1723327948324918E+18</v>
      </c>
      <c r="H67" s="11" t="s">
        <v>89</v>
      </c>
    </row>
    <row r="68" spans="2:8" x14ac:dyDescent="0.15">
      <c r="B68" s="11" t="s">
        <v>12</v>
      </c>
    </row>
    <row r="69" spans="2:8" ht="15.75" x14ac:dyDescent="0.25">
      <c r="B69" s="12" t="s">
        <v>5</v>
      </c>
      <c r="G69" s="22">
        <f>IF(G21&gt;0,G21,IF(G22&gt;0,G22*0.0000000000667408,IF(G23&gt;0,IF(F20&gt;0,F20^2*G23*9.80665,1000000000000),1000000000000)))</f>
        <v>3531600000000.0083</v>
      </c>
      <c r="H69" s="11" t="s">
        <v>89</v>
      </c>
    </row>
    <row r="70" spans="2:8" ht="15.75" x14ac:dyDescent="0.25">
      <c r="B70" s="12" t="s">
        <v>4</v>
      </c>
      <c r="G70" s="11">
        <f>MAX(IF(G21&gt;0,IF(F20&gt;0,G21/F20^2/9.80665,1),IF(G22&gt;0,IF(F20&gt;0,G22*0.0000000000667408/F20^2/9.80665,1),IF(G23&gt;0,G23,1))),IF(F38&gt;0,F38*0.00000001,0.01))</f>
        <v>1.00034160493135</v>
      </c>
      <c r="H70" s="11" t="s">
        <v>90</v>
      </c>
    </row>
    <row r="71" spans="2:8" x14ac:dyDescent="0.15">
      <c r="B71" s="12" t="str">
        <f>IF(G19="Planet","Orbital period","Solar orbital period (parent planet)")</f>
        <v>Orbital period</v>
      </c>
      <c r="G71" s="44">
        <f>IF(G19="Planet",2*PI()*SQRT(F25^3/G67)/3600,2*PI()*SQRT(F30^3/G67)/3600)</f>
        <v>2556.5401715281696</v>
      </c>
      <c r="H71" s="11" t="s">
        <v>342</v>
      </c>
    </row>
    <row r="72" spans="2:8" ht="15.75" x14ac:dyDescent="0.25">
      <c r="B72" s="12" t="s">
        <v>22</v>
      </c>
      <c r="G72" s="23">
        <f>IF(F11&gt;0,IF(G17&gt;0,IF(G19="Planet",IF(F25&gt;0,G17*(F11/F25)^2,1000),IF(F30&gt;0,G17*(F11/F30)^2,1000)),1000),1000)</f>
        <v>1360</v>
      </c>
      <c r="H72" s="11" t="s">
        <v>91</v>
      </c>
    </row>
    <row r="73" spans="2:8" x14ac:dyDescent="0.15">
      <c r="B73" s="12" t="s">
        <v>105</v>
      </c>
      <c r="G73" s="23">
        <f>(G72*(1-G24)/(4*0.000000056704))^0.25</f>
        <v>254.53107708995515</v>
      </c>
      <c r="H73" s="11" t="s">
        <v>1</v>
      </c>
    </row>
    <row r="74" spans="2:8" x14ac:dyDescent="0.15">
      <c r="B74" s="12" t="s">
        <v>45</v>
      </c>
      <c r="F74" s="21"/>
      <c r="G74" s="21">
        <f>IF(F55&gt;0,(F47*G47+F48*G48+F49*G49+F50*G50+F51*G51+F52*G52+F53*G53+F54*G54)/(SUM(F47:F51)+IF(G52&gt;0,F52,0)+IF(G53&gt;0,F53,0)+IF(G54&gt;0,F54,0)),29)</f>
        <v>28.96968</v>
      </c>
      <c r="H74" s="11" t="s">
        <v>43</v>
      </c>
    </row>
    <row r="75" spans="2:8" x14ac:dyDescent="0.15">
      <c r="B75" s="47" t="s">
        <v>136</v>
      </c>
      <c r="G75" s="48">
        <f>(C122*I122+C123*I123+C124*I124+C125*I125+C126*I126+C127*I127+C128*I128+C129*I129+C130*I130+C131*I131+C132*I132+C133*I133+C134*I134)/SUM(I122:I134)</f>
        <v>259.19151066732712</v>
      </c>
      <c r="H75" s="11" t="s">
        <v>1</v>
      </c>
    </row>
    <row r="76" spans="2:8" x14ac:dyDescent="0.15">
      <c r="B76" s="12" t="s">
        <v>106</v>
      </c>
      <c r="G76" s="21">
        <f>IF(F55&gt;0,1/(1-8.3144621/((F47*H47+F48*H48+F49*H49+F50*H50+F51*H51+F52*H52+F53*H53+F54*H54)/(SUM(F47:F51)+IF(H52&gt;0,F52,0)+IF(H53&gt;0,F53,0)+IF(H54&gt;0,F54,0)))),1.4)</f>
        <v>1.4009773845143996</v>
      </c>
    </row>
    <row r="77" spans="2:8" ht="15.75" x14ac:dyDescent="0.25">
      <c r="B77" s="12" t="s">
        <v>138</v>
      </c>
      <c r="G77" s="20">
        <f>G43*F48*1013.25</f>
        <v>212.7825</v>
      </c>
      <c r="H77" s="11" t="s">
        <v>139</v>
      </c>
    </row>
    <row r="78" spans="2:8" x14ac:dyDescent="0.15">
      <c r="B78" s="12" t="s">
        <v>171</v>
      </c>
      <c r="G78" s="85">
        <f>(G43*F50*101325*4)/MAX(10^(0.00000000003015194*C122^5-0.00000004034334*C122^4+0.00002174343*C122^3-0.006075586*C122^2+0.9360141*C122-63.99428),0.000001)</f>
        <v>0</v>
      </c>
    </row>
    <row r="79" spans="2:8" x14ac:dyDescent="0.15">
      <c r="B79" s="67" t="s">
        <v>177</v>
      </c>
    </row>
    <row r="80" spans="2:8" x14ac:dyDescent="0.15">
      <c r="B80" s="13"/>
    </row>
    <row r="81" spans="1:8" x14ac:dyDescent="0.15">
      <c r="B81" s="103" t="s">
        <v>120</v>
      </c>
      <c r="C81" s="103"/>
      <c r="D81" s="103"/>
      <c r="E81" s="103"/>
      <c r="F81" s="103"/>
      <c r="G81" s="103"/>
      <c r="H81" s="103"/>
    </row>
    <row r="83" spans="1:8" x14ac:dyDescent="0.15">
      <c r="B83" s="11" t="s">
        <v>12</v>
      </c>
    </row>
    <row r="84" spans="1:8" x14ac:dyDescent="0.15">
      <c r="B84" s="12" t="s">
        <v>20</v>
      </c>
      <c r="G84" s="20">
        <f>ROUND(165*G72^0.25,-1)</f>
        <v>1000</v>
      </c>
      <c r="H84" s="11" t="s">
        <v>1</v>
      </c>
    </row>
    <row r="85" spans="1:8" x14ac:dyDescent="0.15">
      <c r="B85" s="12" t="s">
        <v>134</v>
      </c>
      <c r="F85" s="83">
        <f>LOG(IF(G43&gt;0,(((F51+IF(I52="Mild greenhouse",F52,0)+IF(I53="Mild greenhouse",F53,0)+IF(I54="Mild greenhouse",F54,0))*10+(F50+IF(I52="Strong greenhouse",F52,0)+IF(I53="Strong greenhouse",F53,0)+IF(I54="Strong greenhouse",F54,0))*40+(1-F50-F51-IF(I52&lt;&gt;"No greenhouse",F52,0)-IF(I53&lt;&gt;"No greenhouse",F53,0)-IF(I54&lt;&gt;"No greenhouse",F54,0)))*G43/G70),1))</f>
        <v>-1.4833180268083738E-4</v>
      </c>
      <c r="G85" s="20">
        <f>(G72*(1-G24)/4/IF(F85&lt;3.00607947,MIN(-0.0276*F85^3+0.08774*F85^2-0.2178*F85+0.6126,0.9),0.001)/0.000000056704)^0.25-G73</f>
        <v>33.169571621047908</v>
      </c>
      <c r="H85" s="11" t="s">
        <v>1</v>
      </c>
    </row>
    <row r="86" spans="1:8" x14ac:dyDescent="0.15">
      <c r="A86" s="13"/>
      <c r="B86" s="12" t="s">
        <v>25</v>
      </c>
      <c r="G86" s="30">
        <f>ROUND(G73*(-0.035*LOG(IF(G43&gt;0,G43,1)*101325*G74/(8314.46*(G73+G85)))+0.07),0)</f>
        <v>17</v>
      </c>
      <c r="H86" s="11" t="s">
        <v>1</v>
      </c>
    </row>
    <row r="87" spans="1:8" x14ac:dyDescent="0.15">
      <c r="A87" s="13"/>
      <c r="B87" s="12" t="s">
        <v>26</v>
      </c>
      <c r="G87" s="30">
        <f>ROUND(G73*(-0.01*LOG(IF(G43&gt;0,G43,1)*101325*G74/(8314.46*(G73+G85)))+0.02),0)</f>
        <v>5</v>
      </c>
      <c r="H87" s="11" t="s">
        <v>1</v>
      </c>
    </row>
    <row r="88" spans="1:8" x14ac:dyDescent="0.15">
      <c r="A88" s="13"/>
      <c r="B88" s="12" t="s">
        <v>27</v>
      </c>
      <c r="G88" s="30">
        <f>ROUND(G73*(-0.084*LOG(IF(G43&gt;0,G43,1)*101325*G74/(8314.46*(G73+G85)))+0.168),0)</f>
        <v>41</v>
      </c>
      <c r="H88" s="11" t="s">
        <v>1</v>
      </c>
    </row>
    <row r="89" spans="1:8" x14ac:dyDescent="0.15">
      <c r="A89" s="13"/>
      <c r="B89" s="12" t="s">
        <v>29</v>
      </c>
      <c r="G89" s="45">
        <f>IF(G19="Planet",(COS(RADIANS(38.2425-G27))*G72*(1-G24)/(PI()*0.000000056704))^0.25-(COS(RADIANS(38.2425+G27))*G72*(1-G24)/(PI()*0.000000056704))^0.25,(COS(RADIANS(38.2425-G32))*G72*(1-G24)/(PI()*0.000000056704))^0.25-(COS(RADIANS(38.2425+G32))*G72*(1-G24)/(PI()*0.000000056704))^0.25)</f>
        <v>0</v>
      </c>
      <c r="H89" s="11" t="s">
        <v>1</v>
      </c>
    </row>
    <row r="90" spans="1:8" x14ac:dyDescent="0.15">
      <c r="A90" s="13"/>
      <c r="B90" s="12" t="s">
        <v>30</v>
      </c>
      <c r="G90" s="45">
        <f>IF(G19="Planet",IF(F25&gt;0,((F11/(F25*(1-G26)))^2*G17*(1-G24)/(4*0.000000056704))^0.25-((F11/(F25*(1+G26)))^2*G17*(1-G24)/(4*0.000000056704))^0.25,0),IF(F30&gt;0,((F11/(F30*(1-G31)))^2*G17*(1-G24)/(4*0.000000056704))^0.25-((F11/(F30*(1+G31)))^2*G17*(1-G24)/(4*0.000000056704))^0.25,0))</f>
        <v>0</v>
      </c>
      <c r="H90" s="11" t="s">
        <v>1</v>
      </c>
    </row>
    <row r="91" spans="1:8" x14ac:dyDescent="0.15">
      <c r="A91" s="13"/>
      <c r="B91" s="12" t="s">
        <v>137</v>
      </c>
      <c r="G91" s="21">
        <f>IF(F20&gt;0,IF(G71&gt;0,IF((G71*(F38/F20)^0.5)^(2/3)&lt;400,0.0009*(G71*(F38/F20)^0.5)^(2/3),IF((G71*(F38/F20)^0.5)^(2/3)&lt;1600,-0.0000003333333333*((G71*(F38/F20)^0.5)^(2/3))^2+0.0012*((G71*(F38/F20)^0.5)^(2/3))-0.06666666667,1)),0.5),0.5)</f>
        <v>0.37017846778099117</v>
      </c>
    </row>
    <row r="92" spans="1:8" x14ac:dyDescent="0.15">
      <c r="A92" s="13"/>
      <c r="G92" s="19"/>
    </row>
    <row r="93" spans="1:8" x14ac:dyDescent="0.15">
      <c r="A93" s="13"/>
      <c r="B93" s="91" t="s">
        <v>329</v>
      </c>
      <c r="C93" s="91"/>
      <c r="D93" s="91"/>
      <c r="E93" s="91"/>
      <c r="F93" s="91"/>
      <c r="G93" s="91"/>
      <c r="H93" s="91"/>
    </row>
    <row r="94" spans="1:8" x14ac:dyDescent="0.15">
      <c r="A94" s="13"/>
      <c r="B94" s="90" t="s">
        <v>330</v>
      </c>
      <c r="C94" s="90"/>
      <c r="D94" s="90"/>
      <c r="E94" s="90"/>
      <c r="F94" s="90"/>
      <c r="G94" s="90"/>
      <c r="H94" s="90"/>
    </row>
    <row r="95" spans="1:8" x14ac:dyDescent="0.15">
      <c r="A95" s="13"/>
      <c r="G95" s="19"/>
    </row>
    <row r="96" spans="1:8" x14ac:dyDescent="0.15">
      <c r="A96" s="13"/>
      <c r="B96" s="12" t="s">
        <v>348</v>
      </c>
      <c r="G96" s="19">
        <f>IF(F20&gt;0,IF(F38&gt;0,F20/F38,0.1),0.1)</f>
        <v>9.4176738345628633E-2</v>
      </c>
    </row>
    <row r="97" spans="1:17" x14ac:dyDescent="0.15">
      <c r="A97" s="13"/>
      <c r="B97" s="12" t="s">
        <v>315</v>
      </c>
      <c r="G97" s="20">
        <f ca="1">(F122-F138)/LN(H138/H122)</f>
        <v>7129.3669186211191</v>
      </c>
      <c r="H97" s="11" t="s">
        <v>0</v>
      </c>
    </row>
    <row r="98" spans="1:17" x14ac:dyDescent="0.15">
      <c r="A98" s="13"/>
      <c r="B98" s="12" t="s">
        <v>60</v>
      </c>
      <c r="G98" s="19">
        <f ca="1">(G96-0.09412)/0.90588*(1-IF(G97&gt;3344.087,0.16684*LOG(G97)^2-1.8388*LOG(G97)+5.4082,1))+IF(G97&gt;3344.087,0.16684*LOG(G97)^2-1.8388*LOG(G97)+5.4082,1)</f>
        <v>0.80012933415048548</v>
      </c>
    </row>
    <row r="99" spans="1:17" x14ac:dyDescent="0.15">
      <c r="A99" s="13"/>
    </row>
    <row r="100" spans="1:17" ht="15.75" x14ac:dyDescent="0.25">
      <c r="A100" s="13"/>
      <c r="B100" s="12" t="s">
        <v>107</v>
      </c>
      <c r="F100" s="42" t="s">
        <v>108</v>
      </c>
      <c r="G100" s="40">
        <f ca="1">G98</f>
        <v>0.80012933415048548</v>
      </c>
    </row>
    <row r="101" spans="1:17" x14ac:dyDescent="0.15">
      <c r="A101" s="13"/>
      <c r="B101" s="12" t="s">
        <v>339</v>
      </c>
      <c r="G101" s="46">
        <f ca="1">'Earthlike CFG'!B11</f>
        <v>70000</v>
      </c>
      <c r="H101" s="11" t="s">
        <v>0</v>
      </c>
    </row>
    <row r="103" spans="1:17" x14ac:dyDescent="0.15">
      <c r="B103" s="90" t="s">
        <v>361</v>
      </c>
      <c r="C103" s="90"/>
      <c r="D103" s="90"/>
      <c r="E103" s="90"/>
      <c r="F103" s="90"/>
      <c r="G103" s="90"/>
      <c r="H103" s="90"/>
      <c r="I103" s="90"/>
      <c r="J103" s="90"/>
      <c r="K103" s="90"/>
      <c r="L103" s="90"/>
      <c r="M103" s="90"/>
      <c r="N103" s="90"/>
      <c r="O103" s="90"/>
      <c r="P103" s="90"/>
      <c r="Q103" s="90"/>
    </row>
    <row r="104" spans="1:17" x14ac:dyDescent="0.15">
      <c r="B104" s="90" t="s">
        <v>363</v>
      </c>
      <c r="C104" s="90"/>
      <c r="D104" s="90"/>
      <c r="E104" s="90"/>
      <c r="F104" s="90"/>
      <c r="G104" s="90"/>
      <c r="H104" s="90"/>
      <c r="I104" s="90"/>
      <c r="J104" s="90"/>
      <c r="K104" s="90"/>
      <c r="L104" s="90"/>
      <c r="M104" s="90"/>
      <c r="N104" s="90"/>
      <c r="O104" s="90"/>
      <c r="P104" s="90"/>
      <c r="Q104" s="90"/>
    </row>
    <row r="105" spans="1:17" x14ac:dyDescent="0.15">
      <c r="B105" s="90" t="s">
        <v>362</v>
      </c>
      <c r="C105" s="90"/>
      <c r="D105" s="90"/>
      <c r="E105" s="90"/>
      <c r="F105" s="90"/>
      <c r="G105" s="90"/>
      <c r="H105" s="90"/>
      <c r="I105" s="90"/>
      <c r="J105" s="90"/>
      <c r="K105" s="90"/>
      <c r="L105" s="90"/>
      <c r="M105" s="90"/>
      <c r="N105" s="90"/>
      <c r="O105" s="90"/>
      <c r="P105" s="90"/>
      <c r="Q105" s="90"/>
    </row>
    <row r="106" spans="1:17" x14ac:dyDescent="0.15">
      <c r="J106" s="20"/>
    </row>
    <row r="107" spans="1:17" x14ac:dyDescent="0.15">
      <c r="B107" s="12" t="s">
        <v>119</v>
      </c>
      <c r="J107" s="20"/>
    </row>
    <row r="108" spans="1:17" x14ac:dyDescent="0.15">
      <c r="B108" s="12" t="s">
        <v>109</v>
      </c>
      <c r="J108" s="20"/>
    </row>
    <row r="109" spans="1:17" x14ac:dyDescent="0.15">
      <c r="B109" s="12" t="s">
        <v>110</v>
      </c>
      <c r="J109" s="20"/>
    </row>
    <row r="110" spans="1:17" x14ac:dyDescent="0.15">
      <c r="B110" s="12" t="s">
        <v>111</v>
      </c>
      <c r="J110" s="20"/>
    </row>
    <row r="111" spans="1:17" x14ac:dyDescent="0.15">
      <c r="B111" s="12" t="s">
        <v>112</v>
      </c>
    </row>
    <row r="112" spans="1:17" ht="15.75" x14ac:dyDescent="0.25">
      <c r="B112" s="12" t="s">
        <v>113</v>
      </c>
      <c r="J112" s="20"/>
    </row>
    <row r="113" spans="1:18" ht="15.75" x14ac:dyDescent="0.25">
      <c r="B113" s="39" t="s">
        <v>115</v>
      </c>
      <c r="J113" s="20"/>
    </row>
    <row r="114" spans="1:18" ht="15.75" x14ac:dyDescent="0.25">
      <c r="B114" s="39" t="s">
        <v>114</v>
      </c>
      <c r="J114" s="20"/>
    </row>
    <row r="115" spans="1:18" ht="15.75" x14ac:dyDescent="0.25">
      <c r="B115" s="39" t="s">
        <v>117</v>
      </c>
      <c r="J115" s="20"/>
    </row>
    <row r="116" spans="1:18" ht="15.75" x14ac:dyDescent="0.25">
      <c r="B116" s="39" t="s">
        <v>118</v>
      </c>
      <c r="K116" s="44" t="s">
        <v>356</v>
      </c>
      <c r="L116" s="79">
        <f>IF(G96&lt;1,46.5182*LOG(G96)^2+1,1)</f>
        <v>49.973972208191753</v>
      </c>
      <c r="M116" s="11" t="s">
        <v>349</v>
      </c>
    </row>
    <row r="118" spans="1:18" x14ac:dyDescent="0.15">
      <c r="B118" s="14"/>
      <c r="C118" s="14" t="s">
        <v>18</v>
      </c>
      <c r="F118" s="14"/>
      <c r="N118" s="14" t="s">
        <v>62</v>
      </c>
      <c r="O118" s="14" t="s">
        <v>19</v>
      </c>
      <c r="P118" s="14" t="s">
        <v>28</v>
      </c>
      <c r="Q118" s="14" t="s">
        <v>64</v>
      </c>
    </row>
    <row r="119" spans="1:18" ht="15.75" x14ac:dyDescent="0.25">
      <c r="B119" s="14" t="s">
        <v>49</v>
      </c>
      <c r="C119" s="14" t="s">
        <v>2</v>
      </c>
      <c r="D119" s="14" t="s">
        <v>32</v>
      </c>
      <c r="E119" s="14" t="s">
        <v>31</v>
      </c>
      <c r="F119" s="14" t="s">
        <v>46</v>
      </c>
      <c r="G119" s="14" t="s">
        <v>59</v>
      </c>
      <c r="H119" s="14" t="s">
        <v>53</v>
      </c>
      <c r="I119" s="14" t="s">
        <v>48</v>
      </c>
      <c r="J119" s="24" t="s">
        <v>116</v>
      </c>
      <c r="K119" s="24" t="s">
        <v>58</v>
      </c>
      <c r="L119" s="24" t="s">
        <v>47</v>
      </c>
      <c r="M119" s="24" t="s">
        <v>55</v>
      </c>
      <c r="N119" s="14" t="s">
        <v>63</v>
      </c>
      <c r="O119" s="14" t="s">
        <v>2</v>
      </c>
      <c r="P119" s="14" t="s">
        <v>17</v>
      </c>
      <c r="Q119" s="14" t="s">
        <v>65</v>
      </c>
    </row>
    <row r="120" spans="1:18" ht="15.75" x14ac:dyDescent="0.25">
      <c r="B120" s="14" t="s">
        <v>50</v>
      </c>
      <c r="C120" s="14" t="s">
        <v>1</v>
      </c>
      <c r="D120" s="14" t="s">
        <v>61</v>
      </c>
      <c r="E120" s="14" t="s">
        <v>52</v>
      </c>
      <c r="F120" s="14" t="s">
        <v>0</v>
      </c>
      <c r="G120" s="14" t="s">
        <v>0</v>
      </c>
      <c r="H120" s="14" t="s">
        <v>54</v>
      </c>
      <c r="I120" s="14" t="s">
        <v>95</v>
      </c>
      <c r="J120" s="24" t="s">
        <v>56</v>
      </c>
      <c r="K120" s="24" t="s">
        <v>56</v>
      </c>
      <c r="L120" s="24" t="s">
        <v>54</v>
      </c>
      <c r="M120" s="24" t="s">
        <v>57</v>
      </c>
      <c r="N120" s="14" t="s">
        <v>0</v>
      </c>
      <c r="O120" s="14" t="s">
        <v>1</v>
      </c>
      <c r="P120" s="25" t="s">
        <v>51</v>
      </c>
      <c r="Q120" s="25" t="s">
        <v>51</v>
      </c>
    </row>
    <row r="121" spans="1:18" x14ac:dyDescent="0.15">
      <c r="B121" s="14"/>
      <c r="C121" s="14"/>
      <c r="D121" s="14"/>
      <c r="E121" s="26"/>
      <c r="O121" s="14"/>
      <c r="P121" s="14"/>
    </row>
    <row r="122" spans="1:18" x14ac:dyDescent="0.15">
      <c r="B122" s="27">
        <f>LOG(IF(G43&gt;=0.2,G43,0.2))</f>
        <v>0</v>
      </c>
      <c r="C122" s="61">
        <f t="shared" ref="C122:C151" si="0">IF(B122&lt;-7.5,(0.07688888889*B122^3+1.880666667*B122^2+14.87*B122+38.351)*(G$84-0.74*G$73)+0.74*G$73,IF(B122&lt;-6,(-0.05792592593*B122^3-1.051333333*B122^2-6.36*B122-12.824)*(G$84-0.74*G$73)+0.74*G$73,0))+IF(B122&lt;-6,0,IF(B122&lt;-4.5,-0.008888888889*B122^3-0.1033333333*B122^2-0.28*B122+0.86,IF(B122&lt;-3.5,-0.015*B122^3-0.14*B122^2-0.23875*B122+1.23125,IF(B122&lt;-3.1,-0.84375*B122^3-8.590625*B122^2-28.9365625*B122-31.22359375,IF(B122&lt;-2.5,0.3425925926*B122^3+2.702777778*B122^2+6.880277778*B122+6.621342593,IF(B122&lt;-1.5,-0.005*B122^3+0.0075*B122^2-0.07875*B122+0.638125,IF(B122&lt;-1,0.26*B122^3+1.11*B122^2+1.44*B122+1.33,0)))))))*G$73+IF(B122&lt;-1,0,IF((1/(B$122+1)*(B122-B$122))&lt;-0.5,0.32*(1/(B$122+1)*(B122-B$122))^3+1.12*(1/(B$122+1)*(B122-B$122))^2+1.28*(1/(B$122+1)*(B122-B$122))+1.22,-0.26*(1/(B$122+1)*(B122-B$122))^3-0.34*(1/(B$122+1)*(B122-B$122))^2+0.255*(1/(B$122+1)*(B122-B$122))+1))*G$73+IF(B122&gt;-3.1,(-B122-3.1)/(-B$122-3.1),0)*G$85</f>
        <v>287.70064871100305</v>
      </c>
      <c r="D122" s="14"/>
      <c r="E122" s="26">
        <v>0</v>
      </c>
      <c r="F122" s="26">
        <v>0</v>
      </c>
      <c r="G122" s="26">
        <f t="shared" ref="G122:G152" si="1">8314.4621*C122/(G$74*G$70*9.80665)</f>
        <v>8417.0962572678418</v>
      </c>
      <c r="H122" s="28">
        <f t="shared" ref="H122:H152" si="2">10^B122*101325</f>
        <v>101325</v>
      </c>
      <c r="I122" s="28">
        <f t="shared" ref="I122:I152" si="3">H122/(8314.4621/G$74*C122)</f>
        <v>1.2271151311179944</v>
      </c>
      <c r="J122" s="26">
        <f t="shared" ref="J122:J152" si="4">SQRT(8314.4621/G$74*G$76*C122)</f>
        <v>340.11925013469204</v>
      </c>
      <c r="K122" s="26">
        <f t="shared" ref="K122:K152" ca="1" si="5">IF(F$20&gt;0,SQRT(2*G$69/(F$20+N122)),10000)</f>
        <v>3431.0348293189954</v>
      </c>
      <c r="L122" s="28">
        <f t="shared" ref="L122:L152" ca="1" si="6">I122*K122^2/2</f>
        <v>7222799.6617605323</v>
      </c>
      <c r="M122" s="28">
        <f t="shared" ref="M122:M152" ca="1" si="7">I122*K122^3/2</f>
        <v>24781677204.693844</v>
      </c>
      <c r="N122" s="26">
        <f t="shared" ref="N122:N125" ca="1" si="8">F122*IF(G$100&gt;0,G$100,0.5)</f>
        <v>0</v>
      </c>
      <c r="O122" s="26">
        <f t="shared" ref="O122:O152" ca="1" si="9">C122-P122*(G$87+(G$86-G$87)*COS(RADIANS(38)))/2</f>
        <v>280.47258418936275</v>
      </c>
      <c r="P122" s="29">
        <f t="shared" ref="P122:P158" ca="1" si="10">IF(B122&lt;R$160,0.2,IF(B122&lt;-4,-0.8*((B122+4)/(R$160+4))^3+1.2*((B122+4)/(R$160+4))^2-0.2,IF(B122&lt;-2.5,-0.3555555556*B122^3-3.466666667*B122^2-10.66666667*B122-10.15555556,IF(B122&lt;-1,0.4148148148*B122^3+2.177777778*B122^2+3.111111111*B122+1.048148148,0))))+IF(B122&lt;-1,0,-1.6*(B122/(B$122+1)-B$122/(B$122+1))^3-1.9*(B122/(B$122+1)-B$122/(B$122+1))^2+1*(B122/(B$122+1)-B$122/(B$122+1))+1)</f>
        <v>1</v>
      </c>
      <c r="Q122" s="14" t="str">
        <f t="shared" ref="Q122:Q156" ca="1" si="11">IF(L122&gt;L$116,"|",IF(L121&gt;L$116,"V",""))</f>
        <v>|</v>
      </c>
      <c r="R122" s="11">
        <f t="shared" ref="R122:R158" ca="1" si="12">IF(Q122="V",B122,0)</f>
        <v>0</v>
      </c>
    </row>
    <row r="123" spans="1:18" x14ac:dyDescent="0.15">
      <c r="A123" s="20"/>
      <c r="B123" s="27">
        <f>B122-0.25</f>
        <v>-0.25</v>
      </c>
      <c r="C123" s="62">
        <f t="shared" si="0"/>
        <v>264.42457420572447</v>
      </c>
      <c r="D123" s="28">
        <f t="shared" ref="D123:D139" ca="1" si="13">(C123-C122)/(E123-E122)</f>
        <v>-5.0093626794127715E-3</v>
      </c>
      <c r="E123" s="26">
        <f t="shared" ref="E123:E151" ca="1" si="14">IF(D123=0,(8314.4621*C122*LN(H123/H122)/(-G$70*9.80665*G$74)),C122/D123*(1/(H123/H122)^(8314.4621*D123/(G$70*9.80665*G$74))-1))+E122</f>
        <v>4646.5141366061371</v>
      </c>
      <c r="F123" s="26">
        <f t="shared" ref="F123:F152" ca="1" si="15">F$38*E123/(F$38-E123)</f>
        <v>4649.9054176070458</v>
      </c>
      <c r="G123" s="26">
        <f t="shared" si="1"/>
        <v>7736.1212213058343</v>
      </c>
      <c r="H123" s="28">
        <f t="shared" si="2"/>
        <v>56979.234774912118</v>
      </c>
      <c r="I123" s="28">
        <f t="shared" si="3"/>
        <v>0.75080012926123474</v>
      </c>
      <c r="J123" s="26">
        <f t="shared" si="4"/>
        <v>326.07064247319323</v>
      </c>
      <c r="K123" s="26">
        <f t="shared" ca="1" si="5"/>
        <v>3420.4463362790684</v>
      </c>
      <c r="L123" s="28">
        <f t="shared" ca="1" si="6"/>
        <v>4391975.4646604639</v>
      </c>
      <c r="M123" s="28">
        <f t="shared" ca="1" si="7"/>
        <v>15022516387.125441</v>
      </c>
      <c r="N123" s="26">
        <f t="shared" ca="1" si="8"/>
        <v>3720.5257256526606</v>
      </c>
      <c r="O123" s="26">
        <f t="shared" ca="1" si="9"/>
        <v>259.68115686339797</v>
      </c>
      <c r="P123" s="29">
        <f t="shared" ca="1" si="10"/>
        <v>0.65625</v>
      </c>
      <c r="Q123" s="14" t="str">
        <f t="shared" ca="1" si="11"/>
        <v>|</v>
      </c>
      <c r="R123" s="11">
        <f t="shared" ca="1" si="12"/>
        <v>0</v>
      </c>
    </row>
    <row r="124" spans="1:18" x14ac:dyDescent="0.15">
      <c r="A124" s="20"/>
      <c r="B124" s="27">
        <f t="shared" ref="B124:B158" si="16">B123-0.25</f>
        <v>-0.5</v>
      </c>
      <c r="C124" s="62">
        <f t="shared" si="0"/>
        <v>236.5351239281905</v>
      </c>
      <c r="D124" s="28">
        <f t="shared" ca="1" si="13"/>
        <v>-6.6181909838971742E-3</v>
      </c>
      <c r="E124" s="26">
        <f t="shared" ca="1" si="14"/>
        <v>8860.5735896186452</v>
      </c>
      <c r="F124" s="26">
        <f t="shared" ca="1" si="15"/>
        <v>8872.9137411109459</v>
      </c>
      <c r="G124" s="26">
        <f t="shared" si="1"/>
        <v>6920.175242038702</v>
      </c>
      <c r="H124" s="28">
        <f t="shared" si="2"/>
        <v>32041.778391656106</v>
      </c>
      <c r="I124" s="28">
        <f t="shared" si="3"/>
        <v>0.47198751696097657</v>
      </c>
      <c r="J124" s="26">
        <f t="shared" si="4"/>
        <v>308.39591177193358</v>
      </c>
      <c r="K124" s="26">
        <f t="shared" ca="1" si="5"/>
        <v>3410.9144113669481</v>
      </c>
      <c r="L124" s="28">
        <f t="shared" ca="1" si="6"/>
        <v>2745630.9447721425</v>
      </c>
      <c r="M124" s="28">
        <f t="shared" ca="1" si="7"/>
        <v>9365112157.8183498</v>
      </c>
      <c r="N124" s="26">
        <f t="shared" ca="1" si="8"/>
        <v>7099.4785636497945</v>
      </c>
      <c r="O124" s="26">
        <f t="shared" ca="1" si="9"/>
        <v>234.90880941082142</v>
      </c>
      <c r="P124" s="29">
        <f t="shared" ca="1" si="10"/>
        <v>0.22500000000000009</v>
      </c>
      <c r="Q124" s="14" t="str">
        <f t="shared" ca="1" si="11"/>
        <v>|</v>
      </c>
      <c r="R124" s="11">
        <f t="shared" ca="1" si="12"/>
        <v>0</v>
      </c>
    </row>
    <row r="125" spans="1:18" x14ac:dyDescent="0.15">
      <c r="A125" s="20"/>
      <c r="B125" s="27">
        <f t="shared" si="16"/>
        <v>-0.75</v>
      </c>
      <c r="C125" s="62">
        <f t="shared" si="0"/>
        <v>217.31563846403313</v>
      </c>
      <c r="D125" s="28">
        <f t="shared" ca="1" si="13"/>
        <v>-5.0320082500435051E-3</v>
      </c>
      <c r="E125" s="26">
        <f t="shared" ca="1" si="14"/>
        <v>12680.01992379173</v>
      </c>
      <c r="F125" s="26">
        <f t="shared" ca="1" si="15"/>
        <v>12705.306934475615</v>
      </c>
      <c r="G125" s="26">
        <f t="shared" si="1"/>
        <v>6357.8815527760344</v>
      </c>
      <c r="H125" s="28">
        <f t="shared" si="2"/>
        <v>18018.41612221938</v>
      </c>
      <c r="I125" s="28">
        <f t="shared" si="3"/>
        <v>0.28889177167378299</v>
      </c>
      <c r="J125" s="26">
        <f t="shared" si="4"/>
        <v>295.60126102153538</v>
      </c>
      <c r="K125" s="26">
        <f t="shared" ca="1" si="5"/>
        <v>3402.3327805716876</v>
      </c>
      <c r="L125" s="28">
        <f t="shared" ca="1" si="6"/>
        <v>1672086.5581112599</v>
      </c>
      <c r="M125" s="28">
        <f t="shared" ca="1" si="7"/>
        <v>5688994908.6152258</v>
      </c>
      <c r="N125" s="26">
        <f t="shared" ca="1" si="8"/>
        <v>10165.88877765952</v>
      </c>
      <c r="O125" s="26">
        <f t="shared" ca="1" si="9"/>
        <v>218.35467273901892</v>
      </c>
      <c r="P125" s="29">
        <f t="shared" ca="1" si="10"/>
        <v>-0.14374999999999982</v>
      </c>
      <c r="Q125" s="14" t="str">
        <f t="shared" ca="1" si="11"/>
        <v>|</v>
      </c>
      <c r="R125" s="11">
        <f t="shared" ca="1" si="12"/>
        <v>0</v>
      </c>
    </row>
    <row r="126" spans="1:18" x14ac:dyDescent="0.15">
      <c r="A126" s="20"/>
      <c r="B126" s="27">
        <f t="shared" si="16"/>
        <v>-1</v>
      </c>
      <c r="C126" s="62">
        <f t="shared" si="0"/>
        <v>210.82270685437345</v>
      </c>
      <c r="D126" s="28">
        <f t="shared" ca="1" si="13"/>
        <v>-1.8011208180367436E-3</v>
      </c>
      <c r="E126" s="26">
        <f t="shared" ca="1" si="14"/>
        <v>16284.959439585626</v>
      </c>
      <c r="F126" s="26">
        <f t="shared" ca="1" si="15"/>
        <v>16326.692216312238</v>
      </c>
      <c r="G126" s="26">
        <f t="shared" si="1"/>
        <v>6167.9215002171668</v>
      </c>
      <c r="H126" s="28">
        <f t="shared" si="2"/>
        <v>10132.5</v>
      </c>
      <c r="I126" s="28">
        <f t="shared" si="3"/>
        <v>0.16745910558372609</v>
      </c>
      <c r="J126" s="26">
        <f t="shared" si="4"/>
        <v>291.15180368959375</v>
      </c>
      <c r="K126" s="26">
        <f t="shared" ca="1" si="5"/>
        <v>3394.2828829681239</v>
      </c>
      <c r="L126" s="28">
        <f t="shared" ca="1" si="6"/>
        <v>964661.26377423888</v>
      </c>
      <c r="M126" s="28">
        <f t="shared" ca="1" si="7"/>
        <v>3274333215.4912972</v>
      </c>
      <c r="N126" s="26">
        <f ca="1">F126*IF(G$100&gt;0,G$100,0.5)</f>
        <v>13063.465371917826</v>
      </c>
      <c r="O126" s="26">
        <f t="shared" ca="1" si="9"/>
        <v>212.99112621086556</v>
      </c>
      <c r="P126" s="29">
        <f t="shared" ca="1" si="10"/>
        <v>-0.29999999999999982</v>
      </c>
      <c r="Q126" s="14" t="str">
        <f t="shared" ca="1" si="11"/>
        <v>|</v>
      </c>
      <c r="R126" s="11">
        <f t="shared" ca="1" si="12"/>
        <v>0</v>
      </c>
    </row>
    <row r="127" spans="1:18" x14ac:dyDescent="0.15">
      <c r="A127" s="20"/>
      <c r="B127" s="27">
        <f t="shared" si="16"/>
        <v>-1.25</v>
      </c>
      <c r="C127" s="62">
        <f t="shared" si="0"/>
        <v>212.36341236536566</v>
      </c>
      <c r="D127" s="28">
        <f t="shared" ca="1" si="13"/>
        <v>4.3235748948921031E-4</v>
      </c>
      <c r="E127" s="26">
        <f t="shared" ca="1" si="14"/>
        <v>19848.458507943087</v>
      </c>
      <c r="F127" s="26">
        <f t="shared" ca="1" si="15"/>
        <v>19910.488409539324</v>
      </c>
      <c r="G127" s="26">
        <f t="shared" si="1"/>
        <v>6212.9970558275791</v>
      </c>
      <c r="H127" s="28">
        <f t="shared" si="2"/>
        <v>5697.9234774912093</v>
      </c>
      <c r="I127" s="28">
        <f t="shared" si="3"/>
        <v>9.3485974011351419E-2</v>
      </c>
      <c r="J127" s="26">
        <f t="shared" si="4"/>
        <v>292.21374482267078</v>
      </c>
      <c r="K127" s="26">
        <f t="shared" ca="1" si="5"/>
        <v>3386.3725302044909</v>
      </c>
      <c r="L127" s="28">
        <f t="shared" ca="1" si="6"/>
        <v>536026.08755282394</v>
      </c>
      <c r="M127" s="28">
        <f t="shared" ca="1" si="7"/>
        <v>1815184018.3618703</v>
      </c>
      <c r="N127" s="26">
        <f t="shared" ref="N127:N152" ca="1" si="17">F127*IF(G$100&gt;0,G$100,0.5)</f>
        <v>15930.965833735658</v>
      </c>
      <c r="O127" s="26">
        <f t="shared" ca="1" si="9"/>
        <v>214.15704318845408</v>
      </c>
      <c r="P127" s="29">
        <f t="shared" ca="1" si="10"/>
        <v>-0.24814814778125016</v>
      </c>
      <c r="Q127" s="14" t="str">
        <f t="shared" ca="1" si="11"/>
        <v>|</v>
      </c>
      <c r="R127" s="11">
        <f t="shared" ca="1" si="12"/>
        <v>0</v>
      </c>
    </row>
    <row r="128" spans="1:18" x14ac:dyDescent="0.15">
      <c r="A128" s="20"/>
      <c r="B128" s="27">
        <f t="shared" si="16"/>
        <v>-1.5</v>
      </c>
      <c r="C128" s="62">
        <f t="shared" si="0"/>
        <v>218.19932980225059</v>
      </c>
      <c r="D128" s="28">
        <f t="shared" ca="1" si="13"/>
        <v>1.6097266572171658E-3</v>
      </c>
      <c r="E128" s="26">
        <f t="shared" ca="1" si="14"/>
        <v>23473.867462140122</v>
      </c>
      <c r="F128" s="26">
        <f t="shared" ca="1" si="15"/>
        <v>23560.67647121305</v>
      </c>
      <c r="G128" s="26">
        <f t="shared" si="1"/>
        <v>6383.7352138255155</v>
      </c>
      <c r="H128" s="28">
        <f t="shared" si="2"/>
        <v>3204.1778391656094</v>
      </c>
      <c r="I128" s="28">
        <f t="shared" si="3"/>
        <v>5.1164971917238192E-2</v>
      </c>
      <c r="J128" s="26">
        <f t="shared" si="4"/>
        <v>296.2016670900943</v>
      </c>
      <c r="K128" s="26">
        <f t="shared" ca="1" si="5"/>
        <v>3378.372217284812</v>
      </c>
      <c r="L128" s="28">
        <f t="shared" ca="1" si="6"/>
        <v>291983.11552660592</v>
      </c>
      <c r="M128" s="28">
        <f t="shared" ca="1" si="7"/>
        <v>986427645.41134703</v>
      </c>
      <c r="N128" s="26">
        <f t="shared" ca="1" si="17"/>
        <v>18851.588377046708</v>
      </c>
      <c r="O128" s="26">
        <f t="shared" ca="1" si="9"/>
        <v>219.05598929700238</v>
      </c>
      <c r="P128" s="29">
        <f t="shared" ca="1" si="10"/>
        <v>-0.11851851795000079</v>
      </c>
      <c r="Q128" s="14" t="str">
        <f t="shared" ca="1" si="11"/>
        <v>|</v>
      </c>
      <c r="R128" s="11">
        <f t="shared" ca="1" si="12"/>
        <v>0</v>
      </c>
    </row>
    <row r="129" spans="1:18" x14ac:dyDescent="0.15">
      <c r="A129" s="20"/>
      <c r="B129" s="27">
        <f t="shared" si="16"/>
        <v>-1.75</v>
      </c>
      <c r="C129" s="62">
        <f t="shared" si="0"/>
        <v>224.61191921066759</v>
      </c>
      <c r="D129" s="28">
        <f t="shared" ca="1" si="13"/>
        <v>1.7198794056943682E-3</v>
      </c>
      <c r="E129" s="26">
        <f t="shared" ca="1" si="14"/>
        <v>27202.378535175416</v>
      </c>
      <c r="F129" s="26">
        <f t="shared" ca="1" si="15"/>
        <v>27319.023081884665</v>
      </c>
      <c r="G129" s="26">
        <f t="shared" si="1"/>
        <v>6571.3447397365981</v>
      </c>
      <c r="H129" s="28">
        <f t="shared" si="2"/>
        <v>1801.8416122219382</v>
      </c>
      <c r="I129" s="28">
        <f t="shared" si="3"/>
        <v>2.7950742787345439E-2</v>
      </c>
      <c r="J129" s="26">
        <f t="shared" si="4"/>
        <v>300.52263748776903</v>
      </c>
      <c r="K129" s="26">
        <f t="shared" ca="1" si="5"/>
        <v>3370.1938094359812</v>
      </c>
      <c r="L129" s="28">
        <f t="shared" ca="1" si="6"/>
        <v>158735.15159237769</v>
      </c>
      <c r="M129" s="28">
        <f t="shared" ca="1" si="7"/>
        <v>534968225.23651332</v>
      </c>
      <c r="N129" s="26">
        <f t="shared" ca="1" si="17"/>
        <v>21858.75174815012</v>
      </c>
      <c r="O129" s="26">
        <f t="shared" ca="1" si="9"/>
        <v>224.25051597875796</v>
      </c>
      <c r="P129" s="29">
        <f t="shared" ca="1" si="10"/>
        <v>5.0000000806249778E-2</v>
      </c>
      <c r="Q129" s="14" t="str">
        <f t="shared" ca="1" si="11"/>
        <v>|</v>
      </c>
      <c r="R129" s="11">
        <f t="shared" ca="1" si="12"/>
        <v>0</v>
      </c>
    </row>
    <row r="130" spans="1:18" x14ac:dyDescent="0.15">
      <c r="A130" s="20"/>
      <c r="B130" s="27">
        <f t="shared" si="16"/>
        <v>-2</v>
      </c>
      <c r="C130" s="62">
        <f t="shared" si="0"/>
        <v>232.09831160055785</v>
      </c>
      <c r="D130" s="28">
        <f t="shared" ca="1" si="13"/>
        <v>1.9468101155015387E-3</v>
      </c>
      <c r="E130" s="26">
        <f t="shared" ca="1" si="14"/>
        <v>31047.844680167902</v>
      </c>
      <c r="F130" s="26">
        <f t="shared" ca="1" si="15"/>
        <v>31199.891357440531</v>
      </c>
      <c r="G130" s="26">
        <f t="shared" si="1"/>
        <v>6790.3699162445646</v>
      </c>
      <c r="H130" s="28">
        <f t="shared" si="2"/>
        <v>1013.25</v>
      </c>
      <c r="I130" s="28">
        <f t="shared" si="3"/>
        <v>1.5210874083104965E-2</v>
      </c>
      <c r="J130" s="26">
        <f t="shared" si="4"/>
        <v>305.48984837679677</v>
      </c>
      <c r="K130" s="26">
        <f t="shared" ca="1" si="5"/>
        <v>3361.8108092205453</v>
      </c>
      <c r="L130" s="28">
        <f t="shared" ca="1" si="6"/>
        <v>85954.914772669305</v>
      </c>
      <c r="M130" s="28">
        <f t="shared" ca="1" si="7"/>
        <v>288964161.58839041</v>
      </c>
      <c r="N130" s="26">
        <f t="shared" ca="1" si="17"/>
        <v>24963.948297396379</v>
      </c>
      <c r="O130" s="26">
        <f t="shared" ca="1" si="9"/>
        <v>230.51884564171573</v>
      </c>
      <c r="P130" s="29">
        <f t="shared" ca="1" si="10"/>
        <v>0.21851851959999968</v>
      </c>
      <c r="Q130" s="14" t="str">
        <f t="shared" ca="1" si="11"/>
        <v>|</v>
      </c>
      <c r="R130" s="11">
        <f t="shared" ca="1" si="12"/>
        <v>0</v>
      </c>
    </row>
    <row r="131" spans="1:18" x14ac:dyDescent="0.15">
      <c r="B131" s="27">
        <f t="shared" si="16"/>
        <v>-2.25</v>
      </c>
      <c r="C131" s="62">
        <f t="shared" si="0"/>
        <v>240.77781841430721</v>
      </c>
      <c r="D131" s="28">
        <f t="shared" ca="1" si="13"/>
        <v>2.179963789313114E-3</v>
      </c>
      <c r="E131" s="26">
        <f t="shared" ca="1" si="14"/>
        <v>35029.335958279436</v>
      </c>
      <c r="F131" s="26">
        <f t="shared" ca="1" si="15"/>
        <v>35223.000740321731</v>
      </c>
      <c r="G131" s="26">
        <f t="shared" si="1"/>
        <v>7044.30137119351</v>
      </c>
      <c r="H131" s="28">
        <f t="shared" si="2"/>
        <v>569.79234774912084</v>
      </c>
      <c r="I131" s="28">
        <f t="shared" si="3"/>
        <v>8.2453610470003304E-3</v>
      </c>
      <c r="J131" s="26">
        <f t="shared" si="4"/>
        <v>311.14944447068729</v>
      </c>
      <c r="K131" s="26">
        <f t="shared" ca="1" si="5"/>
        <v>3353.1862562153196</v>
      </c>
      <c r="L131" s="28">
        <f t="shared" ca="1" si="6"/>
        <v>46354.834669535936</v>
      </c>
      <c r="M131" s="28">
        <f t="shared" ca="1" si="7"/>
        <v>155436394.52302131</v>
      </c>
      <c r="N131" s="26">
        <f t="shared" ca="1" si="17"/>
        <v>28182.956129135684</v>
      </c>
      <c r="O131" s="26">
        <f t="shared" ca="1" si="9"/>
        <v>238.26138112631531</v>
      </c>
      <c r="P131" s="29">
        <f t="shared" ca="1" si="10"/>
        <v>0.34814814954374884</v>
      </c>
      <c r="Q131" s="14" t="str">
        <f t="shared" ca="1" si="11"/>
        <v>|</v>
      </c>
      <c r="R131" s="11">
        <f t="shared" ca="1" si="12"/>
        <v>0</v>
      </c>
    </row>
    <row r="132" spans="1:18" x14ac:dyDescent="0.15">
      <c r="B132" s="27">
        <f t="shared" si="16"/>
        <v>-2.5</v>
      </c>
      <c r="C132" s="62">
        <f t="shared" si="0"/>
        <v>250.76975109430171</v>
      </c>
      <c r="D132" s="28">
        <f t="shared" ca="1" si="13"/>
        <v>2.4143299426508369E-3</v>
      </c>
      <c r="E132" s="26">
        <f t="shared" ca="1" si="14"/>
        <v>39167.93048236653</v>
      </c>
      <c r="F132" s="26">
        <f t="shared" ca="1" si="15"/>
        <v>39410.218458647047</v>
      </c>
      <c r="G132" s="26">
        <f t="shared" si="1"/>
        <v>7336.6297324275374</v>
      </c>
      <c r="H132" s="28">
        <f t="shared" si="2"/>
        <v>320.41778391656072</v>
      </c>
      <c r="I132" s="28">
        <f t="shared" si="3"/>
        <v>4.4519574362436032E-3</v>
      </c>
      <c r="J132" s="26">
        <f t="shared" si="4"/>
        <v>317.53994613822812</v>
      </c>
      <c r="K132" s="26">
        <f t="shared" ca="1" si="5"/>
        <v>3344.2800177484614</v>
      </c>
      <c r="L132" s="28">
        <f t="shared" ca="1" si="6"/>
        <v>24895.810850440317</v>
      </c>
      <c r="M132" s="28">
        <f t="shared" ca="1" si="7"/>
        <v>83258562.752772883</v>
      </c>
      <c r="N132" s="26">
        <f t="shared" ca="1" si="17"/>
        <v>31533.271854042432</v>
      </c>
      <c r="O132" s="26">
        <f t="shared" ca="1" si="9"/>
        <v>247.87852527299646</v>
      </c>
      <c r="P132" s="29">
        <f t="shared" ca="1" si="10"/>
        <v>0.40000000175000028</v>
      </c>
      <c r="Q132" s="14" t="str">
        <f t="shared" ca="1" si="11"/>
        <v>|</v>
      </c>
      <c r="R132" s="11">
        <f t="shared" ca="1" si="12"/>
        <v>0</v>
      </c>
    </row>
    <row r="133" spans="1:18" x14ac:dyDescent="0.15">
      <c r="B133" s="27">
        <f t="shared" si="16"/>
        <v>-2.75</v>
      </c>
      <c r="C133" s="62">
        <f t="shared" si="0"/>
        <v>262.21625262155891</v>
      </c>
      <c r="D133" s="28">
        <f t="shared" ca="1" si="13"/>
        <v>2.6502826466077633E-3</v>
      </c>
      <c r="E133" s="26">
        <f t="shared" ca="1" si="14"/>
        <v>43486.904363098816</v>
      </c>
      <c r="F133" s="26">
        <f t="shared" ca="1" si="15"/>
        <v>43785.775471305496</v>
      </c>
      <c r="G133" s="26">
        <f t="shared" si="1"/>
        <v>7671.5135972903772</v>
      </c>
      <c r="H133" s="28">
        <f t="shared" si="2"/>
        <v>180.18416122219381</v>
      </c>
      <c r="I133" s="28">
        <f t="shared" si="3"/>
        <v>2.3942337357288632E-3</v>
      </c>
      <c r="J133" s="26">
        <f t="shared" si="4"/>
        <v>324.70621076224239</v>
      </c>
      <c r="K133" s="26">
        <f t="shared" ca="1" si="5"/>
        <v>3335.0485910587399</v>
      </c>
      <c r="L133" s="28">
        <f t="shared" ca="1" si="6"/>
        <v>13314.991146914199</v>
      </c>
      <c r="M133" s="28">
        <f t="shared" ca="1" si="7"/>
        <v>44406142.464475788</v>
      </c>
      <c r="N133" s="26">
        <f t="shared" ca="1" si="17"/>
        <v>35034.283373118327</v>
      </c>
      <c r="O133" s="26">
        <f t="shared" ca="1" si="9"/>
        <v>259.64627410238296</v>
      </c>
      <c r="P133" s="29">
        <f t="shared" ca="1" si="10"/>
        <v>0.35555555868124955</v>
      </c>
      <c r="Q133" s="14" t="str">
        <f t="shared" ca="1" si="11"/>
        <v>|</v>
      </c>
      <c r="R133" s="11">
        <f t="shared" ca="1" si="12"/>
        <v>0</v>
      </c>
    </row>
    <row r="134" spans="1:18" x14ac:dyDescent="0.15">
      <c r="B134" s="27">
        <f t="shared" si="16"/>
        <v>-3</v>
      </c>
      <c r="C134" s="62">
        <f t="shared" si="0"/>
        <v>269.7298952111712</v>
      </c>
      <c r="D134" s="28">
        <f t="shared" ca="1" si="13"/>
        <v>1.6775079794177396E-3</v>
      </c>
      <c r="E134" s="26">
        <f t="shared" ca="1" si="14"/>
        <v>47965.954645899918</v>
      </c>
      <c r="F134" s="26">
        <f t="shared" ca="1" si="15"/>
        <v>48329.81996571154</v>
      </c>
      <c r="G134" s="26">
        <f t="shared" si="1"/>
        <v>7891.3360175832204</v>
      </c>
      <c r="H134" s="28">
        <f t="shared" si="2"/>
        <v>101.325</v>
      </c>
      <c r="I134" s="28">
        <f t="shared" si="3"/>
        <v>1.3088716732319885E-3</v>
      </c>
      <c r="J134" s="26">
        <f t="shared" si="4"/>
        <v>329.32548051506006</v>
      </c>
      <c r="K134" s="26">
        <f t="shared" ca="1" si="5"/>
        <v>3325.5421543549023</v>
      </c>
      <c r="L134" s="28">
        <f t="shared" ca="1" si="6"/>
        <v>7237.5568433850967</v>
      </c>
      <c r="M134" s="28">
        <f t="shared" ca="1" si="7"/>
        <v>24068800.377216939</v>
      </c>
      <c r="N134" s="26">
        <f t="shared" ca="1" si="17"/>
        <v>38670.106668777611</v>
      </c>
      <c r="O134" s="26">
        <f t="shared" ca="1" si="9"/>
        <v>267.96303496762482</v>
      </c>
      <c r="P134" s="29">
        <f t="shared" ca="1" si="10"/>
        <v>0.244444448200003</v>
      </c>
      <c r="Q134" s="14" t="str">
        <f t="shared" ca="1" si="11"/>
        <v>|</v>
      </c>
      <c r="R134" s="11">
        <f t="shared" ca="1" si="12"/>
        <v>0</v>
      </c>
    </row>
    <row r="135" spans="1:18" x14ac:dyDescent="0.15">
      <c r="B135" s="27">
        <f t="shared" si="16"/>
        <v>-3.25</v>
      </c>
      <c r="C135" s="62">
        <f t="shared" si="0"/>
        <v>266.26834023467177</v>
      </c>
      <c r="D135" s="28">
        <f t="shared" ca="1" si="13"/>
        <v>-7.6694947960594746E-4</v>
      </c>
      <c r="E135" s="26">
        <f t="shared" ca="1" si="14"/>
        <v>52479.361419808789</v>
      </c>
      <c r="F135" s="26">
        <f t="shared" ca="1" si="15"/>
        <v>52915.236133616767</v>
      </c>
      <c r="G135" s="26">
        <f t="shared" si="1"/>
        <v>7790.0632482392502</v>
      </c>
      <c r="H135" s="28">
        <f t="shared" si="2"/>
        <v>56.979234774912065</v>
      </c>
      <c r="I135" s="28">
        <f t="shared" si="3"/>
        <v>7.456012394058307E-4</v>
      </c>
      <c r="J135" s="26">
        <f t="shared" si="4"/>
        <v>327.20547196616866</v>
      </c>
      <c r="K135" s="26">
        <f t="shared" ca="1" si="5"/>
        <v>3316.0311017301133</v>
      </c>
      <c r="L135" s="28">
        <f t="shared" ca="1" si="6"/>
        <v>4099.3388276685691</v>
      </c>
      <c r="M135" s="28">
        <f t="shared" ca="1" si="7"/>
        <v>13593535.049078837</v>
      </c>
      <c r="N135" s="26">
        <f t="shared" ca="1" si="17"/>
        <v>42339.032654006493</v>
      </c>
      <c r="O135" s="26">
        <f t="shared" ca="1" si="9"/>
        <v>265.54553375074943</v>
      </c>
      <c r="P135" s="29">
        <f t="shared" ca="1" si="10"/>
        <v>0.10000000439374901</v>
      </c>
      <c r="Q135" s="14" t="str">
        <f t="shared" ca="1" si="11"/>
        <v>|</v>
      </c>
      <c r="R135" s="11">
        <f t="shared" ca="1" si="12"/>
        <v>0</v>
      </c>
    </row>
    <row r="136" spans="1:18" x14ac:dyDescent="0.15">
      <c r="B136" s="27">
        <f t="shared" si="16"/>
        <v>-3.5</v>
      </c>
      <c r="C136" s="62">
        <f t="shared" si="0"/>
        <v>253.25842170450835</v>
      </c>
      <c r="D136" s="28">
        <f t="shared" ref="D136:D144" ca="1" si="18">(C136-C135)/(E136-E135)</f>
        <v>-2.9744748739504705E-3</v>
      </c>
      <c r="E136" s="26">
        <f t="shared" ca="1" si="14"/>
        <v>56853.215320576281</v>
      </c>
      <c r="F136" s="26">
        <f t="shared" ca="1" si="15"/>
        <v>57365.127412979738</v>
      </c>
      <c r="G136" s="26">
        <f t="shared" si="1"/>
        <v>7409.439370405742</v>
      </c>
      <c r="H136" s="28">
        <f t="shared" si="2"/>
        <v>32.041778391656095</v>
      </c>
      <c r="I136" s="28">
        <f t="shared" si="3"/>
        <v>4.4082098066291505E-4</v>
      </c>
      <c r="J136" s="26">
        <f t="shared" si="4"/>
        <v>319.11170939126578</v>
      </c>
      <c r="K136" s="26">
        <f t="shared" ca="1" si="5"/>
        <v>3306.8787441903373</v>
      </c>
      <c r="L136" s="28">
        <f t="shared" ca="1" si="6"/>
        <v>2410.2872416066089</v>
      </c>
      <c r="M136" s="28">
        <f t="shared" ca="1" si="7"/>
        <v>7970527.6466620546</v>
      </c>
      <c r="N136" s="26">
        <f t="shared" ca="1" si="17"/>
        <v>45899.521200405237</v>
      </c>
      <c r="O136" s="26">
        <f t="shared" ca="1" si="9"/>
        <v>253.57966898011969</v>
      </c>
      <c r="P136" s="29">
        <f t="shared" ca="1" si="10"/>
        <v>-4.4444439399999425E-2</v>
      </c>
      <c r="Q136" s="14" t="str">
        <f t="shared" ca="1" si="11"/>
        <v>|</v>
      </c>
      <c r="R136" s="11">
        <f t="shared" ca="1" si="12"/>
        <v>0</v>
      </c>
    </row>
    <row r="137" spans="1:18" x14ac:dyDescent="0.15">
      <c r="B137" s="27">
        <f t="shared" si="16"/>
        <v>-3.75</v>
      </c>
      <c r="C137" s="62">
        <f t="shared" si="0"/>
        <v>241.50624462949253</v>
      </c>
      <c r="D137" s="28">
        <f t="shared" ca="1" si="13"/>
        <v>-2.821331987358267E-3</v>
      </c>
      <c r="E137" s="26">
        <f t="shared" ca="1" si="14"/>
        <v>61018.686497904717</v>
      </c>
      <c r="F137" s="26">
        <f t="shared" ca="1" si="15"/>
        <v>61608.748483343959</v>
      </c>
      <c r="G137" s="26">
        <f t="shared" si="1"/>
        <v>7065.6125277619849</v>
      </c>
      <c r="H137" s="28">
        <f t="shared" si="2"/>
        <v>18.01841612221936</v>
      </c>
      <c r="I137" s="28">
        <f t="shared" si="3"/>
        <v>2.5995476806245301E-4</v>
      </c>
      <c r="J137" s="26">
        <f t="shared" si="4"/>
        <v>311.61974994073461</v>
      </c>
      <c r="K137" s="26">
        <f t="shared" ca="1" si="5"/>
        <v>3298.2208569818899</v>
      </c>
      <c r="L137" s="28">
        <f t="shared" ca="1" si="6"/>
        <v>1413.9278843788982</v>
      </c>
      <c r="M137" s="28">
        <f t="shared" ca="1" si="7"/>
        <v>4663446.4385267608</v>
      </c>
      <c r="N137" s="26">
        <f t="shared" ca="1" si="17"/>
        <v>49294.966901822736</v>
      </c>
      <c r="O137" s="26">
        <f t="shared" ca="1" si="9"/>
        <v>242.63061018046241</v>
      </c>
      <c r="P137" s="29">
        <f t="shared" ca="1" si="10"/>
        <v>-0.15555554984375419</v>
      </c>
      <c r="Q137" s="14" t="str">
        <f t="shared" ca="1" si="11"/>
        <v>|</v>
      </c>
      <c r="R137" s="11">
        <f t="shared" ca="1" si="12"/>
        <v>0</v>
      </c>
    </row>
    <row r="138" spans="1:18" x14ac:dyDescent="0.15">
      <c r="B138" s="27">
        <f t="shared" si="16"/>
        <v>-4</v>
      </c>
      <c r="C138" s="62">
        <f t="shared" si="0"/>
        <v>230.66878861277178</v>
      </c>
      <c r="D138" s="28">
        <f t="shared" ca="1" si="13"/>
        <v>-2.7261732625967062E-3</v>
      </c>
      <c r="E138" s="26">
        <f t="shared" ca="1" si="14"/>
        <v>64994.022976114407</v>
      </c>
      <c r="F138" s="26">
        <f t="shared" ca="1" si="15"/>
        <v>65663.895957207467</v>
      </c>
      <c r="G138" s="26">
        <f t="shared" si="1"/>
        <v>6748.5471652564038</v>
      </c>
      <c r="H138" s="28">
        <f t="shared" si="2"/>
        <v>10.1325</v>
      </c>
      <c r="I138" s="28">
        <f t="shared" si="3"/>
        <v>1.5305140387171875E-4</v>
      </c>
      <c r="J138" s="26">
        <f t="shared" si="4"/>
        <v>304.54761991637361</v>
      </c>
      <c r="K138" s="26">
        <f t="shared" ca="1" si="5"/>
        <v>3290.0107166886792</v>
      </c>
      <c r="L138" s="28">
        <f t="shared" ca="1" si="6"/>
        <v>828.32724660469751</v>
      </c>
      <c r="M138" s="28">
        <f t="shared" ca="1" si="7"/>
        <v>2725205.518254681</v>
      </c>
      <c r="N138" s="26">
        <f t="shared" ca="1" si="17"/>
        <v>52539.60934996717</v>
      </c>
      <c r="O138" s="26">
        <f t="shared" ca="1" si="9"/>
        <v>232.11440147084022</v>
      </c>
      <c r="P138" s="29">
        <f t="shared" ca="1" si="10"/>
        <v>-0.19999999359999876</v>
      </c>
      <c r="Q138" s="14" t="str">
        <f t="shared" ca="1" si="11"/>
        <v>|</v>
      </c>
      <c r="R138" s="11">
        <f t="shared" ca="1" si="12"/>
        <v>0</v>
      </c>
    </row>
    <row r="139" spans="1:18" x14ac:dyDescent="0.15">
      <c r="B139" s="27">
        <f t="shared" si="16"/>
        <v>-4.25</v>
      </c>
      <c r="C139" s="62">
        <f t="shared" si="0"/>
        <v>221.10398798150081</v>
      </c>
      <c r="D139" s="28">
        <f t="shared" ca="1" si="13"/>
        <v>-2.5146272219032022E-3</v>
      </c>
      <c r="E139" s="26">
        <f t="shared" ca="1" si="14"/>
        <v>68797.688405311375</v>
      </c>
      <c r="F139" s="26">
        <f t="shared" ca="1" si="15"/>
        <v>69548.715061692492</v>
      </c>
      <c r="G139" s="26">
        <f t="shared" si="1"/>
        <v>6468.7151664212033</v>
      </c>
      <c r="H139" s="28">
        <f t="shared" si="2"/>
        <v>5.6979234774912095</v>
      </c>
      <c r="I139" s="28">
        <f t="shared" si="3"/>
        <v>8.9790331827988229E-5</v>
      </c>
      <c r="J139" s="26">
        <f t="shared" si="4"/>
        <v>298.16665986618995</v>
      </c>
      <c r="K139" s="26">
        <f t="shared" ca="1" si="5"/>
        <v>3282.202654834543</v>
      </c>
      <c r="L139" s="28">
        <f t="shared" ca="1" si="6"/>
        <v>483.64907970233372</v>
      </c>
      <c r="M139" s="28">
        <f t="shared" ca="1" si="7"/>
        <v>1587434.2934072833</v>
      </c>
      <c r="N139" s="26">
        <f t="shared" ca="1" si="17"/>
        <v>55647.967073333857</v>
      </c>
      <c r="O139" s="26">
        <f t="shared" ca="1" si="9"/>
        <v>222.33543601111361</v>
      </c>
      <c r="P139" s="29">
        <f t="shared" ca="1" si="10"/>
        <v>-0.17037037037037039</v>
      </c>
      <c r="Q139" s="14" t="str">
        <f t="shared" ca="1" si="11"/>
        <v>|</v>
      </c>
      <c r="R139" s="11">
        <f t="shared" ca="1" si="12"/>
        <v>0</v>
      </c>
    </row>
    <row r="140" spans="1:18" x14ac:dyDescent="0.15">
      <c r="B140" s="27">
        <f t="shared" si="16"/>
        <v>-4.5</v>
      </c>
      <c r="C140" s="62">
        <f t="shared" si="0"/>
        <v>213.16977706283726</v>
      </c>
      <c r="D140" s="28">
        <f t="shared" ca="1" si="18"/>
        <v>-2.1699080045308526E-3</v>
      </c>
      <c r="E140" s="26">
        <f t="shared" ca="1" si="14"/>
        <v>72454.161814366729</v>
      </c>
      <c r="F140" s="26">
        <f t="shared" ca="1" si="15"/>
        <v>73287.62491824638</v>
      </c>
      <c r="G140" s="26">
        <f t="shared" si="1"/>
        <v>6236.5884147886736</v>
      </c>
      <c r="H140" s="28">
        <f t="shared" si="2"/>
        <v>3.2041778391656059</v>
      </c>
      <c r="I140" s="28">
        <f t="shared" si="3"/>
        <v>5.2372164269803644E-5</v>
      </c>
      <c r="J140" s="26">
        <f t="shared" si="4"/>
        <v>292.76800129891649</v>
      </c>
      <c r="K140" s="26">
        <f t="shared" ca="1" si="5"/>
        <v>3274.7401134133006</v>
      </c>
      <c r="L140" s="28">
        <f t="shared" ca="1" si="6"/>
        <v>280.81752352143332</v>
      </c>
      <c r="M140" s="28">
        <f t="shared" ca="1" si="7"/>
        <v>919604.40882502077</v>
      </c>
      <c r="N140" s="26">
        <f t="shared" ca="1" si="17"/>
        <v>58639.578527307007</v>
      </c>
      <c r="O140" s="26">
        <f t="shared" ca="1" si="9"/>
        <v>213.86581290566187</v>
      </c>
      <c r="P140" s="29">
        <f t="shared" ca="1" si="10"/>
        <v>-9.629629629629631E-2</v>
      </c>
      <c r="Q140" s="14" t="str">
        <f t="shared" ca="1" si="11"/>
        <v>|</v>
      </c>
      <c r="R140" s="11">
        <f t="shared" ca="1" si="12"/>
        <v>0</v>
      </c>
    </row>
    <row r="141" spans="1:18" x14ac:dyDescent="0.15">
      <c r="B141" s="27">
        <f t="shared" si="16"/>
        <v>-4.75</v>
      </c>
      <c r="C141" s="62">
        <f t="shared" si="0"/>
        <v>206.47066071444326</v>
      </c>
      <c r="D141" s="28">
        <f t="shared" ca="1" si="18"/>
        <v>-1.8959633234075166E-3</v>
      </c>
      <c r="E141" s="26">
        <f t="shared" ca="1" si="14"/>
        <v>75987.519377610035</v>
      </c>
      <c r="F141" s="26">
        <f t="shared" ca="1" si="15"/>
        <v>76904.769838818291</v>
      </c>
      <c r="G141" s="26">
        <f t="shared" si="1"/>
        <v>6040.5961311573974</v>
      </c>
      <c r="H141" s="28">
        <f t="shared" si="2"/>
        <v>1.8018416122219372</v>
      </c>
      <c r="I141" s="28">
        <f t="shared" si="3"/>
        <v>3.0406596070868337E-5</v>
      </c>
      <c r="J141" s="26">
        <f t="shared" si="4"/>
        <v>288.13098646155214</v>
      </c>
      <c r="K141" s="26">
        <f t="shared" ca="1" si="5"/>
        <v>3267.568832775672</v>
      </c>
      <c r="L141" s="28">
        <f t="shared" ca="1" si="6"/>
        <v>162.32570551366243</v>
      </c>
      <c r="M141" s="28">
        <f t="shared" ca="1" si="7"/>
        <v>530410.41609476542</v>
      </c>
      <c r="N141" s="26">
        <f t="shared" ca="1" si="17"/>
        <v>61533.762284130018</v>
      </c>
      <c r="O141" s="26">
        <f t="shared" ca="1" si="9"/>
        <v>206.47066071444326</v>
      </c>
      <c r="P141" s="29">
        <f t="shared" ca="1" si="10"/>
        <v>-2.7755575615628914E-17</v>
      </c>
      <c r="Q141" s="14" t="str">
        <f t="shared" ca="1" si="11"/>
        <v>|</v>
      </c>
      <c r="R141" s="11">
        <f t="shared" ca="1" si="12"/>
        <v>0</v>
      </c>
    </row>
    <row r="142" spans="1:18" x14ac:dyDescent="0.15">
      <c r="B142" s="27">
        <f t="shared" si="16"/>
        <v>-5</v>
      </c>
      <c r="C142" s="62">
        <f t="shared" si="0"/>
        <v>200.51392650095352</v>
      </c>
      <c r="D142" s="28">
        <f t="shared" ca="1" si="18"/>
        <v>-1.7382575329539937E-3</v>
      </c>
      <c r="E142" s="26">
        <f t="shared" ca="1" si="14"/>
        <v>79414.361546023792</v>
      </c>
      <c r="F142" s="26">
        <f t="shared" ca="1" si="15"/>
        <v>80416.754453340604</v>
      </c>
      <c r="G142" s="26">
        <f t="shared" si="1"/>
        <v>5866.3233045977749</v>
      </c>
      <c r="H142" s="28">
        <f t="shared" si="2"/>
        <v>1.01325</v>
      </c>
      <c r="I142" s="28">
        <f t="shared" si="3"/>
        <v>1.7606847834783971E-5</v>
      </c>
      <c r="J142" s="26">
        <f t="shared" si="4"/>
        <v>283.94423996044441</v>
      </c>
      <c r="K142" s="26">
        <f t="shared" ca="1" si="5"/>
        <v>3260.6509271581044</v>
      </c>
      <c r="L142" s="28">
        <f t="shared" ca="1" si="6"/>
        <v>93.596633882423191</v>
      </c>
      <c r="M142" s="28">
        <f t="shared" ca="1" si="7"/>
        <v>305185.95104760077</v>
      </c>
      <c r="N142" s="26">
        <f t="shared" ca="1" si="17"/>
        <v>64343.804195294506</v>
      </c>
      <c r="O142" s="26">
        <f t="shared" ca="1" si="9"/>
        <v>199.8178906581289</v>
      </c>
      <c r="P142" s="29">
        <f t="shared" ca="1" si="10"/>
        <v>9.6296296296296269E-2</v>
      </c>
      <c r="Q142" s="14" t="str">
        <f t="shared" ca="1" si="11"/>
        <v>|</v>
      </c>
      <c r="R142" s="11">
        <f t="shared" ca="1" si="12"/>
        <v>0</v>
      </c>
    </row>
    <row r="143" spans="1:18" x14ac:dyDescent="0.15">
      <c r="B143" s="27">
        <f t="shared" si="16"/>
        <v>-5.25</v>
      </c>
      <c r="C143" s="62">
        <f t="shared" si="0"/>
        <v>195.51168382766465</v>
      </c>
      <c r="D143" s="28">
        <f t="shared" ca="1" si="18"/>
        <v>-1.5000903891438913E-3</v>
      </c>
      <c r="E143" s="26">
        <f t="shared" ca="1" si="14"/>
        <v>82748.98905213266</v>
      </c>
      <c r="F143" s="26">
        <f t="shared" ca="1" si="15"/>
        <v>83837.907922773898</v>
      </c>
      <c r="G143" s="26">
        <f t="shared" si="1"/>
        <v>5719.9755008235143</v>
      </c>
      <c r="H143" s="28">
        <f t="shared" si="2"/>
        <v>0.56979234774912046</v>
      </c>
      <c r="I143" s="28">
        <f t="shared" si="3"/>
        <v>1.0154380577505562E-5</v>
      </c>
      <c r="J143" s="26">
        <f t="shared" si="4"/>
        <v>280.38007679958673</v>
      </c>
      <c r="K143" s="26">
        <f t="shared" ca="1" si="5"/>
        <v>3253.9540150646039</v>
      </c>
      <c r="L143" s="28">
        <f t="shared" ca="1" si="6"/>
        <v>53.758391167707359</v>
      </c>
      <c r="M143" s="28">
        <f t="shared" ca="1" si="7"/>
        <v>174927.33278357491</v>
      </c>
      <c r="N143" s="26">
        <f t="shared" ca="1" si="17"/>
        <v>67081.169442818791</v>
      </c>
      <c r="O143" s="26">
        <f t="shared" ca="1" si="9"/>
        <v>194.28023579805185</v>
      </c>
      <c r="P143" s="29">
        <f t="shared" ca="1" si="10"/>
        <v>0.17037037037037028</v>
      </c>
      <c r="Q143" s="14" t="str">
        <f t="shared" ca="1" si="11"/>
        <v>|</v>
      </c>
      <c r="R143" s="11">
        <f t="shared" ca="1" si="12"/>
        <v>0</v>
      </c>
    </row>
    <row r="144" spans="1:18" x14ac:dyDescent="0.15">
      <c r="B144" s="27">
        <f t="shared" si="16"/>
        <v>-5.5</v>
      </c>
      <c r="C144" s="62">
        <f t="shared" si="0"/>
        <v>191.67604192548757</v>
      </c>
      <c r="D144" s="28">
        <f t="shared" ca="1" si="18"/>
        <v>-1.1764772302823169E-3</v>
      </c>
      <c r="E144" s="26">
        <f t="shared" ca="1" si="14"/>
        <v>86009.266262305755</v>
      </c>
      <c r="F144" s="26">
        <f t="shared" ca="1" si="15"/>
        <v>87186.291686268611</v>
      </c>
      <c r="G144" s="26">
        <f t="shared" si="1"/>
        <v>5607.7582804464246</v>
      </c>
      <c r="H144" s="28">
        <f t="shared" si="2"/>
        <v>0.32041778391656078</v>
      </c>
      <c r="I144" s="28">
        <f t="shared" si="3"/>
        <v>5.8244955757341409E-6</v>
      </c>
      <c r="J144" s="26">
        <f t="shared" si="4"/>
        <v>277.61613823196529</v>
      </c>
      <c r="K144" s="26">
        <f t="shared" ca="1" si="5"/>
        <v>3247.4393455116838</v>
      </c>
      <c r="L144" s="28">
        <f t="shared" ca="1" si="6"/>
        <v>30.712164162414076</v>
      </c>
      <c r="M144" s="28">
        <f t="shared" ca="1" si="7"/>
        <v>99735.890286837355</v>
      </c>
      <c r="N144" s="26">
        <f t="shared" ca="1" si="17"/>
        <v>69760.309513984117</v>
      </c>
      <c r="O144" s="26">
        <f t="shared" ca="1" si="9"/>
        <v>190.23042902115949</v>
      </c>
      <c r="P144" s="29">
        <f t="shared" ca="1" si="10"/>
        <v>0.1999999999999999</v>
      </c>
      <c r="Q144" s="14" t="str">
        <f t="shared" ca="1" si="11"/>
        <v>V</v>
      </c>
      <c r="R144" s="11">
        <f t="shared" ca="1" si="12"/>
        <v>-5.5</v>
      </c>
    </row>
    <row r="145" spans="2:18" x14ac:dyDescent="0.15">
      <c r="B145" s="27">
        <f t="shared" si="16"/>
        <v>-5.75</v>
      </c>
      <c r="C145" s="62">
        <f t="shared" si="0"/>
        <v>189.21911002533335</v>
      </c>
      <c r="D145" s="28">
        <f t="shared" ref="D145:D158" ca="1" si="19">(C145-C144)/(E145-E144)</f>
        <v>-7.6603134944352102E-4</v>
      </c>
      <c r="E145" s="26">
        <f t="shared" ca="1" si="14"/>
        <v>89216.617896072421</v>
      </c>
      <c r="F145" s="26">
        <f t="shared" ca="1" si="15"/>
        <v>90483.711080388486</v>
      </c>
      <c r="G145" s="26">
        <f t="shared" si="1"/>
        <v>5535.8772040783151</v>
      </c>
      <c r="H145" s="28">
        <f t="shared" si="2"/>
        <v>0.1801841612221935</v>
      </c>
      <c r="I145" s="28">
        <f t="shared" si="3"/>
        <v>3.3178836852096182E-6</v>
      </c>
      <c r="J145" s="26">
        <f t="shared" si="4"/>
        <v>275.83113728877049</v>
      </c>
      <c r="K145" s="26">
        <f t="shared" ca="1" si="5"/>
        <v>3241.0619223227072</v>
      </c>
      <c r="L145" s="28">
        <f t="shared" ca="1" si="6"/>
        <v>17.42632536227044</v>
      </c>
      <c r="M145" s="28">
        <f t="shared" ca="1" si="7"/>
        <v>56479.799577661179</v>
      </c>
      <c r="N145" s="26">
        <f t="shared" ca="1" si="17"/>
        <v>72398.67149821615</v>
      </c>
      <c r="O145" s="26">
        <f t="shared" ca="1" si="9"/>
        <v>187.77349712100528</v>
      </c>
      <c r="P145" s="29">
        <f t="shared" ca="1" si="10"/>
        <v>0.2</v>
      </c>
      <c r="Q145" s="14" t="str">
        <f t="shared" ca="1" si="11"/>
        <v/>
      </c>
      <c r="R145" s="11">
        <f t="shared" ca="1" si="12"/>
        <v>0</v>
      </c>
    </row>
    <row r="146" spans="2:18" x14ac:dyDescent="0.15">
      <c r="B146" s="27">
        <f t="shared" si="16"/>
        <v>-6</v>
      </c>
      <c r="C146" s="62">
        <f t="shared" si="0"/>
        <v>188.35299735811293</v>
      </c>
      <c r="D146" s="28">
        <f t="shared" ca="1" si="19"/>
        <v>-2.7241316615627618E-4</v>
      </c>
      <c r="E146" s="26">
        <f t="shared" ca="1" si="14"/>
        <v>92396.026143629511</v>
      </c>
      <c r="F146" s="26">
        <f t="shared" ca="1" si="15"/>
        <v>93755.727389747553</v>
      </c>
      <c r="G146" s="26">
        <f t="shared" si="1"/>
        <v>5510.5378323309951</v>
      </c>
      <c r="H146" s="28">
        <f t="shared" si="2"/>
        <v>0.101325</v>
      </c>
      <c r="I146" s="28">
        <f t="shared" si="3"/>
        <v>1.8743626287746357E-6</v>
      </c>
      <c r="J146" s="26">
        <f t="shared" si="4"/>
        <v>275.19913228232053</v>
      </c>
      <c r="K146" s="26">
        <f t="shared" ca="1" si="5"/>
        <v>3234.77062548192</v>
      </c>
      <c r="L146" s="28">
        <f t="shared" ca="1" si="6"/>
        <v>9.8064225433017835</v>
      </c>
      <c r="M146" s="28">
        <f t="shared" ca="1" si="7"/>
        <v>31721.527584136307</v>
      </c>
      <c r="N146" s="26">
        <f t="shared" ca="1" si="17"/>
        <v>75016.707729153146</v>
      </c>
      <c r="O146" s="26">
        <f t="shared" ca="1" si="9"/>
        <v>186.90738445378486</v>
      </c>
      <c r="P146" s="29">
        <f t="shared" ca="1" si="10"/>
        <v>0.2</v>
      </c>
      <c r="Q146" s="14" t="str">
        <f t="shared" ca="1" si="11"/>
        <v/>
      </c>
      <c r="R146" s="11">
        <f t="shared" ca="1" si="12"/>
        <v>0</v>
      </c>
    </row>
    <row r="147" spans="2:18" x14ac:dyDescent="0.15">
      <c r="B147" s="27">
        <f t="shared" si="16"/>
        <v>-6.25</v>
      </c>
      <c r="C147" s="62">
        <f t="shared" si="0"/>
        <v>188.64798198575829</v>
      </c>
      <c r="D147" s="28">
        <f t="shared" ca="1" si="19"/>
        <v>9.2920136768295214E-5</v>
      </c>
      <c r="E147" s="26">
        <f t="shared" ca="1" si="14"/>
        <v>95570.630033644615</v>
      </c>
      <c r="F147" s="26">
        <f t="shared" ca="1" si="15"/>
        <v>97026.107386117277</v>
      </c>
      <c r="G147" s="26">
        <f t="shared" si="1"/>
        <v>5519.1680318680128</v>
      </c>
      <c r="H147" s="28">
        <f t="shared" si="2"/>
        <v>5.6979234774912083E-2</v>
      </c>
      <c r="I147" s="28">
        <f t="shared" si="3"/>
        <v>1.0523833989832581E-6</v>
      </c>
      <c r="J147" s="26">
        <f t="shared" si="4"/>
        <v>275.41454630604198</v>
      </c>
      <c r="K147" s="26">
        <f t="shared" ca="1" si="5"/>
        <v>3228.5189424290998</v>
      </c>
      <c r="L147" s="28">
        <f t="shared" ca="1" si="6"/>
        <v>5.4846721273505095</v>
      </c>
      <c r="M147" s="28">
        <f t="shared" ca="1" si="7"/>
        <v>17707.36785616403</v>
      </c>
      <c r="N147" s="26">
        <f t="shared" ca="1" si="17"/>
        <v>77633.434698067518</v>
      </c>
      <c r="O147" s="26">
        <f t="shared" ca="1" si="9"/>
        <v>187.20236908143022</v>
      </c>
      <c r="P147" s="29">
        <f t="shared" ca="1" si="10"/>
        <v>0.2</v>
      </c>
      <c r="Q147" s="14" t="str">
        <f t="shared" ca="1" si="11"/>
        <v/>
      </c>
      <c r="R147" s="11">
        <f t="shared" ca="1" si="12"/>
        <v>0</v>
      </c>
    </row>
    <row r="148" spans="2:18" x14ac:dyDescent="0.15">
      <c r="B148" s="27">
        <f t="shared" si="16"/>
        <v>-6.5</v>
      </c>
      <c r="C148" s="62">
        <f t="shared" si="0"/>
        <v>192.47136640035109</v>
      </c>
      <c r="D148" s="28">
        <f t="shared" ca="1" si="19"/>
        <v>1.1913911885702226E-3</v>
      </c>
      <c r="E148" s="26">
        <f t="shared" ca="1" si="14"/>
        <v>98779.806374105217</v>
      </c>
      <c r="F148" s="26">
        <f t="shared" ca="1" si="15"/>
        <v>100335.46766246714</v>
      </c>
      <c r="G148" s="26">
        <f t="shared" si="1"/>
        <v>5631.0266418167585</v>
      </c>
      <c r="H148" s="28">
        <f t="shared" si="2"/>
        <v>3.2041778391656041E-2</v>
      </c>
      <c r="I148" s="28">
        <f t="shared" si="3"/>
        <v>5.8004277677700123E-7</v>
      </c>
      <c r="J148" s="26">
        <f t="shared" si="4"/>
        <v>278.19150055716079</v>
      </c>
      <c r="K148" s="26">
        <f t="shared" ca="1" si="5"/>
        <v>3222.2294985188782</v>
      </c>
      <c r="L148" s="28">
        <f t="shared" ca="1" si="6"/>
        <v>3.0112233234938088</v>
      </c>
      <c r="M148" s="28">
        <f t="shared" ca="1" si="7"/>
        <v>9702.8526195898048</v>
      </c>
      <c r="N148" s="26">
        <f t="shared" ca="1" si="17"/>
        <v>80281.3509324474</v>
      </c>
      <c r="O148" s="26">
        <f t="shared" ca="1" si="9"/>
        <v>191.02575349602301</v>
      </c>
      <c r="P148" s="29">
        <f t="shared" ca="1" si="10"/>
        <v>0.2</v>
      </c>
      <c r="Q148" s="14" t="str">
        <f t="shared" ca="1" si="11"/>
        <v/>
      </c>
      <c r="R148" s="11">
        <f t="shared" ca="1" si="12"/>
        <v>0</v>
      </c>
    </row>
    <row r="149" spans="2:18" x14ac:dyDescent="0.15">
      <c r="B149" s="27">
        <f t="shared" si="16"/>
        <v>-6.75</v>
      </c>
      <c r="C149" s="62">
        <f t="shared" si="0"/>
        <v>204.23085488569399</v>
      </c>
      <c r="D149" s="28">
        <f t="shared" ca="1" si="19"/>
        <v>3.5213070804042219E-3</v>
      </c>
      <c r="E149" s="26">
        <f t="shared" ca="1" si="14"/>
        <v>102119.33008414558</v>
      </c>
      <c r="F149" s="26">
        <f t="shared" ca="1" si="15"/>
        <v>103782.84198139384</v>
      </c>
      <c r="G149" s="26">
        <f t="shared" si="1"/>
        <v>5975.0673902851113</v>
      </c>
      <c r="H149" s="28">
        <f t="shared" si="2"/>
        <v>1.8018416122219362E-2</v>
      </c>
      <c r="I149" s="28">
        <f t="shared" si="3"/>
        <v>3.0740066109712713E-7</v>
      </c>
      <c r="J149" s="26">
        <f t="shared" si="4"/>
        <v>286.56389398053784</v>
      </c>
      <c r="K149" s="26">
        <f t="shared" ca="1" si="5"/>
        <v>3215.7166903508578</v>
      </c>
      <c r="L149" s="28">
        <f t="shared" ca="1" si="6"/>
        <v>1.5893895782185545</v>
      </c>
      <c r="M149" s="28">
        <f t="shared" ca="1" si="7"/>
        <v>5111.0265941471162</v>
      </c>
      <c r="N149" s="26">
        <f t="shared" ca="1" si="17"/>
        <v>83039.696250817709</v>
      </c>
      <c r="O149" s="26">
        <f t="shared" ca="1" si="9"/>
        <v>202.78524198136591</v>
      </c>
      <c r="P149" s="29">
        <f t="shared" ca="1" si="10"/>
        <v>0.2</v>
      </c>
      <c r="Q149" s="14" t="str">
        <f t="shared" ca="1" si="11"/>
        <v/>
      </c>
      <c r="R149" s="11">
        <f t="shared" ca="1" si="12"/>
        <v>0</v>
      </c>
    </row>
    <row r="150" spans="2:18" x14ac:dyDescent="0.15">
      <c r="B150" s="27">
        <f t="shared" si="16"/>
        <v>-7</v>
      </c>
      <c r="C150" s="62">
        <f t="shared" si="0"/>
        <v>228.33414158314898</v>
      </c>
      <c r="D150" s="28">
        <f t="shared" ca="1" si="19"/>
        <v>6.6241144522167714E-3</v>
      </c>
      <c r="E150" s="26">
        <f t="shared" ca="1" si="14"/>
        <v>105758.04841718839</v>
      </c>
      <c r="F150" s="26">
        <f t="shared" ca="1" si="15"/>
        <v>107543.25717551682</v>
      </c>
      <c r="G150" s="26">
        <f t="shared" si="1"/>
        <v>6680.2437086492582</v>
      </c>
      <c r="H150" s="28">
        <f t="shared" si="2"/>
        <v>1.0132499999999999E-2</v>
      </c>
      <c r="I150" s="28">
        <f t="shared" si="3"/>
        <v>1.546163078451291E-7</v>
      </c>
      <c r="J150" s="26">
        <f t="shared" si="4"/>
        <v>303.00250530389758</v>
      </c>
      <c r="K150" s="26">
        <f t="shared" ca="1" si="5"/>
        <v>3208.65732098542</v>
      </c>
      <c r="L150" s="28">
        <f t="shared" ca="1" si="6"/>
        <v>0.79592469197297122</v>
      </c>
      <c r="M150" s="28">
        <f t="shared" ca="1" si="7"/>
        <v>2553.8495898521396</v>
      </c>
      <c r="N150" s="26">
        <f t="shared" ca="1" si="17"/>
        <v>86048.514756220684</v>
      </c>
      <c r="O150" s="26">
        <f t="shared" ca="1" si="9"/>
        <v>226.8885286788209</v>
      </c>
      <c r="P150" s="29">
        <f t="shared" ca="1" si="10"/>
        <v>0.2</v>
      </c>
      <c r="Q150" s="14" t="str">
        <f t="shared" ca="1" si="11"/>
        <v/>
      </c>
      <c r="R150" s="11">
        <f t="shared" ca="1" si="12"/>
        <v>0</v>
      </c>
    </row>
    <row r="151" spans="2:18" x14ac:dyDescent="0.15">
      <c r="B151" s="27">
        <f t="shared" si="16"/>
        <v>-7.25</v>
      </c>
      <c r="C151" s="62">
        <f t="shared" si="0"/>
        <v>269.18892063405497</v>
      </c>
      <c r="D151" s="28">
        <f t="shared" ca="1" si="19"/>
        <v>9.7737566616897583E-3</v>
      </c>
      <c r="E151" s="26">
        <f t="shared" ca="1" si="14"/>
        <v>109938.09714001414</v>
      </c>
      <c r="F151" s="26">
        <f t="shared" ca="1" si="15"/>
        <v>111868.50214004239</v>
      </c>
      <c r="G151" s="26">
        <f t="shared" si="1"/>
        <v>7875.509028284715</v>
      </c>
      <c r="H151" s="28">
        <f t="shared" si="2"/>
        <v>5.6979234774912017E-3</v>
      </c>
      <c r="I151" s="28">
        <f t="shared" si="3"/>
        <v>7.3751179664408737E-8</v>
      </c>
      <c r="J151" s="26">
        <f t="shared" si="4"/>
        <v>328.9950645435693</v>
      </c>
      <c r="K151" s="26">
        <f t="shared" ca="1" si="5"/>
        <v>3200.5948138667536</v>
      </c>
      <c r="L151" s="28">
        <f t="shared" ca="1" si="6"/>
        <v>0.37774643124641905</v>
      </c>
      <c r="M151" s="28">
        <f t="shared" ca="1" si="7"/>
        <v>1209.013268803963</v>
      </c>
      <c r="N151" s="26">
        <f t="shared" ca="1" si="17"/>
        <v>89509.270129724275</v>
      </c>
      <c r="O151" s="26">
        <f t="shared" ca="1" si="9"/>
        <v>267.74330772972689</v>
      </c>
      <c r="P151" s="29">
        <f t="shared" ca="1" si="10"/>
        <v>0.2</v>
      </c>
      <c r="Q151" s="14" t="str">
        <f t="shared" ca="1" si="11"/>
        <v/>
      </c>
      <c r="R151" s="11">
        <f t="shared" ca="1" si="12"/>
        <v>0</v>
      </c>
    </row>
    <row r="152" spans="2:18" x14ac:dyDescent="0.15">
      <c r="B152" s="27">
        <f t="shared" si="16"/>
        <v>-7.5</v>
      </c>
      <c r="C152" s="62">
        <f>IF(B152&lt;-9,(-0.032*B152^3-1.025*B152^2-10.97*B152-38.234)*(G$84-0.74*G$73)+0.74*G$73,IF(B152&lt;-7.5,(0.07540740741*B152^3+1.843333333*B152^2+14.56*B152+37.501)*(G$84-0.74*G$73)+0.74*G$73,IF(B152&lt;-6,(-0.05792592593*B152^3-1.051333333*B152^2-6.36*B152-12.824)*(G$84-0.74*G$73)+0.74*G$73,0)))+IF(B152&lt;-6,0,IF(B152&lt;-4.5,-0.008888888889*B152^3-0.1033333333*B152^2-0.28*B152+0.86,IF(B152&lt;-3.5,-0.015*B152^3-0.14*B152^2-0.23875*B152+1.23125,IF(B152&lt;-3.1,-0.84375*B152^3-8.590625*B152^2-28.9365625*B152-31.22359375,IF(B152&lt;-2.5,0.3425925926*B152^3+2.702777778*B152^2+6.880277778*B152+6.621342593,IF(B152&lt;-1.5,-0.005*B152^3+0.0075*B152^2-0.07875*B152+0.638125,IF(B152&lt;-1,0.26*B152^3+1.11*B152^2+1.44*B152+1.33,0)))))))*G$73+IF(B152&lt;-1,0,IF((1/(B$122+1)*(B152-B$122))&lt;-0.5,0.32*(1/(B$122+1)*(B152-B$122))^3+1.12*(1/(B$122+1)*(B152-B$122))^2+1.28*(1/(B$122+1)*(B152-B$122))+1.22,-0.26*(1/(B$122+1)*(B152-B$122))^3-0.34*(1/(B$122+1)*(B152-B$122))^2+0.255*(1/(B$122+1)*(B152-B$122))+1))*G$73+IF(B152&gt;-3.1,(-B152-3.1)/(-B$122-3.1),0)*G$85</f>
        <v>331.20288617976809</v>
      </c>
      <c r="D152" s="28">
        <f t="shared" ca="1" si="19"/>
        <v>1.2310033215363272E-2</v>
      </c>
      <c r="E152" s="26">
        <f ca="1">IF(D152=0,(8314.4621*C151*LN(H152/H151)/(-G$70*9.80665*G$74)),C151/D152*(1/(H152/H151)^(8314.4621*D152/(G$70*9.80665*G$74))-1))+E151</f>
        <v>114975.77368083109</v>
      </c>
      <c r="F152" s="26">
        <f t="shared" ca="1" si="15"/>
        <v>117088.84550652694</v>
      </c>
      <c r="G152" s="26">
        <f t="shared" si="1"/>
        <v>9689.8167805675002</v>
      </c>
      <c r="H152" s="28">
        <f t="shared" si="2"/>
        <v>3.2041778391656006E-3</v>
      </c>
      <c r="I152" s="28">
        <f t="shared" si="3"/>
        <v>3.3707926613999085E-8</v>
      </c>
      <c r="J152" s="26">
        <f t="shared" si="4"/>
        <v>364.92855602760966</v>
      </c>
      <c r="K152" s="26">
        <f t="shared" ca="1" si="5"/>
        <v>3190.9442621858311</v>
      </c>
      <c r="L152" s="28">
        <f t="shared" ca="1" si="6"/>
        <v>0.17160916593015682</v>
      </c>
      <c r="M152" s="28">
        <f t="shared" ca="1" si="7"/>
        <v>547.59528336333017</v>
      </c>
      <c r="N152" s="26">
        <f t="shared" ca="1" si="17"/>
        <v>93686.219991586462</v>
      </c>
      <c r="O152" s="26">
        <f t="shared" ca="1" si="9"/>
        <v>329.75727327544001</v>
      </c>
      <c r="P152" s="29">
        <f t="shared" ca="1" si="10"/>
        <v>0.2</v>
      </c>
      <c r="Q152" s="14" t="str">
        <f t="shared" ca="1" si="11"/>
        <v/>
      </c>
      <c r="R152" s="11">
        <f t="shared" ca="1" si="12"/>
        <v>0</v>
      </c>
    </row>
    <row r="153" spans="2:18" x14ac:dyDescent="0.15">
      <c r="B153" s="27">
        <f t="shared" si="16"/>
        <v>-7.75</v>
      </c>
      <c r="C153" s="62">
        <f t="shared" ref="C153:C158" si="20">IF(B153&lt;-9,(-0.032*B153^3-1.025*B153^2-10.97*B153-38.234)*(G$84-0.74*G$73)+0.74*G$73,IF(B153&lt;-7.5,(0.07540740741*B153^3+1.843333333*B153^2+14.56*B153+37.501)*(G$84-0.74*G$73)+0.74*G$73,IF(B153&lt;-6,(-0.05792592593*B153^3-1.051333333*B153^2-6.36*B153-12.824)*(G$84-0.74*G$73)+0.74*G$73,0)))+IF(B153&lt;-6,0,IF(B153&lt;-4.5,-0.008888888889*B153^3-0.1033333333*B153^2-0.28*B153+0.86,IF(B153&lt;-3.5,-0.015*B153^3-0.14*B153^2-0.23875*B153+1.23125,IF(B153&lt;-3.1,-0.84375*B153^3-8.590625*B153^2-28.9365625*B153-31.22359375,IF(B153&lt;-2.5,0.3425925926*B153^3+2.702777778*B153^2+6.880277778*B153+6.621342593,IF(B153&lt;-1.5,-0.005*B153^3+0.0075*B153^2-0.07875*B153+0.638125,IF(B153&lt;-1,0.26*B153^3+1.11*B153^2+1.44*B153+1.33,0)))))))*G$73+IF(B153&lt;-1,0,IF((1/(B$122+1)*(B153-B$122))&lt;-0.5,0.32*(1/(B$122+1)*(B153-B$122))^3+1.12*(1/(B$122+1)*(B153-B$122))^2+1.28*(1/(B$122+1)*(B153-B$122))+1.22,-0.26*(1/(B$122+1)*(B153-B$122))^3-0.34*(1/(B$122+1)*(B153-B$122))^2+0.255*(1/(B$122+1)*(B153-B$122))+1))*G$73+IF(B153&gt;-3.1,(-B153-3.1)/(-B$122-3.1),0)*G$85</f>
        <v>411.74942331759701</v>
      </c>
      <c r="D153" s="28">
        <f t="shared" ca="1" si="19"/>
        <v>1.2925549743630409E-2</v>
      </c>
      <c r="E153" s="26">
        <f t="shared" ref="E153:E156" ca="1" si="21">IF(D153=0,(8314.4621*C152*LN(H153/H152)/(-G$70*9.80665*G$74)),C152/D153*(1/(H153/H152)^(8314.4621*D153/(G$70*9.80665*G$74))-1))+E152</f>
        <v>121207.34902852733</v>
      </c>
      <c r="F153" s="26">
        <f t="shared" ref="F153:F156" ca="1" si="22">F$38*E153/(F$38-E153)</f>
        <v>123558.02244746701</v>
      </c>
      <c r="G153" s="26">
        <f t="shared" ref="G153:G156" si="23">8314.4621*C153/(G$74*G$70*9.80665)</f>
        <v>12046.321568847376</v>
      </c>
      <c r="H153" s="28">
        <f t="shared" ref="H153:H156" si="24">10^B153*101325</f>
        <v>1.8018416122219376E-3</v>
      </c>
      <c r="I153" s="28">
        <f t="shared" ref="I153:I156" si="25">H153/(8314.4621/G$74*C153)</f>
        <v>1.5247307282776403E-8</v>
      </c>
      <c r="J153" s="26">
        <f t="shared" ref="J153:J156" si="26">SQRT(8314.4621/G$74*G$76*C153)</f>
        <v>406.89025826304703</v>
      </c>
      <c r="K153" s="26">
        <f t="shared" ref="K153:K156" ca="1" si="27">IF(F$20&gt;0,SQRT(2*G$69/(F$20+N153)),10000)</f>
        <v>3179.1053125628669</v>
      </c>
      <c r="L153" s="28">
        <f t="shared" ref="L153:L156" ca="1" si="28">I153*K153^2/2</f>
        <v>7.7050060979448901E-2</v>
      </c>
      <c r="M153" s="28">
        <f t="shared" ref="M153:M156" ca="1" si="29">I153*K153^3/2</f>
        <v>244.95025819305886</v>
      </c>
      <c r="N153" s="26">
        <f t="shared" ref="N153:N156" ca="1" si="30">F153*IF(G$100&gt;0,G$100,0.5)</f>
        <v>98862.398229842511</v>
      </c>
      <c r="O153" s="26">
        <f t="shared" ref="O153:O156" ca="1" si="31">C153-P153*(G$87+(G$86-G$87)*COS(RADIANS(38)))/2</f>
        <v>410.30381041326893</v>
      </c>
      <c r="P153" s="29">
        <f t="shared" ca="1" si="10"/>
        <v>0.2</v>
      </c>
      <c r="Q153" s="14" t="str">
        <f t="shared" ca="1" si="11"/>
        <v/>
      </c>
      <c r="R153" s="11">
        <f t="shared" ca="1" si="12"/>
        <v>0</v>
      </c>
    </row>
    <row r="154" spans="2:18" x14ac:dyDescent="0.15">
      <c r="B154" s="27">
        <f t="shared" si="16"/>
        <v>-8</v>
      </c>
      <c r="C154" s="62">
        <f t="shared" si="20"/>
        <v>501.43829479328747</v>
      </c>
      <c r="D154" s="28">
        <f t="shared" ca="1" si="19"/>
        <v>1.1701287444998988E-2</v>
      </c>
      <c r="E154" s="26">
        <f t="shared" ca="1" si="21"/>
        <v>128872.2211118144</v>
      </c>
      <c r="F154" s="26">
        <f t="shared" ca="1" si="22"/>
        <v>131532.8602340162</v>
      </c>
      <c r="G154" s="26">
        <f t="shared" si="23"/>
        <v>14670.298496945761</v>
      </c>
      <c r="H154" s="28">
        <f t="shared" si="24"/>
        <v>1.01325E-3</v>
      </c>
      <c r="I154" s="28">
        <f t="shared" si="25"/>
        <v>7.0405835160888999E-9</v>
      </c>
      <c r="J154" s="26">
        <f t="shared" si="26"/>
        <v>449.02398651240236</v>
      </c>
      <c r="K154" s="26">
        <f t="shared" ca="1" si="27"/>
        <v>3164.6906757841111</v>
      </c>
      <c r="L154" s="28">
        <f t="shared" ca="1" si="28"/>
        <v>3.5256662133086009E-2</v>
      </c>
      <c r="M154" s="28">
        <f t="shared" ca="1" si="29"/>
        <v>111.57642991184804</v>
      </c>
      <c r="N154" s="26">
        <f t="shared" ca="1" si="30"/>
        <v>105243.29987795226</v>
      </c>
      <c r="O154" s="26">
        <f t="shared" ca="1" si="31"/>
        <v>499.9926818889594</v>
      </c>
      <c r="P154" s="29">
        <f t="shared" ca="1" si="10"/>
        <v>0.2</v>
      </c>
      <c r="Q154" s="14" t="str">
        <f t="shared" ca="1" si="11"/>
        <v/>
      </c>
      <c r="R154" s="11">
        <f t="shared" ca="1" si="12"/>
        <v>0</v>
      </c>
    </row>
    <row r="155" spans="2:18" x14ac:dyDescent="0.15">
      <c r="B155" s="27">
        <f t="shared" si="16"/>
        <v>-8.25</v>
      </c>
      <c r="C155" s="62">
        <f t="shared" si="20"/>
        <v>594.53157449123239</v>
      </c>
      <c r="D155" s="28">
        <f t="shared" ca="1" si="19"/>
        <v>1.0111610396977345E-2</v>
      </c>
      <c r="E155" s="26">
        <f t="shared" ca="1" si="21"/>
        <v>138078.79415440047</v>
      </c>
      <c r="F155" s="26">
        <f t="shared" ca="1" si="22"/>
        <v>141137.67341269308</v>
      </c>
      <c r="G155" s="26">
        <f t="shared" si="23"/>
        <v>17393.876283902599</v>
      </c>
      <c r="H155" s="28">
        <f t="shared" si="24"/>
        <v>5.6979234774911949E-4</v>
      </c>
      <c r="I155" s="28">
        <f t="shared" si="25"/>
        <v>3.3392676354219776E-9</v>
      </c>
      <c r="J155" s="26">
        <f t="shared" si="26"/>
        <v>488.93176603730683</v>
      </c>
      <c r="K155" s="26">
        <f t="shared" ca="1" si="27"/>
        <v>3147.5873874715221</v>
      </c>
      <c r="L155" s="28">
        <f t="shared" ca="1" si="28"/>
        <v>1.6541573744034081E-2</v>
      </c>
      <c r="M155" s="28">
        <f t="shared" ca="1" si="29"/>
        <v>52.066048885651753</v>
      </c>
      <c r="N155" s="26">
        <f t="shared" ca="1" si="30"/>
        <v>112928.39265124679</v>
      </c>
      <c r="O155" s="26">
        <f t="shared" ca="1" si="31"/>
        <v>593.08596158690432</v>
      </c>
      <c r="P155" s="29">
        <f t="shared" ca="1" si="10"/>
        <v>0.2</v>
      </c>
      <c r="Q155" s="14" t="str">
        <f t="shared" ca="1" si="11"/>
        <v/>
      </c>
      <c r="R155" s="11">
        <f t="shared" ca="1" si="12"/>
        <v>0</v>
      </c>
    </row>
    <row r="156" spans="2:18" x14ac:dyDescent="0.15">
      <c r="B156" s="27">
        <f t="shared" si="16"/>
        <v>-8.5</v>
      </c>
      <c r="C156" s="62">
        <f t="shared" si="20"/>
        <v>685.29136901538311</v>
      </c>
      <c r="D156" s="28">
        <f t="shared" ca="1" si="19"/>
        <v>8.4357962426534761E-3</v>
      </c>
      <c r="E156" s="26">
        <f t="shared" ca="1" si="21"/>
        <v>148837.68305041795</v>
      </c>
      <c r="F156" s="26">
        <f t="shared" ca="1" si="22"/>
        <v>152397.96559648259</v>
      </c>
      <c r="G156" s="26">
        <f t="shared" si="23"/>
        <v>20049.184606015573</v>
      </c>
      <c r="H156" s="28">
        <f t="shared" si="24"/>
        <v>3.2041778391656087E-4</v>
      </c>
      <c r="I156" s="28">
        <f t="shared" si="25"/>
        <v>1.6291118036015621E-9</v>
      </c>
      <c r="J156" s="26">
        <f t="shared" si="26"/>
        <v>524.92640989926826</v>
      </c>
      <c r="K156" s="26">
        <f t="shared" ca="1" si="27"/>
        <v>3127.8849902238926</v>
      </c>
      <c r="L156" s="28">
        <f t="shared" ca="1" si="28"/>
        <v>7.9693416695437846E-3</v>
      </c>
      <c r="M156" s="28">
        <f t="shared" ca="1" si="29"/>
        <v>24.927184190131818</v>
      </c>
      <c r="N156" s="26">
        <f t="shared" ca="1" si="30"/>
        <v>121938.08273860221</v>
      </c>
      <c r="O156" s="26">
        <f t="shared" ca="1" si="31"/>
        <v>683.84575611105504</v>
      </c>
      <c r="P156" s="29">
        <f t="shared" ca="1" si="10"/>
        <v>0.2</v>
      </c>
      <c r="Q156" s="14" t="str">
        <f t="shared" ca="1" si="11"/>
        <v/>
      </c>
      <c r="R156" s="11">
        <f t="shared" ca="1" si="12"/>
        <v>0</v>
      </c>
    </row>
    <row r="157" spans="2:18" x14ac:dyDescent="0.15">
      <c r="B157" s="27">
        <f t="shared" si="16"/>
        <v>-8.75</v>
      </c>
      <c r="C157" s="62">
        <f t="shared" si="20"/>
        <v>767.97978496961059</v>
      </c>
      <c r="D157" s="28">
        <f t="shared" ca="1" si="19"/>
        <v>6.7642583240028727E-3</v>
      </c>
      <c r="E157" s="26">
        <f t="shared" ref="E157:E158" ca="1" si="32">IF(D157=0,(8314.4621*C156*LN(H157/H156)/(-G$70*9.80665*G$74)),C156/D157*(1/(H157/H156)^(8314.4621*D157/(G$70*9.80665*G$74))-1))+E156</f>
        <v>161061.99678793573</v>
      </c>
      <c r="F157" s="26">
        <f t="shared" ref="F157:F158" ca="1" si="33">F$38*E157/(F$38-E157)</f>
        <v>165239.32783309254</v>
      </c>
      <c r="G157" s="26">
        <f t="shared" ref="G157:G158" si="34">8314.4621*C157/(G$74*G$70*9.80665)</f>
        <v>22468.353139580013</v>
      </c>
      <c r="H157" s="28">
        <f t="shared" ref="H157:H158" si="35">10^B157*101325</f>
        <v>1.8018416122219354E-4</v>
      </c>
      <c r="I157" s="28">
        <f t="shared" ref="I157:I158" si="36">H157/(8314.4621/G$74*C157)</f>
        <v>8.1747854614139363E-10</v>
      </c>
      <c r="J157" s="26">
        <f t="shared" ref="J157:J158" si="37">SQRT(8314.4621/G$74*G$76*C157)</f>
        <v>555.69397313749869</v>
      </c>
      <c r="K157" s="26">
        <f t="shared" ref="K157:K158" ca="1" si="38">IF(F$20&gt;0,SQRT(2*G$69/(F$20+N157)),10000)</f>
        <v>3105.8614886665619</v>
      </c>
      <c r="L157" s="28">
        <f t="shared" ref="L157:L158" ca="1" si="39">I157*K157^2/2</f>
        <v>3.9428525451082209E-3</v>
      </c>
      <c r="M157" s="28">
        <f t="shared" ref="M157:M158" ca="1" si="40">I157*K157^3/2</f>
        <v>12.245953875342559</v>
      </c>
      <c r="N157" s="26">
        <f t="shared" ref="N157:N158" ca="1" si="41">F157*IF(G$100&gt;0,G$100,0.5)</f>
        <v>132212.83335456613</v>
      </c>
      <c r="O157" s="26">
        <f t="shared" ref="O157:O158" ca="1" si="42">C157-P157*(G$87+(G$86-G$87)*COS(RADIANS(38)))/2</f>
        <v>766.53417206528252</v>
      </c>
      <c r="P157" s="29">
        <f t="shared" ca="1" si="10"/>
        <v>0.2</v>
      </c>
      <c r="Q157" s="14" t="str">
        <f t="shared" ref="Q157:Q158" ca="1" si="43">IF(L157&gt;L$116,"|",IF(L156&gt;L$116,"V",""))</f>
        <v/>
      </c>
      <c r="R157" s="11">
        <f t="shared" ca="1" si="12"/>
        <v>0</v>
      </c>
    </row>
    <row r="158" spans="2:18" x14ac:dyDescent="0.15">
      <c r="B158" s="27">
        <f t="shared" si="16"/>
        <v>-9</v>
      </c>
      <c r="C158" s="63">
        <f t="shared" si="20"/>
        <v>836.85892895788936</v>
      </c>
      <c r="D158" s="28">
        <f t="shared" ca="1" si="19"/>
        <v>5.1000693140022301E-3</v>
      </c>
      <c r="E158" s="26">
        <f t="shared" ca="1" si="32"/>
        <v>174567.52774202905</v>
      </c>
      <c r="F158" s="26">
        <f t="shared" ca="1" si="33"/>
        <v>179485.49011447452</v>
      </c>
      <c r="G158" s="26">
        <f t="shared" si="34"/>
        <v>24483.511560894272</v>
      </c>
      <c r="H158" s="28">
        <f t="shared" si="35"/>
        <v>1.0132500000000001E-4</v>
      </c>
      <c r="I158" s="28">
        <f t="shared" si="36"/>
        <v>4.2186539098694326E-10</v>
      </c>
      <c r="J158" s="26">
        <f t="shared" si="37"/>
        <v>580.07870083717012</v>
      </c>
      <c r="K158" s="26">
        <f t="shared" ca="1" si="38"/>
        <v>3081.9647862285333</v>
      </c>
      <c r="L158" s="28">
        <f t="shared" ca="1" si="39"/>
        <v>2.0035456727670255E-3</v>
      </c>
      <c r="M158" s="28">
        <f t="shared" ca="1" si="40"/>
        <v>6.1748572110685283</v>
      </c>
      <c r="N158" s="26">
        <f t="shared" ca="1" si="41"/>
        <v>143611.60569496805</v>
      </c>
      <c r="O158" s="26">
        <f t="shared" ca="1" si="42"/>
        <v>835.41331605356129</v>
      </c>
      <c r="P158" s="29">
        <f t="shared" ca="1" si="10"/>
        <v>0.2</v>
      </c>
      <c r="Q158" s="14" t="str">
        <f t="shared" ca="1" si="43"/>
        <v/>
      </c>
      <c r="R158" s="11">
        <f t="shared" ca="1" si="12"/>
        <v>0</v>
      </c>
    </row>
    <row r="160" spans="2:18" x14ac:dyDescent="0.15">
      <c r="R160" s="11">
        <f ca="1">SUM(R122:R159)</f>
        <v>-5.5</v>
      </c>
    </row>
  </sheetData>
  <mergeCells count="39">
    <mergeCell ref="I52:J52"/>
    <mergeCell ref="I53:J53"/>
    <mergeCell ref="I54:J54"/>
    <mergeCell ref="B104:Q104"/>
    <mergeCell ref="B105:Q105"/>
    <mergeCell ref="B60:H60"/>
    <mergeCell ref="B64:H64"/>
    <mergeCell ref="B81:H81"/>
    <mergeCell ref="B93:H93"/>
    <mergeCell ref="B103:Q103"/>
    <mergeCell ref="B61:H61"/>
    <mergeCell ref="B62:H62"/>
    <mergeCell ref="B94:H94"/>
    <mergeCell ref="B54:D54"/>
    <mergeCell ref="B53:D53"/>
    <mergeCell ref="B35:H35"/>
    <mergeCell ref="B40:H40"/>
    <mergeCell ref="B47:D47"/>
    <mergeCell ref="F38:G38"/>
    <mergeCell ref="B36:H36"/>
    <mergeCell ref="B41:H41"/>
    <mergeCell ref="B48:D48"/>
    <mergeCell ref="B49:D49"/>
    <mergeCell ref="B50:D50"/>
    <mergeCell ref="B51:D51"/>
    <mergeCell ref="B52:D52"/>
    <mergeCell ref="F20:G20"/>
    <mergeCell ref="F30:G30"/>
    <mergeCell ref="B2:H2"/>
    <mergeCell ref="B4:H4"/>
    <mergeCell ref="F11:G11"/>
    <mergeCell ref="F13:G13"/>
    <mergeCell ref="D14:E16"/>
    <mergeCell ref="B5:H5"/>
    <mergeCell ref="B6:H6"/>
    <mergeCell ref="B7:H7"/>
    <mergeCell ref="B8:H8"/>
    <mergeCell ref="D21:E23"/>
    <mergeCell ref="F25:G25"/>
  </mergeCells>
  <phoneticPr fontId="18" type="noConversion"/>
  <dataValidations count="3">
    <dataValidation type="list" allowBlank="1" showInputMessage="1" showErrorMessage="1" sqref="G19" xr:uid="{00000000-0002-0000-0500-000000000000}">
      <formula1>"Planet, Moon"</formula1>
    </dataValidation>
    <dataValidation type="decimal" allowBlank="1" showInputMessage="1" showErrorMessage="1" sqref="G43" xr:uid="{00000000-0002-0000-0500-000001000000}">
      <formula1>0.2</formula1>
      <formula2>10</formula2>
    </dataValidation>
    <dataValidation type="list" allowBlank="1" showInputMessage="1" showErrorMessage="1" sqref="I52:J54" xr:uid="{00000000-0002-0000-0500-000002000000}">
      <formula1>"No greenhouse,Mild greenhouse,Strong greenhouse"</formula1>
    </dataValidation>
  </dataValidations>
  <pageMargins left="0.7" right="0.7" top="0.75" bottom="0.75" header="0.3" footer="0.3"/>
  <pageSetup orientation="portrait" horizontalDpi="0" verticalDpi="0" r:id="rId1"/>
  <ignoredErrors>
    <ignoredError sqref="G68"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2"/>
  <sheetViews>
    <sheetView workbookViewId="0">
      <selection sqref="A1:E1"/>
    </sheetView>
  </sheetViews>
  <sheetFormatPr defaultColWidth="9.125" defaultRowHeight="15" x14ac:dyDescent="0.25"/>
  <cols>
    <col min="1" max="1" width="27.625" style="2" customWidth="1"/>
    <col min="2" max="5" width="14.625" style="2" customWidth="1"/>
    <col min="6" max="16384" width="9.125" style="2"/>
  </cols>
  <sheetData>
    <row r="1" spans="1:5" ht="78.75" customHeight="1" x14ac:dyDescent="0.25">
      <c r="A1" s="102" t="s">
        <v>377</v>
      </c>
      <c r="B1" s="102"/>
      <c r="C1" s="102"/>
      <c r="D1" s="102"/>
      <c r="E1" s="102"/>
    </row>
    <row r="2" spans="1:5" x14ac:dyDescent="0.25">
      <c r="A2" s="1"/>
      <c r="B2" s="1"/>
      <c r="C2" s="1"/>
      <c r="D2" s="1"/>
      <c r="E2" s="1"/>
    </row>
    <row r="3" spans="1:5" x14ac:dyDescent="0.25">
      <c r="A3" s="1" t="s">
        <v>97</v>
      </c>
      <c r="B3" s="1"/>
      <c r="C3" s="1"/>
      <c r="D3" s="1"/>
      <c r="E3" s="1"/>
    </row>
    <row r="4" spans="1:5" x14ac:dyDescent="0.25">
      <c r="A4" s="1" t="s">
        <v>66</v>
      </c>
      <c r="B4" s="3"/>
      <c r="D4" s="1"/>
      <c r="E4" s="3"/>
    </row>
    <row r="5" spans="1:5" x14ac:dyDescent="0.25">
      <c r="A5" s="10" t="s">
        <v>98</v>
      </c>
      <c r="B5" s="3">
        <f>Earthlike!G24</f>
        <v>0.3</v>
      </c>
      <c r="D5" s="1"/>
      <c r="E5" s="3"/>
    </row>
    <row r="6" spans="1:5" x14ac:dyDescent="0.25">
      <c r="A6" s="1" t="s">
        <v>67</v>
      </c>
      <c r="B6" s="3"/>
      <c r="D6" s="1"/>
      <c r="E6" s="3"/>
    </row>
    <row r="7" spans="1:5" x14ac:dyDescent="0.25">
      <c r="A7" s="1" t="s">
        <v>68</v>
      </c>
      <c r="B7" s="1"/>
      <c r="D7" s="1"/>
      <c r="E7" s="3"/>
    </row>
    <row r="8" spans="1:5" x14ac:dyDescent="0.25">
      <c r="A8" s="1" t="s">
        <v>66</v>
      </c>
      <c r="B8" s="3"/>
      <c r="D8" s="1"/>
      <c r="E8" s="3"/>
    </row>
    <row r="9" spans="1:5" x14ac:dyDescent="0.25">
      <c r="A9" s="10" t="s">
        <v>69</v>
      </c>
      <c r="B9" s="4" t="s">
        <v>70</v>
      </c>
      <c r="D9" s="3"/>
      <c r="E9" s="3"/>
    </row>
    <row r="10" spans="1:5" x14ac:dyDescent="0.25">
      <c r="A10" s="10" t="s">
        <v>71</v>
      </c>
      <c r="B10" s="4" t="str">
        <f>IF(Earthlike!F48&gt;0,"True","False")</f>
        <v>True</v>
      </c>
      <c r="D10" s="3"/>
      <c r="E10" s="3"/>
    </row>
    <row r="11" spans="1:5" x14ac:dyDescent="0.25">
      <c r="A11" s="10" t="s">
        <v>72</v>
      </c>
      <c r="B11" s="3">
        <f ca="1">MAX(B18:B54)</f>
        <v>70000</v>
      </c>
      <c r="D11" s="3"/>
      <c r="E11" s="3"/>
    </row>
    <row r="12" spans="1:5" x14ac:dyDescent="0.25">
      <c r="A12" s="10" t="s">
        <v>73</v>
      </c>
      <c r="B12" s="5">
        <f>ROUND(Earthlike!G76,2)</f>
        <v>1.4</v>
      </c>
      <c r="D12" s="3"/>
      <c r="E12" s="3"/>
    </row>
    <row r="13" spans="1:5" x14ac:dyDescent="0.25">
      <c r="A13" s="10" t="s">
        <v>74</v>
      </c>
      <c r="B13" s="3">
        <f>ROUND(Earthlike!G74/1000,5)</f>
        <v>2.8969999999999999E-2</v>
      </c>
      <c r="D13" s="3"/>
      <c r="E13" s="3"/>
    </row>
    <row r="14" spans="1:5" x14ac:dyDescent="0.25">
      <c r="A14" s="10" t="s">
        <v>75</v>
      </c>
      <c r="B14" s="7">
        <f>ROUND(Earthlike!C$122,0)</f>
        <v>288</v>
      </c>
      <c r="D14" s="3"/>
      <c r="E14" s="3"/>
    </row>
    <row r="15" spans="1:5" x14ac:dyDescent="0.25">
      <c r="A15" s="10" t="s">
        <v>76</v>
      </c>
      <c r="B15" s="3">
        <f ca="1">C130</f>
        <v>101.325</v>
      </c>
      <c r="D15" s="3"/>
      <c r="E15" s="3"/>
    </row>
    <row r="16" spans="1:5" x14ac:dyDescent="0.25">
      <c r="A16" s="10" t="s">
        <v>77</v>
      </c>
      <c r="B16" s="3"/>
      <c r="D16" s="3"/>
      <c r="E16" s="3"/>
    </row>
    <row r="17" spans="1:5" x14ac:dyDescent="0.25">
      <c r="A17" s="10" t="s">
        <v>66</v>
      </c>
      <c r="B17" s="1"/>
      <c r="C17" s="3"/>
      <c r="D17" s="3"/>
      <c r="E17" s="3"/>
    </row>
    <row r="18" spans="1:5" x14ac:dyDescent="0.25">
      <c r="A18" s="3" t="str">
        <f t="shared" ref="A18:A28" ca="1" si="0">IF(B18="","Unused","key =")</f>
        <v>key =</v>
      </c>
      <c r="B18" s="3">
        <f ca="1">IF(Earthlike!Q122="|",ROUND(Earthlike!N122,0),IF(Earthlike!Q122="V",ROUND(Earthlike!N122,-3),""))</f>
        <v>0</v>
      </c>
      <c r="C18" s="3">
        <f ca="1">IF(B18="","",ROUND(Earthlike!O122,0))</f>
        <v>280</v>
      </c>
      <c r="D18" s="6">
        <v>0</v>
      </c>
      <c r="E18" s="6">
        <f ca="1">(C19-C18)/(B19-B18)</f>
        <v>-5.3748992206396132E-3</v>
      </c>
    </row>
    <row r="19" spans="1:5" x14ac:dyDescent="0.25">
      <c r="A19" s="3" t="str">
        <f t="shared" ca="1" si="0"/>
        <v>key =</v>
      </c>
      <c r="B19" s="3">
        <f ca="1">IF(Earthlike!Q123="|",ROUND(Earthlike!N123,0),IF(Earthlike!Q123="V",ROUND(Earthlike!N123,-3),""))</f>
        <v>3721</v>
      </c>
      <c r="C19" s="3">
        <f ca="1">IF(B19="","",ROUND(Earthlike!O123,0))</f>
        <v>260</v>
      </c>
      <c r="D19" s="6">
        <f ca="1">IF(C19="","",(C19-C18)/(B19-B18))</f>
        <v>-5.3748992206396132E-3</v>
      </c>
      <c r="E19" s="6">
        <f ca="1">IF(C19="","",IF(C20="",0,(C20-C19)/(B20-B19)))</f>
        <v>-7.4008288928359978E-3</v>
      </c>
    </row>
    <row r="20" spans="1:5" x14ac:dyDescent="0.25">
      <c r="A20" s="3" t="str">
        <f t="shared" ca="1" si="0"/>
        <v>key =</v>
      </c>
      <c r="B20" s="3">
        <f ca="1">IF(Earthlike!Q124="|",ROUND(Earthlike!N124,0),IF(Earthlike!Q124="V",ROUND(Earthlike!N124,-3),""))</f>
        <v>7099</v>
      </c>
      <c r="C20" s="3">
        <f ca="1">IF(B20="","",ROUND(Earthlike!O124,0))</f>
        <v>235</v>
      </c>
      <c r="D20" s="6">
        <f t="shared" ref="D20:D28" ca="1" si="1">IF(C20="","",(C20-C19)/(B20-B19))</f>
        <v>-7.4008288928359978E-3</v>
      </c>
      <c r="E20" s="6">
        <f t="shared" ref="E20:E28" ca="1" si="2">IF(C20="","",IF(C21="",0,(C21-C20)/(B21-B20)))</f>
        <v>-5.542875774372351E-3</v>
      </c>
    </row>
    <row r="21" spans="1:5" x14ac:dyDescent="0.25">
      <c r="A21" s="3" t="str">
        <f t="shared" ca="1" si="0"/>
        <v>key =</v>
      </c>
      <c r="B21" s="3">
        <f ca="1">IF(Earthlike!Q125="|",ROUND(Earthlike!N125,0),IF(Earthlike!Q125="V",ROUND(Earthlike!N125,-3),""))</f>
        <v>10166</v>
      </c>
      <c r="C21" s="3">
        <f ca="1">IF(B21="","",ROUND(Earthlike!O125,0))</f>
        <v>218</v>
      </c>
      <c r="D21" s="6">
        <f t="shared" ca="1" si="1"/>
        <v>-5.542875774372351E-3</v>
      </c>
      <c r="E21" s="6">
        <f t="shared" ca="1" si="2"/>
        <v>-1.7259233690024164E-3</v>
      </c>
    </row>
    <row r="22" spans="1:5" x14ac:dyDescent="0.25">
      <c r="A22" s="3" t="str">
        <f t="shared" ca="1" si="0"/>
        <v>key =</v>
      </c>
      <c r="B22" s="3">
        <f ca="1">IF(Earthlike!Q126="|",ROUND(Earthlike!N126,0),IF(Earthlike!Q126="V",ROUND(Earthlike!N126,-3),""))</f>
        <v>13063</v>
      </c>
      <c r="C22" s="3">
        <f ca="1">IF(B22="","",ROUND(Earthlike!O126,0))</f>
        <v>213</v>
      </c>
      <c r="D22" s="6">
        <f t="shared" ca="1" si="1"/>
        <v>-1.7259233690024164E-3</v>
      </c>
      <c r="E22" s="6">
        <f t="shared" ca="1" si="2"/>
        <v>3.4867503486750347E-4</v>
      </c>
    </row>
    <row r="23" spans="1:5" x14ac:dyDescent="0.25">
      <c r="A23" s="3" t="str">
        <f t="shared" ca="1" si="0"/>
        <v>key =</v>
      </c>
      <c r="B23" s="3">
        <f ca="1">IF(Earthlike!Q127="|",ROUND(Earthlike!N127,0),IF(Earthlike!Q127="V",ROUND(Earthlike!N127,-3),""))</f>
        <v>15931</v>
      </c>
      <c r="C23" s="3">
        <f ca="1">IF(B23="","",ROUND(Earthlike!O127,0))</f>
        <v>214</v>
      </c>
      <c r="D23" s="6">
        <f t="shared" ca="1" si="1"/>
        <v>3.4867503486750347E-4</v>
      </c>
      <c r="E23" s="6">
        <f t="shared" ca="1" si="2"/>
        <v>1.7117425539198905E-3</v>
      </c>
    </row>
    <row r="24" spans="1:5" x14ac:dyDescent="0.25">
      <c r="A24" s="3" t="str">
        <f t="shared" ca="1" si="0"/>
        <v>key =</v>
      </c>
      <c r="B24" s="3">
        <f ca="1">IF(Earthlike!Q128="|",ROUND(Earthlike!N128,0),IF(Earthlike!Q128="V",ROUND(Earthlike!N128,-3),""))</f>
        <v>18852</v>
      </c>
      <c r="C24" s="3">
        <f ca="1">IF(B24="","",ROUND(Earthlike!O128,0))</f>
        <v>219</v>
      </c>
      <c r="D24" s="6">
        <f t="shared" ca="1" si="1"/>
        <v>1.7117425539198905E-3</v>
      </c>
      <c r="E24" s="6">
        <f t="shared" ca="1" si="2"/>
        <v>1.6627868307283007E-3</v>
      </c>
    </row>
    <row r="25" spans="1:5" x14ac:dyDescent="0.25">
      <c r="A25" s="3" t="str">
        <f t="shared" ca="1" si="0"/>
        <v>key =</v>
      </c>
      <c r="B25" s="3">
        <f ca="1">IF(Earthlike!Q129="|",ROUND(Earthlike!N129,0),IF(Earthlike!Q129="V",ROUND(Earthlike!N129,-3),""))</f>
        <v>21859</v>
      </c>
      <c r="C25" s="3">
        <f ca="1">IF(B25="","",ROUND(Earthlike!O129,0))</f>
        <v>224</v>
      </c>
      <c r="D25" s="6">
        <f t="shared" ca="1" si="1"/>
        <v>1.6627868307283007E-3</v>
      </c>
      <c r="E25" s="6">
        <f t="shared" ca="1" si="2"/>
        <v>2.2544283413848632E-3</v>
      </c>
    </row>
    <row r="26" spans="1:5" x14ac:dyDescent="0.25">
      <c r="A26" s="3" t="str">
        <f t="shared" ca="1" si="0"/>
        <v>key =</v>
      </c>
      <c r="B26" s="3">
        <f ca="1">IF(Earthlike!Q130="|",ROUND(Earthlike!N130,0),IF(Earthlike!Q130="V",ROUND(Earthlike!N130,-3),""))</f>
        <v>24964</v>
      </c>
      <c r="C26" s="3">
        <f ca="1">IF(B26="","",ROUND(Earthlike!O130,0))</f>
        <v>231</v>
      </c>
      <c r="D26" s="6">
        <f t="shared" ca="1" si="1"/>
        <v>2.2544283413848632E-3</v>
      </c>
      <c r="E26" s="6">
        <f t="shared" ca="1" si="2"/>
        <v>2.1745883814849334E-3</v>
      </c>
    </row>
    <row r="27" spans="1:5" x14ac:dyDescent="0.25">
      <c r="A27" s="3" t="str">
        <f t="shared" ca="1" si="0"/>
        <v>key =</v>
      </c>
      <c r="B27" s="3">
        <f ca="1">IF(Earthlike!Q131="|",ROUND(Earthlike!N131,0),IF(Earthlike!Q131="V",ROUND(Earthlike!N131,-3),""))</f>
        <v>28183</v>
      </c>
      <c r="C27" s="3">
        <f ca="1">IF(B27="","",ROUND(Earthlike!O131,0))</f>
        <v>238</v>
      </c>
      <c r="D27" s="6">
        <f t="shared" ca="1" si="1"/>
        <v>2.1745883814849334E-3</v>
      </c>
      <c r="E27" s="6">
        <f t="shared" ca="1" si="2"/>
        <v>2.9850746268656717E-3</v>
      </c>
    </row>
    <row r="28" spans="1:5" x14ac:dyDescent="0.25">
      <c r="A28" s="3" t="str">
        <f t="shared" ca="1" si="0"/>
        <v>key =</v>
      </c>
      <c r="B28" s="3">
        <f ca="1">IF(Earthlike!Q132="|",ROUND(Earthlike!N132,0),IF(Earthlike!Q132="V",ROUND(Earthlike!N132,-3),""))</f>
        <v>31533</v>
      </c>
      <c r="C28" s="3">
        <f ca="1">IF(B28="","",ROUND(Earthlike!O132,0))</f>
        <v>248</v>
      </c>
      <c r="D28" s="6">
        <f t="shared" ca="1" si="1"/>
        <v>2.9850746268656717E-3</v>
      </c>
      <c r="E28" s="6">
        <f t="shared" ca="1" si="2"/>
        <v>3.4275921165381321E-3</v>
      </c>
    </row>
    <row r="29" spans="1:5" x14ac:dyDescent="0.25">
      <c r="A29" s="3" t="str">
        <f t="shared" ref="A29:A54" ca="1" si="3">IF(B29="","Unused","key =")</f>
        <v>key =</v>
      </c>
      <c r="B29" s="3">
        <f ca="1">IF(Earthlike!Q133="|",ROUND(Earthlike!N133,0),IF(Earthlike!Q133="V",ROUND(Earthlike!N133,-3),""))</f>
        <v>35034</v>
      </c>
      <c r="C29" s="3">
        <f ca="1">IF(B29="","",ROUND(Earthlike!O133,0))</f>
        <v>260</v>
      </c>
      <c r="D29" s="6">
        <f t="shared" ref="D29:D54" ca="1" si="4">IF(C29="","",(C29-C28)/(B29-B28))</f>
        <v>3.4275921165381321E-3</v>
      </c>
      <c r="E29" s="6">
        <f t="shared" ref="E29:E54" ca="1" si="5">IF(C29="","",IF(C30="",0,(C30-C29)/(B30-B29)))</f>
        <v>2.2002200220022001E-3</v>
      </c>
    </row>
    <row r="30" spans="1:5" x14ac:dyDescent="0.25">
      <c r="A30" s="3" t="str">
        <f t="shared" ca="1" si="3"/>
        <v>key =</v>
      </c>
      <c r="B30" s="3">
        <f ca="1">IF(Earthlike!Q134="|",ROUND(Earthlike!N134,0),IF(Earthlike!Q134="V",ROUND(Earthlike!N134,-3),""))</f>
        <v>38670</v>
      </c>
      <c r="C30" s="3">
        <f ca="1">IF(B30="","",ROUND(Earthlike!O134,0))</f>
        <v>268</v>
      </c>
      <c r="D30" s="6">
        <f t="shared" ca="1" si="4"/>
        <v>2.2002200220022001E-3</v>
      </c>
      <c r="E30" s="6">
        <f t="shared" ca="1" si="5"/>
        <v>-5.4510765876260563E-4</v>
      </c>
    </row>
    <row r="31" spans="1:5" x14ac:dyDescent="0.25">
      <c r="A31" s="3" t="str">
        <f t="shared" ca="1" si="3"/>
        <v>key =</v>
      </c>
      <c r="B31" s="3">
        <f ca="1">IF(Earthlike!Q135="|",ROUND(Earthlike!N135,0),IF(Earthlike!Q135="V",ROUND(Earthlike!N135,-3),""))</f>
        <v>42339</v>
      </c>
      <c r="C31" s="3">
        <f ca="1">IF(B31="","",ROUND(Earthlike!O135,0))</f>
        <v>266</v>
      </c>
      <c r="D31" s="6">
        <f t="shared" ca="1" si="4"/>
        <v>-5.4510765876260563E-4</v>
      </c>
      <c r="E31" s="6">
        <f t="shared" ca="1" si="5"/>
        <v>-3.3698399326032012E-3</v>
      </c>
    </row>
    <row r="32" spans="1:5" x14ac:dyDescent="0.25">
      <c r="A32" s="3" t="str">
        <f t="shared" ca="1" si="3"/>
        <v>key =</v>
      </c>
      <c r="B32" s="3">
        <f ca="1">IF(Earthlike!Q136="|",ROUND(Earthlike!N136,0),IF(Earthlike!Q136="V",ROUND(Earthlike!N136,-3),""))</f>
        <v>45900</v>
      </c>
      <c r="C32" s="3">
        <f ca="1">IF(B32="","",ROUND(Earthlike!O136,0))</f>
        <v>254</v>
      </c>
      <c r="D32" s="6">
        <f t="shared" ca="1" si="4"/>
        <v>-3.3698399326032012E-3</v>
      </c>
      <c r="E32" s="6">
        <f t="shared" ca="1" si="5"/>
        <v>-3.2400589101620031E-3</v>
      </c>
    </row>
    <row r="33" spans="1:5" x14ac:dyDescent="0.25">
      <c r="A33" s="3" t="str">
        <f t="shared" ca="1" si="3"/>
        <v>key =</v>
      </c>
      <c r="B33" s="3">
        <f ca="1">IF(Earthlike!Q137="|",ROUND(Earthlike!N137,0),IF(Earthlike!Q137="V",ROUND(Earthlike!N137,-3),""))</f>
        <v>49295</v>
      </c>
      <c r="C33" s="3">
        <f ca="1">IF(B33="","",ROUND(Earthlike!O137,0))</f>
        <v>243</v>
      </c>
      <c r="D33" s="6">
        <f t="shared" ca="1" si="4"/>
        <v>-3.2400589101620031E-3</v>
      </c>
      <c r="E33" s="6">
        <f t="shared" ca="1" si="5"/>
        <v>-3.3898305084745762E-3</v>
      </c>
    </row>
    <row r="34" spans="1:5" x14ac:dyDescent="0.25">
      <c r="A34" s="3" t="str">
        <f t="shared" ca="1" si="3"/>
        <v>key =</v>
      </c>
      <c r="B34" s="3">
        <f ca="1">IF(Earthlike!Q138="|",ROUND(Earthlike!N138,0),IF(Earthlike!Q138="V",ROUND(Earthlike!N138,-3),""))</f>
        <v>52540</v>
      </c>
      <c r="C34" s="3">
        <f ca="1">IF(B34="","",ROUND(Earthlike!O138,0))</f>
        <v>232</v>
      </c>
      <c r="D34" s="6">
        <f t="shared" ca="1" si="4"/>
        <v>-3.3898305084745762E-3</v>
      </c>
      <c r="E34" s="6">
        <f t="shared" ca="1" si="5"/>
        <v>-3.2175032175032173E-3</v>
      </c>
    </row>
    <row r="35" spans="1:5" x14ac:dyDescent="0.25">
      <c r="A35" s="3" t="str">
        <f t="shared" ca="1" si="3"/>
        <v>key =</v>
      </c>
      <c r="B35" s="3">
        <f ca="1">IF(Earthlike!Q139="|",ROUND(Earthlike!N139,0),IF(Earthlike!Q139="V",ROUND(Earthlike!N139,-3),""))</f>
        <v>55648</v>
      </c>
      <c r="C35" s="3">
        <f ca="1">IF(B35="","",ROUND(Earthlike!O139,0))</f>
        <v>222</v>
      </c>
      <c r="D35" s="6">
        <f t="shared" ca="1" si="4"/>
        <v>-3.2175032175032173E-3</v>
      </c>
      <c r="E35" s="6">
        <f t="shared" ca="1" si="5"/>
        <v>-2.6737967914438501E-3</v>
      </c>
    </row>
    <row r="36" spans="1:5" x14ac:dyDescent="0.25">
      <c r="A36" s="3" t="str">
        <f t="shared" ca="1" si="3"/>
        <v>key =</v>
      </c>
      <c r="B36" s="3">
        <f ca="1">IF(Earthlike!Q140="|",ROUND(Earthlike!N140,0),IF(Earthlike!Q140="V",ROUND(Earthlike!N140,-3),""))</f>
        <v>58640</v>
      </c>
      <c r="C36" s="3">
        <f ca="1">IF(B36="","",ROUND(Earthlike!O140,0))</f>
        <v>214</v>
      </c>
      <c r="D36" s="6">
        <f t="shared" ca="1" si="4"/>
        <v>-2.6737967914438501E-3</v>
      </c>
      <c r="E36" s="6">
        <f t="shared" ca="1" si="5"/>
        <v>-2.7643400138217E-3</v>
      </c>
    </row>
    <row r="37" spans="1:5" x14ac:dyDescent="0.25">
      <c r="A37" s="3" t="str">
        <f t="shared" ca="1" si="3"/>
        <v>key =</v>
      </c>
      <c r="B37" s="3">
        <f ca="1">IF(Earthlike!Q141="|",ROUND(Earthlike!N141,0),IF(Earthlike!Q141="V",ROUND(Earthlike!N141,-3),""))</f>
        <v>61534</v>
      </c>
      <c r="C37" s="3">
        <f ca="1">IF(B37="","",ROUND(Earthlike!O141,0))</f>
        <v>206</v>
      </c>
      <c r="D37" s="6">
        <f t="shared" ca="1" si="4"/>
        <v>-2.7643400138217E-3</v>
      </c>
      <c r="E37" s="6">
        <f t="shared" ca="1" si="5"/>
        <v>-2.1352313167259788E-3</v>
      </c>
    </row>
    <row r="38" spans="1:5" x14ac:dyDescent="0.25">
      <c r="A38" s="3" t="str">
        <f t="shared" ca="1" si="3"/>
        <v>key =</v>
      </c>
      <c r="B38" s="3">
        <f ca="1">IF(Earthlike!Q142="|",ROUND(Earthlike!N142,0),IF(Earthlike!Q142="V",ROUND(Earthlike!N142,-3),""))</f>
        <v>64344</v>
      </c>
      <c r="C38" s="3">
        <f ca="1">IF(B38="","",ROUND(Earthlike!O142,0))</f>
        <v>200</v>
      </c>
      <c r="D38" s="6">
        <f t="shared" ca="1" si="4"/>
        <v>-2.1352313167259788E-3</v>
      </c>
      <c r="E38" s="6">
        <f t="shared" ca="1" si="5"/>
        <v>-2.1921812203142127E-3</v>
      </c>
    </row>
    <row r="39" spans="1:5" x14ac:dyDescent="0.25">
      <c r="A39" s="3" t="str">
        <f t="shared" ca="1" si="3"/>
        <v>key =</v>
      </c>
      <c r="B39" s="3">
        <f ca="1">IF(Earthlike!Q143="|",ROUND(Earthlike!N143,0),IF(Earthlike!Q143="V",ROUND(Earthlike!N143,-3),""))</f>
        <v>67081</v>
      </c>
      <c r="C39" s="3">
        <f ca="1">IF(B39="","",ROUND(Earthlike!O143,0))</f>
        <v>194</v>
      </c>
      <c r="D39" s="6">
        <f t="shared" ca="1" si="4"/>
        <v>-2.1921812203142127E-3</v>
      </c>
      <c r="E39" s="6">
        <f t="shared" ca="1" si="5"/>
        <v>-1.3703323055841042E-3</v>
      </c>
    </row>
    <row r="40" spans="1:5" x14ac:dyDescent="0.25">
      <c r="A40" s="3" t="str">
        <f t="shared" ca="1" si="3"/>
        <v>key =</v>
      </c>
      <c r="B40" s="3">
        <f ca="1">IF(Earthlike!Q144="|",ROUND(Earthlike!N144,0),IF(Earthlike!Q144="V",ROUND(Earthlike!N144,-3),""))</f>
        <v>70000</v>
      </c>
      <c r="C40" s="3">
        <f ca="1">IF(B40="","",ROUND(Earthlike!O144,0))</f>
        <v>190</v>
      </c>
      <c r="D40" s="6">
        <f t="shared" ca="1" si="4"/>
        <v>-1.3703323055841042E-3</v>
      </c>
      <c r="E40" s="6">
        <f t="shared" ca="1" si="5"/>
        <v>0</v>
      </c>
    </row>
    <row r="41" spans="1:5" x14ac:dyDescent="0.25">
      <c r="A41" s="3" t="str">
        <f t="shared" ca="1" si="3"/>
        <v>Unused</v>
      </c>
      <c r="B41" s="3" t="str">
        <f ca="1">IF(Earthlike!Q145="|",ROUND(Earthlike!N145,0),IF(Earthlike!Q145="V",ROUND(Earthlike!N145,-3),""))</f>
        <v/>
      </c>
      <c r="C41" s="3" t="str">
        <f ca="1">IF(B41="","",ROUND(Earthlike!O145,0))</f>
        <v/>
      </c>
      <c r="D41" s="6" t="str">
        <f t="shared" ca="1" si="4"/>
        <v/>
      </c>
      <c r="E41" s="6" t="str">
        <f t="shared" ca="1" si="5"/>
        <v/>
      </c>
    </row>
    <row r="42" spans="1:5" x14ac:dyDescent="0.25">
      <c r="A42" s="3" t="str">
        <f t="shared" ca="1" si="3"/>
        <v>Unused</v>
      </c>
      <c r="B42" s="3" t="str">
        <f ca="1">IF(Earthlike!Q146="|",ROUND(Earthlike!N146,0),IF(Earthlike!Q146="V",ROUND(Earthlike!N146,-3),""))</f>
        <v/>
      </c>
      <c r="C42" s="3" t="str">
        <f ca="1">IF(B42="","",ROUND(Earthlike!O146,0))</f>
        <v/>
      </c>
      <c r="D42" s="6" t="str">
        <f t="shared" ca="1" si="4"/>
        <v/>
      </c>
      <c r="E42" s="6" t="str">
        <f t="shared" ca="1" si="5"/>
        <v/>
      </c>
    </row>
    <row r="43" spans="1:5" x14ac:dyDescent="0.25">
      <c r="A43" s="3" t="str">
        <f t="shared" ca="1" si="3"/>
        <v>Unused</v>
      </c>
      <c r="B43" s="3" t="str">
        <f ca="1">IF(Earthlike!Q147="|",ROUND(Earthlike!N147,0),IF(Earthlike!Q147="V",ROUND(Earthlike!N147,-3),""))</f>
        <v/>
      </c>
      <c r="C43" s="3" t="str">
        <f ca="1">IF(B43="","",ROUND(Earthlike!O147,0))</f>
        <v/>
      </c>
      <c r="D43" s="6" t="str">
        <f t="shared" ca="1" si="4"/>
        <v/>
      </c>
      <c r="E43" s="6" t="str">
        <f t="shared" ca="1" si="5"/>
        <v/>
      </c>
    </row>
    <row r="44" spans="1:5" x14ac:dyDescent="0.25">
      <c r="A44" s="3" t="str">
        <f t="shared" ca="1" si="3"/>
        <v>Unused</v>
      </c>
      <c r="B44" s="3" t="str">
        <f ca="1">IF(Earthlike!Q148="|",ROUND(Earthlike!N148,0),IF(Earthlike!Q148="V",ROUND(Earthlike!N148,-3),""))</f>
        <v/>
      </c>
      <c r="C44" s="3" t="str">
        <f ca="1">IF(B44="","",ROUND(Earthlike!O148,0))</f>
        <v/>
      </c>
      <c r="D44" s="6" t="str">
        <f t="shared" ca="1" si="4"/>
        <v/>
      </c>
      <c r="E44" s="6" t="str">
        <f t="shared" ca="1" si="5"/>
        <v/>
      </c>
    </row>
    <row r="45" spans="1:5" x14ac:dyDescent="0.25">
      <c r="A45" s="3" t="str">
        <f t="shared" ca="1" si="3"/>
        <v>Unused</v>
      </c>
      <c r="B45" s="3" t="str">
        <f ca="1">IF(Earthlike!Q149="|",ROUND(Earthlike!N149,0),IF(Earthlike!Q149="V",ROUND(Earthlike!N149,-3),""))</f>
        <v/>
      </c>
      <c r="C45" s="3" t="str">
        <f ca="1">IF(B45="","",ROUND(Earthlike!O149,0))</f>
        <v/>
      </c>
      <c r="D45" s="6" t="str">
        <f t="shared" ca="1" si="4"/>
        <v/>
      </c>
      <c r="E45" s="6" t="str">
        <f t="shared" ca="1" si="5"/>
        <v/>
      </c>
    </row>
    <row r="46" spans="1:5" x14ac:dyDescent="0.25">
      <c r="A46" s="3" t="str">
        <f t="shared" ca="1" si="3"/>
        <v>Unused</v>
      </c>
      <c r="B46" s="3" t="str">
        <f ca="1">IF(Earthlike!Q150="|",ROUND(Earthlike!N150,0),IF(Earthlike!Q150="V",ROUND(Earthlike!N150,-3),""))</f>
        <v/>
      </c>
      <c r="C46" s="3" t="str">
        <f ca="1">IF(B46="","",ROUND(Earthlike!O150,0))</f>
        <v/>
      </c>
      <c r="D46" s="6" t="str">
        <f t="shared" ca="1" si="4"/>
        <v/>
      </c>
      <c r="E46" s="6" t="str">
        <f t="shared" ca="1" si="5"/>
        <v/>
      </c>
    </row>
    <row r="47" spans="1:5" x14ac:dyDescent="0.25">
      <c r="A47" s="3" t="str">
        <f t="shared" ca="1" si="3"/>
        <v>Unused</v>
      </c>
      <c r="B47" s="3" t="str">
        <f ca="1">IF(Earthlike!Q151="|",ROUND(Earthlike!N151,0),IF(Earthlike!Q151="V",ROUND(Earthlike!N151,-3),""))</f>
        <v/>
      </c>
      <c r="C47" s="3" t="str">
        <f ca="1">IF(B47="","",ROUND(Earthlike!O151,0))</f>
        <v/>
      </c>
      <c r="D47" s="6" t="str">
        <f t="shared" ca="1" si="4"/>
        <v/>
      </c>
      <c r="E47" s="6" t="str">
        <f t="shared" ca="1" si="5"/>
        <v/>
      </c>
    </row>
    <row r="48" spans="1:5" x14ac:dyDescent="0.25">
      <c r="A48" s="3" t="str">
        <f t="shared" ca="1" si="3"/>
        <v>Unused</v>
      </c>
      <c r="B48" s="3" t="str">
        <f ca="1">IF(Earthlike!Q152="|",ROUND(Earthlike!N152,0),IF(Earthlike!Q152="V",ROUND(Earthlike!N152,-3),""))</f>
        <v/>
      </c>
      <c r="C48" s="3" t="str">
        <f ca="1">IF(B48="","",ROUND(Earthlike!O152,0))</f>
        <v/>
      </c>
      <c r="D48" s="6" t="str">
        <f t="shared" ca="1" si="4"/>
        <v/>
      </c>
      <c r="E48" s="6" t="str">
        <f t="shared" ca="1" si="5"/>
        <v/>
      </c>
    </row>
    <row r="49" spans="1:5" x14ac:dyDescent="0.25">
      <c r="A49" s="3" t="str">
        <f t="shared" ca="1" si="3"/>
        <v>Unused</v>
      </c>
      <c r="B49" s="3" t="str">
        <f ca="1">IF(Earthlike!Q153="|",ROUND(Earthlike!N153,0),IF(Earthlike!Q153="V",ROUND(Earthlike!N153,-3),""))</f>
        <v/>
      </c>
      <c r="C49" s="3" t="str">
        <f ca="1">IF(B49="","",ROUND(Earthlike!O153,0))</f>
        <v/>
      </c>
      <c r="D49" s="6" t="str">
        <f t="shared" ca="1" si="4"/>
        <v/>
      </c>
      <c r="E49" s="6" t="str">
        <f t="shared" ca="1" si="5"/>
        <v/>
      </c>
    </row>
    <row r="50" spans="1:5" x14ac:dyDescent="0.25">
      <c r="A50" s="3" t="str">
        <f t="shared" ca="1" si="3"/>
        <v>Unused</v>
      </c>
      <c r="B50" s="3" t="str">
        <f ca="1">IF(Earthlike!Q154="|",ROUND(Earthlike!N154,0),IF(Earthlike!Q154="V",ROUND(Earthlike!N154,-3),""))</f>
        <v/>
      </c>
      <c r="C50" s="3" t="str">
        <f ca="1">IF(B50="","",ROUND(Earthlike!O154,0))</f>
        <v/>
      </c>
      <c r="D50" s="6" t="str">
        <f t="shared" ca="1" si="4"/>
        <v/>
      </c>
      <c r="E50" s="6" t="str">
        <f t="shared" ca="1" si="5"/>
        <v/>
      </c>
    </row>
    <row r="51" spans="1:5" x14ac:dyDescent="0.25">
      <c r="A51" s="3" t="str">
        <f t="shared" ca="1" si="3"/>
        <v>Unused</v>
      </c>
      <c r="B51" s="3" t="str">
        <f ca="1">IF(Earthlike!Q155="|",ROUND(Earthlike!N155,0),IF(Earthlike!Q155="V",ROUND(Earthlike!N155,-3),""))</f>
        <v/>
      </c>
      <c r="C51" s="3" t="str">
        <f ca="1">IF(B51="","",ROUND(Earthlike!O155,0))</f>
        <v/>
      </c>
      <c r="D51" s="6" t="str">
        <f t="shared" ca="1" si="4"/>
        <v/>
      </c>
      <c r="E51" s="6" t="str">
        <f t="shared" ca="1" si="5"/>
        <v/>
      </c>
    </row>
    <row r="52" spans="1:5" x14ac:dyDescent="0.25">
      <c r="A52" s="3" t="str">
        <f t="shared" ca="1" si="3"/>
        <v>Unused</v>
      </c>
      <c r="B52" s="3" t="str">
        <f ca="1">IF(Earthlike!Q156="|",ROUND(Earthlike!N156,0),IF(Earthlike!Q156="V",ROUND(Earthlike!N156,-3),""))</f>
        <v/>
      </c>
      <c r="C52" s="3" t="str">
        <f ca="1">IF(B52="","",ROUND(Earthlike!O156,0))</f>
        <v/>
      </c>
      <c r="D52" s="6" t="str">
        <f t="shared" ca="1" si="4"/>
        <v/>
      </c>
      <c r="E52" s="6" t="str">
        <f t="shared" ca="1" si="5"/>
        <v/>
      </c>
    </row>
    <row r="53" spans="1:5" x14ac:dyDescent="0.25">
      <c r="A53" s="3" t="str">
        <f t="shared" ca="1" si="3"/>
        <v>Unused</v>
      </c>
      <c r="B53" s="3" t="str">
        <f ca="1">IF(Earthlike!Q157="|",ROUND(Earthlike!N157,0),IF(Earthlike!Q157="V",ROUND(Earthlike!N157,-3),""))</f>
        <v/>
      </c>
      <c r="C53" s="3" t="str">
        <f ca="1">IF(B53="","",ROUND(Earthlike!O157,0))</f>
        <v/>
      </c>
      <c r="D53" s="6" t="str">
        <f t="shared" ca="1" si="4"/>
        <v/>
      </c>
      <c r="E53" s="6" t="str">
        <f t="shared" ca="1" si="5"/>
        <v/>
      </c>
    </row>
    <row r="54" spans="1:5" x14ac:dyDescent="0.25">
      <c r="A54" s="3" t="str">
        <f t="shared" ca="1" si="3"/>
        <v>Unused</v>
      </c>
      <c r="B54" s="3" t="str">
        <f ca="1">IF(Earthlike!Q158="|",ROUND(Earthlike!N158,0),IF(Earthlike!Q158="V",ROUND(Earthlike!N158,-3),""))</f>
        <v/>
      </c>
      <c r="C54" s="3" t="str">
        <f ca="1">IF(B54="","",ROUND(Earthlike!O158,0))</f>
        <v/>
      </c>
      <c r="D54" s="6" t="str">
        <f t="shared" ca="1" si="4"/>
        <v/>
      </c>
      <c r="E54" s="6" t="str">
        <f t="shared" ca="1" si="5"/>
        <v/>
      </c>
    </row>
    <row r="55" spans="1:5" x14ac:dyDescent="0.25">
      <c r="A55" s="10" t="s">
        <v>67</v>
      </c>
      <c r="B55" s="3"/>
      <c r="C55" s="3"/>
      <c r="D55" s="6"/>
      <c r="E55" s="6"/>
    </row>
    <row r="56" spans="1:5" x14ac:dyDescent="0.25">
      <c r="A56" s="10" t="s">
        <v>79</v>
      </c>
      <c r="B56" s="3"/>
      <c r="C56" s="3"/>
      <c r="D56" s="6"/>
      <c r="E56" s="6"/>
    </row>
    <row r="57" spans="1:5" x14ac:dyDescent="0.25">
      <c r="A57" s="10" t="s">
        <v>66</v>
      </c>
      <c r="B57" s="3"/>
      <c r="C57" s="3"/>
      <c r="D57" s="6"/>
      <c r="E57" s="6"/>
    </row>
    <row r="58" spans="1:5" x14ac:dyDescent="0.25">
      <c r="A58" s="3" t="str">
        <f t="shared" ref="A58:A71" ca="1" si="6">IF(B58="","Unused","key =")</f>
        <v>key =</v>
      </c>
      <c r="B58" s="3">
        <f ca="1">IF(Earthlike!Q122="|",ROUND(Earthlike!N122,0),IF(Earthlike!Q122="V",ROUND(Earthlike!N122,-3),""))</f>
        <v>0</v>
      </c>
      <c r="C58" s="49">
        <f ca="1">IF(B58="","",ROUND(Earthlike!P122,3))</f>
        <v>1</v>
      </c>
      <c r="D58" s="6">
        <v>0</v>
      </c>
      <c r="E58" s="6">
        <f ca="1">(C59-C58)/(B59-B58)</f>
        <v>-9.244826659500133E-5</v>
      </c>
    </row>
    <row r="59" spans="1:5" x14ac:dyDescent="0.25">
      <c r="A59" s="3" t="str">
        <f t="shared" ca="1" si="6"/>
        <v>key =</v>
      </c>
      <c r="B59" s="3">
        <f ca="1">IF(Earthlike!Q123="|",ROUND(Earthlike!N123,0),IF(Earthlike!Q123="V",ROUND(Earthlike!N123,-3),""))</f>
        <v>3721</v>
      </c>
      <c r="C59" s="49">
        <f ca="1">IF(B59="","",ROUND(Earthlike!P123,3))</f>
        <v>0.65600000000000003</v>
      </c>
      <c r="D59" s="6">
        <f ca="1">IF(C59="","",(C59-C58)/(B59-B58))</f>
        <v>-9.244826659500133E-5</v>
      </c>
      <c r="E59" s="6">
        <f ca="1">IF(C59="","",IF(C60="",0,(C60-C59)/(B60-B59)))</f>
        <v>-1.2759029011249261E-4</v>
      </c>
    </row>
    <row r="60" spans="1:5" x14ac:dyDescent="0.25">
      <c r="A60" s="3" t="str">
        <f t="shared" ca="1" si="6"/>
        <v>key =</v>
      </c>
      <c r="B60" s="3">
        <f ca="1">IF(Earthlike!Q124="|",ROUND(Earthlike!N124,0),IF(Earthlike!Q124="V",ROUND(Earthlike!N124,-3),""))</f>
        <v>7099</v>
      </c>
      <c r="C60" s="49">
        <f ca="1">IF(B60="","",ROUND(Earthlike!P124,3))</f>
        <v>0.22500000000000001</v>
      </c>
      <c r="D60" s="6">
        <f t="shared" ref="D60:D71" ca="1" si="7">IF(C60="","",(C60-C59)/(B60-B59))</f>
        <v>-1.2759029011249261E-4</v>
      </c>
      <c r="E60" s="6">
        <f t="shared" ref="E60:E71" ca="1" si="8">IF(C60="","",IF(C61="",0,(C61-C60)/(B61-B60)))</f>
        <v>-1.2031300945549396E-4</v>
      </c>
    </row>
    <row r="61" spans="1:5" x14ac:dyDescent="0.25">
      <c r="A61" s="3" t="str">
        <f t="shared" ca="1" si="6"/>
        <v>key =</v>
      </c>
      <c r="B61" s="3">
        <f ca="1">IF(Earthlike!Q125="|",ROUND(Earthlike!N125,0),IF(Earthlike!Q125="V",ROUND(Earthlike!N125,-3),""))</f>
        <v>10166</v>
      </c>
      <c r="C61" s="49">
        <f ca="1">IF(B61="","",ROUND(Earthlike!P125,3))</f>
        <v>-0.14399999999999999</v>
      </c>
      <c r="D61" s="6">
        <f t="shared" ca="1" si="7"/>
        <v>-1.2031300945549396E-4</v>
      </c>
      <c r="E61" s="6">
        <f t="shared" ca="1" si="8"/>
        <v>-5.384880911287539E-5</v>
      </c>
    </row>
    <row r="62" spans="1:5" x14ac:dyDescent="0.25">
      <c r="A62" s="3" t="str">
        <f t="shared" ca="1" si="6"/>
        <v>key =</v>
      </c>
      <c r="B62" s="3">
        <f ca="1">IF(Earthlike!Q126="|",ROUND(Earthlike!N126,0),IF(Earthlike!Q126="V",ROUND(Earthlike!N126,-3),""))</f>
        <v>13063</v>
      </c>
      <c r="C62" s="49">
        <f ca="1">IF(B62="","",ROUND(Earthlike!P126,3))</f>
        <v>-0.3</v>
      </c>
      <c r="D62" s="6">
        <f t="shared" ca="1" si="7"/>
        <v>-5.384880911287539E-5</v>
      </c>
      <c r="E62" s="6">
        <f t="shared" ca="1" si="8"/>
        <v>1.8131101813110178E-5</v>
      </c>
    </row>
    <row r="63" spans="1:5" x14ac:dyDescent="0.25">
      <c r="A63" s="3" t="str">
        <f t="shared" ca="1" si="6"/>
        <v>key =</v>
      </c>
      <c r="B63" s="3">
        <f ca="1">IF(Earthlike!Q127="|",ROUND(Earthlike!N127,0),IF(Earthlike!Q127="V",ROUND(Earthlike!N127,-3),""))</f>
        <v>15931</v>
      </c>
      <c r="C63" s="49">
        <f ca="1">IF(B63="","",ROUND(Earthlike!P127,3))</f>
        <v>-0.248</v>
      </c>
      <c r="D63" s="6">
        <f t="shared" ca="1" si="7"/>
        <v>1.8131101813110178E-5</v>
      </c>
      <c r="E63" s="6">
        <f t="shared" ca="1" si="8"/>
        <v>4.4162957891133175E-5</v>
      </c>
    </row>
    <row r="64" spans="1:5" x14ac:dyDescent="0.25">
      <c r="A64" s="3" t="str">
        <f t="shared" ca="1" si="6"/>
        <v>key =</v>
      </c>
      <c r="B64" s="3">
        <f ca="1">IF(Earthlike!Q128="|",ROUND(Earthlike!N128,0),IF(Earthlike!Q128="V",ROUND(Earthlike!N128,-3),""))</f>
        <v>18852</v>
      </c>
      <c r="C64" s="49">
        <f ca="1">IF(B64="","",ROUND(Earthlike!P128,3))</f>
        <v>-0.11899999999999999</v>
      </c>
      <c r="D64" s="6">
        <f t="shared" ca="1" si="7"/>
        <v>4.4162957891133175E-5</v>
      </c>
      <c r="E64" s="6">
        <f t="shared" ca="1" si="8"/>
        <v>5.6202194878616555E-5</v>
      </c>
    </row>
    <row r="65" spans="1:5" x14ac:dyDescent="0.25">
      <c r="A65" s="3" t="str">
        <f t="shared" ca="1" si="6"/>
        <v>key =</v>
      </c>
      <c r="B65" s="3">
        <f ca="1">IF(Earthlike!Q129="|",ROUND(Earthlike!N129,0),IF(Earthlike!Q129="V",ROUND(Earthlike!N129,-3),""))</f>
        <v>21859</v>
      </c>
      <c r="C65" s="49">
        <f ca="1">IF(B65="","",ROUND(Earthlike!P129,3))</f>
        <v>0.05</v>
      </c>
      <c r="D65" s="6">
        <f t="shared" ca="1" si="7"/>
        <v>5.6202194878616555E-5</v>
      </c>
      <c r="E65" s="6">
        <f t="shared" ca="1" si="8"/>
        <v>5.4428341384863122E-5</v>
      </c>
    </row>
    <row r="66" spans="1:5" x14ac:dyDescent="0.25">
      <c r="A66" s="3" t="str">
        <f t="shared" ca="1" si="6"/>
        <v>key =</v>
      </c>
      <c r="B66" s="3">
        <f ca="1">IF(Earthlike!Q130="|",ROUND(Earthlike!N130,0),IF(Earthlike!Q130="V",ROUND(Earthlike!N130,-3),""))</f>
        <v>24964</v>
      </c>
      <c r="C66" s="49">
        <f ca="1">IF(B66="","",ROUND(Earthlike!P130,3))</f>
        <v>0.219</v>
      </c>
      <c r="D66" s="6">
        <f t="shared" ca="1" si="7"/>
        <v>5.4428341384863122E-5</v>
      </c>
      <c r="E66" s="6">
        <f t="shared" ca="1" si="8"/>
        <v>4.0074557315936621E-5</v>
      </c>
    </row>
    <row r="67" spans="1:5" x14ac:dyDescent="0.25">
      <c r="A67" s="3" t="str">
        <f t="shared" ca="1" si="6"/>
        <v>key =</v>
      </c>
      <c r="B67" s="3">
        <f ca="1">IF(Earthlike!Q131="|",ROUND(Earthlike!N131,0),IF(Earthlike!Q131="V",ROUND(Earthlike!N131,-3),""))</f>
        <v>28183</v>
      </c>
      <c r="C67" s="49">
        <f ca="1">IF(B67="","",ROUND(Earthlike!P131,3))</f>
        <v>0.34799999999999998</v>
      </c>
      <c r="D67" s="6">
        <f t="shared" ca="1" si="7"/>
        <v>4.0074557315936621E-5</v>
      </c>
      <c r="E67" s="6">
        <f t="shared" ca="1" si="8"/>
        <v>1.5522388059701507E-5</v>
      </c>
    </row>
    <row r="68" spans="1:5" x14ac:dyDescent="0.25">
      <c r="A68" s="3" t="str">
        <f t="shared" ca="1" si="6"/>
        <v>key =</v>
      </c>
      <c r="B68" s="3">
        <f ca="1">IF(Earthlike!Q132="|",ROUND(Earthlike!N132,0),IF(Earthlike!Q132="V",ROUND(Earthlike!N132,-3),""))</f>
        <v>31533</v>
      </c>
      <c r="C68" s="49">
        <f ca="1">IF(B68="","",ROUND(Earthlike!P132,3))</f>
        <v>0.4</v>
      </c>
      <c r="D68" s="6">
        <f t="shared" ca="1" si="7"/>
        <v>1.5522388059701507E-5</v>
      </c>
      <c r="E68" s="6">
        <f t="shared" ca="1" si="8"/>
        <v>-1.2567837760639828E-5</v>
      </c>
    </row>
    <row r="69" spans="1:5" x14ac:dyDescent="0.25">
      <c r="A69" s="3" t="str">
        <f t="shared" ca="1" si="6"/>
        <v>key =</v>
      </c>
      <c r="B69" s="3">
        <f ca="1">IF(Earthlike!Q133="|",ROUND(Earthlike!N133,0),IF(Earthlike!Q133="V",ROUND(Earthlike!N133,-3),""))</f>
        <v>35034</v>
      </c>
      <c r="C69" s="49">
        <f ca="1">IF(B69="","",ROUND(Earthlike!P133,3))</f>
        <v>0.35599999999999998</v>
      </c>
      <c r="D69" s="6">
        <f t="shared" ca="1" si="7"/>
        <v>-1.2567837760639828E-5</v>
      </c>
      <c r="E69" s="6">
        <f t="shared" ca="1" si="8"/>
        <v>-3.0803080308030797E-5</v>
      </c>
    </row>
    <row r="70" spans="1:5" x14ac:dyDescent="0.25">
      <c r="A70" s="3" t="str">
        <f t="shared" ca="1" si="6"/>
        <v>key =</v>
      </c>
      <c r="B70" s="3">
        <f ca="1">IF(Earthlike!Q134="|",ROUND(Earthlike!N134,0),IF(Earthlike!Q134="V",ROUND(Earthlike!N134,-3),""))</f>
        <v>38670</v>
      </c>
      <c r="C70" s="49">
        <f ca="1">IF(B70="","",ROUND(Earthlike!P134,3))</f>
        <v>0.24399999999999999</v>
      </c>
      <c r="D70" s="6">
        <f t="shared" ca="1" si="7"/>
        <v>-3.0803080308030797E-5</v>
      </c>
      <c r="E70" s="6">
        <f t="shared" ca="1" si="8"/>
        <v>-3.9247751430907602E-5</v>
      </c>
    </row>
    <row r="71" spans="1:5" x14ac:dyDescent="0.25">
      <c r="A71" s="3" t="str">
        <f t="shared" ca="1" si="6"/>
        <v>key =</v>
      </c>
      <c r="B71" s="3">
        <f ca="1">IF(Earthlike!Q135="|",ROUND(Earthlike!N135,0),IF(Earthlike!Q135="V",ROUND(Earthlike!N135,-3),""))</f>
        <v>42339</v>
      </c>
      <c r="C71" s="49">
        <f ca="1">IF(B71="","",ROUND(Earthlike!P135,3))</f>
        <v>0.1</v>
      </c>
      <c r="D71" s="6">
        <f t="shared" ca="1" si="7"/>
        <v>-3.9247751430907602E-5</v>
      </c>
      <c r="E71" s="6">
        <f t="shared" ca="1" si="8"/>
        <v>-4.0438079191238421E-5</v>
      </c>
    </row>
    <row r="72" spans="1:5" x14ac:dyDescent="0.25">
      <c r="A72" s="3" t="str">
        <f t="shared" ref="A72:A94" ca="1" si="9">IF(B72="","Unused","key =")</f>
        <v>key =</v>
      </c>
      <c r="B72" s="3">
        <f ca="1">IF(Earthlike!Q136="|",ROUND(Earthlike!N136,0),IF(Earthlike!Q136="V",ROUND(Earthlike!N136,-3),""))</f>
        <v>45900</v>
      </c>
      <c r="C72" s="49">
        <f ca="1">IF(B72="","",ROUND(Earthlike!P136,3))</f>
        <v>-4.3999999999999997E-2</v>
      </c>
      <c r="D72" s="6">
        <f t="shared" ref="D72:D94" ca="1" si="10">IF(C72="","",(C72-C71)/(B72-B71))</f>
        <v>-4.0438079191238421E-5</v>
      </c>
      <c r="E72" s="6">
        <f t="shared" ref="E72:E94" ca="1" si="11">IF(C72="","",IF(C73="",0,(C73-C72)/(B73-B72)))</f>
        <v>-3.2989690721649485E-5</v>
      </c>
    </row>
    <row r="73" spans="1:5" x14ac:dyDescent="0.25">
      <c r="A73" s="3" t="str">
        <f t="shared" ca="1" si="9"/>
        <v>key =</v>
      </c>
      <c r="B73" s="3">
        <f ca="1">IF(Earthlike!Q137="|",ROUND(Earthlike!N137,0),IF(Earthlike!Q137="V",ROUND(Earthlike!N137,-3),""))</f>
        <v>49295</v>
      </c>
      <c r="C73" s="49">
        <f ca="1">IF(B73="","",ROUND(Earthlike!P137,3))</f>
        <v>-0.156</v>
      </c>
      <c r="D73" s="6">
        <f t="shared" ca="1" si="10"/>
        <v>-3.2989690721649485E-5</v>
      </c>
      <c r="E73" s="6">
        <f t="shared" ca="1" si="11"/>
        <v>-1.3559322033898309E-5</v>
      </c>
    </row>
    <row r="74" spans="1:5" x14ac:dyDescent="0.25">
      <c r="A74" s="3" t="str">
        <f t="shared" ca="1" si="9"/>
        <v>key =</v>
      </c>
      <c r="B74" s="3">
        <f ca="1">IF(Earthlike!Q138="|",ROUND(Earthlike!N138,0),IF(Earthlike!Q138="V",ROUND(Earthlike!N138,-3),""))</f>
        <v>52540</v>
      </c>
      <c r="C74" s="49">
        <f ca="1">IF(B74="","",ROUND(Earthlike!P138,3))</f>
        <v>-0.2</v>
      </c>
      <c r="D74" s="6">
        <f t="shared" ca="1" si="10"/>
        <v>-1.3559322033898309E-5</v>
      </c>
      <c r="E74" s="6">
        <f t="shared" ca="1" si="11"/>
        <v>9.6525096525096514E-6</v>
      </c>
    </row>
    <row r="75" spans="1:5" x14ac:dyDescent="0.25">
      <c r="A75" s="3" t="str">
        <f t="shared" ca="1" si="9"/>
        <v>key =</v>
      </c>
      <c r="B75" s="3">
        <f ca="1">IF(Earthlike!Q139="|",ROUND(Earthlike!N139,0),IF(Earthlike!Q139="V",ROUND(Earthlike!N139,-3),""))</f>
        <v>55648</v>
      </c>
      <c r="C75" s="49">
        <f ca="1">IF(B75="","",ROUND(Earthlike!P139,3))</f>
        <v>-0.17</v>
      </c>
      <c r="D75" s="6">
        <f t="shared" ca="1" si="10"/>
        <v>9.6525096525096514E-6</v>
      </c>
      <c r="E75" s="6">
        <f t="shared" ca="1" si="11"/>
        <v>2.4732620320855619E-5</v>
      </c>
    </row>
    <row r="76" spans="1:5" x14ac:dyDescent="0.25">
      <c r="A76" s="3" t="str">
        <f t="shared" ca="1" si="9"/>
        <v>key =</v>
      </c>
      <c r="B76" s="3">
        <f ca="1">IF(Earthlike!Q140="|",ROUND(Earthlike!N140,0),IF(Earthlike!Q140="V",ROUND(Earthlike!N140,-3),""))</f>
        <v>58640</v>
      </c>
      <c r="C76" s="49">
        <f ca="1">IF(B76="","",ROUND(Earthlike!P140,3))</f>
        <v>-9.6000000000000002E-2</v>
      </c>
      <c r="D76" s="6">
        <f t="shared" ca="1" si="10"/>
        <v>2.4732620320855619E-5</v>
      </c>
      <c r="E76" s="6">
        <f t="shared" ca="1" si="11"/>
        <v>3.31720801658604E-5</v>
      </c>
    </row>
    <row r="77" spans="1:5" x14ac:dyDescent="0.25">
      <c r="A77" s="3" t="str">
        <f t="shared" ca="1" si="9"/>
        <v>key =</v>
      </c>
      <c r="B77" s="3">
        <f ca="1">IF(Earthlike!Q141="|",ROUND(Earthlike!N141,0),IF(Earthlike!Q141="V",ROUND(Earthlike!N141,-3),""))</f>
        <v>61534</v>
      </c>
      <c r="C77" s="49">
        <f ca="1">IF(B77="","",ROUND(Earthlike!P141,3))</f>
        <v>0</v>
      </c>
      <c r="D77" s="6">
        <f t="shared" ca="1" si="10"/>
        <v>3.31720801658604E-5</v>
      </c>
      <c r="E77" s="6">
        <f t="shared" ca="1" si="11"/>
        <v>3.4163701067615661E-5</v>
      </c>
    </row>
    <row r="78" spans="1:5" x14ac:dyDescent="0.25">
      <c r="A78" s="3" t="str">
        <f t="shared" ca="1" si="9"/>
        <v>key =</v>
      </c>
      <c r="B78" s="3">
        <f ca="1">IF(Earthlike!Q142="|",ROUND(Earthlike!N142,0),IF(Earthlike!Q142="V",ROUND(Earthlike!N142,-3),""))</f>
        <v>64344</v>
      </c>
      <c r="C78" s="49">
        <f ca="1">IF(B78="","",ROUND(Earthlike!P142,3))</f>
        <v>9.6000000000000002E-2</v>
      </c>
      <c r="D78" s="6">
        <f t="shared" ca="1" si="10"/>
        <v>3.4163701067615661E-5</v>
      </c>
      <c r="E78" s="6">
        <f t="shared" ca="1" si="11"/>
        <v>2.7036901717208626E-5</v>
      </c>
    </row>
    <row r="79" spans="1:5" x14ac:dyDescent="0.25">
      <c r="A79" s="3" t="str">
        <f t="shared" ca="1" si="9"/>
        <v>key =</v>
      </c>
      <c r="B79" s="3">
        <f ca="1">IF(Earthlike!Q143="|",ROUND(Earthlike!N143,0),IF(Earthlike!Q143="V",ROUND(Earthlike!N143,-3),""))</f>
        <v>67081</v>
      </c>
      <c r="C79" s="49">
        <f ca="1">IF(B79="","",ROUND(Earthlike!P143,3))</f>
        <v>0.17</v>
      </c>
      <c r="D79" s="6">
        <f t="shared" ca="1" si="10"/>
        <v>2.7036901717208626E-5</v>
      </c>
      <c r="E79" s="6">
        <f t="shared" ca="1" si="11"/>
        <v>1.027749229188078E-5</v>
      </c>
    </row>
    <row r="80" spans="1:5" x14ac:dyDescent="0.25">
      <c r="A80" s="3" t="str">
        <f t="shared" ca="1" si="9"/>
        <v>key =</v>
      </c>
      <c r="B80" s="3">
        <f ca="1">IF(Earthlike!Q144="|",ROUND(Earthlike!N144,0),IF(Earthlike!Q144="V",ROUND(Earthlike!N144,-3),""))</f>
        <v>70000</v>
      </c>
      <c r="C80" s="49">
        <f ca="1">IF(B80="","",ROUND(Earthlike!P144,3))</f>
        <v>0.2</v>
      </c>
      <c r="D80" s="6">
        <f t="shared" ca="1" si="10"/>
        <v>1.027749229188078E-5</v>
      </c>
      <c r="E80" s="6">
        <f t="shared" ca="1" si="11"/>
        <v>0</v>
      </c>
    </row>
    <row r="81" spans="1:5" x14ac:dyDescent="0.25">
      <c r="A81" s="3" t="str">
        <f t="shared" ca="1" si="9"/>
        <v>Unused</v>
      </c>
      <c r="B81" s="3" t="str">
        <f ca="1">IF(Earthlike!Q145="|",ROUND(Earthlike!N145,0),IF(Earthlike!Q145="V",ROUND(Earthlike!N145,-3),""))</f>
        <v/>
      </c>
      <c r="C81" s="49" t="str">
        <f ca="1">IF(B81="","",ROUND(Earthlike!P145,3))</f>
        <v/>
      </c>
      <c r="D81" s="6" t="str">
        <f t="shared" ca="1" si="10"/>
        <v/>
      </c>
      <c r="E81" s="6" t="str">
        <f t="shared" ca="1" si="11"/>
        <v/>
      </c>
    </row>
    <row r="82" spans="1:5" x14ac:dyDescent="0.25">
      <c r="A82" s="3" t="str">
        <f t="shared" ca="1" si="9"/>
        <v>Unused</v>
      </c>
      <c r="B82" s="3" t="str">
        <f ca="1">IF(Earthlike!Q146="|",ROUND(Earthlike!N146,0),IF(Earthlike!Q146="V",ROUND(Earthlike!N146,-3),""))</f>
        <v/>
      </c>
      <c r="C82" s="49" t="str">
        <f ca="1">IF(B82="","",ROUND(Earthlike!P146,3))</f>
        <v/>
      </c>
      <c r="D82" s="6" t="str">
        <f t="shared" ca="1" si="10"/>
        <v/>
      </c>
      <c r="E82" s="6" t="str">
        <f t="shared" ca="1" si="11"/>
        <v/>
      </c>
    </row>
    <row r="83" spans="1:5" x14ac:dyDescent="0.25">
      <c r="A83" s="3" t="str">
        <f t="shared" ca="1" si="9"/>
        <v>Unused</v>
      </c>
      <c r="B83" s="3" t="str">
        <f ca="1">IF(Earthlike!Q147="|",ROUND(Earthlike!N147,0),IF(Earthlike!Q147="V",ROUND(Earthlike!N147,-3),""))</f>
        <v/>
      </c>
      <c r="C83" s="49" t="str">
        <f ca="1">IF(B83="","",ROUND(Earthlike!P147,3))</f>
        <v/>
      </c>
      <c r="D83" s="6" t="str">
        <f t="shared" ca="1" si="10"/>
        <v/>
      </c>
      <c r="E83" s="6" t="str">
        <f t="shared" ca="1" si="11"/>
        <v/>
      </c>
    </row>
    <row r="84" spans="1:5" x14ac:dyDescent="0.25">
      <c r="A84" s="3" t="str">
        <f t="shared" ca="1" si="9"/>
        <v>Unused</v>
      </c>
      <c r="B84" s="3" t="str">
        <f ca="1">IF(Earthlike!Q148="|",ROUND(Earthlike!N148,0),IF(Earthlike!Q148="V",ROUND(Earthlike!N148,-3),""))</f>
        <v/>
      </c>
      <c r="C84" s="49" t="str">
        <f ca="1">IF(B84="","",ROUND(Earthlike!P148,3))</f>
        <v/>
      </c>
      <c r="D84" s="6" t="str">
        <f t="shared" ca="1" si="10"/>
        <v/>
      </c>
      <c r="E84" s="6" t="str">
        <f t="shared" ca="1" si="11"/>
        <v/>
      </c>
    </row>
    <row r="85" spans="1:5" x14ac:dyDescent="0.25">
      <c r="A85" s="3" t="str">
        <f t="shared" ca="1" si="9"/>
        <v>Unused</v>
      </c>
      <c r="B85" s="3" t="str">
        <f ca="1">IF(Earthlike!Q149="|",ROUND(Earthlike!N149,0),IF(Earthlike!Q149="V",ROUND(Earthlike!N149,-3),""))</f>
        <v/>
      </c>
      <c r="C85" s="49" t="str">
        <f ca="1">IF(B85="","",ROUND(Earthlike!P149,3))</f>
        <v/>
      </c>
      <c r="D85" s="6" t="str">
        <f t="shared" ca="1" si="10"/>
        <v/>
      </c>
      <c r="E85" s="6" t="str">
        <f t="shared" ca="1" si="11"/>
        <v/>
      </c>
    </row>
    <row r="86" spans="1:5" x14ac:dyDescent="0.25">
      <c r="A86" s="3" t="str">
        <f t="shared" ca="1" si="9"/>
        <v>Unused</v>
      </c>
      <c r="B86" s="3" t="str">
        <f ca="1">IF(Earthlike!Q150="|",ROUND(Earthlike!N150,0),IF(Earthlike!Q150="V",ROUND(Earthlike!N150,-3),""))</f>
        <v/>
      </c>
      <c r="C86" s="49" t="str">
        <f ca="1">IF(B86="","",ROUND(Earthlike!P150,3))</f>
        <v/>
      </c>
      <c r="D86" s="6" t="str">
        <f t="shared" ca="1" si="10"/>
        <v/>
      </c>
      <c r="E86" s="6" t="str">
        <f t="shared" ca="1" si="11"/>
        <v/>
      </c>
    </row>
    <row r="87" spans="1:5" x14ac:dyDescent="0.25">
      <c r="A87" s="3" t="str">
        <f t="shared" ca="1" si="9"/>
        <v>Unused</v>
      </c>
      <c r="B87" s="3" t="str">
        <f ca="1">IF(Earthlike!Q151="|",ROUND(Earthlike!N151,0),IF(Earthlike!Q151="V",ROUND(Earthlike!N151,-3),""))</f>
        <v/>
      </c>
      <c r="C87" s="49" t="str">
        <f ca="1">IF(B87="","",ROUND(Earthlike!P151,3))</f>
        <v/>
      </c>
      <c r="D87" s="6" t="str">
        <f t="shared" ca="1" si="10"/>
        <v/>
      </c>
      <c r="E87" s="6" t="str">
        <f t="shared" ca="1" si="11"/>
        <v/>
      </c>
    </row>
    <row r="88" spans="1:5" x14ac:dyDescent="0.25">
      <c r="A88" s="3" t="str">
        <f t="shared" ca="1" si="9"/>
        <v>Unused</v>
      </c>
      <c r="B88" s="3" t="str">
        <f ca="1">IF(Earthlike!Q152="|",ROUND(Earthlike!N152,0),IF(Earthlike!Q152="V",ROUND(Earthlike!N152,-3),""))</f>
        <v/>
      </c>
      <c r="C88" s="49" t="str">
        <f ca="1">IF(B88="","",ROUND(Earthlike!P152,3))</f>
        <v/>
      </c>
      <c r="D88" s="6" t="str">
        <f t="shared" ca="1" si="10"/>
        <v/>
      </c>
      <c r="E88" s="6" t="str">
        <f t="shared" ca="1" si="11"/>
        <v/>
      </c>
    </row>
    <row r="89" spans="1:5" x14ac:dyDescent="0.25">
      <c r="A89" s="3" t="str">
        <f t="shared" ca="1" si="9"/>
        <v>Unused</v>
      </c>
      <c r="B89" s="3" t="str">
        <f ca="1">IF(Earthlike!Q153="|",ROUND(Earthlike!N153,0),IF(Earthlike!Q153="V",ROUND(Earthlike!N153,-3),""))</f>
        <v/>
      </c>
      <c r="C89" s="49" t="str">
        <f ca="1">IF(B89="","",ROUND(Earthlike!P153,3))</f>
        <v/>
      </c>
      <c r="D89" s="6" t="str">
        <f t="shared" ca="1" si="10"/>
        <v/>
      </c>
      <c r="E89" s="6" t="str">
        <f t="shared" ca="1" si="11"/>
        <v/>
      </c>
    </row>
    <row r="90" spans="1:5" x14ac:dyDescent="0.25">
      <c r="A90" s="3" t="str">
        <f t="shared" ca="1" si="9"/>
        <v>Unused</v>
      </c>
      <c r="B90" s="3" t="str">
        <f ca="1">IF(Earthlike!Q154="|",ROUND(Earthlike!N154,0),IF(Earthlike!Q154="V",ROUND(Earthlike!N154,-3),""))</f>
        <v/>
      </c>
      <c r="C90" s="49" t="str">
        <f ca="1">IF(B90="","",ROUND(Earthlike!P154,3))</f>
        <v/>
      </c>
      <c r="D90" s="6" t="str">
        <f t="shared" ca="1" si="10"/>
        <v/>
      </c>
      <c r="E90" s="6" t="str">
        <f t="shared" ca="1" si="11"/>
        <v/>
      </c>
    </row>
    <row r="91" spans="1:5" x14ac:dyDescent="0.25">
      <c r="A91" s="3" t="str">
        <f t="shared" ca="1" si="9"/>
        <v>Unused</v>
      </c>
      <c r="B91" s="3" t="str">
        <f ca="1">IF(Earthlike!Q155="|",ROUND(Earthlike!N155,0),IF(Earthlike!Q155="V",ROUND(Earthlike!N155,-3),""))</f>
        <v/>
      </c>
      <c r="C91" s="49" t="str">
        <f ca="1">IF(B91="","",ROUND(Earthlike!P155,3))</f>
        <v/>
      </c>
      <c r="D91" s="6" t="str">
        <f t="shared" ca="1" si="10"/>
        <v/>
      </c>
      <c r="E91" s="6" t="str">
        <f t="shared" ca="1" si="11"/>
        <v/>
      </c>
    </row>
    <row r="92" spans="1:5" x14ac:dyDescent="0.25">
      <c r="A92" s="3" t="str">
        <f t="shared" ca="1" si="9"/>
        <v>Unused</v>
      </c>
      <c r="B92" s="3" t="str">
        <f ca="1">IF(Earthlike!Q156="|",ROUND(Earthlike!N156,0),IF(Earthlike!Q156="V",ROUND(Earthlike!N156,-3),""))</f>
        <v/>
      </c>
      <c r="C92" s="49" t="str">
        <f ca="1">IF(B92="","",ROUND(Earthlike!P156,3))</f>
        <v/>
      </c>
      <c r="D92" s="6" t="str">
        <f t="shared" ca="1" si="10"/>
        <v/>
      </c>
      <c r="E92" s="6" t="str">
        <f t="shared" ca="1" si="11"/>
        <v/>
      </c>
    </row>
    <row r="93" spans="1:5" x14ac:dyDescent="0.25">
      <c r="A93" s="3" t="str">
        <f t="shared" ca="1" si="9"/>
        <v>Unused</v>
      </c>
      <c r="B93" s="3" t="str">
        <f ca="1">IF(Earthlike!Q157="|",ROUND(Earthlike!N157,0),IF(Earthlike!Q157="V",ROUND(Earthlike!N157,-3),""))</f>
        <v/>
      </c>
      <c r="C93" s="49" t="str">
        <f ca="1">IF(B93="","",ROUND(Earthlike!P157,3))</f>
        <v/>
      </c>
      <c r="D93" s="6" t="str">
        <f t="shared" ca="1" si="10"/>
        <v/>
      </c>
      <c r="E93" s="6" t="str">
        <f t="shared" ca="1" si="11"/>
        <v/>
      </c>
    </row>
    <row r="94" spans="1:5" x14ac:dyDescent="0.25">
      <c r="A94" s="3" t="str">
        <f t="shared" ca="1" si="9"/>
        <v>Unused</v>
      </c>
      <c r="B94" s="3" t="str">
        <f ca="1">IF(Earthlike!Q158="|",ROUND(Earthlike!N158,0),IF(Earthlike!Q158="V",ROUND(Earthlike!N158,-3),""))</f>
        <v/>
      </c>
      <c r="C94" s="49" t="str">
        <f ca="1">IF(B94="","",ROUND(Earthlike!P158,3))</f>
        <v/>
      </c>
      <c r="D94" s="6" t="str">
        <f t="shared" ca="1" si="10"/>
        <v/>
      </c>
      <c r="E94" s="6" t="str">
        <f t="shared" ca="1" si="11"/>
        <v/>
      </c>
    </row>
    <row r="95" spans="1:5" x14ac:dyDescent="0.25">
      <c r="A95" s="10" t="s">
        <v>67</v>
      </c>
      <c r="B95" s="3"/>
      <c r="C95" s="3"/>
      <c r="D95" s="3"/>
      <c r="E95" s="3"/>
    </row>
    <row r="96" spans="1:5" x14ac:dyDescent="0.25">
      <c r="A96" s="10" t="s">
        <v>80</v>
      </c>
      <c r="B96" s="3"/>
      <c r="C96" s="3"/>
      <c r="D96" s="3"/>
      <c r="E96" s="3"/>
    </row>
    <row r="97" spans="1:5" x14ac:dyDescent="0.25">
      <c r="A97" s="10" t="s">
        <v>66</v>
      </c>
      <c r="B97" s="3"/>
      <c r="C97" s="3"/>
      <c r="D97" s="3"/>
      <c r="E97" s="3"/>
    </row>
    <row r="98" spans="1:5" x14ac:dyDescent="0.25">
      <c r="A98" s="3" t="s">
        <v>78</v>
      </c>
      <c r="B98" s="3">
        <v>0</v>
      </c>
      <c r="C98" s="3">
        <f>ROUND(Earthlike!G$88*(COS(RADIANS(B98))-COS(RADIANS(38))),2)</f>
        <v>8.69</v>
      </c>
      <c r="D98" s="3">
        <v>0</v>
      </c>
      <c r="E98" s="3">
        <f>ROUND(-Earthlike!G$88*SIN(RADIANS(B98))*PI()/180,4)</f>
        <v>0</v>
      </c>
    </row>
    <row r="99" spans="1:5" x14ac:dyDescent="0.25">
      <c r="A99" s="3" t="s">
        <v>78</v>
      </c>
      <c r="B99" s="3">
        <v>38</v>
      </c>
      <c r="C99" s="3">
        <f>ROUND(Earthlike!G$88*(COS(RADIANS(B99))-COS(RADIANS(38))),2)</f>
        <v>0</v>
      </c>
      <c r="D99" s="3">
        <f>ROUND(-Earthlike!G$88*SIN(RADIANS(B99))*PI()/180,4)</f>
        <v>-0.44059999999999999</v>
      </c>
      <c r="E99" s="3">
        <f>ROUND(-Earthlike!G$88*SIN(RADIANS(B99))*PI()/180,4)</f>
        <v>-0.44059999999999999</v>
      </c>
    </row>
    <row r="100" spans="1:5" x14ac:dyDescent="0.25">
      <c r="A100" s="3" t="s">
        <v>78</v>
      </c>
      <c r="B100" s="3">
        <v>90</v>
      </c>
      <c r="C100" s="3">
        <f>ROUND(Earthlike!G$88*(COS(RADIANS(B100))-COS(RADIANS(38))),2)</f>
        <v>-32.31</v>
      </c>
      <c r="D100" s="3">
        <f>ROUND(-Earthlike!G$88*SIN(RADIANS(B100))*PI()/180,4)</f>
        <v>-0.71560000000000001</v>
      </c>
      <c r="E100" s="3">
        <v>0</v>
      </c>
    </row>
    <row r="101" spans="1:5" x14ac:dyDescent="0.25">
      <c r="A101" s="10" t="s">
        <v>67</v>
      </c>
      <c r="B101" s="3"/>
      <c r="C101" s="3"/>
      <c r="D101" s="3"/>
      <c r="E101" s="3"/>
    </row>
    <row r="102" spans="1:5" x14ac:dyDescent="0.25">
      <c r="A102" s="10" t="s">
        <v>81</v>
      </c>
      <c r="B102" s="3"/>
      <c r="C102" s="3"/>
      <c r="D102" s="3"/>
      <c r="E102" s="3"/>
    </row>
    <row r="103" spans="1:5" x14ac:dyDescent="0.25">
      <c r="A103" s="10" t="s">
        <v>66</v>
      </c>
      <c r="B103" s="3"/>
      <c r="C103" s="3"/>
      <c r="D103" s="3"/>
      <c r="E103" s="3"/>
    </row>
    <row r="104" spans="1:5" x14ac:dyDescent="0.25">
      <c r="A104" s="3" t="s">
        <v>78</v>
      </c>
      <c r="B104" s="3">
        <v>0</v>
      </c>
      <c r="C104" s="3">
        <f>ROUND((Earthlike!G$86-Earthlike!G$87)*COS(RADIANS(B104))+Earthlike!G$87,2)</f>
        <v>17</v>
      </c>
      <c r="D104" s="3">
        <v>0</v>
      </c>
      <c r="E104" s="3">
        <f>ROUND((Earthlike!G$87-Earthlike!G$86)*SIN(RADIANS(B104))*PI()/180,4)</f>
        <v>0</v>
      </c>
    </row>
    <row r="105" spans="1:5" x14ac:dyDescent="0.25">
      <c r="A105" s="3" t="s">
        <v>78</v>
      </c>
      <c r="B105" s="3">
        <v>38</v>
      </c>
      <c r="C105" s="3">
        <f>ROUND((Earthlike!G$86-Earthlike!G$87)*COS(RADIANS(B105))+Earthlike!G$87,2)</f>
        <v>14.46</v>
      </c>
      <c r="D105" s="3">
        <f>ROUND((Earthlike!G$87-Earthlike!G$86)*SIN(RADIANS(B105))*PI()/180,4)</f>
        <v>-0.12889999999999999</v>
      </c>
      <c r="E105" s="3">
        <f>ROUND((Earthlike!G$87-Earthlike!G$86)*SIN(RADIANS(B105))*PI()/180,4)</f>
        <v>-0.12889999999999999</v>
      </c>
    </row>
    <row r="106" spans="1:5" x14ac:dyDescent="0.25">
      <c r="A106" s="3" t="s">
        <v>78</v>
      </c>
      <c r="B106" s="3">
        <v>90</v>
      </c>
      <c r="C106" s="3">
        <f>ROUND((Earthlike!G$86-Earthlike!G$87)*COS(RADIANS(B106))+Earthlike!G$87,2)</f>
        <v>5</v>
      </c>
      <c r="D106" s="3">
        <f>ROUND((Earthlike!G$87-Earthlike!G$86)*SIN(RADIANS(B106))*PI()/180,4)</f>
        <v>-0.2094</v>
      </c>
      <c r="E106" s="3">
        <v>0</v>
      </c>
    </row>
    <row r="107" spans="1:5" x14ac:dyDescent="0.25">
      <c r="A107" s="10" t="s">
        <v>67</v>
      </c>
      <c r="B107" s="3"/>
      <c r="C107" s="3"/>
      <c r="D107" s="3"/>
      <c r="E107" s="3"/>
    </row>
    <row r="108" spans="1:5" x14ac:dyDescent="0.25">
      <c r="A108" s="10" t="s">
        <v>82</v>
      </c>
      <c r="B108" s="3"/>
      <c r="C108" s="3"/>
      <c r="D108" s="3"/>
      <c r="E108" s="3"/>
    </row>
    <row r="109" spans="1:5" x14ac:dyDescent="0.25">
      <c r="A109" s="10" t="s">
        <v>66</v>
      </c>
      <c r="B109" s="3"/>
      <c r="C109" s="3"/>
      <c r="D109" s="3"/>
      <c r="E109" s="3"/>
    </row>
    <row r="110" spans="1:5" x14ac:dyDescent="0.25">
      <c r="A110" s="3" t="s">
        <v>78</v>
      </c>
      <c r="B110" s="3">
        <v>0</v>
      </c>
      <c r="C110" s="3">
        <f>IF(Earthlike!G$19="Planet",ROUND(-Earthlike!G$89*Earthlike!G$91*SIN(RADIANS(B110-36+Earthlike!G28)),2),ROUND(-Earthlike!G$89*Earthlike!G$91*SIN(RADIANS(B110-36+Earthlike!G$33)),2))</f>
        <v>0</v>
      </c>
      <c r="D110" s="3">
        <v>0</v>
      </c>
      <c r="E110" s="3">
        <f>IF(Earthlike!G$19="Planet",IF(Earthlike!G$27&gt;0,D115,0),IF(Earthlike!G$32&gt;0,D115,0))</f>
        <v>0</v>
      </c>
    </row>
    <row r="111" spans="1:5" x14ac:dyDescent="0.25">
      <c r="A111" s="3" t="str">
        <f t="shared" ref="A111:A115" si="12">IF(B111="","Unused","key =")</f>
        <v>Unused</v>
      </c>
      <c r="B111" s="3" t="str">
        <f>IF(Earthlike!G19="Planet",IF(Earthlike!G$27&gt;0,MIN(IF(36-Earthlike!G$28&lt;0,36-Earthlike!G$28+360,36-Earthlike!G$28),IF(126-Earthlike!G$28&lt;0,126-Earthlike!G$28+360,126-Earthlike!G$28),IF(216-Earthlike!G$28&lt;0,216-Earthlike!G$28+360,216-Earthlike!G$28),IF(306-Earthlike!G$28&lt;0,306-Earthlike!G$28+360,306-Earthlike!G$28)),""),IF(Earthlike!G$32&gt;0,MIN(IF(36-Earthlike!G$33&lt;0,36-Earthlike!G$33+360,36-Earthlike!G$33),IF(126-Earthlike!G$33&lt;0,126-Earthlike!G$33+360,126-Earthlike!G$33),IF(216-Earthlike!G$33&lt;0,216-Earthlike!G$33+360,216-Earthlike!G$33),IF(306-Earthlike!G$33&lt;0,306-Earthlike!G$33+360,306-Earthlike!G$33)),""))</f>
        <v/>
      </c>
      <c r="C111" s="3" t="str">
        <f>IF(Earthlike!G$19="Planet",IF(Earthlike!G$27&gt;0,ROUND(-Earthlike!G$89*Earthlike!G$91*SIN(RADIANS(B111-36+Earthlike!G$28)),2),""),IF(Earthlike!G$32&gt;0,ROUND(-Earthlike!G$89*Earthlike!G$91*SIN(RADIANS(B111-36+Earthlike!G$33)),2),""))</f>
        <v/>
      </c>
      <c r="D111" s="3" t="str">
        <f>IF(Earthlike!G$19="Planet",IF(Earthlike!G$27&gt;0,ROUND(Earthlike!G$89*Earthlike!G$91*SIN(RADIANS(270))*COS(RADIANS(B111-36+Earthlike!G$28))*PI()/180,4),""),IF(Earthlike!G$32&gt;0,ROUND(Earthlike!G$89*Earthlike!G$91*SIN(RADIANS(270))*COS(RADIANS(B111-36+Earthlike!G$33))*PI()/180,4),""))</f>
        <v/>
      </c>
      <c r="E111" s="3" t="str">
        <f>IF(Earthlike!G$19="Planet",IF(Earthlike!G$27&gt;0,D111,""),IF(Earthlike!G$32&gt;0,D111,""))</f>
        <v/>
      </c>
    </row>
    <row r="112" spans="1:5" x14ac:dyDescent="0.25">
      <c r="A112" s="3" t="str">
        <f t="shared" si="12"/>
        <v>Unused</v>
      </c>
      <c r="B112" s="3" t="str">
        <f>IF(Earthlike!G$19="Planet",IF(Earthlike!G$27&gt;0,B111+90,""),IF(Earthlike!G$32&gt;0,B111+90,""))</f>
        <v/>
      </c>
      <c r="C112" s="3" t="str">
        <f>IF(Earthlike!G$19="Planet",IF(Earthlike!G$27&gt;0,ROUND(-Earthlike!G$89*Earthlike!G$91*SIN(RADIANS(B112-36+Earthlike!G$28)),2),""),IF(Earthlike!G$32&gt;0,ROUND(-Earthlike!G$89*Earthlike!G$91*SIN(RADIANS(B112-36+Earthlike!G$33)),2),""))</f>
        <v/>
      </c>
      <c r="D112" s="3" t="str">
        <f>IF(Earthlike!G$19="Planet",IF(Earthlike!G$27&gt;0,ROUND(Earthlike!G$89*Earthlike!G$91*SIN(RADIANS(270))*COS(RADIANS(B112-36+Earthlike!G$28))*PI()/180,4),""),IF(Earthlike!G$32&gt;0,ROUND(Earthlike!G$89*Earthlike!G$91*SIN(RADIANS(270))*COS(RADIANS(B112-36+Earthlike!G$33))*PI()/180,4),""))</f>
        <v/>
      </c>
      <c r="E112" s="3" t="str">
        <f>IF(Earthlike!G$19="Planet",IF(Earthlike!G$27&gt;0,D112,""),IF(Earthlike!G$32&gt;0,D112,""))</f>
        <v/>
      </c>
    </row>
    <row r="113" spans="1:5" x14ac:dyDescent="0.25">
      <c r="A113" s="3" t="str">
        <f t="shared" si="12"/>
        <v>Unused</v>
      </c>
      <c r="B113" s="3" t="str">
        <f>IF(Earthlike!G$19="Planet",IF(Earthlike!G$27&gt;0,B112+90,""),IF(Earthlike!G$32&gt;0,B112+90,""))</f>
        <v/>
      </c>
      <c r="C113" s="3" t="str">
        <f>IF(Earthlike!G$19="Planet",IF(Earthlike!G$27&gt;0,ROUND(-Earthlike!G$89*Earthlike!G$91*SIN(RADIANS(B113-36+Earthlike!G$28)),2),""),IF(Earthlike!G$32&gt;0,ROUND(-Earthlike!G$89*Earthlike!G$91*SIN(RADIANS(B113-36+Earthlike!G$33)),2),""))</f>
        <v/>
      </c>
      <c r="D113" s="3" t="str">
        <f>IF(Earthlike!G$19="Planet",IF(Earthlike!G$27&gt;0,ROUND(Earthlike!G$89*Earthlike!G$91*SIN(RADIANS(270))*COS(RADIANS(B113-36+Earthlike!G$28))*PI()/180,4),""),IF(Earthlike!G$32&gt;0,ROUND(Earthlike!G$89*Earthlike!G$91*SIN(RADIANS(270))*COS(RADIANS(B113-36+Earthlike!G$33))*PI()/180,4),""))</f>
        <v/>
      </c>
      <c r="E113" s="3" t="str">
        <f>IF(Earthlike!G$19="Planet",IF(Earthlike!G$27&gt;0,D113,""),IF(Earthlike!G$32&gt;0,D113,""))</f>
        <v/>
      </c>
    </row>
    <row r="114" spans="1:5" x14ac:dyDescent="0.25">
      <c r="A114" s="3" t="str">
        <f t="shared" si="12"/>
        <v>Unused</v>
      </c>
      <c r="B114" s="3" t="str">
        <f>IF(Earthlike!G$19="Planet",IF(Earthlike!G$27&gt;0,B113+90,""),IF(Earthlike!G$32&gt;0,B113+90,""))</f>
        <v/>
      </c>
      <c r="C114" s="3" t="str">
        <f>IF(Earthlike!G$19="Planet",IF(Earthlike!G$27&gt;0,ROUND(-Earthlike!G$89*Earthlike!G$91*SIN(RADIANS(B114-36+Earthlike!G$28)),2),""),IF(Earthlike!G$32&gt;0,ROUND(-Earthlike!G$89*Earthlike!G$91*SIN(RADIANS(B114-36+Earthlike!G$33)),2),""))</f>
        <v/>
      </c>
      <c r="D114" s="3" t="str">
        <f>IF(Earthlike!G$19="Planet",IF(Earthlike!G$27&gt;0,ROUND(Earthlike!G$89*Earthlike!G$91*SIN(RADIANS(270))*COS(RADIANS(B114-36+Earthlike!G$28))*PI()/180,4),""),IF(Earthlike!G$32&gt;0,ROUND(Earthlike!G$89*Earthlike!G$91*SIN(RADIANS(270))*COS(RADIANS(B114-36+Earthlike!G$33))*PI()/180,4),""))</f>
        <v/>
      </c>
      <c r="E114" s="3" t="str">
        <f>IF(Earthlike!G$19="Planet",IF(Earthlike!G$27&gt;0,D114,""),IF(Earthlike!G$32&gt;0,D114,""))</f>
        <v/>
      </c>
    </row>
    <row r="115" spans="1:5" x14ac:dyDescent="0.25">
      <c r="A115" s="3" t="str">
        <f t="shared" si="12"/>
        <v>Unused</v>
      </c>
      <c r="B115" s="3" t="str">
        <f>IF(Earthlike!G$19="Planet",IF(Earthlike!G$27&gt;0,360,""),IF(Earthlike!G$32&gt;0,360,""))</f>
        <v/>
      </c>
      <c r="C115" s="3" t="str">
        <f>IF(Earthlike!G$19="Planet",IF(Earthlike!G$27&gt;0,ROUND(-Earthlike!G$89*Earthlike!G$91*SIN(RADIANS(B115-36+Earthlike!G$28)),2),""),IF(Earthlike!G$32&gt;0,ROUND(-Earthlike!G$89*Earthlike!G$91*SIN(RADIANS(B115-36+Earthlike!G$33)),2),""))</f>
        <v/>
      </c>
      <c r="D115" s="3" t="str">
        <f>IF(Earthlike!G$19="Planet",IF(Earthlike!G$27&gt;0,ROUND(Earthlike!G$89*Earthlike!G$91*SIN(RADIANS(270))*COS(RADIANS(B115-36+Earthlike!G$28))*PI()/180,4),""),IF(Earthlike!G$32&gt;0,ROUND(Earthlike!G$89*Earthlike!G$91*SIN(RADIANS(270))*COS(RADIANS(B115-36+Earthlike!G$33))*PI()/180,4),""))</f>
        <v/>
      </c>
      <c r="E115" s="3" t="str">
        <f>IF(Earthlike!G$19="Planet",IF(Earthlike!G$27&gt;0,0,""),IF(Earthlike!G$32&gt;0,0,""))</f>
        <v/>
      </c>
    </row>
    <row r="116" spans="1:5" x14ac:dyDescent="0.25">
      <c r="A116" s="10" t="s">
        <v>67</v>
      </c>
      <c r="B116" s="3"/>
      <c r="C116" s="3"/>
      <c r="D116" s="3"/>
      <c r="E116" s="3"/>
    </row>
    <row r="117" spans="1:5" x14ac:dyDescent="0.25">
      <c r="A117" s="10" t="s">
        <v>83</v>
      </c>
      <c r="B117" s="3"/>
      <c r="C117" s="3"/>
      <c r="D117" s="3"/>
      <c r="E117" s="3"/>
    </row>
    <row r="118" spans="1:5" x14ac:dyDescent="0.25">
      <c r="A118" s="10" t="s">
        <v>66</v>
      </c>
      <c r="B118" s="3"/>
      <c r="C118" s="3"/>
      <c r="D118" s="3"/>
      <c r="E118" s="3"/>
    </row>
    <row r="119" spans="1:5" x14ac:dyDescent="0.25">
      <c r="A119" s="3" t="s">
        <v>78</v>
      </c>
      <c r="B119" s="3">
        <v>0</v>
      </c>
      <c r="C119" s="3">
        <v>0</v>
      </c>
      <c r="D119" s="3">
        <v>0</v>
      </c>
      <c r="E119" s="3">
        <v>0</v>
      </c>
    </row>
    <row r="120" spans="1:5" x14ac:dyDescent="0.25">
      <c r="A120" s="3" t="str">
        <f t="shared" ref="A120:A121" si="13">IF(B120="","Unused","key =")</f>
        <v>Unused</v>
      </c>
      <c r="B120" s="3" t="str">
        <f>IF(Earthlike!G$19="Planet",IF(Earthlike!G$27&gt;0,38,""),IF(Earthlike!G$32&gt;0,38,""))</f>
        <v/>
      </c>
      <c r="C120" s="3" t="str">
        <f>IF(Earthlike!G$19="Planet",IF(Earthlike!G$27&gt;0,0.5,""),IF(Earthlike!G$32&gt;0,0.5,""))</f>
        <v/>
      </c>
      <c r="D120" s="3" t="str">
        <f>IF(Earthlike!G$19="Planet",IF(Earthlike!G$27&gt;0,0.02,""),IF(Earthlike!G$32&gt;0,0.02,""))</f>
        <v/>
      </c>
      <c r="E120" s="3" t="str">
        <f>IF(Earthlike!G$19="Planet",IF(Earthlike!G$27&gt;0,0.02,""),IF(Earthlike!G$32&gt;0,0.02,""))</f>
        <v/>
      </c>
    </row>
    <row r="121" spans="1:5" x14ac:dyDescent="0.25">
      <c r="A121" s="3" t="str">
        <f t="shared" si="13"/>
        <v>Unused</v>
      </c>
      <c r="B121" s="3" t="str">
        <f>IF(Earthlike!G$19="Planet",IF(Earthlike!G$27&gt;0,90,""),IF(Earthlike!G$32&gt;0,90,""))</f>
        <v/>
      </c>
      <c r="C121" s="3" t="str">
        <f>IF(Earthlike!G$19="Planet",IF(Earthlike!G$27&gt;0,1,""),IF(Earthlike!G$32&gt;0,1,""))</f>
        <v/>
      </c>
      <c r="D121" s="3" t="str">
        <f>IF(Earthlike!G$19="Planet",IF(Earthlike!G$27&gt;0,0,""),IF(Earthlike!G$32&gt;0,0,""))</f>
        <v/>
      </c>
      <c r="E121" s="3" t="str">
        <f>IF(Earthlike!G$19="Planet",IF(Earthlike!G$27&gt;0,0,""),IF(Earthlike!G$32&gt;0,0,""))</f>
        <v/>
      </c>
    </row>
    <row r="122" spans="1:5" x14ac:dyDescent="0.25">
      <c r="A122" s="10" t="s">
        <v>67</v>
      </c>
      <c r="B122" s="3"/>
      <c r="C122" s="3"/>
      <c r="D122" s="3"/>
      <c r="E122" s="3"/>
    </row>
    <row r="123" spans="1:5" x14ac:dyDescent="0.25">
      <c r="A123" s="10" t="s">
        <v>84</v>
      </c>
      <c r="B123" s="3"/>
      <c r="C123" s="3"/>
      <c r="D123" s="3"/>
      <c r="E123" s="3"/>
    </row>
    <row r="124" spans="1:5" x14ac:dyDescent="0.25">
      <c r="A124" s="10" t="s">
        <v>66</v>
      </c>
      <c r="B124" s="3"/>
      <c r="C124" s="3"/>
      <c r="D124" s="3"/>
      <c r="E124" s="3"/>
    </row>
    <row r="125" spans="1:5" x14ac:dyDescent="0.25">
      <c r="A125" s="3" t="s">
        <v>78</v>
      </c>
      <c r="B125" s="3">
        <v>0</v>
      </c>
      <c r="C125" s="3">
        <f>ROUND(Earthlike!G$90*Earthlike!G$91,1)/2</f>
        <v>0</v>
      </c>
      <c r="D125" s="3">
        <v>0</v>
      </c>
      <c r="E125" s="3">
        <f>-2*C125</f>
        <v>0</v>
      </c>
    </row>
    <row r="126" spans="1:5" x14ac:dyDescent="0.25">
      <c r="A126" s="3" t="str">
        <f t="shared" ref="A126" si="14">IF(B126="","Unused","key =")</f>
        <v>Unused</v>
      </c>
      <c r="B126" s="3" t="str">
        <f>IF(Earthlike!G$19="Planet",IF(Earthlike!G$26&gt;0,1,""),IF(Earthlike!G$31&gt;0,1,""))</f>
        <v/>
      </c>
      <c r="C126" s="3" t="str">
        <f>IF(Earthlike!G$19="Planet",IF(Earthlike!G$26&gt;0,-C125,""),IF(Earthlike!G$31&gt;0,-C125,""))</f>
        <v/>
      </c>
      <c r="D126" s="3" t="str">
        <f>IF(Earthlike!G$19="Planet",IF(Earthlike!G$26&gt;0,E125,""),IF(Earthlike!G$31&gt;0,E125,""))</f>
        <v/>
      </c>
      <c r="E126" s="3" t="str">
        <f>IF(Earthlike!G$19="Planet",IF(Earthlike!G$26&gt;0,0,""),IF(Earthlike!G$31&gt;0,0,""))</f>
        <v/>
      </c>
    </row>
    <row r="127" spans="1:5" x14ac:dyDescent="0.25">
      <c r="A127" s="10" t="s">
        <v>67</v>
      </c>
      <c r="B127" s="3"/>
      <c r="C127" s="3"/>
      <c r="D127" s="3"/>
      <c r="E127" s="3"/>
    </row>
    <row r="128" spans="1:5" x14ac:dyDescent="0.25">
      <c r="A128" s="10" t="s">
        <v>85</v>
      </c>
      <c r="B128" s="3"/>
      <c r="C128" s="3"/>
      <c r="D128" s="3"/>
      <c r="E128" s="3"/>
    </row>
    <row r="129" spans="1:5" x14ac:dyDescent="0.25">
      <c r="A129" s="10" t="s">
        <v>66</v>
      </c>
      <c r="B129" s="3"/>
      <c r="C129" s="3"/>
      <c r="D129" s="3"/>
      <c r="E129" s="3"/>
    </row>
    <row r="130" spans="1:5" x14ac:dyDescent="0.25">
      <c r="A130" s="3" t="str">
        <f t="shared" ref="A130:A141" ca="1" si="15">IF(B130="","Unused","key =")</f>
        <v>key =</v>
      </c>
      <c r="B130" s="3">
        <f ca="1">IF(Earthlike!Q122="|",ROUND(Earthlike!N122,0),IF(Earthlike!Q122="V",ROUND(Earthlike!N122,-3),""))</f>
        <v>0</v>
      </c>
      <c r="C130" s="6">
        <f ca="1">IF(B130="","",IF(B131="",0,Earthlike!H122/1000))</f>
        <v>101.325</v>
      </c>
      <c r="D130" s="6">
        <v>0</v>
      </c>
      <c r="E130" s="6">
        <f ca="1">IF(C130="","",IF(C130=0,0,-(C130*1.001-C130*0.999)/(Earthlike!G122*LN((C130*1.001)/(C130*0.999)))/IF(Earthlike!G$100&gt;0,Earthlike!G$100,0.8)))</f>
        <v>-1.5045061979112113E-2</v>
      </c>
    </row>
    <row r="131" spans="1:5" x14ac:dyDescent="0.25">
      <c r="A131" s="3" t="str">
        <f t="shared" ca="1" si="15"/>
        <v>key =</v>
      </c>
      <c r="B131" s="3">
        <f ca="1">IF(Earthlike!Q123="|",ROUND(Earthlike!N123,0),IF(Earthlike!Q123="V",ROUND(Earthlike!N123,-3),""))</f>
        <v>3721</v>
      </c>
      <c r="C131" s="6">
        <f ca="1">IF(B131="","",IF(B132="",0,Earthlike!H123/1000))</f>
        <v>56.979234774912115</v>
      </c>
      <c r="D131" s="6">
        <f ca="1">IF(C131="","",IF(C131=0,0,-(C131*1.001-C131*0.999)/(Earthlike!G123*LN((C131*1.001)/(C131*0.999)))/IF(Earthlike!G$100&gt;0,Earthlike!G$100,0.8)))</f>
        <v>-9.2051953335214078E-3</v>
      </c>
      <c r="E131" s="6">
        <f ca="1">D131</f>
        <v>-9.2051953335214078E-3</v>
      </c>
    </row>
    <row r="132" spans="1:5" x14ac:dyDescent="0.25">
      <c r="A132" s="3" t="str">
        <f t="shared" ca="1" si="15"/>
        <v>key =</v>
      </c>
      <c r="B132" s="3">
        <f ca="1">IF(Earthlike!Q124="|",ROUND(Earthlike!N124,0),IF(Earthlike!Q124="V",ROUND(Earthlike!N124,-3),""))</f>
        <v>7099</v>
      </c>
      <c r="C132" s="6">
        <f ca="1">IF(B132="","",IF(B133="",0,Earthlike!H124/1000))</f>
        <v>32.041778391656109</v>
      </c>
      <c r="D132" s="6">
        <f ca="1">IF(C132="","",IF(C132=0,0,-(C132*1.001-C132*0.999)/(Earthlike!G124*LN((C132*1.001)/(C132*0.999)))/IF(Earthlike!G$100&gt;0,Earthlike!G$100,0.8)))</f>
        <v>-5.7868094573778816E-3</v>
      </c>
      <c r="E132" s="6">
        <f t="shared" ref="E132:E141" ca="1" si="16">D132</f>
        <v>-5.7868094573778816E-3</v>
      </c>
    </row>
    <row r="133" spans="1:5" x14ac:dyDescent="0.25">
      <c r="A133" s="3" t="str">
        <f t="shared" ca="1" si="15"/>
        <v>key =</v>
      </c>
      <c r="B133" s="3">
        <f ca="1">IF(Earthlike!Q125="|",ROUND(Earthlike!N125,0),IF(Earthlike!Q125="V",ROUND(Earthlike!N125,-3),""))</f>
        <v>10166</v>
      </c>
      <c r="C133" s="6">
        <f ca="1">IF(B133="","",IF(B134="",0,Earthlike!H125/1000))</f>
        <v>18.018416122219381</v>
      </c>
      <c r="D133" s="6">
        <f ca="1">IF(C133="","",IF(C133=0,0,-(C133*1.001-C133*0.999)/(Earthlike!G125*LN((C133*1.001)/(C133*0.999)))/IF(Earthlike!G$100&gt;0,Earthlike!G$100,0.8)))</f>
        <v>-3.541961548569424E-3</v>
      </c>
      <c r="E133" s="6">
        <f t="shared" ca="1" si="16"/>
        <v>-3.541961548569424E-3</v>
      </c>
    </row>
    <row r="134" spans="1:5" x14ac:dyDescent="0.25">
      <c r="A134" s="3" t="str">
        <f t="shared" ca="1" si="15"/>
        <v>key =</v>
      </c>
      <c r="B134" s="3">
        <f ca="1">IF(Earthlike!Q126="|",ROUND(Earthlike!N126,0),IF(Earthlike!Q126="V",ROUND(Earthlike!N126,-3),""))</f>
        <v>13063</v>
      </c>
      <c r="C134" s="6">
        <f ca="1">IF(B134="","",IF(B135="",0,Earthlike!H126/1000))</f>
        <v>10.1325</v>
      </c>
      <c r="D134" s="6">
        <f ca="1">IF(C134="","",IF(C134=0,0,-(C134*1.001-C134*0.999)/(Earthlike!G126*LN((C134*1.001)/(C134*0.999)))/IF(Earthlike!G$100&gt;0,Earthlike!G$100,0.8)))</f>
        <v>-2.0531346721952299E-3</v>
      </c>
      <c r="E134" s="6">
        <f t="shared" ca="1" si="16"/>
        <v>-2.0531346721952299E-3</v>
      </c>
    </row>
    <row r="135" spans="1:5" x14ac:dyDescent="0.25">
      <c r="A135" s="3" t="str">
        <f t="shared" ca="1" si="15"/>
        <v>key =</v>
      </c>
      <c r="B135" s="3">
        <f ca="1">IF(Earthlike!Q127="|",ROUND(Earthlike!N127,0),IF(Earthlike!Q127="V",ROUND(Earthlike!N127,-3),""))</f>
        <v>15931</v>
      </c>
      <c r="C135" s="6">
        <f ca="1">IF(B135="","",IF(B136="",0,Earthlike!H127/1000))</f>
        <v>5.6979234774912095</v>
      </c>
      <c r="D135" s="6">
        <f ca="1">IF(C135="","",IF(C135=0,0,-(C135*1.001-C135*0.999)/(Earthlike!G127*LN((C135*1.001)/(C135*0.999)))/IF(Earthlike!G$100&gt;0,Earthlike!G$100,0.8)))</f>
        <v>-1.1461860729376073E-3</v>
      </c>
      <c r="E135" s="6">
        <f t="shared" ca="1" si="16"/>
        <v>-1.1461860729376073E-3</v>
      </c>
    </row>
    <row r="136" spans="1:5" x14ac:dyDescent="0.25">
      <c r="A136" s="3" t="str">
        <f t="shared" ca="1" si="15"/>
        <v>key =</v>
      </c>
      <c r="B136" s="3">
        <f ca="1">IF(Earthlike!Q128="|",ROUND(Earthlike!N128,0),IF(Earthlike!Q128="V",ROUND(Earthlike!N128,-3),""))</f>
        <v>18852</v>
      </c>
      <c r="C136" s="6">
        <f ca="1">IF(B136="","",IF(B137="",0,Earthlike!H128/1000))</f>
        <v>3.2041778391656095</v>
      </c>
      <c r="D136" s="6">
        <f ca="1">IF(C136="","",IF(C136=0,0,-(C136*1.001-C136*0.999)/(Earthlike!G128*LN((C136*1.001)/(C136*0.999)))/IF(Earthlike!G$100&gt;0,Earthlike!G$100,0.8)))</f>
        <v>-6.2730884342782284E-4</v>
      </c>
      <c r="E136" s="6">
        <f t="shared" ca="1" si="16"/>
        <v>-6.2730884342782284E-4</v>
      </c>
    </row>
    <row r="137" spans="1:5" x14ac:dyDescent="0.25">
      <c r="A137" s="3" t="str">
        <f t="shared" ca="1" si="15"/>
        <v>key =</v>
      </c>
      <c r="B137" s="3">
        <f ca="1">IF(Earthlike!Q129="|",ROUND(Earthlike!N129,0),IF(Earthlike!Q129="V",ROUND(Earthlike!N129,-3),""))</f>
        <v>21859</v>
      </c>
      <c r="C137" s="6">
        <f ca="1">IF(B137="","",IF(B138="",0,Earthlike!H129/1000))</f>
        <v>1.8018416122219383</v>
      </c>
      <c r="D137" s="6">
        <f ca="1">IF(C137="","",IF(C137=0,0,-(C137*1.001-C137*0.999)/(Earthlike!G129*LN((C137*1.001)/(C137*0.999)))/IF(Earthlike!G$100&gt;0,Earthlike!G$100,0.8)))</f>
        <v>-3.4269046720557196E-4</v>
      </c>
      <c r="E137" s="6">
        <f t="shared" ca="1" si="16"/>
        <v>-3.4269046720557196E-4</v>
      </c>
    </row>
    <row r="138" spans="1:5" x14ac:dyDescent="0.25">
      <c r="A138" s="3" t="str">
        <f t="shared" ca="1" si="15"/>
        <v>key =</v>
      </c>
      <c r="B138" s="3">
        <f ca="1">IF(Earthlike!Q130="|",ROUND(Earthlike!N130,0),IF(Earthlike!Q130="V",ROUND(Earthlike!N130,-3),""))</f>
        <v>24964</v>
      </c>
      <c r="C138" s="6">
        <f ca="1">IF(B138="","",IF(B139="",0,Earthlike!H130/1000))</f>
        <v>1.01325</v>
      </c>
      <c r="D138" s="6">
        <f ca="1">IF(C138="","",IF(C138=0,0,-(C138*1.001-C138*0.999)/(Earthlike!G130*LN((C138*1.001)/(C138*0.999)))/IF(Earthlike!G$100&gt;0,Earthlike!G$100,0.8)))</f>
        <v>-1.8649313135621435E-4</v>
      </c>
      <c r="E138" s="6">
        <f t="shared" ca="1" si="16"/>
        <v>-1.8649313135621435E-4</v>
      </c>
    </row>
    <row r="139" spans="1:5" x14ac:dyDescent="0.25">
      <c r="A139" s="3" t="str">
        <f t="shared" ca="1" si="15"/>
        <v>key =</v>
      </c>
      <c r="B139" s="3">
        <f ca="1">IF(Earthlike!Q131="|",ROUND(Earthlike!N131,0),IF(Earthlike!Q131="V",ROUND(Earthlike!N131,-3),""))</f>
        <v>28183</v>
      </c>
      <c r="C139" s="6">
        <f ca="1">IF(B139="","",IF(B140="",0,Earthlike!H131/1000))</f>
        <v>0.5697923477491208</v>
      </c>
      <c r="D139" s="6">
        <f ca="1">IF(C139="","",IF(C139=0,0,-(C139*1.001-C139*0.999)/(Earthlike!G131*LN((C139*1.001)/(C139*0.999)))/IF(Earthlike!G$100&gt;0,Earthlike!G$100,0.8)))</f>
        <v>-1.0109236276734926E-4</v>
      </c>
      <c r="E139" s="6">
        <f t="shared" ca="1" si="16"/>
        <v>-1.0109236276734926E-4</v>
      </c>
    </row>
    <row r="140" spans="1:5" x14ac:dyDescent="0.25">
      <c r="A140" s="3" t="str">
        <f t="shared" ca="1" si="15"/>
        <v>key =</v>
      </c>
      <c r="B140" s="3">
        <f ca="1">IF(Earthlike!Q132="|",ROUND(Earthlike!N132,0),IF(Earthlike!Q132="V",ROUND(Earthlike!N132,-3),""))</f>
        <v>31533</v>
      </c>
      <c r="C140" s="6">
        <f ca="1">IF(B140="","",IF(B141="",0,Earthlike!H132/1000))</f>
        <v>0.32041778391656073</v>
      </c>
      <c r="D140" s="6">
        <f ca="1">IF(C140="","",IF(C140=0,0,-(C140*1.001-C140*0.999)/(Earthlike!G132*LN((C140*1.001)/(C140*0.999)))/IF(Earthlike!G$100&gt;0,Earthlike!G$100,0.8)))</f>
        <v>-5.458328551098103E-5</v>
      </c>
      <c r="E140" s="6">
        <f t="shared" ca="1" si="16"/>
        <v>-5.458328551098103E-5</v>
      </c>
    </row>
    <row r="141" spans="1:5" x14ac:dyDescent="0.25">
      <c r="A141" s="3" t="str">
        <f t="shared" ca="1" si="15"/>
        <v>key =</v>
      </c>
      <c r="B141" s="3">
        <f ca="1">IF(Earthlike!Q133="|",ROUND(Earthlike!N133,0),IF(Earthlike!Q133="V",ROUND(Earthlike!N133,-3),""))</f>
        <v>35034</v>
      </c>
      <c r="C141" s="6">
        <f ca="1">IF(B141="","",IF(B142="",0,Earthlike!H133/1000))</f>
        <v>0.1801841612221938</v>
      </c>
      <c r="D141" s="6">
        <f ca="1">IF(C141="","",IF(C141=0,0,-(C141*1.001-C141*0.999)/(Earthlike!G133*LN((C141*1.001)/(C141*0.999)))/IF(Earthlike!G$100&gt;0,Earthlike!G$100,0.8)))</f>
        <v>-2.935453571801703E-5</v>
      </c>
      <c r="E141" s="6">
        <f t="shared" ca="1" si="16"/>
        <v>-2.935453571801703E-5</v>
      </c>
    </row>
    <row r="142" spans="1:5" x14ac:dyDescent="0.25">
      <c r="A142" s="3" t="str">
        <f t="shared" ref="A142:A166" ca="1" si="17">IF(B142="","Unused","key =")</f>
        <v>key =</v>
      </c>
      <c r="B142" s="3">
        <f ca="1">IF(Earthlike!Q134="|",ROUND(Earthlike!N134,0),IF(Earthlike!Q134="V",ROUND(Earthlike!N134,-3),""))</f>
        <v>38670</v>
      </c>
      <c r="C142" s="6">
        <f ca="1">IF(B142="","",IF(B143="",0,Earthlike!H134/1000))</f>
        <v>0.101325</v>
      </c>
      <c r="D142" s="6">
        <f ca="1">IF(C142="","",IF(C142=0,0,-(C142*1.001-C142*0.999)/(Earthlike!G134*LN((C142*1.001)/(C142*0.999)))/IF(Earthlike!G$100&gt;0,Earthlike!G$100,0.8)))</f>
        <v>-1.6047439190598085E-5</v>
      </c>
      <c r="E142" s="6">
        <f t="shared" ref="E142:E166" ca="1" si="18">D142</f>
        <v>-1.6047439190598085E-5</v>
      </c>
    </row>
    <row r="143" spans="1:5" x14ac:dyDescent="0.25">
      <c r="A143" s="3" t="str">
        <f t="shared" ca="1" si="17"/>
        <v>key =</v>
      </c>
      <c r="B143" s="3">
        <f ca="1">IF(Earthlike!Q135="|",ROUND(Earthlike!N135,0),IF(Earthlike!Q135="V",ROUND(Earthlike!N135,-3),""))</f>
        <v>42339</v>
      </c>
      <c r="C143" s="6">
        <f ca="1">IF(B143="","",IF(B144="",0,Earthlike!H135/1000))</f>
        <v>5.6979234774912062E-2</v>
      </c>
      <c r="D143" s="6">
        <f ca="1">IF(C143="","",IF(C143=0,0,-(C143*1.001-C143*0.999)/(Earthlike!G135*LN((C143*1.001)/(C143*0.999)))/IF(Earthlike!G$100&gt;0,Earthlike!G$100,0.8)))</f>
        <v>-9.1414542727897979E-6</v>
      </c>
      <c r="E143" s="6">
        <f t="shared" ca="1" si="18"/>
        <v>-9.1414542727897979E-6</v>
      </c>
    </row>
    <row r="144" spans="1:5" x14ac:dyDescent="0.25">
      <c r="A144" s="3" t="str">
        <f t="shared" ca="1" si="17"/>
        <v>key =</v>
      </c>
      <c r="B144" s="3">
        <f ca="1">IF(Earthlike!Q136="|",ROUND(Earthlike!N136,0),IF(Earthlike!Q136="V",ROUND(Earthlike!N136,-3),""))</f>
        <v>45900</v>
      </c>
      <c r="C144" s="6">
        <f ca="1">IF(B144="","",IF(B145="",0,Earthlike!H136/1000))</f>
        <v>3.2041778391656096E-2</v>
      </c>
      <c r="D144" s="6">
        <f ca="1">IF(C144="","",IF(C144=0,0,-(C144*1.001-C144*0.999)/(Earthlike!G136*LN((C144*1.001)/(C144*0.999)))/IF(Earthlike!G$100&gt;0,Earthlike!G$100,0.8)))</f>
        <v>-5.4046917095094001E-6</v>
      </c>
      <c r="E144" s="6">
        <f t="shared" ca="1" si="18"/>
        <v>-5.4046917095094001E-6</v>
      </c>
    </row>
    <row r="145" spans="1:5" x14ac:dyDescent="0.25">
      <c r="A145" s="3" t="str">
        <f t="shared" ca="1" si="17"/>
        <v>key =</v>
      </c>
      <c r="B145" s="3">
        <f ca="1">IF(Earthlike!Q137="|",ROUND(Earthlike!N137,0),IF(Earthlike!Q137="V",ROUND(Earthlike!N137,-3),""))</f>
        <v>49295</v>
      </c>
      <c r="C145" s="6">
        <f ca="1">IF(B145="","",IF(B146="",0,Earthlike!H137/1000))</f>
        <v>1.8018416122219359E-2</v>
      </c>
      <c r="D145" s="6">
        <f ca="1">IF(C145="","",IF(C145=0,0,-(C145*1.001-C145*0.999)/(Earthlike!G137*LN((C145*1.001)/(C145*0.999)))/IF(Earthlike!G$100&gt;0,Earthlike!G$100,0.8)))</f>
        <v>-3.1871790169370432E-6</v>
      </c>
      <c r="E145" s="6">
        <f t="shared" ca="1" si="18"/>
        <v>-3.1871790169370432E-6</v>
      </c>
    </row>
    <row r="146" spans="1:5" x14ac:dyDescent="0.25">
      <c r="A146" s="3" t="str">
        <f t="shared" ca="1" si="17"/>
        <v>key =</v>
      </c>
      <c r="B146" s="3">
        <f ca="1">IF(Earthlike!Q138="|",ROUND(Earthlike!N138,0),IF(Earthlike!Q138="V",ROUND(Earthlike!N138,-3),""))</f>
        <v>52540</v>
      </c>
      <c r="C146" s="6">
        <f ca="1">IF(B146="","",IF(B147="",0,Earthlike!H138/1000))</f>
        <v>1.0132500000000001E-2</v>
      </c>
      <c r="D146" s="6">
        <f ca="1">IF(C146="","",IF(C146=0,0,-(C146*1.001-C146*0.999)/(Earthlike!G138*LN((C146*1.001)/(C146*0.999)))/IF(Earthlike!G$100&gt;0,Earthlike!G$100,0.8)))</f>
        <v>-1.8764888467654621E-6</v>
      </c>
      <c r="E146" s="6">
        <f t="shared" ca="1" si="18"/>
        <v>-1.8764888467654621E-6</v>
      </c>
    </row>
    <row r="147" spans="1:5" x14ac:dyDescent="0.25">
      <c r="A147" s="3" t="str">
        <f t="shared" ca="1" si="17"/>
        <v>key =</v>
      </c>
      <c r="B147" s="3">
        <f ca="1">IF(Earthlike!Q139="|",ROUND(Earthlike!N139,0),IF(Earthlike!Q139="V",ROUND(Earthlike!N139,-3),""))</f>
        <v>55648</v>
      </c>
      <c r="C147" s="6">
        <f ca="1">IF(B147="","",IF(B148="",0,Earthlike!H139/1000))</f>
        <v>5.6979234774912095E-3</v>
      </c>
      <c r="D147" s="6">
        <f ca="1">IF(C147="","",IF(C147=0,0,-(C147*1.001-C147*0.999)/(Earthlike!G139*LN((C147*1.001)/(C147*0.999)))/IF(Earthlike!G$100&gt;0,Earthlike!G$100,0.8)))</f>
        <v>-1.100875601009288E-6</v>
      </c>
      <c r="E147" s="6">
        <f t="shared" ca="1" si="18"/>
        <v>-1.100875601009288E-6</v>
      </c>
    </row>
    <row r="148" spans="1:5" x14ac:dyDescent="0.25">
      <c r="A148" s="3" t="str">
        <f t="shared" ca="1" si="17"/>
        <v>key =</v>
      </c>
      <c r="B148" s="3">
        <f ca="1">IF(Earthlike!Q140="|",ROUND(Earthlike!N140,0),IF(Earthlike!Q140="V",ROUND(Earthlike!N140,-3),""))</f>
        <v>58640</v>
      </c>
      <c r="C148" s="6">
        <f ca="1">IF(B148="","",IF(B149="",0,Earthlike!H140/1000))</f>
        <v>3.2041778391656058E-3</v>
      </c>
      <c r="D148" s="6">
        <f ca="1">IF(C148="","",IF(C148=0,0,-(C148*1.001-C148*0.999)/(Earthlike!G140*LN((C148*1.001)/(C148*0.999)))/IF(Earthlike!G$100&gt;0,Earthlike!G$100,0.8)))</f>
        <v>-6.4210964190584731E-7</v>
      </c>
      <c r="E148" s="6">
        <f t="shared" ca="1" si="18"/>
        <v>-6.4210964190584731E-7</v>
      </c>
    </row>
    <row r="149" spans="1:5" x14ac:dyDescent="0.25">
      <c r="A149" s="3" t="str">
        <f t="shared" ca="1" si="17"/>
        <v>key =</v>
      </c>
      <c r="B149" s="3">
        <f ca="1">IF(Earthlike!Q141="|",ROUND(Earthlike!N141,0),IF(Earthlike!Q141="V",ROUND(Earthlike!N141,-3),""))</f>
        <v>61534</v>
      </c>
      <c r="C149" s="6">
        <f ca="1">IF(B149="","",IF(B150="",0,Earthlike!H141/1000))</f>
        <v>1.8018416122219372E-3</v>
      </c>
      <c r="D149" s="6">
        <f ca="1">IF(C149="","",IF(C149=0,0,-(C149*1.001-C149*0.999)/(Earthlike!G141*LN((C149*1.001)/(C149*0.999)))/IF(Earthlike!G$100&gt;0,Earthlike!G$100,0.8)))</f>
        <v>-3.7280049023865252E-7</v>
      </c>
      <c r="E149" s="6">
        <f t="shared" ca="1" si="18"/>
        <v>-3.7280049023865252E-7</v>
      </c>
    </row>
    <row r="150" spans="1:5" x14ac:dyDescent="0.25">
      <c r="A150" s="3" t="str">
        <f t="shared" ca="1" si="17"/>
        <v>key =</v>
      </c>
      <c r="B150" s="3">
        <f ca="1">IF(Earthlike!Q142="|",ROUND(Earthlike!N142,0),IF(Earthlike!Q142="V",ROUND(Earthlike!N142,-3),""))</f>
        <v>64344</v>
      </c>
      <c r="C150" s="6">
        <f ca="1">IF(B150="","",IF(B151="",0,Earthlike!H142/1000))</f>
        <v>1.01325E-3</v>
      </c>
      <c r="D150" s="6">
        <f ca="1">IF(C150="","",IF(C150=0,0,-(C150*1.001-C150*0.999)/(Earthlike!G142*LN((C150*1.001)/(C150*0.999)))/IF(Earthlike!G$100&gt;0,Earthlike!G$100,0.8)))</f>
        <v>-2.1586900056377665E-7</v>
      </c>
      <c r="E150" s="6">
        <f t="shared" ca="1" si="18"/>
        <v>-2.1586900056377665E-7</v>
      </c>
    </row>
    <row r="151" spans="1:5" x14ac:dyDescent="0.25">
      <c r="A151" s="3" t="str">
        <f t="shared" ca="1" si="17"/>
        <v>key =</v>
      </c>
      <c r="B151" s="3">
        <f ca="1">IF(Earthlike!Q143="|",ROUND(Earthlike!N143,0),IF(Earthlike!Q143="V",ROUND(Earthlike!N143,-3),""))</f>
        <v>67081</v>
      </c>
      <c r="C151" s="6">
        <f ca="1">IF(B151="","",IF(B152="",0,Earthlike!H143/1000))</f>
        <v>5.6979234774912047E-4</v>
      </c>
      <c r="D151" s="6">
        <f ca="1">IF(C151="","",IF(C151=0,0,-(C151*1.001-C151*0.999)/(Earthlike!G143*LN((C151*1.001)/(C151*0.999)))/IF(Earthlike!G$100&gt;0,Earthlike!G$100,0.8)))</f>
        <v>-1.2449792303423262E-7</v>
      </c>
      <c r="E151" s="6">
        <f t="shared" ca="1" si="18"/>
        <v>-1.2449792303423262E-7</v>
      </c>
    </row>
    <row r="152" spans="1:5" x14ac:dyDescent="0.25">
      <c r="A152" s="3" t="str">
        <f t="shared" ca="1" si="17"/>
        <v>key =</v>
      </c>
      <c r="B152" s="3">
        <f ca="1">IF(Earthlike!Q144="|",ROUND(Earthlike!N144,0),IF(Earthlike!Q144="V",ROUND(Earthlike!N144,-3),""))</f>
        <v>70000</v>
      </c>
      <c r="C152" s="6">
        <f ca="1">IF(B152="","",IF(B153="",0,Earthlike!H144/1000))</f>
        <v>0</v>
      </c>
      <c r="D152" s="6">
        <f ca="1">IF(C152="","",IF(C152=0,0,-(C152*1.001-C152*0.999)/(Earthlike!G144*LN((C152*1.001)/(C152*0.999)))/IF(Earthlike!G$100&gt;0,Earthlike!G$100,0.8)))</f>
        <v>0</v>
      </c>
      <c r="E152" s="6">
        <f t="shared" ca="1" si="18"/>
        <v>0</v>
      </c>
    </row>
    <row r="153" spans="1:5" x14ac:dyDescent="0.25">
      <c r="A153" s="3" t="str">
        <f t="shared" ca="1" si="17"/>
        <v>Unused</v>
      </c>
      <c r="B153" s="3" t="str">
        <f ca="1">IF(Earthlike!Q145="|",ROUND(Earthlike!N145,0),IF(Earthlike!Q145="V",ROUND(Earthlike!N145,-3),""))</f>
        <v/>
      </c>
      <c r="C153" s="6" t="str">
        <f ca="1">IF(B153="","",IF(B154="",0,Earthlike!H145/1000))</f>
        <v/>
      </c>
      <c r="D153" s="6" t="str">
        <f ca="1">IF(C153="","",IF(C153=0,0,-(C153*1.001-C153*0.999)/(Earthlike!G145*LN((C153*1.001)/(C153*0.999)))/IF(Earthlike!G$100&gt;0,Earthlike!G$100,0.8)))</f>
        <v/>
      </c>
      <c r="E153" s="6" t="str">
        <f t="shared" ca="1" si="18"/>
        <v/>
      </c>
    </row>
    <row r="154" spans="1:5" x14ac:dyDescent="0.25">
      <c r="A154" s="3" t="str">
        <f t="shared" ca="1" si="17"/>
        <v>Unused</v>
      </c>
      <c r="B154" s="3" t="str">
        <f ca="1">IF(Earthlike!Q146="|",ROUND(Earthlike!N146,0),IF(Earthlike!Q146="V",ROUND(Earthlike!N146,-3),""))</f>
        <v/>
      </c>
      <c r="C154" s="6" t="str">
        <f ca="1">IF(B154="","",IF(B155="",0,Earthlike!H146/1000))</f>
        <v/>
      </c>
      <c r="D154" s="6" t="str">
        <f ca="1">IF(C154="","",IF(C154=0,0,-(C154*1.001-C154*0.999)/(Earthlike!G146*LN((C154*1.001)/(C154*0.999)))/IF(Earthlike!G$100&gt;0,Earthlike!G$100,0.8)))</f>
        <v/>
      </c>
      <c r="E154" s="6" t="str">
        <f t="shared" ca="1" si="18"/>
        <v/>
      </c>
    </row>
    <row r="155" spans="1:5" x14ac:dyDescent="0.25">
      <c r="A155" s="3" t="str">
        <f t="shared" ca="1" si="17"/>
        <v>Unused</v>
      </c>
      <c r="B155" s="3" t="str">
        <f ca="1">IF(Earthlike!Q147="|",ROUND(Earthlike!N147,0),IF(Earthlike!Q147="V",ROUND(Earthlike!N147,-3),""))</f>
        <v/>
      </c>
      <c r="C155" s="6" t="str">
        <f ca="1">IF(B155="","",IF(B156="",0,Earthlike!H147/1000))</f>
        <v/>
      </c>
      <c r="D155" s="6" t="str">
        <f ca="1">IF(C155="","",IF(C155=0,0,-(C155*1.001-C155*0.999)/(Earthlike!G147*LN((C155*1.001)/(C155*0.999)))/IF(Earthlike!G$100&gt;0,Earthlike!G$100,0.8)))</f>
        <v/>
      </c>
      <c r="E155" s="6" t="str">
        <f t="shared" ca="1" si="18"/>
        <v/>
      </c>
    </row>
    <row r="156" spans="1:5" x14ac:dyDescent="0.25">
      <c r="A156" s="3" t="str">
        <f t="shared" ca="1" si="17"/>
        <v>Unused</v>
      </c>
      <c r="B156" s="3" t="str">
        <f ca="1">IF(Earthlike!Q148="|",ROUND(Earthlike!N148,0),IF(Earthlike!Q148="V",ROUND(Earthlike!N148,-3),""))</f>
        <v/>
      </c>
      <c r="C156" s="6" t="str">
        <f ca="1">IF(B156="","",IF(B157="",0,Earthlike!H148/1000))</f>
        <v/>
      </c>
      <c r="D156" s="6" t="str">
        <f ca="1">IF(C156="","",IF(C156=0,0,-(C156*1.001-C156*0.999)/(Earthlike!G148*LN((C156*1.001)/(C156*0.999)))/IF(Earthlike!G$100&gt;0,Earthlike!G$100,0.8)))</f>
        <v/>
      </c>
      <c r="E156" s="6" t="str">
        <f t="shared" ca="1" si="18"/>
        <v/>
      </c>
    </row>
    <row r="157" spans="1:5" x14ac:dyDescent="0.25">
      <c r="A157" s="3" t="str">
        <f t="shared" ca="1" si="17"/>
        <v>Unused</v>
      </c>
      <c r="B157" s="3" t="str">
        <f ca="1">IF(Earthlike!Q149="|",ROUND(Earthlike!N149,0),IF(Earthlike!Q149="V",ROUND(Earthlike!N149,-3),""))</f>
        <v/>
      </c>
      <c r="C157" s="6" t="str">
        <f ca="1">IF(B157="","",IF(B158="",0,Earthlike!H149/1000))</f>
        <v/>
      </c>
      <c r="D157" s="6" t="str">
        <f ca="1">IF(C157="","",IF(C157=0,0,-(C157*1.001-C157*0.999)/(Earthlike!G149*LN((C157*1.001)/(C157*0.999)))/IF(Earthlike!G$100&gt;0,Earthlike!G$100,0.8)))</f>
        <v/>
      </c>
      <c r="E157" s="6" t="str">
        <f t="shared" ca="1" si="18"/>
        <v/>
      </c>
    </row>
    <row r="158" spans="1:5" x14ac:dyDescent="0.25">
      <c r="A158" s="3" t="str">
        <f t="shared" ca="1" si="17"/>
        <v>Unused</v>
      </c>
      <c r="B158" s="3" t="str">
        <f ca="1">IF(Earthlike!Q150="|",ROUND(Earthlike!N150,0),IF(Earthlike!Q150="V",ROUND(Earthlike!N150,-3),""))</f>
        <v/>
      </c>
      <c r="C158" s="6" t="str">
        <f ca="1">IF(B158="","",IF(B159="",0,Earthlike!H150/1000))</f>
        <v/>
      </c>
      <c r="D158" s="6" t="str">
        <f ca="1">IF(C158="","",IF(C158=0,0,-(C158*1.001-C158*0.999)/(Earthlike!G150*LN((C158*1.001)/(C158*0.999)))/IF(Earthlike!G$100&gt;0,Earthlike!G$100,0.8)))</f>
        <v/>
      </c>
      <c r="E158" s="6" t="str">
        <f t="shared" ca="1" si="18"/>
        <v/>
      </c>
    </row>
    <row r="159" spans="1:5" x14ac:dyDescent="0.25">
      <c r="A159" s="3" t="str">
        <f t="shared" ca="1" si="17"/>
        <v>Unused</v>
      </c>
      <c r="B159" s="3" t="str">
        <f ca="1">IF(Earthlike!Q151="|",ROUND(Earthlike!N151,0),IF(Earthlike!Q151="V",ROUND(Earthlike!N151,-3),""))</f>
        <v/>
      </c>
      <c r="C159" s="6" t="str">
        <f ca="1">IF(B159="","",IF(B160="",0,Earthlike!H151/1000))</f>
        <v/>
      </c>
      <c r="D159" s="6" t="str">
        <f ca="1">IF(C159="","",IF(C159=0,0,-(C159*1.001-C159*0.999)/(Earthlike!G151*LN((C159*1.001)/(C159*0.999)))/IF(Earthlike!G$100&gt;0,Earthlike!G$100,0.8)))</f>
        <v/>
      </c>
      <c r="E159" s="6" t="str">
        <f t="shared" ca="1" si="18"/>
        <v/>
      </c>
    </row>
    <row r="160" spans="1:5" x14ac:dyDescent="0.25">
      <c r="A160" s="3" t="str">
        <f t="shared" ca="1" si="17"/>
        <v>Unused</v>
      </c>
      <c r="B160" s="3" t="str">
        <f ca="1">IF(Earthlike!Q152="|",ROUND(Earthlike!N152,0),IF(Earthlike!Q152="V",ROUND(Earthlike!N152,-3),""))</f>
        <v/>
      </c>
      <c r="C160" s="6" t="str">
        <f ca="1">IF(B160="","",IF(B161="",0,Earthlike!H152/1000))</f>
        <v/>
      </c>
      <c r="D160" s="6" t="str">
        <f ca="1">IF(C160="","",IF(C160=0,0,-(C160*1.001-C160*0.999)/(Earthlike!G152*LN((C160*1.001)/(C160*0.999)))/IF(Earthlike!G$100&gt;0,Earthlike!G$100,0.8)))</f>
        <v/>
      </c>
      <c r="E160" s="6" t="str">
        <f t="shared" ca="1" si="18"/>
        <v/>
      </c>
    </row>
    <row r="161" spans="1:5" x14ac:dyDescent="0.25">
      <c r="A161" s="3" t="str">
        <f t="shared" ca="1" si="17"/>
        <v>Unused</v>
      </c>
      <c r="B161" s="3" t="str">
        <f ca="1">IF(Earthlike!Q153="|",ROUND(Earthlike!N153,0),IF(Earthlike!Q153="V",ROUND(Earthlike!N153,-3),""))</f>
        <v/>
      </c>
      <c r="C161" s="6" t="str">
        <f ca="1">IF(B161="","",IF(B162="",0,Earthlike!H153/1000))</f>
        <v/>
      </c>
      <c r="D161" s="6" t="str">
        <f ca="1">IF(C161="","",IF(C161=0,0,-(C161*1.001-C161*0.999)/(Earthlike!G153*LN((C161*1.001)/(C161*0.999)))/IF(Earthlike!G$100&gt;0,Earthlike!G$100,0.8)))</f>
        <v/>
      </c>
      <c r="E161" s="6" t="str">
        <f t="shared" ca="1" si="18"/>
        <v/>
      </c>
    </row>
    <row r="162" spans="1:5" x14ac:dyDescent="0.25">
      <c r="A162" s="3" t="str">
        <f t="shared" ca="1" si="17"/>
        <v>Unused</v>
      </c>
      <c r="B162" s="3" t="str">
        <f ca="1">IF(Earthlike!Q154="|",ROUND(Earthlike!N154,0),IF(Earthlike!Q154="V",ROUND(Earthlike!N154,-3),""))</f>
        <v/>
      </c>
      <c r="C162" s="6" t="str">
        <f ca="1">IF(B162="","",IF(B163="",0,Earthlike!H154/1000))</f>
        <v/>
      </c>
      <c r="D162" s="6" t="str">
        <f ca="1">IF(C162="","",IF(C162=0,0,-(C162*1.001-C162*0.999)/(Earthlike!G154*LN((C162*1.001)/(C162*0.999)))/IF(Earthlike!G$100&gt;0,Earthlike!G$100,0.8)))</f>
        <v/>
      </c>
      <c r="E162" s="6" t="str">
        <f t="shared" ca="1" si="18"/>
        <v/>
      </c>
    </row>
    <row r="163" spans="1:5" x14ac:dyDescent="0.25">
      <c r="A163" s="3" t="str">
        <f t="shared" ca="1" si="17"/>
        <v>Unused</v>
      </c>
      <c r="B163" s="3" t="str">
        <f ca="1">IF(Earthlike!Q155="|",ROUND(Earthlike!N155,0),IF(Earthlike!Q155="V",ROUND(Earthlike!N155,-3),""))</f>
        <v/>
      </c>
      <c r="C163" s="6" t="str">
        <f ca="1">IF(B163="","",IF(B164="",0,Earthlike!H155/1000))</f>
        <v/>
      </c>
      <c r="D163" s="6" t="str">
        <f ca="1">IF(C163="","",IF(C163=0,0,-(C163*1.001-C163*0.999)/(Earthlike!G155*LN((C163*1.001)/(C163*0.999)))/IF(Earthlike!G$100&gt;0,Earthlike!G$100,0.8)))</f>
        <v/>
      </c>
      <c r="E163" s="6" t="str">
        <f t="shared" ca="1" si="18"/>
        <v/>
      </c>
    </row>
    <row r="164" spans="1:5" x14ac:dyDescent="0.25">
      <c r="A164" s="3" t="str">
        <f t="shared" ca="1" si="17"/>
        <v>Unused</v>
      </c>
      <c r="B164" s="3" t="str">
        <f ca="1">IF(Earthlike!Q156="|",ROUND(Earthlike!N156,0),IF(Earthlike!Q156="V",ROUND(Earthlike!N156,-3),""))</f>
        <v/>
      </c>
      <c r="C164" s="6" t="str">
        <f ca="1">IF(B164="","",IF(B165="",0,Earthlike!H156/1000))</f>
        <v/>
      </c>
      <c r="D164" s="6" t="str">
        <f ca="1">IF(C164="","",IF(C164=0,0,-(C164*1.001-C164*0.999)/(Earthlike!G156*LN((C164*1.001)/(C164*0.999)))/IF(Earthlike!G$100&gt;0,Earthlike!G$100,0.8)))</f>
        <v/>
      </c>
      <c r="E164" s="6" t="str">
        <f t="shared" ca="1" si="18"/>
        <v/>
      </c>
    </row>
    <row r="165" spans="1:5" x14ac:dyDescent="0.25">
      <c r="A165" s="3" t="str">
        <f t="shared" ca="1" si="17"/>
        <v>Unused</v>
      </c>
      <c r="B165" s="3" t="str">
        <f ca="1">IF(Earthlike!Q157="|",ROUND(Earthlike!N157,0),IF(Earthlike!Q157="V",ROUND(Earthlike!N157,-3),""))</f>
        <v/>
      </c>
      <c r="C165" s="6" t="str">
        <f ca="1">IF(B165="","",IF(B166="",0,Earthlike!H157/1000))</f>
        <v/>
      </c>
      <c r="D165" s="6" t="str">
        <f ca="1">IF(C165="","",IF(C165=0,0,-(C165*1.001-C165*0.999)/(Earthlike!G157*LN((C165*1.001)/(C165*0.999)))/IF(Earthlike!G$100&gt;0,Earthlike!G$100,0.8)))</f>
        <v/>
      </c>
      <c r="E165" s="6" t="str">
        <f t="shared" ca="1" si="18"/>
        <v/>
      </c>
    </row>
    <row r="166" spans="1:5" x14ac:dyDescent="0.25">
      <c r="A166" s="3" t="str">
        <f t="shared" ca="1" si="17"/>
        <v>Unused</v>
      </c>
      <c r="B166" s="3" t="str">
        <f ca="1">IF(Earthlike!Q158="|",ROUND(Earthlike!N158,0),IF(Earthlike!Q158="V",ROUND(Earthlike!N158,-3),""))</f>
        <v/>
      </c>
      <c r="C166" s="6" t="str">
        <f ca="1">IF(B166="","",IF(B167="",0,Earthlike!H158/1000))</f>
        <v/>
      </c>
      <c r="D166" s="6" t="str">
        <f ca="1">IF(C166="","",IF(C166=0,0,-(C166*1.001-C166*0.999)/(Earthlike!G158*LN((C166*1.001)/(C166*0.999)))/IF(Earthlike!G$100&gt;0,Earthlike!G$100,0.8)))</f>
        <v/>
      </c>
      <c r="E166" s="6" t="str">
        <f t="shared" ca="1" si="18"/>
        <v/>
      </c>
    </row>
    <row r="167" spans="1:5" x14ac:dyDescent="0.25">
      <c r="A167" s="10" t="s">
        <v>67</v>
      </c>
      <c r="B167" s="3"/>
      <c r="C167" s="3"/>
      <c r="D167" s="3"/>
      <c r="E167" s="3"/>
    </row>
    <row r="168" spans="1:5" x14ac:dyDescent="0.25">
      <c r="A168" s="1" t="s">
        <v>67</v>
      </c>
      <c r="B168" s="3"/>
      <c r="C168" s="3"/>
      <c r="D168" s="3"/>
      <c r="E168" s="3"/>
    </row>
    <row r="170" spans="1:5" x14ac:dyDescent="0.25">
      <c r="C170" s="8"/>
      <c r="D170" s="9"/>
      <c r="E170" s="9"/>
    </row>
    <row r="172" spans="1:5" x14ac:dyDescent="0.25">
      <c r="E172" s="9"/>
    </row>
    <row r="173" spans="1:5" x14ac:dyDescent="0.25">
      <c r="D173" s="9"/>
      <c r="E173" s="9"/>
    </row>
    <row r="174" spans="1:5" x14ac:dyDescent="0.25">
      <c r="D174" s="9"/>
      <c r="E174" s="9"/>
    </row>
    <row r="175" spans="1:5" x14ac:dyDescent="0.25">
      <c r="C175" s="8"/>
      <c r="D175" s="9"/>
      <c r="E175" s="9"/>
    </row>
    <row r="182" spans="4:5" x14ac:dyDescent="0.25">
      <c r="D182" s="9"/>
      <c r="E182" s="9"/>
    </row>
  </sheetData>
  <mergeCells count="1">
    <mergeCell ref="A1:E1"/>
  </mergeCells>
  <phoneticPr fontId="18" type="noConversion"/>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Q192"/>
  <sheetViews>
    <sheetView topLeftCell="A13" zoomScaleNormal="100" workbookViewId="0">
      <selection activeCell="F39" sqref="F39"/>
    </sheetView>
  </sheetViews>
  <sheetFormatPr defaultColWidth="9.125" defaultRowHeight="14.25" x14ac:dyDescent="0.15"/>
  <cols>
    <col min="1" max="1" width="3.625" style="11" customWidth="1"/>
    <col min="2" max="16" width="12.625" style="11" customWidth="1"/>
    <col min="17" max="16384" width="9.125" style="11"/>
  </cols>
  <sheetData>
    <row r="2" spans="2:14" ht="31.5" x14ac:dyDescent="0.4">
      <c r="B2" s="95" t="s">
        <v>181</v>
      </c>
      <c r="C2" s="95"/>
      <c r="D2" s="95"/>
      <c r="E2" s="95"/>
      <c r="F2" s="95"/>
      <c r="G2" s="95"/>
      <c r="H2" s="95"/>
    </row>
    <row r="3" spans="2:14" x14ac:dyDescent="0.15">
      <c r="N3" s="82"/>
    </row>
    <row r="4" spans="2:14" x14ac:dyDescent="0.15">
      <c r="B4" s="90" t="s">
        <v>286</v>
      </c>
      <c r="C4" s="90"/>
      <c r="D4" s="90"/>
      <c r="E4" s="90"/>
      <c r="F4" s="90"/>
      <c r="G4" s="90"/>
      <c r="H4" s="90"/>
      <c r="N4" s="82"/>
    </row>
    <row r="5" spans="2:14" x14ac:dyDescent="0.15">
      <c r="B5" s="90" t="s">
        <v>319</v>
      </c>
      <c r="C5" s="90"/>
      <c r="D5" s="90"/>
      <c r="E5" s="90"/>
      <c r="F5" s="90"/>
      <c r="G5" s="90"/>
      <c r="H5" s="90"/>
      <c r="N5" s="82"/>
    </row>
    <row r="6" spans="2:14" x14ac:dyDescent="0.15">
      <c r="B6" s="90" t="s">
        <v>318</v>
      </c>
      <c r="C6" s="90"/>
      <c r="D6" s="90"/>
      <c r="E6" s="90"/>
      <c r="F6" s="90"/>
      <c r="G6" s="90"/>
      <c r="H6" s="90"/>
    </row>
    <row r="7" spans="2:14" x14ac:dyDescent="0.15">
      <c r="B7" s="90" t="s">
        <v>317</v>
      </c>
      <c r="C7" s="90"/>
      <c r="D7" s="90"/>
      <c r="E7" s="90"/>
      <c r="F7" s="90"/>
      <c r="G7" s="90"/>
      <c r="H7" s="90"/>
    </row>
    <row r="8" spans="2:14" x14ac:dyDescent="0.15">
      <c r="B8" s="90" t="s">
        <v>316</v>
      </c>
      <c r="C8" s="90"/>
      <c r="D8" s="90"/>
      <c r="E8" s="90"/>
      <c r="F8" s="90"/>
      <c r="G8" s="90"/>
      <c r="H8" s="90"/>
    </row>
    <row r="10" spans="2:14" x14ac:dyDescent="0.15">
      <c r="B10" s="11" t="s">
        <v>6</v>
      </c>
    </row>
    <row r="11" spans="2:14" x14ac:dyDescent="0.15">
      <c r="B11" s="12" t="s">
        <v>7</v>
      </c>
      <c r="F11" s="96">
        <v>23000000000</v>
      </c>
      <c r="G11" s="96"/>
      <c r="H11" s="11" t="s">
        <v>0</v>
      </c>
    </row>
    <row r="12" spans="2:14" x14ac:dyDescent="0.15">
      <c r="B12" s="11" t="s">
        <v>8</v>
      </c>
      <c r="F12" s="30"/>
      <c r="G12" s="30"/>
    </row>
    <row r="13" spans="2:14" x14ac:dyDescent="0.15">
      <c r="B13" s="12" t="s">
        <v>9</v>
      </c>
      <c r="F13" s="96">
        <v>261600000</v>
      </c>
      <c r="G13" s="96"/>
      <c r="H13" s="11" t="s">
        <v>0</v>
      </c>
    </row>
    <row r="14" spans="2:14" ht="15" customHeight="1" x14ac:dyDescent="0.25">
      <c r="B14" s="50" t="s">
        <v>5</v>
      </c>
      <c r="C14" s="51"/>
      <c r="D14" s="97" t="s">
        <v>102</v>
      </c>
      <c r="E14" s="97"/>
      <c r="F14" s="52"/>
      <c r="G14" s="86"/>
      <c r="H14" s="11" t="s">
        <v>89</v>
      </c>
    </row>
    <row r="15" spans="2:14" x14ac:dyDescent="0.15">
      <c r="B15" s="53" t="s">
        <v>3</v>
      </c>
      <c r="D15" s="98"/>
      <c r="E15" s="98"/>
      <c r="F15" s="30"/>
      <c r="G15" s="54"/>
      <c r="H15" s="11" t="s">
        <v>10</v>
      </c>
    </row>
    <row r="16" spans="2:14" ht="15.75" x14ac:dyDescent="0.25">
      <c r="B16" s="55" t="s">
        <v>4</v>
      </c>
      <c r="C16" s="56"/>
      <c r="D16" s="99"/>
      <c r="E16" s="99"/>
      <c r="F16" s="57"/>
      <c r="G16" s="58">
        <v>1.7468465610013699</v>
      </c>
      <c r="H16" s="11" t="s">
        <v>90</v>
      </c>
    </row>
    <row r="17" spans="2:9" ht="15.75" x14ac:dyDescent="0.25">
      <c r="B17" s="12" t="s">
        <v>16</v>
      </c>
      <c r="F17" s="30"/>
      <c r="G17" s="31">
        <v>850</v>
      </c>
      <c r="H17" s="11" t="s">
        <v>91</v>
      </c>
    </row>
    <row r="18" spans="2:9" x14ac:dyDescent="0.15">
      <c r="B18" s="11" t="s">
        <v>12</v>
      </c>
      <c r="F18" s="30"/>
      <c r="G18" s="30"/>
    </row>
    <row r="19" spans="2:9" x14ac:dyDescent="0.15">
      <c r="B19" s="12" t="s">
        <v>131</v>
      </c>
      <c r="F19" s="30"/>
      <c r="G19" s="43" t="s">
        <v>135</v>
      </c>
    </row>
    <row r="20" spans="2:9" x14ac:dyDescent="0.15">
      <c r="B20" s="12" t="s">
        <v>9</v>
      </c>
      <c r="F20" s="96">
        <v>17367818</v>
      </c>
      <c r="G20" s="96"/>
      <c r="H20" s="11" t="s">
        <v>0</v>
      </c>
    </row>
    <row r="21" spans="2:9" ht="15" customHeight="1" x14ac:dyDescent="0.25">
      <c r="B21" s="50" t="s">
        <v>5</v>
      </c>
      <c r="C21" s="51"/>
      <c r="D21" s="97" t="s">
        <v>102</v>
      </c>
      <c r="E21" s="97"/>
      <c r="F21" s="52"/>
      <c r="G21" s="86"/>
      <c r="H21" s="11" t="s">
        <v>89</v>
      </c>
    </row>
    <row r="22" spans="2:9" x14ac:dyDescent="0.15">
      <c r="B22" s="53" t="s">
        <v>3</v>
      </c>
      <c r="D22" s="98"/>
      <c r="E22" s="98"/>
      <c r="F22" s="30"/>
      <c r="G22" s="54">
        <v>4.0726653587152599E+25</v>
      </c>
      <c r="H22" s="11" t="s">
        <v>10</v>
      </c>
    </row>
    <row r="23" spans="2:9" ht="15.75" x14ac:dyDescent="0.25">
      <c r="B23" s="55" t="s">
        <v>4</v>
      </c>
      <c r="C23" s="56"/>
      <c r="D23" s="99"/>
      <c r="E23" s="99"/>
      <c r="F23" s="57"/>
      <c r="G23" s="58">
        <v>1.7005807760833</v>
      </c>
      <c r="H23" s="11" t="s">
        <v>90</v>
      </c>
    </row>
    <row r="24" spans="2:9" x14ac:dyDescent="0.15">
      <c r="B24" s="12" t="s">
        <v>11</v>
      </c>
      <c r="F24" s="30"/>
      <c r="G24" s="31">
        <v>0.97599999999999998</v>
      </c>
      <c r="I24" s="21"/>
    </row>
    <row r="25" spans="2:9" x14ac:dyDescent="0.15">
      <c r="B25" s="12" t="s">
        <v>7</v>
      </c>
      <c r="F25" s="96">
        <v>10741130000</v>
      </c>
      <c r="G25" s="96"/>
      <c r="H25" s="11" t="s">
        <v>0</v>
      </c>
    </row>
    <row r="26" spans="2:9" x14ac:dyDescent="0.15">
      <c r="B26" s="12" t="s">
        <v>13</v>
      </c>
      <c r="F26" s="30"/>
      <c r="G26" s="87">
        <v>3.2471659999999999E-2</v>
      </c>
    </row>
    <row r="27" spans="2:9" ht="15.75" x14ac:dyDescent="0.25">
      <c r="B27" s="12" t="s">
        <v>14</v>
      </c>
      <c r="F27" s="30"/>
      <c r="G27" s="87">
        <v>47.015129999999999</v>
      </c>
      <c r="H27" s="38" t="s">
        <v>101</v>
      </c>
    </row>
    <row r="28" spans="2:9" ht="15.75" x14ac:dyDescent="0.25">
      <c r="B28" s="12" t="s">
        <v>15</v>
      </c>
      <c r="F28" s="30"/>
      <c r="G28" s="87">
        <v>34.524410000000003</v>
      </c>
      <c r="H28" s="38" t="s">
        <v>101</v>
      </c>
    </row>
    <row r="29" spans="2:9" ht="15.75" x14ac:dyDescent="0.25">
      <c r="B29" s="11" t="s">
        <v>132</v>
      </c>
      <c r="F29" s="30"/>
      <c r="G29" s="30"/>
      <c r="H29" s="38"/>
    </row>
    <row r="30" spans="2:9" x14ac:dyDescent="0.15">
      <c r="B30" s="12" t="str">
        <f>IF(G19="Moon","semiMajorAxis","")</f>
        <v/>
      </c>
      <c r="D30" s="14" t="str">
        <f>IF(G19="Planet","not applicable","")</f>
        <v>not applicable</v>
      </c>
      <c r="F30" s="96">
        <v>314982134176</v>
      </c>
      <c r="G30" s="96"/>
      <c r="H30" s="11" t="str">
        <f>IF(G19="Moon","m","")</f>
        <v/>
      </c>
    </row>
    <row r="31" spans="2:9" x14ac:dyDescent="0.15">
      <c r="B31" s="12" t="str">
        <f>IF(G19="Moon","eccentricity","")</f>
        <v/>
      </c>
      <c r="D31" s="14" t="str">
        <f>IF(G19="Planet","|","")</f>
        <v>|</v>
      </c>
      <c r="F31" s="30"/>
      <c r="G31" s="87">
        <v>6.1124461376500003E-2</v>
      </c>
    </row>
    <row r="32" spans="2:9" ht="15.75" x14ac:dyDescent="0.25">
      <c r="B32" s="12" t="str">
        <f>IF(G19="Moon","inclination","")</f>
        <v/>
      </c>
      <c r="D32" s="14" t="str">
        <f>IF(G19="Planet","|","")</f>
        <v>|</v>
      </c>
      <c r="F32" s="30"/>
      <c r="G32" s="87">
        <v>40.987552821500003</v>
      </c>
      <c r="H32" s="38" t="str">
        <f>IF(G19="Moon","°","")</f>
        <v/>
      </c>
    </row>
    <row r="33" spans="2:10" ht="15.75" x14ac:dyDescent="0.25">
      <c r="B33" s="12" t="str">
        <f>IF(G19="Moon","argumentOfPeriapsis","")</f>
        <v/>
      </c>
      <c r="D33" s="14" t="str">
        <f>IF(G19="Planet","V","")</f>
        <v>V</v>
      </c>
      <c r="F33" s="30"/>
      <c r="G33" s="87">
        <v>214.189027178</v>
      </c>
      <c r="H33" s="38" t="str">
        <f>IF(G19="Moon","°","")</f>
        <v/>
      </c>
    </row>
    <row r="34" spans="2:10" x14ac:dyDescent="0.15">
      <c r="B34" s="13"/>
      <c r="F34" s="30"/>
      <c r="G34" s="30"/>
    </row>
    <row r="35" spans="2:10" x14ac:dyDescent="0.15">
      <c r="B35" s="90" t="s">
        <v>195</v>
      </c>
      <c r="C35" s="90"/>
      <c r="D35" s="90"/>
      <c r="E35" s="90"/>
      <c r="F35" s="90"/>
      <c r="G35" s="90"/>
      <c r="H35" s="90"/>
    </row>
    <row r="36" spans="2:10" x14ac:dyDescent="0.15">
      <c r="B36" s="90" t="s">
        <v>312</v>
      </c>
      <c r="C36" s="90"/>
      <c r="D36" s="90"/>
      <c r="E36" s="90"/>
      <c r="F36" s="90"/>
      <c r="G36" s="90"/>
      <c r="H36" s="90"/>
    </row>
    <row r="37" spans="2:10" x14ac:dyDescent="0.15">
      <c r="F37" s="30"/>
      <c r="G37" s="30"/>
    </row>
    <row r="38" spans="2:10" x14ac:dyDescent="0.15">
      <c r="B38" s="12" t="s">
        <v>24</v>
      </c>
      <c r="F38" s="101">
        <v>17565250</v>
      </c>
      <c r="G38" s="101"/>
      <c r="H38" s="11" t="s">
        <v>0</v>
      </c>
    </row>
    <row r="40" spans="2:10" x14ac:dyDescent="0.15">
      <c r="B40" s="91" t="s">
        <v>324</v>
      </c>
      <c r="C40" s="91"/>
      <c r="D40" s="91"/>
      <c r="E40" s="91"/>
      <c r="F40" s="91"/>
      <c r="G40" s="91"/>
      <c r="H40" s="91"/>
      <c r="I40" s="91"/>
      <c r="J40" s="91"/>
    </row>
    <row r="41" spans="2:10" x14ac:dyDescent="0.15">
      <c r="B41" s="91" t="s">
        <v>323</v>
      </c>
      <c r="C41" s="91"/>
      <c r="D41" s="91"/>
      <c r="E41" s="91"/>
      <c r="F41" s="91"/>
      <c r="G41" s="91"/>
      <c r="H41" s="91"/>
      <c r="I41" s="91"/>
      <c r="J41" s="91"/>
    </row>
    <row r="42" spans="2:10" x14ac:dyDescent="0.15">
      <c r="B42" s="91" t="s">
        <v>322</v>
      </c>
      <c r="C42" s="91"/>
      <c r="D42" s="91"/>
      <c r="E42" s="91"/>
      <c r="F42" s="91"/>
      <c r="G42" s="91"/>
      <c r="H42" s="91"/>
      <c r="I42" s="91"/>
      <c r="J42" s="91"/>
    </row>
    <row r="44" spans="2:10" x14ac:dyDescent="0.15">
      <c r="B44" s="12" t="s">
        <v>168</v>
      </c>
      <c r="G44" s="32">
        <v>896.35</v>
      </c>
      <c r="H44" s="11" t="s">
        <v>50</v>
      </c>
    </row>
    <row r="45" spans="2:10" x14ac:dyDescent="0.15">
      <c r="B45" s="47" t="s">
        <v>136</v>
      </c>
      <c r="G45" s="48">
        <f ca="1">G104</f>
        <v>734.60463474706307</v>
      </c>
      <c r="H45" s="11" t="s">
        <v>1</v>
      </c>
    </row>
    <row r="46" spans="2:10" x14ac:dyDescent="0.15">
      <c r="B46" s="47" t="s">
        <v>345</v>
      </c>
      <c r="G46" s="45">
        <f ca="1">IF(G99&gt;0,IF(F38&gt;0,150*8314.4621*G45/(G99*9.80665*F38),25),25)</f>
        <v>5.7882213384097803</v>
      </c>
      <c r="H46" s="11" t="s">
        <v>41</v>
      </c>
    </row>
    <row r="48" spans="2:10" ht="15.75" x14ac:dyDescent="0.25">
      <c r="F48" s="14" t="s">
        <v>38</v>
      </c>
      <c r="G48" s="14" t="s">
        <v>40</v>
      </c>
      <c r="H48" s="14" t="s">
        <v>100</v>
      </c>
      <c r="I48" s="14" t="s">
        <v>165</v>
      </c>
      <c r="J48" s="14" t="s">
        <v>164</v>
      </c>
    </row>
    <row r="49" spans="2:11" x14ac:dyDescent="0.15">
      <c r="B49" s="15" t="s">
        <v>88</v>
      </c>
      <c r="C49" s="15"/>
      <c r="D49" s="15"/>
      <c r="E49" s="15" t="s">
        <v>87</v>
      </c>
      <c r="F49" s="16" t="s">
        <v>39</v>
      </c>
      <c r="G49" s="16" t="s">
        <v>41</v>
      </c>
      <c r="H49" s="16" t="s">
        <v>42</v>
      </c>
      <c r="I49" s="16" t="s">
        <v>1</v>
      </c>
      <c r="J49" s="16" t="s">
        <v>1</v>
      </c>
    </row>
    <row r="50" spans="2:11" x14ac:dyDescent="0.15">
      <c r="B50" s="93" t="s">
        <v>33</v>
      </c>
      <c r="C50" s="93"/>
      <c r="D50" s="93"/>
      <c r="E50" s="11" t="s">
        <v>140</v>
      </c>
      <c r="F50" s="36">
        <v>0.58009999999999995</v>
      </c>
      <c r="G50" s="17">
        <v>2.0158800000000001</v>
      </c>
      <c r="H50" s="17">
        <f ca="1">IF(G$104&lt;100,28.154,IF(G$104&lt;298.15,-0.0000012385*G$104^3+0.000847907*G$104^2-0.174747*G$104+38.3882,IF(G$104&lt;1000,33.066178-11.363417*(G$104/1000)+11.432816*(G$104/1000)^2-2.772874*(G$104/1000)^3-0.158558/(G$104/1000)^2,IF(G$104&lt;2500,18.563083+12.257357*(G$104/1000)-2.859786*(G$104/1000)^2+0.268238*(G$104/1000)^3+1.97799/(G$104/1000)^2,IF(G$104&lt;6000,43.41356-4.293079*(G$104/1000)+1.272428*(G$104/1000)^2-0.096876*(G$104/1000)^3-20.533862/(G$104/1000)^2,41.965)))))</f>
        <v>29.495153299513895</v>
      </c>
      <c r="I50" s="26">
        <f>IF(G$44&gt;0,IF(F50&gt;0,IF(G$44*F50*60.795&lt;7.04,"n/a",14.025*(1+G$44*F50*60.795/28600)^0.589*EXP(-0.0000000046*G$44*F50*60.795)),"---"),"---")</f>
        <v>21.740639867016057</v>
      </c>
      <c r="J50" s="26" t="str">
        <f>IF(G$44&gt;0,IF(F50&gt;0,IF(G$44*F50*60.795&gt;1296.4,"n/a",IF(G$44*F50*60.795&lt;7.04,0.0921*LOG(G$44*F50*60.795)^3+0.5*LOG(G$44*F50*60.795)^2+2.4702*LOG(G$44*F50*60.795)+11.301,0.6528*LOG(G$44*F50*60.795)^3-1.2794*LOG(G$44*F50*60.795)^2+5.0293*LOG(G$44*F50*60.795)+10.052)),"---"),"---")</f>
        <v>n/a</v>
      </c>
      <c r="K50" s="11" t="str">
        <f ca="1">IF(F50&gt;0,IF(G50&lt;G$46,"Molecular weight too low",IF(J50&gt;G$45,"Boiling point too high","")),"")</f>
        <v>Molecular weight too low</v>
      </c>
    </row>
    <row r="51" spans="2:11" x14ac:dyDescent="0.15">
      <c r="B51" s="94" t="s">
        <v>141</v>
      </c>
      <c r="C51" s="94"/>
      <c r="D51" s="94"/>
      <c r="E51" s="11" t="s">
        <v>44</v>
      </c>
      <c r="F51" s="36">
        <v>0</v>
      </c>
      <c r="G51" s="17">
        <v>3.0220400000000001</v>
      </c>
      <c r="H51" s="17">
        <f ca="1">IF(G$104&lt;100,29.288,IF(G$104&lt;298.15,0.0000056637*G$104^2-0.00269911*G$104+29.5013,IF(G$104&lt;1000,31.24992-7.58919*(G$104/1000)+9.011375*(G$104/1000)^2-1.914415*(G$104/1000)^3-0.047793/(G$104/1000)^2,IF(G$104&lt;6000,28.22296+4.575371*(G$104/1000)-0.551669*(G$104/1000)^2+0.031038*(G$104/1000)^3-1.732276/(G$104/1000)^2,42.339))))</f>
        <v>29.69031418775733</v>
      </c>
      <c r="I51" s="26" t="str">
        <f>IF(G$44&gt;0,IF(F51&gt;0,IF(G$44*F51*60.795&lt;12.37,"n/a",16.597*(1+G$44*F51*60.795/38430)^0.589),"---"),"---")</f>
        <v>---</v>
      </c>
      <c r="J51" s="26" t="str">
        <f>IF(G$44&gt;0,IF(F51&gt;0,IF(G$44*F51*60.795&gt;1483.9,"n/a",IF(G$44*F51*60.795&lt;12.37,0.0766*LOG(G$44*F51*60.795)^3+0.4961*LOG(G$44*F51*60.795)^2+2.6566*LOG(G$44*F51*60.795)+13.005,0.7275*LOG(G$44*F51*60.795)^3-1.7977*LOG(G$44*F51*60.795)^2+6.2531*LOG(G$44*F51*60.795)+10.951)),"---"),"---")</f>
        <v>---</v>
      </c>
      <c r="K51" s="11" t="str">
        <f t="shared" ref="K51:K67" si="0">IF(F51&gt;0,IF(G51&lt;G$46,"Molecular weight too low",IF(J51&gt;G$45,"Boiling point too high","")),"")</f>
        <v/>
      </c>
    </row>
    <row r="52" spans="2:11" x14ac:dyDescent="0.15">
      <c r="B52" s="94" t="s">
        <v>34</v>
      </c>
      <c r="C52" s="94"/>
      <c r="D52" s="94"/>
      <c r="E52" s="11" t="s">
        <v>37</v>
      </c>
      <c r="F52" s="36">
        <v>0.16830000000000001</v>
      </c>
      <c r="G52" s="17">
        <v>4.0026020000000004</v>
      </c>
      <c r="H52" s="17">
        <v>20.786000000000001</v>
      </c>
      <c r="I52" s="26">
        <f>IF(G$44&gt;0,IF(F52&gt;0,IF(G$44*F52*60.795&lt;3013,"n/a",4.107*LOG(G$44*F52*60.795)^2-26.12*LOG(G$44*F52*60.795)+42.93),"---"),"---")</f>
        <v>3.9147229698967365</v>
      </c>
      <c r="J52" s="26" t="str">
        <f>IF(G$44&gt;0,IF(F52&gt;0,IF(G$44*F52*60.795&gt;227.5,"n/a",37/(10.56-LN(G$44*F52*60.795))-2),"---"),"---")</f>
        <v>n/a</v>
      </c>
      <c r="K52" s="11" t="str">
        <f t="shared" ca="1" si="0"/>
        <v>Molecular weight too low</v>
      </c>
    </row>
    <row r="53" spans="2:11" x14ac:dyDescent="0.15">
      <c r="B53" s="94" t="s">
        <v>35</v>
      </c>
      <c r="C53" s="94"/>
      <c r="D53" s="94"/>
      <c r="E53" s="11" t="s">
        <v>142</v>
      </c>
      <c r="F53" s="36">
        <v>8.5000000000000006E-2</v>
      </c>
      <c r="G53" s="17">
        <v>16.0425</v>
      </c>
      <c r="H53" s="17">
        <f ca="1">IF(G$104&lt;100,33.258,IF(G$104&lt;298.15,0.000000327888*G$104^3-0.000095605*G$104^2+0.00787935*G$104+33.0982,IF(G$104&lt;1300,-0.703029+108.4773*(G$104/1000)-42.52157*(G$104/1000)^2+5.862788*(G$104/1000)^3+0.678565/(G$104/1000)^2,IF(G$104&lt;6000,85.81217+11.26467*(G$104/1000)-2.114146*(G$104/1000)^2+0.13819*(G$104/1000)^3-26.42221/(G$104/1000)^2,106.306))))</f>
        <v>59.619975925778583</v>
      </c>
      <c r="I53" s="26">
        <f>IF(G$44&gt;0,IF(F53&gt;0,IF(G$44*F53*60.795&lt;11.696,"n/a",((G$44*F53*60.795-11.696)/208000+1)^(1/1.698)*90.69),"---"),"---")</f>
        <v>91.871022022680137</v>
      </c>
      <c r="J53" s="26" t="str">
        <f>IF(G$44&gt;0,IF(F53&gt;0,IF(G$44*F53*60.795&gt;4599,"n/a",IF(G$44*F53*60.795&lt;11.696,0.1714*LOG(G$44*F53*60.795)^3+1.7773*LOG(G$44*F53*60.795)^2+11.466*LOG(G$44*F53*60.795)+76.171,968/(13.58-LN(G$44*F53*60.795))+3.72)),"---"),"---")</f>
        <v>n/a</v>
      </c>
      <c r="K53" s="11" t="str">
        <f t="shared" ca="1" si="0"/>
        <v>Boiling point too high</v>
      </c>
    </row>
    <row r="54" spans="2:11" x14ac:dyDescent="0.15">
      <c r="B54" s="94" t="s">
        <v>36</v>
      </c>
      <c r="C54" s="94"/>
      <c r="D54" s="94"/>
      <c r="E54" s="11" t="s">
        <v>143</v>
      </c>
      <c r="F54" s="36">
        <v>2.7E-2</v>
      </c>
      <c r="G54" s="17">
        <v>17.0305</v>
      </c>
      <c r="H54" s="17">
        <f ca="1">IF(G$104&lt;100,33.284,IF(G$104&lt;298.15,0.0000735664*G$104^2-0.0173399*G$104+34.2823,IF(G$104&lt;1400,19.99563+49.77119*(G$104/1000)-15.37599*(G$104/1000)^2+1.921168*(G$104/1000)^3+0.189174/(G$104/1000)^2,IF(G$104&lt;6000,52.02427+18.48801*(G$104/1000)-3.765128*(G$104/1000)^2+0.248541*(G$104/1000)^3-12.45799/(G$104/1000)^2,80.751))))</f>
        <v>49.372368871108847</v>
      </c>
      <c r="I54" s="26">
        <f>IF(G$44&gt;0,IF(F54&gt;0,IF(G$44*F54*60.795&lt;6.1111,"n/a",195.49*(1+G$44*F54*60.795/3051000)^1.466*EXP(-0.000000039*G$44*F54*60.795)),"---"),"---")</f>
        <v>195.61699593249145</v>
      </c>
      <c r="J54" s="26">
        <f>IF(G$44&gt;0,IF(F54&gt;0,IF(G$44*F54*60.795&gt;11333,"n/a",IF(G$44*F54*60.795&lt;6.1111,0.1044*LOG(G$44*F54*60.795)^3+1.891*LOG(G$44*F54*60.795)^2+19.626*LOG(G$44*F54*60.795)+178.8,2363/(15.49-LN(G$44*F54*60.795))+22.62)),"---"),"---")</f>
        <v>310.92856069021349</v>
      </c>
      <c r="K54" s="11" t="str">
        <f t="shared" ca="1" si="0"/>
        <v/>
      </c>
    </row>
    <row r="55" spans="2:11" x14ac:dyDescent="0.15">
      <c r="B55" s="94" t="s">
        <v>125</v>
      </c>
      <c r="C55" s="94"/>
      <c r="D55" s="94"/>
      <c r="E55" s="11" t="s">
        <v>129</v>
      </c>
      <c r="F55" s="36">
        <v>0.1396</v>
      </c>
      <c r="G55" s="17">
        <v>18.0153</v>
      </c>
      <c r="H55" s="17">
        <f ca="1">IF(G$104&lt;100,33.284,IF(G$104&lt;298.15,0.00000986841*G$104^2-0.00246052*G$104+33.4464,IF(G$104&lt;500,-0.0000000923802*G$104^3+0.000125756*G$104^2-0.0471887*G$104+38.9288,IF(G$104&lt;1700,30.092+6.832514*(G$104/1000)+6.793435*(G$104/1000)^2-2.53448*(G$104/1000)^3+0.082139/(G$104/1000)^2,IF(G$104&lt;6000,41.96426+8.622053*(G$104/1000)-1.49978*(G$104/1000)^2+0.098119*(G$104/1000)^3-11.15764/(G$104/1000)^2,60.571)))))</f>
        <v>37.92471115883594</v>
      </c>
      <c r="I55" s="26">
        <f>IF(G$44&gt;0,IF(F55&gt;0,IF(G$44*F55*60.795&lt;0.61157,"n/a",(G$44*F55*60.795/-395200+1)^(1/9)*273.16),"---"),"---")</f>
        <v>272.57070395885268</v>
      </c>
      <c r="J55" s="26">
        <f>IF(G$44&gt;0,IF(F55&gt;0,IF(G$44*F55*60.795&gt;22064,"n/a",IF(G$44*F55*60.795&lt;0.611657,0.178*LOG(G$44*F55*60.795)^3+2.7678*LOG(G$44*F55*60.795)^2+28.958*LOG(G$44*F55*60.795)+279.22,3985/(16.54-LN(G$44*F55*60.795))+39)),"---"),"---")</f>
        <v>563.1258634692133</v>
      </c>
      <c r="K55" s="11" t="str">
        <f ca="1">IF(G106&lt;1,IF(F55&gt;0,IF(G55&lt;G$46,"Molecular weight too low",IF(J55&gt;G$45,"Boiling point too high","")),""),"Too much water, oversaturated")</f>
        <v/>
      </c>
    </row>
    <row r="56" spans="2:11" x14ac:dyDescent="0.15">
      <c r="B56" s="94" t="s">
        <v>144</v>
      </c>
      <c r="C56" s="94"/>
      <c r="D56" s="94"/>
      <c r="E56" s="11" t="s">
        <v>145</v>
      </c>
      <c r="F56" s="36">
        <v>0</v>
      </c>
      <c r="G56" s="17">
        <v>20.1797</v>
      </c>
      <c r="H56" s="17">
        <v>20.786000000000001</v>
      </c>
      <c r="I56" s="26" t="str">
        <f>IF(G$44&gt;0,IF(F56&gt;0,IF(G$44*F56*60.795&lt;43.3,"n/a",((G$44*F56*60.795/100000+1.2214)/0.012062)^(1/1.4587)+0.851),"---"),"---")</f>
        <v>---</v>
      </c>
      <c r="J56" s="26" t="str">
        <f>IF(G$44&gt;0,IF(F56&gt;0,IF(G$44*F56*60.795&gt;2678.6,"n/a",IF(G$44*F56*60.795&lt;43.3,-0.0148*LOG(G$44*F56*60.795)^3+0.4114*LOG(G$44*F56*60.795)^2+3.3375*LOG(G$44*F56*60.795)+18.061,265/(13.47-LN(G$44*F56*60.795))-2.83)),"---"),"---")</f>
        <v>---</v>
      </c>
      <c r="K56" s="11" t="str">
        <f t="shared" si="0"/>
        <v/>
      </c>
    </row>
    <row r="57" spans="2:11" x14ac:dyDescent="0.15">
      <c r="B57" s="94" t="s">
        <v>146</v>
      </c>
      <c r="C57" s="94"/>
      <c r="D57" s="94"/>
      <c r="E57" s="11" t="s">
        <v>147</v>
      </c>
      <c r="F57" s="36">
        <v>0</v>
      </c>
      <c r="G57" s="17">
        <v>28.010100000000001</v>
      </c>
      <c r="H57" s="17">
        <f ca="1">IF(G$104&lt;100,29.104,IF(G$104&lt;298.15,0.00000154635*G$104^2-0.000423904*G$104+29.1309,IF(G$104&lt;1300,25.56759+6.09613*(G$104/1000)+4.054656*(G$104/1000)^2-2.671301*(G$104/1000)^3+0.131021/(G$104/1000)^2,IF(G$104&lt;6000,35.1507+1.300095*(G$104/1000)-0.205921*(G$104/1000)^2+0.01355*(G$104/1000)^3-3.28278/(G$104/1000)^2,38.388))))</f>
        <v>31.417727173384478</v>
      </c>
      <c r="I57" s="26" t="str">
        <f>IF(G$44&gt;0,IF(F57&gt;0,IF(G$44*F57*60.795&lt;15.3,"n/a",-0.00000000000362*G$44*F57*60.795^2+0.0000363*G$44*F57*60.795+68.16),"---"),"---")</f>
        <v>---</v>
      </c>
      <c r="J57" s="26" t="str">
        <f>IF(G$44&gt;0,IF(F57&gt;0,IF(G$44*F57*60.795&gt;3494,"n/a",IF(G$44*F57*60.795&lt;15.3,0.3892*LOG(G$44*F57*60.795)^3+1.4*LOG(G$44*F57*60.795)^2+7.5108*LOG(G$44*F57*60.795)+56.65,770/(13.87-LN(G$44*F57*60.795))-1.64)),"---"),"---")</f>
        <v>---</v>
      </c>
      <c r="K57" s="11" t="str">
        <f t="shared" si="0"/>
        <v/>
      </c>
    </row>
    <row r="58" spans="2:11" x14ac:dyDescent="0.15">
      <c r="B58" s="94" t="s">
        <v>122</v>
      </c>
      <c r="C58" s="94"/>
      <c r="D58" s="94"/>
      <c r="E58" s="11" t="s">
        <v>148</v>
      </c>
      <c r="F58" s="36">
        <v>0</v>
      </c>
      <c r="G58" s="17">
        <v>28.013400000000001</v>
      </c>
      <c r="H58" s="17">
        <f ca="1">IF(G$104&lt;100,29.104,IF(G$104&lt;500,28.98641+1.853978*(G$104/1000)-9.647459*(G$104/1000)^2+16.63537*(G$104/1000)^3+0.000117/(G$104/1000)^2,IF(G$104&lt;2000,19.50583+19.88705*(G$104/1000)-8.598535*(G$104/1000)^2+1.369784*(G$104/1000)^3+0.527601/(G$104/1000)^2,IF(G$104&lt;6000,35.51872+1.128728*(G$104/1000)-0.196103*(G$104/1000)^2+0.014662*(G$104/1000)^3-4.55376/(G$104/1000)^2,38.276))))</f>
        <v>30.995501603109123</v>
      </c>
      <c r="I58" s="26" t="str">
        <f>IF(G$44&gt;0,IF(F58&gt;0,IF(G$44*F58*60.795&lt;12.52,"n/a",8.7126E-18*G$44*F58*60.795^3-0.000000000061022*G$44*F58*60.795^2+0.00019*G$44*F58*60.795+63.148),"---"),"---")</f>
        <v>---</v>
      </c>
      <c r="J58" s="26" t="str">
        <f>IF(G$44&gt;0,IF(F58&gt;0,IF(G$44*F58*60.795&gt;3395.8,"n/a",IF(G$44*F58*60.795&lt;12.52,0.1135*LOG(G$44*F58*60.795)^3+1.175*LOG(G$44*F58*60.795)^2+7.7912*LOG(G$44*F58*60.795)+52.998,658/(13.45-LN(G$44*F58*60.795))+2.85)),"---"),"---")</f>
        <v>---</v>
      </c>
      <c r="K58" s="11" t="str">
        <f t="shared" si="0"/>
        <v/>
      </c>
    </row>
    <row r="59" spans="2:11" x14ac:dyDescent="0.15">
      <c r="B59" s="94" t="s">
        <v>149</v>
      </c>
      <c r="C59" s="94"/>
      <c r="D59" s="94"/>
      <c r="E59" s="11" t="s">
        <v>150</v>
      </c>
      <c r="F59" s="36">
        <v>0</v>
      </c>
      <c r="G59" s="17">
        <v>30.0061</v>
      </c>
      <c r="H59" s="17">
        <f ca="1">IF(G$104&lt;100,32.302,IF(G$104&lt;298.15,-0.000000153413*G$104^3+0.000157177*G$104^2-0.0552342*G$104+36.4071,IF(G$104&lt;1200,23.83491+12.58878*(G$104/1000)-1.139011*(G$104/1000)^2-1.497459*(G$104/1000)^3+0.214194/(G$104/1000)^2,IF(G$104&lt;6000,35.99169+0.95717*(G$104/1000)-0.148032*(G$104/1000)^2+0.009974*(G$104/1000)^3-3.004088/(G$104/1000)^2,38.468))))</f>
        <v>32.27131284029862</v>
      </c>
      <c r="I59" s="26" t="str">
        <f>IF(G$44&gt;0,IF(F59&gt;0,IF(G$44*F59*60.795&lt;21.89,"n/a",109.5),"---"),"---")</f>
        <v>---</v>
      </c>
      <c r="J59" s="26" t="str">
        <f>IF(G$44&gt;0,IF(F59&gt;0,IF(G$44*F59*60.795&gt;6480,"n/a",IF(G$44*F59*60.795&lt;21.89,0.1206*LOG(G$44*F59*60.795)^3+1.2228*LOG(G$44*F59*60.795)^2+9.8208*LOG(G$44*F59*60.795)+93.864,682.938/(5.8679-LOG(G$44*F59*60.795/100))-268.27+273.15)),"---"),"---")</f>
        <v>---</v>
      </c>
      <c r="K59" s="11" t="str">
        <f t="shared" si="0"/>
        <v/>
      </c>
    </row>
    <row r="60" spans="2:11" x14ac:dyDescent="0.15">
      <c r="B60" s="94" t="s">
        <v>151</v>
      </c>
      <c r="C60" s="94"/>
      <c r="D60" s="94"/>
      <c r="E60" s="11" t="s">
        <v>152</v>
      </c>
      <c r="F60" s="36">
        <v>0</v>
      </c>
      <c r="G60" s="17">
        <v>30.068999999999999</v>
      </c>
      <c r="H60" s="17">
        <f ca="1">IF(G$104&lt;100,35.7,IF(G$104&lt;500,-0.000000000000136764*G$104^5-0.000000000269855*G$104^4+0.000000113753*G$104^3+0.000202021*G$104^2+0.00190295*G$104+33.4041,IF(G$104&lt;3000,1.50106E-19*G$104^6-1.31938E-15*G$104^5+0.00000000000189664*G$104^4+0.0000000186953*G$104^3-0.0000984166*G$104^2+0.202821*G$104-1.27606,168.65)))</f>
        <v>102.31221349950394</v>
      </c>
      <c r="I60" s="26" t="str">
        <f>IF(G$44&gt;0,IF(F60&gt;0,IF(G$44*F60*60.795&lt;0.00113,"n/a",((G$44*F60*60.795-0.00113)/255970+1)^(1/2.179)*90.37),"---"),"---")</f>
        <v>---</v>
      </c>
      <c r="J60" s="26" t="str">
        <f>IF(G$44&gt;0,IF(F60&gt;0,IF(G$44*F60*60.795&gt;4872.2,"n/a",1582/(13.88-LN(G$44*F60*60.795))+13.76),"---"),"---")</f>
        <v>---</v>
      </c>
      <c r="K60" s="11" t="str">
        <f t="shared" si="0"/>
        <v/>
      </c>
    </row>
    <row r="61" spans="2:11" x14ac:dyDescent="0.15">
      <c r="B61" s="94" t="s">
        <v>123</v>
      </c>
      <c r="C61" s="94"/>
      <c r="D61" s="94"/>
      <c r="E61" s="11" t="s">
        <v>153</v>
      </c>
      <c r="F61" s="36">
        <v>0</v>
      </c>
      <c r="G61" s="17">
        <v>31.998799999999999</v>
      </c>
      <c r="H61" s="17">
        <f ca="1">IF(G$104&lt;100,29.106,IF(G$104&lt;700,31.32234-20.23531*(G$104/1000)+57.86644*(G$104/1000)^2-36.50624*(G$104/1000)^3-0.007374/(G$104/1000)^2,IF(G$104&lt;2000,30.03235+8.772972*(G$104/1000)-3.988133*(G$104/1000)^2+0.788313*(G$104/1000)^3-0.741599/(G$104/1000)^2,IF(G$104&lt;6000,20.91111+10.72071*(G$104/1000)-2.020498*(G$104/1000)^2+0.146449*(G$104/1000)^3+9.245722/(G$104/1000)^2,44.387))))</f>
        <v>33.263113381229715</v>
      </c>
      <c r="I61" s="26" t="str">
        <f>IF(G$44&gt;0,IF(F61&gt;0,IF(G$44*F61*60.795&lt;0.15,"n/a",10^((LOG(1081.8+G$44*F61*60.795/98.0665)+4.145465)/4.13811)),"---"),"---")</f>
        <v>---</v>
      </c>
      <c r="J61" s="26" t="str">
        <f>IF(G$44&gt;0,IF(F61&gt;0,IF(G$44*F61*60.795&gt;5043,"n/a",780/(13.68-LN(G$44*F61*60.795))+4.18),"---"),"---")</f>
        <v>---</v>
      </c>
      <c r="K61" s="11" t="str">
        <f t="shared" si="0"/>
        <v/>
      </c>
    </row>
    <row r="62" spans="2:11" x14ac:dyDescent="0.15">
      <c r="B62" s="94" t="s">
        <v>154</v>
      </c>
      <c r="C62" s="94"/>
      <c r="D62" s="94"/>
      <c r="E62" s="11" t="s">
        <v>155</v>
      </c>
      <c r="F62" s="36">
        <v>0</v>
      </c>
      <c r="G62" s="17">
        <v>34.081000000000003</v>
      </c>
      <c r="H62" s="17">
        <f ca="1">IF(G$104&lt;100,33.259,IF(G$104&lt;298.15,0.000035645*G$104^2-0.00948349*G$104+33.8509,IF(G$104&lt;1400,26.88412+18.67809*(G$104/1000)+3.434203*(G$104/1000)^2-3.378702*(G$104/1000)^3+0.135882/(G$104/1000)^2,IF(G$104&lt;6000,51.22136+4.147486*(G$104/1000)-0.643566*(G$104/1000)^2+0.041621*(G$104/1000)^3-10.46385/(G$104/1000)^2,61.609))))</f>
        <v>41.370775960820922</v>
      </c>
      <c r="I62" s="26" t="str">
        <f>IF(G$44&gt;0,IF(F62&gt;0,IF(G$44*F62*60.795&lt;23.2,"n/a",-0.0000000001438*G$44*F62*60.795^2+0.0001882*G$44*F62*60.795+187.7),"---"),"---")</f>
        <v>---</v>
      </c>
      <c r="J62" s="26" t="str">
        <f>IF(G$44&gt;0,IF(F62&gt;0,IF(G$44*F62*60.795&gt;8970,"n/a",IF(G$44*F62*60.795&lt;108.1,829.439/(4.43681-LOG(G$44*F62*60.795/100))+25.412,958.587/(4.52887-LOG(G$44*F62*60.795/100))+0.539)),"---"),"---")</f>
        <v>---</v>
      </c>
      <c r="K62" s="11" t="str">
        <f t="shared" si="0"/>
        <v/>
      </c>
    </row>
    <row r="63" spans="2:11" x14ac:dyDescent="0.15">
      <c r="B63" s="94" t="s">
        <v>124</v>
      </c>
      <c r="C63" s="94"/>
      <c r="D63" s="94"/>
      <c r="E63" s="11" t="s">
        <v>130</v>
      </c>
      <c r="F63" s="36">
        <v>0</v>
      </c>
      <c r="G63" s="17">
        <v>39.948</v>
      </c>
      <c r="H63" s="17">
        <v>20.786000000000001</v>
      </c>
      <c r="I63" s="26" t="str">
        <f>IF(G$44&gt;0,IF(F63&gt;0,IF(G$44*F63*60.795&lt;68.7,"n/a",((G$44*F63*60.795-68.7)/244000+1)^(1/1.476)*83.81),"---"),"---")</f>
        <v>---</v>
      </c>
      <c r="J63" s="26" t="str">
        <f>IF(G$44&gt;0,IF(F63&gt;0,IF(G$44*F63*60.795&gt;4863,"n/a",IF(G$44*F63*60.795&lt;68.7,0.2219*LOG(G$44*F63*60.795)^3+1.496*LOG(G$44*F63*60.795)^2+9.0805*LOG(G$44*F63*60.795)+60.693,833/(13.91-LN(G$44*F63*60.795))-2.36)),"---"),"---")</f>
        <v>---</v>
      </c>
      <c r="K63" s="11" t="str">
        <f t="shared" si="0"/>
        <v/>
      </c>
    </row>
    <row r="64" spans="2:11" x14ac:dyDescent="0.15">
      <c r="B64" s="94" t="s">
        <v>156</v>
      </c>
      <c r="C64" s="94"/>
      <c r="D64" s="94"/>
      <c r="E64" s="11" t="s">
        <v>157</v>
      </c>
      <c r="F64" s="36">
        <v>0</v>
      </c>
      <c r="G64" s="17">
        <v>44.009500000000003</v>
      </c>
      <c r="H64" s="17">
        <f ca="1">IF(G$104&lt;100,29.208,IF(G$104&lt;298.15,0.0000862432*G$104^2+0.00563705*G$104+27.7819,IF(G$104&lt;1200,24.99735+55.18696*(G$104/1000)-33.69137*(G$104/1000)^2+7.948387*(G$104/1000)^3-0.136638/(G$104/1000)^2,IF(G$104&lt;6000,58.16639+2.720074*(G$104/1000)-0.492289*(G$104/1000)^2+0.038844*(G$104/1000)^3-6.447293/(G$104/1000)^2,64.957))))</f>
        <v>50.254340686956589</v>
      </c>
      <c r="I64" s="26" t="str">
        <f>IF(G$44&gt;0,IF(F64&gt;0,IF(G$44*F64*60.795&lt;518.67,"n/a",216.59*(1+(G$44*F64*60.795-518.67)/443000)^(1/2.41)*EXP(0.0000000047*(G$44*F64*60.795-518.67))),"---"),"---")</f>
        <v>---</v>
      </c>
      <c r="J64" s="26" t="str">
        <f>IF(G$44&gt;0,IF(F64&gt;0,IF(G$44*F64*60.795&gt;7377.3,"n/a",IF(G$44*F64*60.795&lt;518.67,0.2309*LOG(G$44*F64*60.795)^3+2.0973*LOG(G$44*F64*60.795)^2+16.637*LOG(G$44*F64*60.795)+151.22,1956/(15.38-LN(G$44*F64*60.795))+2.11)),"---"),"---")</f>
        <v>---</v>
      </c>
      <c r="K64" s="11" t="str">
        <f t="shared" si="0"/>
        <v/>
      </c>
    </row>
    <row r="65" spans="2:11" x14ac:dyDescent="0.15">
      <c r="B65" s="94" t="s">
        <v>158</v>
      </c>
      <c r="C65" s="94"/>
      <c r="D65" s="94"/>
      <c r="E65" s="11" t="s">
        <v>159</v>
      </c>
      <c r="F65" s="36">
        <v>0</v>
      </c>
      <c r="G65" s="17">
        <v>64.063999999999993</v>
      </c>
      <c r="H65" s="17">
        <f ca="1">IF(G$104&lt;100,33.526,IF(G$104&lt;298.15,0.0000366431*G$104^2+0.0174671*G$104+31.4129,IF(G$104&lt;1200,21.43049+74.35094*(G$104/1000)-57.75217*(G$104/1000)^2+16.35534*(G$104/1000)^3+0.086731/(G$104/1000)^2,IF(G$104&lt;6000,57.48188+1.009328*(G$104/1000)-0.07629*(G$104/1000)^2+0.005174*(G$104/1000)^3-4.045401/(G$104/1000)^2,61.793))))</f>
        <v>51.527808811629818</v>
      </c>
      <c r="I65" s="26" t="str">
        <f>IF(G$44&gt;0,IF(F65&gt;0,IF(G$44*F65*60.795&lt;1.6744,"n/a",0.0001118*G$44*F65*60.795+197.7),"---"),"---")</f>
        <v>---</v>
      </c>
      <c r="J65" s="26" t="str">
        <f>IF(G$44&gt;0,IF(F65&gt;0,IF(G$44*F65*60.795&gt;7884,"n/a",IF(G$44*F65*60.795&lt;1.6744,1.9*LOG(G$44*F65*60.795)^2+19.9*LOG(G$44*F65*60.795)+193.15,2385/(14.94-LN(G$44*F65*60.795))+32.21)),"---"),"---")</f>
        <v>---</v>
      </c>
      <c r="K65" s="11" t="str">
        <f t="shared" si="0"/>
        <v/>
      </c>
    </row>
    <row r="66" spans="2:11" x14ac:dyDescent="0.15">
      <c r="B66" s="94" t="s">
        <v>160</v>
      </c>
      <c r="C66" s="94"/>
      <c r="D66" s="94"/>
      <c r="E66" s="11" t="s">
        <v>161</v>
      </c>
      <c r="F66" s="36">
        <v>0</v>
      </c>
      <c r="G66" s="17">
        <v>70.906000000000006</v>
      </c>
      <c r="H66" s="17">
        <f ca="1">IF(G$104&lt;100,29.299,IF(G$104&lt;298.15,-0.000000316428*G$104^3+0.000181702*G$104^2-0.00815063*G$104+28.6135,IF(G$104&lt;1000,33.0506+12.2294*(G$104/1000)-12.0651*(G$104/1000)^2+4.38533*(G$104/1000)^3-0.159494/(G$104/1000)^2,IF(G$104&lt;3000,42.6773-5.00957*(G$104/1000)+1.904621*(G$104/1000)^2-0.165641*(G$104/1000)^3-2.09848/(G$104/1000)^2,IF(G$104&lt;6000,-42.5535+41.6857*(G$104/1000)-7.12683*(G$104/1000)^2+0.387839*(G$104/1000)^3+101.144/(G$104/1000)^2,37.571)))))</f>
        <v>36.966415616609495</v>
      </c>
      <c r="I66" s="26" t="str">
        <f>IF(G$44&gt;0,IF(F66&gt;0,IF(G$44*F66*60.795&lt;1.392,"n/a",-0.0000000000409*G$44*F66*60.795^2+0.0001566*G$44*F66*60.795+171.17),"---"),"---")</f>
        <v>---</v>
      </c>
      <c r="J66" s="26" t="str">
        <f>IF(G$44&gt;0,IF(F66&gt;0,IF(G$44*F66*60.795&gt;7977,"n/a",IF(G$44*F66*60.795&lt;1.392,0.1355*LOG(G$44*F66*60.795)^3+1.9261*LOG(G$44*F66*60.795)^2+18.348*LOG(G$44*F66*60.795)+169.52,861.34/(4.0628-LOG(G$44*F66*60.795/100))-246.331+273.15)),"---"),"---")</f>
        <v>---</v>
      </c>
      <c r="K66" s="11" t="str">
        <f t="shared" si="0"/>
        <v/>
      </c>
    </row>
    <row r="67" spans="2:11" x14ac:dyDescent="0.15">
      <c r="B67" s="94" t="s">
        <v>162</v>
      </c>
      <c r="C67" s="94"/>
      <c r="D67" s="94"/>
      <c r="E67" s="11" t="s">
        <v>163</v>
      </c>
      <c r="F67" s="36">
        <v>0</v>
      </c>
      <c r="G67" s="17">
        <v>83.798000000000002</v>
      </c>
      <c r="H67" s="17">
        <v>20.786000000000001</v>
      </c>
      <c r="I67" s="26" t="str">
        <f>IF(G$44&gt;0,IF(F67&gt;0,IF(G$44*F67*60.795&lt;73.2,"n/a",0.0001512*G$44*F67*60.795+115.76),"---"),"---")</f>
        <v>---</v>
      </c>
      <c r="J67" s="26" t="str">
        <f>IF(G$44&gt;0,IF(F67&gt;0,IF(G$44*F67*60.795&gt;5525,"n/a",IF(G$44*F67*60.795&lt;73.2,0.2056*LOG(G$44*F67*60.795)^3+1.9871*LOG(G$44*F67*60.795)^2+12.48*LOG(G$44*F67*60.795)+84.15,539.004/(4.2064-LOG(G$44*F67*60.795/100))-8.855)),"---"),"---")</f>
        <v>---</v>
      </c>
      <c r="K67" s="11" t="str">
        <f t="shared" si="0"/>
        <v/>
      </c>
    </row>
    <row r="68" spans="2:11" x14ac:dyDescent="0.15">
      <c r="B68" s="100"/>
      <c r="C68" s="100"/>
      <c r="D68" s="100"/>
      <c r="E68" s="32"/>
      <c r="F68" s="36"/>
      <c r="G68" s="33"/>
      <c r="H68" s="33"/>
      <c r="I68" s="105" t="s">
        <v>379</v>
      </c>
      <c r="J68" s="105"/>
    </row>
    <row r="69" spans="2:11" x14ac:dyDescent="0.15">
      <c r="B69" s="100"/>
      <c r="C69" s="100"/>
      <c r="D69" s="100"/>
      <c r="E69" s="32"/>
      <c r="F69" s="36"/>
      <c r="G69" s="33"/>
      <c r="H69" s="33"/>
      <c r="I69" s="105" t="s">
        <v>379</v>
      </c>
      <c r="J69" s="105"/>
    </row>
    <row r="70" spans="2:11" x14ac:dyDescent="0.15">
      <c r="B70" s="100"/>
      <c r="C70" s="100"/>
      <c r="D70" s="100"/>
      <c r="E70" s="32"/>
      <c r="F70" s="36"/>
      <c r="G70" s="33"/>
      <c r="H70" s="33"/>
      <c r="I70" s="105" t="s">
        <v>375</v>
      </c>
      <c r="J70" s="105"/>
    </row>
    <row r="71" spans="2:11" x14ac:dyDescent="0.15">
      <c r="B71" s="92"/>
      <c r="C71" s="92"/>
      <c r="D71" s="92"/>
      <c r="E71" s="34"/>
      <c r="F71" s="60"/>
      <c r="G71" s="59"/>
      <c r="H71" s="59"/>
      <c r="I71" s="106" t="s">
        <v>375</v>
      </c>
      <c r="J71" s="106"/>
    </row>
    <row r="72" spans="2:11" x14ac:dyDescent="0.15">
      <c r="B72" s="11" t="s">
        <v>167</v>
      </c>
      <c r="F72" s="18">
        <f>SUM(F50:F71)</f>
        <v>1</v>
      </c>
    </row>
    <row r="74" spans="2:11" x14ac:dyDescent="0.15">
      <c r="B74" s="12" t="s">
        <v>99</v>
      </c>
    </row>
    <row r="75" spans="2:11" ht="15.75" x14ac:dyDescent="0.25">
      <c r="B75" s="12" t="s">
        <v>103</v>
      </c>
    </row>
    <row r="76" spans="2:11" x14ac:dyDescent="0.15">
      <c r="B76" s="12" t="s">
        <v>169</v>
      </c>
    </row>
    <row r="77" spans="2:11" x14ac:dyDescent="0.15">
      <c r="B77" s="12" t="s">
        <v>166</v>
      </c>
    </row>
    <row r="78" spans="2:11" x14ac:dyDescent="0.15">
      <c r="B78" s="12"/>
    </row>
    <row r="79" spans="2:11" x14ac:dyDescent="0.15">
      <c r="B79" s="90" t="s">
        <v>358</v>
      </c>
      <c r="C79" s="90"/>
      <c r="D79" s="90"/>
      <c r="E79" s="90"/>
      <c r="F79" s="90"/>
      <c r="G79" s="90"/>
      <c r="H79" s="90"/>
    </row>
    <row r="80" spans="2:11" x14ac:dyDescent="0.15">
      <c r="B80" s="90" t="s">
        <v>359</v>
      </c>
      <c r="C80" s="90"/>
      <c r="D80" s="90"/>
      <c r="E80" s="90"/>
      <c r="F80" s="90"/>
      <c r="G80" s="90"/>
      <c r="H80" s="90"/>
    </row>
    <row r="81" spans="2:8" x14ac:dyDescent="0.15">
      <c r="B81" s="12"/>
    </row>
    <row r="82" spans="2:8" x14ac:dyDescent="0.15">
      <c r="B82" s="12" t="s">
        <v>360</v>
      </c>
      <c r="G82" s="81" t="s">
        <v>355</v>
      </c>
    </row>
    <row r="83" spans="2:8" x14ac:dyDescent="0.15">
      <c r="B83" s="67" t="s">
        <v>366</v>
      </c>
    </row>
    <row r="84" spans="2:8" x14ac:dyDescent="0.15">
      <c r="B84" s="12"/>
    </row>
    <row r="85" spans="2:8" ht="15.75" customHeight="1" x14ac:dyDescent="0.15">
      <c r="B85" s="90" t="s">
        <v>308</v>
      </c>
      <c r="C85" s="90"/>
      <c r="D85" s="90"/>
      <c r="E85" s="90"/>
      <c r="F85" s="90"/>
      <c r="G85" s="90"/>
      <c r="H85" s="90"/>
    </row>
    <row r="86" spans="2:8" x14ac:dyDescent="0.15">
      <c r="B86" s="12"/>
    </row>
    <row r="87" spans="2:8" ht="15.75" x14ac:dyDescent="0.25">
      <c r="B87" s="12" t="s">
        <v>170</v>
      </c>
      <c r="F87" s="30"/>
      <c r="G87" s="65">
        <v>0.35</v>
      </c>
      <c r="H87" s="38"/>
    </row>
    <row r="89" spans="2:8" x14ac:dyDescent="0.15">
      <c r="B89" s="90" t="s">
        <v>197</v>
      </c>
      <c r="C89" s="90"/>
      <c r="D89" s="90"/>
      <c r="E89" s="90"/>
      <c r="F89" s="90"/>
      <c r="G89" s="90"/>
      <c r="H89" s="90"/>
    </row>
    <row r="90" spans="2:8" x14ac:dyDescent="0.15">
      <c r="B90" s="90" t="s">
        <v>313</v>
      </c>
      <c r="C90" s="90"/>
      <c r="D90" s="90"/>
      <c r="E90" s="90"/>
      <c r="F90" s="90"/>
      <c r="G90" s="90"/>
      <c r="H90" s="90"/>
    </row>
    <row r="91" spans="2:8" x14ac:dyDescent="0.15">
      <c r="B91" s="90" t="s">
        <v>341</v>
      </c>
      <c r="C91" s="90"/>
      <c r="D91" s="90"/>
      <c r="E91" s="90"/>
      <c r="F91" s="90"/>
      <c r="G91" s="90"/>
      <c r="H91" s="90"/>
    </row>
    <row r="93" spans="2:8" x14ac:dyDescent="0.15">
      <c r="B93" s="104" t="s">
        <v>104</v>
      </c>
      <c r="C93" s="104"/>
      <c r="D93" s="104"/>
      <c r="E93" s="104"/>
      <c r="F93" s="104"/>
      <c r="G93" s="104"/>
      <c r="H93" s="104"/>
    </row>
    <row r="95" spans="2:8" x14ac:dyDescent="0.15">
      <c r="B95" s="11" t="s">
        <v>8</v>
      </c>
    </row>
    <row r="96" spans="2:8" ht="15.75" x14ac:dyDescent="0.25">
      <c r="B96" s="12" t="s">
        <v>5</v>
      </c>
      <c r="G96" s="22">
        <f>IF(G14&gt;0,G14,IF(G15&gt;0,G15*0.0000000000667408,IF(G16&gt;0,IF(F13&gt;0,F13^2*G16*9.80665,1000000000000000000),1000000000000000000)))</f>
        <v>1.1723327948324918E+18</v>
      </c>
      <c r="H96" s="11" t="s">
        <v>89</v>
      </c>
    </row>
    <row r="97" spans="2:8" x14ac:dyDescent="0.15">
      <c r="B97" s="11" t="s">
        <v>12</v>
      </c>
    </row>
    <row r="98" spans="2:8" ht="15.75" x14ac:dyDescent="0.25">
      <c r="B98" s="12" t="s">
        <v>5</v>
      </c>
      <c r="G98" s="22">
        <f>IF(G21&gt;0,G21,IF(G22&gt;0,G22*0.0000000000667408,IF(G23&gt;0,IF(F20&gt;0,F20^2*G23*9.80665,1000000000000),1000000000000)))</f>
        <v>2718129441729434.5</v>
      </c>
      <c r="H98" s="11" t="s">
        <v>89</v>
      </c>
    </row>
    <row r="99" spans="2:8" ht="15.75" x14ac:dyDescent="0.25">
      <c r="B99" s="12" t="s">
        <v>4</v>
      </c>
      <c r="G99" s="11">
        <f>MAX(IF(G21&gt;0,IF(F20&gt;0,G21/F20^2/9.80665,1),IF(G22&gt;0,IF(F20&gt;0,G22*0.0000000000667408/F20^2/9.80665,1),IF(G23&gt;0,G23,1))),IF(F38&gt;0,F38*0.00000001,0.01))</f>
        <v>0.91888029899808443</v>
      </c>
      <c r="H99" s="11" t="s">
        <v>90</v>
      </c>
    </row>
    <row r="100" spans="2:8" x14ac:dyDescent="0.15">
      <c r="B100" s="12" t="str">
        <f>IF(G19="Planet","Orbital period","Solar orbital period (parent planet)")</f>
        <v>Orbital period</v>
      </c>
      <c r="G100" s="44">
        <f>IF(G19="Planet",2*PI()*SQRT(F25^3/G96)/3600,2*PI()*SQRT(F30^3/G96)/3600)</f>
        <v>1794.4314400282883</v>
      </c>
      <c r="H100" s="11" t="s">
        <v>342</v>
      </c>
    </row>
    <row r="101" spans="2:8" ht="15.75" x14ac:dyDescent="0.25">
      <c r="B101" s="12" t="s">
        <v>22</v>
      </c>
      <c r="G101" s="23">
        <f>IF(F11&gt;0,IF(G17&gt;0,IF(G19="Planet",IF(F25&gt;0,G17*(F11/F25)^2,1000),IF(F30&gt;0,G17*(F11/F30)^2,1000)),1000),1000)</f>
        <v>3897.3970489484195</v>
      </c>
      <c r="H101" s="11" t="s">
        <v>91</v>
      </c>
    </row>
    <row r="102" spans="2:8" x14ac:dyDescent="0.15">
      <c r="B102" s="12" t="s">
        <v>105</v>
      </c>
      <c r="G102" s="23">
        <f>(G101*(1-G24)/(4*0.000000056704))^0.25</f>
        <v>142.50432705396827</v>
      </c>
      <c r="H102" s="11" t="s">
        <v>1</v>
      </c>
    </row>
    <row r="103" spans="2:8" x14ac:dyDescent="0.15">
      <c r="B103" s="12" t="s">
        <v>45</v>
      </c>
      <c r="F103" s="21"/>
      <c r="G103" s="21">
        <f>IF(F72&gt;0,(F50*G50+F51*G51+F52*G52+F53*G53+F54*G54+F55*G55+F56*G56+F57*G57+F58*G58+F59*G59+F60*G60+F61*G61+F62*G62+F63*G63+F64*G64+F65*G65+F66*G66+F67*G67+F68*G68+F69*G69+F70*G70+F71*G71)/(SUM(F50:F67)+IF(G68&gt;0,F68,0)+IF(G69&gt;0,F69,0)+IF(G70&gt;0,F70,0)+IF(G71&gt;0,F71,0)),29)</f>
        <v>6.1814217846000004</v>
      </c>
      <c r="H103" s="11" t="s">
        <v>43</v>
      </c>
    </row>
    <row r="104" spans="2:8" x14ac:dyDescent="0.15">
      <c r="B104" s="47" t="s">
        <v>136</v>
      </c>
      <c r="G104" s="48">
        <f ca="1">(C150*I150+C151*I151+C152*I152+C153*I153+C154*I154+C155*I155+C156*I156+C157*I157+C158*I158+C159*I159+C160*I160+C161*I161+C162*I162)/SUM(I150:I162)</f>
        <v>734.60463474706307</v>
      </c>
      <c r="H104" s="11" t="s">
        <v>1</v>
      </c>
    </row>
    <row r="105" spans="2:8" x14ac:dyDescent="0.15">
      <c r="B105" s="12" t="s">
        <v>106</v>
      </c>
      <c r="G105" s="21">
        <f ca="1">IF(F72&gt;0,1/(1-8.3144621/((F50*H50+F51*H51+F52*H52+F53*H53+F54*H54+F55*H55+F56*H56+F57*H57+F58*H58+F59*H59+F60*H60+F61*H61+F62*H62+F63*H63+F64*H64+F65*H65+F66*H66+F67*H67+F68*H68+F69*H69+F70*H70+F71*H71)/(SUM(F50:F67)+IF(H68&gt;0,F68,0)+IF(H69&gt;0,F69,0)+IF(H70&gt;0,F70,0)+IF(H71&gt;0,F71,0)))),1.4)</f>
        <v>1.3465947519215355</v>
      </c>
    </row>
    <row r="106" spans="2:8" x14ac:dyDescent="0.15">
      <c r="B106" s="12" t="s">
        <v>172</v>
      </c>
      <c r="G106" s="66">
        <f ca="1">(G44*F55*760)/MAX(IF(G104&lt;381.47,10^(8.07131-1730.63/(233.426+G104-273.15)),10^(8.14019-1810.94/(244.485+G104-273.15))),0.000001)</f>
        <v>0.25309105456681297</v>
      </c>
    </row>
    <row r="107" spans="2:8" x14ac:dyDescent="0.15">
      <c r="B107" s="13"/>
      <c r="G107" s="23"/>
    </row>
    <row r="108" spans="2:8" x14ac:dyDescent="0.15">
      <c r="B108" s="103" t="s">
        <v>120</v>
      </c>
      <c r="C108" s="103"/>
      <c r="D108" s="103"/>
      <c r="E108" s="103"/>
      <c r="F108" s="103"/>
      <c r="G108" s="103"/>
      <c r="H108" s="103"/>
    </row>
    <row r="110" spans="2:8" x14ac:dyDescent="0.15">
      <c r="B110" s="11" t="s">
        <v>12</v>
      </c>
    </row>
    <row r="111" spans="2:8" x14ac:dyDescent="0.15">
      <c r="B111" s="12" t="s">
        <v>20</v>
      </c>
      <c r="G111" s="20">
        <f>ROUND(70*G101^0.25/5,0)*5</f>
        <v>555</v>
      </c>
      <c r="H111" s="11" t="s">
        <v>1</v>
      </c>
    </row>
    <row r="112" spans="2:8" x14ac:dyDescent="0.15">
      <c r="B112" s="12" t="s">
        <v>134</v>
      </c>
      <c r="F112" s="83">
        <f>LOG(IF(G44&gt;0,(((F57+F64+IF(I68="Mild greenhouse",F68,0)+IF(I69="Mild greenhouse",F69,0)+IF(I70="Mild greenhouse",F70,0)+IF(I71="Mild greenhouse",F71,0))*10+(F53+F55+F60+IF(I68="Strong greenhouse",F68,0)+IF(I69="Strong greenhouse",F69,0)+IF(I70="Strong greenhouse",F70,0)+IF(I71="Strong greenhouse",F71,0))*40+(1-F53-F55-F57-F60-F64-IF(I68&lt;&gt;"No greenhouse",F68,0)-IF(I69&lt;&gt;"No greenhouse",F69,0)-IF(I70&lt;&gt;"No greenhouse",F70,0)-IF(I71&lt;&gt;"No greenhouse",F71,0)))*G44/G99),1))</f>
        <v>3.9786418009795419</v>
      </c>
      <c r="G112" s="20">
        <f>(G101*(1-G24)/4/IF(F112&lt;3.00607947,MIN(-0.0276*F112^3+0.08774*F112^2-0.2178*F112+0.6126,0.9),0.001)/0.000000056704)^0.25-G102</f>
        <v>658.85639415490596</v>
      </c>
      <c r="H112" s="11" t="s">
        <v>1</v>
      </c>
    </row>
    <row r="113" spans="1:11" x14ac:dyDescent="0.15">
      <c r="B113" s="12" t="s">
        <v>357</v>
      </c>
      <c r="G113" s="20">
        <f>G112*IF(G82=10%,-0.03,IF(G82=25%,-0.07,IF(G82=50%,-0.16,IF(G82=75%,-0.29,IF(G82=90%,-0.44,0)))))</f>
        <v>0</v>
      </c>
      <c r="H113" s="11" t="s">
        <v>1</v>
      </c>
    </row>
    <row r="114" spans="1:11" x14ac:dyDescent="0.15">
      <c r="A114" s="13"/>
      <c r="B114" s="12" t="s">
        <v>25</v>
      </c>
      <c r="G114" s="30">
        <f>IF(G44&gt;0,IF(G102*(-0.096*LOG(G44*101325*G103/(8314.46*(G102+G112)))+0.192)&gt;0,ROUND(G102*(-0.096*LOG(G44*101325*G103/(8314.46*(G102+G112)))+0.192),0),0),0)</f>
        <v>1</v>
      </c>
      <c r="H114" s="11" t="s">
        <v>1</v>
      </c>
    </row>
    <row r="115" spans="1:11" x14ac:dyDescent="0.15">
      <c r="A115" s="13"/>
      <c r="B115" s="12" t="s">
        <v>26</v>
      </c>
      <c r="G115" s="30">
        <f>IF(G44&gt;0,IF(G102*(-0.028*LOG(G44*101325*G103/(8314.46*(G102+G112)))+0.056)&gt;0,ROUND(G102*(-0.028*LOG(G44*101325*G103/(8314.46*(G102+G112)))+0.056),0),0),0)</f>
        <v>0</v>
      </c>
      <c r="H115" s="11" t="s">
        <v>1</v>
      </c>
    </row>
    <row r="116" spans="1:11" x14ac:dyDescent="0.15">
      <c r="A116" s="13"/>
      <c r="B116" s="12" t="s">
        <v>27</v>
      </c>
      <c r="G116" s="30">
        <f>IF(G44&gt;0,IF(G102*(-0.086*LOG(G44*101325*G103/(8314.46*(G102+G112)))+0.172)&gt;0,ROUND(G102*(-0.086*LOG(G44*101325*G103/(8314.46*(G102+G112)))+0.172),0),0),0)</f>
        <v>1</v>
      </c>
      <c r="H116" s="11" t="s">
        <v>1</v>
      </c>
    </row>
    <row r="117" spans="1:11" x14ac:dyDescent="0.15">
      <c r="A117" s="13"/>
      <c r="B117" s="12" t="s">
        <v>29</v>
      </c>
      <c r="G117" s="45">
        <f>IF(G19="Planet",(COS(RADIANS(38.2425-G27))*G101*(1-G24)/(PI()*0.000000056704))^0.25-(COS(RADIANS(38.2425+G27))*G101*(1-G24)/(PI()*0.000000056704))^0.25,(COS(RADIANS(38.2425-G32))*G101*(1-G24)/(PI()*0.000000056704))^0.25-(COS(RADIANS(38.2425+G32))*G101*(1-G24)/(PI()*0.000000056704))^0.25)</f>
        <v>69.760027001346714</v>
      </c>
      <c r="H117" s="11" t="s">
        <v>1</v>
      </c>
    </row>
    <row r="118" spans="1:11" x14ac:dyDescent="0.15">
      <c r="A118" s="13"/>
      <c r="B118" s="12" t="s">
        <v>30</v>
      </c>
      <c r="G118" s="45">
        <f>IF(G19="Planet",IF(F25&gt;0,((F11/(F25*(1-G26)))^2*G17*(1-G24)/(4*0.000000056704))^0.25-((F11/(F25*(1+G26)))^2*G17*(1-G24)/(4*0.000000056704))^0.25,0),IF(F30&gt;0,((F11/(F30*(1-G31)))^2*G17*(1-G24)/(4*0.000000056704))^0.25-((F11/(F30*(1+G31)))^2*G17*(1-G24)/(4*0.000000056704))^0.25,0))</f>
        <v>4.6304040411769734</v>
      </c>
      <c r="H118" s="11" t="s">
        <v>1</v>
      </c>
      <c r="K118" s="20"/>
    </row>
    <row r="119" spans="1:11" x14ac:dyDescent="0.15">
      <c r="A119" s="13"/>
      <c r="B119" s="12" t="s">
        <v>137</v>
      </c>
      <c r="G119" s="21">
        <f>IF(F20&gt;0,IF(G100&gt;0,IF((G100*(F38/F20)^0.5)^(2/3)&lt;400,0.0009*(G100*(F38/F20)^0.5)^(2/3),IF((G100*(F38/F20)^0.5)^(2/3)&lt;1600,-0.0000003333333333*((G100*(F38/F20)^0.5)^(2/3))^2+0.0012*((G100*(F38/F20)^0.5)^(2/3))-0.06666666667,1)),1),1)</f>
        <v>0.13340234012595897</v>
      </c>
      <c r="I119" s="23"/>
      <c r="K119" s="20"/>
    </row>
    <row r="120" spans="1:11" x14ac:dyDescent="0.15">
      <c r="A120" s="13"/>
      <c r="G120" s="19"/>
    </row>
    <row r="121" spans="1:11" x14ac:dyDescent="0.15">
      <c r="A121" s="13"/>
      <c r="B121" s="91" t="s">
        <v>329</v>
      </c>
      <c r="C121" s="91"/>
      <c r="D121" s="91"/>
      <c r="E121" s="91"/>
      <c r="F121" s="91"/>
      <c r="G121" s="91"/>
      <c r="H121" s="91"/>
    </row>
    <row r="122" spans="1:11" x14ac:dyDescent="0.15">
      <c r="A122" s="13"/>
      <c r="B122" s="90" t="s">
        <v>330</v>
      </c>
      <c r="C122" s="90"/>
      <c r="D122" s="90"/>
      <c r="E122" s="90"/>
      <c r="F122" s="90"/>
      <c r="G122" s="90"/>
      <c r="H122" s="90"/>
    </row>
    <row r="123" spans="1:11" x14ac:dyDescent="0.15">
      <c r="A123" s="13"/>
      <c r="G123" s="19"/>
    </row>
    <row r="124" spans="1:11" x14ac:dyDescent="0.15">
      <c r="A124" s="13"/>
      <c r="B124" s="12" t="s">
        <v>348</v>
      </c>
      <c r="G124" s="19">
        <f>IF(F20&gt;0,IF(F38&gt;0,F20/F38,0.1),0.1)</f>
        <v>0.98876008027212825</v>
      </c>
    </row>
    <row r="125" spans="1:11" x14ac:dyDescent="0.15">
      <c r="A125" s="13"/>
      <c r="B125" s="12" t="s">
        <v>315</v>
      </c>
      <c r="G125" s="20">
        <f ca="1">(F150-F166)/LN(H166/H150)</f>
        <v>75295.373142959797</v>
      </c>
      <c r="H125" s="11" t="s">
        <v>0</v>
      </c>
    </row>
    <row r="126" spans="1:11" x14ac:dyDescent="0.15">
      <c r="A126" s="13"/>
      <c r="B126" s="12" t="s">
        <v>60</v>
      </c>
      <c r="G126" s="19">
        <f ca="1">(G124-0.09412)/0.90588*(1-IF(G125&gt;3344.087,0.16684*LOG(G125)^2-1.8388*LOG(G125)+5.4082,1))+IF(G125&gt;3344.087,0.16684*LOG(G125)^2-1.8388*LOG(G125)+5.4082,1)</f>
        <v>0.99266370688407179</v>
      </c>
    </row>
    <row r="127" spans="1:11" x14ac:dyDescent="0.15">
      <c r="A127" s="13"/>
    </row>
    <row r="128" spans="1:11" ht="15.75" x14ac:dyDescent="0.25">
      <c r="A128" s="13"/>
      <c r="B128" s="12" t="s">
        <v>107</v>
      </c>
      <c r="F128" s="42" t="s">
        <v>108</v>
      </c>
      <c r="G128" s="40">
        <f ca="1">G126</f>
        <v>0.99266370688407179</v>
      </c>
    </row>
    <row r="129" spans="1:17" x14ac:dyDescent="0.15">
      <c r="A129" s="13"/>
      <c r="B129" s="12" t="s">
        <v>339</v>
      </c>
      <c r="G129" s="46">
        <f ca="1">'Other CFG'!B11</f>
        <v>1000000</v>
      </c>
      <c r="H129" s="11" t="s">
        <v>0</v>
      </c>
    </row>
    <row r="131" spans="1:17" x14ac:dyDescent="0.15">
      <c r="B131" s="90" t="s">
        <v>346</v>
      </c>
      <c r="C131" s="90"/>
      <c r="D131" s="90"/>
      <c r="E131" s="90"/>
      <c r="F131" s="90"/>
      <c r="G131" s="90"/>
      <c r="H131" s="90"/>
      <c r="I131" s="90"/>
      <c r="J131" s="90"/>
      <c r="K131" s="90"/>
      <c r="L131" s="90"/>
      <c r="M131" s="90"/>
      <c r="N131" s="90"/>
      <c r="O131" s="90"/>
      <c r="P131" s="90"/>
      <c r="Q131" s="90"/>
    </row>
    <row r="132" spans="1:17" x14ac:dyDescent="0.15">
      <c r="B132" s="90" t="s">
        <v>326</v>
      </c>
      <c r="C132" s="90"/>
      <c r="D132" s="90"/>
      <c r="E132" s="90"/>
      <c r="F132" s="90"/>
      <c r="G132" s="90"/>
      <c r="H132" s="90"/>
      <c r="I132" s="90"/>
      <c r="J132" s="90"/>
      <c r="K132" s="90"/>
      <c r="L132" s="90"/>
      <c r="M132" s="90"/>
      <c r="N132" s="90"/>
      <c r="O132" s="90"/>
      <c r="P132" s="90"/>
      <c r="Q132" s="90"/>
    </row>
    <row r="133" spans="1:17" x14ac:dyDescent="0.15">
      <c r="B133" s="90" t="s">
        <v>325</v>
      </c>
      <c r="C133" s="90"/>
      <c r="D133" s="90"/>
      <c r="E133" s="90"/>
      <c r="F133" s="90"/>
      <c r="G133" s="90"/>
      <c r="H133" s="90"/>
      <c r="I133" s="90"/>
      <c r="J133" s="90"/>
      <c r="K133" s="90"/>
      <c r="L133" s="90"/>
      <c r="M133" s="90"/>
      <c r="N133" s="90"/>
      <c r="O133" s="90"/>
      <c r="P133" s="90"/>
      <c r="Q133" s="90"/>
    </row>
    <row r="134" spans="1:17" x14ac:dyDescent="0.15">
      <c r="J134" s="20"/>
    </row>
    <row r="135" spans="1:17" x14ac:dyDescent="0.15">
      <c r="B135" s="12" t="s">
        <v>119</v>
      </c>
      <c r="J135" s="20"/>
    </row>
    <row r="136" spans="1:17" x14ac:dyDescent="0.15">
      <c r="B136" s="12" t="s">
        <v>109</v>
      </c>
      <c r="J136" s="20"/>
    </row>
    <row r="137" spans="1:17" x14ac:dyDescent="0.15">
      <c r="B137" s="12" t="s">
        <v>110</v>
      </c>
      <c r="J137" s="20"/>
    </row>
    <row r="138" spans="1:17" x14ac:dyDescent="0.15">
      <c r="B138" s="12" t="s">
        <v>111</v>
      </c>
      <c r="J138" s="20"/>
    </row>
    <row r="139" spans="1:17" x14ac:dyDescent="0.15">
      <c r="B139" s="12" t="s">
        <v>112</v>
      </c>
      <c r="J139" s="20"/>
    </row>
    <row r="140" spans="1:17" ht="15.75" x14ac:dyDescent="0.25">
      <c r="B140" s="12" t="s">
        <v>113</v>
      </c>
      <c r="J140" s="20"/>
    </row>
    <row r="141" spans="1:17" ht="15.75" x14ac:dyDescent="0.25">
      <c r="B141" s="39" t="s">
        <v>115</v>
      </c>
      <c r="J141" s="20"/>
      <c r="M141" s="64"/>
      <c r="O141" s="64"/>
      <c r="Q141" s="64"/>
    </row>
    <row r="142" spans="1:17" ht="15.75" x14ac:dyDescent="0.25">
      <c r="B142" s="39" t="s">
        <v>114</v>
      </c>
      <c r="J142" s="20"/>
    </row>
    <row r="143" spans="1:17" ht="15.75" x14ac:dyDescent="0.25">
      <c r="B143" s="39" t="s">
        <v>117</v>
      </c>
      <c r="J143" s="20"/>
    </row>
    <row r="144" spans="1:17" ht="15.75" x14ac:dyDescent="0.25">
      <c r="B144" s="39" t="s">
        <v>118</v>
      </c>
      <c r="J144" s="20"/>
      <c r="K144" s="44" t="s">
        <v>356</v>
      </c>
      <c r="L144" s="79">
        <f>IF(G124&lt;1,46.5182*LOG(G124)^2+1,1)</f>
        <v>1.0011210433200115</v>
      </c>
      <c r="M144" s="11" t="s">
        <v>349</v>
      </c>
    </row>
    <row r="145" spans="1:17" x14ac:dyDescent="0.15">
      <c r="C145" s="14"/>
    </row>
    <row r="146" spans="1:17" x14ac:dyDescent="0.15">
      <c r="B146" s="14"/>
      <c r="C146" s="14" t="s">
        <v>18</v>
      </c>
      <c r="F146" s="14"/>
      <c r="N146" s="14" t="s">
        <v>62</v>
      </c>
      <c r="O146" s="14" t="s">
        <v>19</v>
      </c>
      <c r="P146" s="14" t="s">
        <v>28</v>
      </c>
      <c r="Q146" s="14" t="s">
        <v>64</v>
      </c>
    </row>
    <row r="147" spans="1:17" ht="15.75" x14ac:dyDescent="0.25">
      <c r="B147" s="14" t="s">
        <v>49</v>
      </c>
      <c r="C147" s="14" t="s">
        <v>2</v>
      </c>
      <c r="D147" s="14" t="s">
        <v>32</v>
      </c>
      <c r="E147" s="14" t="s">
        <v>31</v>
      </c>
      <c r="F147" s="14" t="s">
        <v>46</v>
      </c>
      <c r="G147" s="14" t="s">
        <v>59</v>
      </c>
      <c r="H147" s="14" t="s">
        <v>53</v>
      </c>
      <c r="I147" s="14" t="s">
        <v>48</v>
      </c>
      <c r="J147" s="24" t="s">
        <v>116</v>
      </c>
      <c r="K147" s="24" t="s">
        <v>58</v>
      </c>
      <c r="L147" s="24" t="s">
        <v>47</v>
      </c>
      <c r="M147" s="24" t="s">
        <v>55</v>
      </c>
      <c r="N147" s="14" t="s">
        <v>63</v>
      </c>
      <c r="O147" s="14" t="s">
        <v>2</v>
      </c>
      <c r="P147" s="14" t="s">
        <v>17</v>
      </c>
      <c r="Q147" s="14" t="s">
        <v>65</v>
      </c>
    </row>
    <row r="148" spans="1:17" ht="15.75" x14ac:dyDescent="0.25">
      <c r="B148" s="14" t="s">
        <v>50</v>
      </c>
      <c r="C148" s="14" t="s">
        <v>1</v>
      </c>
      <c r="D148" s="14" t="s">
        <v>61</v>
      </c>
      <c r="E148" s="14" t="s">
        <v>52</v>
      </c>
      <c r="F148" s="14" t="s">
        <v>0</v>
      </c>
      <c r="G148" s="14" t="s">
        <v>0</v>
      </c>
      <c r="H148" s="14" t="s">
        <v>54</v>
      </c>
      <c r="I148" s="14" t="s">
        <v>95</v>
      </c>
      <c r="J148" s="24" t="s">
        <v>56</v>
      </c>
      <c r="K148" s="24" t="s">
        <v>56</v>
      </c>
      <c r="L148" s="24" t="s">
        <v>54</v>
      </c>
      <c r="M148" s="24" t="s">
        <v>57</v>
      </c>
      <c r="N148" s="14" t="s">
        <v>0</v>
      </c>
      <c r="O148" s="14" t="s">
        <v>1</v>
      </c>
      <c r="P148" s="25" t="s">
        <v>51</v>
      </c>
      <c r="Q148" s="25" t="s">
        <v>51</v>
      </c>
    </row>
    <row r="149" spans="1:17" x14ac:dyDescent="0.15">
      <c r="B149" s="14"/>
      <c r="D149" s="14"/>
      <c r="E149" s="26"/>
      <c r="O149" s="14"/>
    </row>
    <row r="150" spans="1:17" x14ac:dyDescent="0.15">
      <c r="B150" s="27">
        <f>LOG(IF(G44&gt;=0.001,G44,0.001))</f>
        <v>2.9524776228187055</v>
      </c>
      <c r="C150" s="61">
        <f t="shared" ref="C150:C192" ca="1" si="1">IF(B150&lt;-10,(0.00109375*B150^3+0.036875*B150^2+0.309375*B150+0.635)*(G$111-IF(G$102&lt;40,0.95,IF(G$102&lt;160,-0.0025*G$102+1.05,0.65))*G$102)+IF(G$102&lt;40,0.95,IF(G$102&lt;160,-0.0025*G$102+1.05,0.65))*G$102,IF(B150&lt;-7.5,(0.00128*B150^3+0.0536*B150^2+0.588*B150+1.935)*(G$111-IF(G$102&lt;40,0.95,IF(G$102&lt;160,-0.0025*G$102+1.05,0.65))*G$102)+IF(G$102&lt;40,0.95,IF(G$102&lt;160,-0.0025*G$102+1.05,0.65))*G$102,0))+IF(B150&lt;-7.5,0,IF(B150&lt;-4,(-0.00583090379*B150^3-0.02915451895*B150^2+0.5466472303*B150+3.279883382)*((IF(G$102&lt;40,0.95,IF(G$102&lt;160,-0.0025*G$102+1.05,0.65))*0.7+0.3)-IF(G$102&lt;40,0.95,IF(G$102&lt;160,-0.0025*G$102+1.05,0.65)))+IF(G$102&lt;40,0.95,IF(G$102&lt;160,-0.0025*G$102+1.05,0.65)),0))*G$102+IF(B150&lt;-4,0,(0.00125*((4/(B$150+4))*(B150-B$150))^3+0.0225*((4/(B$150+4))*(B150-B$150))^2+0.32*((4/(B$150+4))*(B150-B$150))+1)*(1-(IF(G$102&lt;40,0.95,IF(G$102&lt;160,-0.0025*G$102+1.05,0.65))*0.7+0.3))+(IF(G$102&lt;40,0.95,IF(G$102&lt;160,-0.0025*G$102+1.05,0.65))*0.7+0.3))*G$102+IF(B150&gt;-4,0.0625*((4/(B$150+4))*(B150-B$150))^2+0.5*((4/(B$150+4))*(B150-B$150))+1,0)*(G$112+G$113-D$151*(-2000*G$87+2000))+IF(G$44&gt;0,IF(B150&lt;-8,0,IF(B150&lt;-4.5,-0.04664723032*B150^3-0.8746355685*B150^2-5.037900875*B150-8.209912536,IF(B150&lt;IF(LOG(G$44)&lt;0,2/3*LOG(G$44)-1,-1),-2*(1/(-4.5-IF(LOG(G$44)&lt;0,2/3*LOG(G$44)-1,-1))*(B150-IF(LOG(G$44)&lt;0,2/3*LOG(G$44)-1,-1)))^3+3*(1/(-4.5-IF(LOG(G$44)&lt;0,2/3*LOG(G$44)-1,-1))*(B150-IF(LOG(G$44)&lt;0,2/3*LOG(G$44)-1,-1)))^2,0))),0)*IF(G$102&gt;81,9*G$102^0.5,G$102)*IF(G$82="None",0,G$82)+IF(B150&lt;-5,0,IF(B150&lt;-3,-0.25*B150^3-3*B150^2-11.25*B150-12.5,IF(B150&lt;-1,0.25*B150^3+1.5*B150^2+2.25*B150+1,0)))*IF((G$44/G$99*F$61)&lt;1,0.3645833333*(G$44/G$99*F$61)^3-1.0625*(G$44/G$99*F$61)^2+1.03125*(G$44/G$99*F$61),1/3)*G$102*IF(G$82="None",1,1-G$82)</f>
        <v>802.29387453504103</v>
      </c>
      <c r="D150" s="14"/>
      <c r="E150" s="26">
        <v>0</v>
      </c>
      <c r="F150" s="26">
        <v>0</v>
      </c>
      <c r="G150" s="26">
        <f t="shared" ref="G150:G192" ca="1" si="2">8314.4621*C150/(G$103*G$99*9.80665)</f>
        <v>119756.65038623739</v>
      </c>
      <c r="H150" s="28">
        <f t="shared" ref="H150:H180" si="3">10^B150*101325</f>
        <v>90822663.750000104</v>
      </c>
      <c r="I150" s="28">
        <f t="shared" ref="I150:I180" ca="1" si="4">H150/(8314.4621/G$103*C150)</f>
        <v>84.161792996136143</v>
      </c>
      <c r="J150" s="26">
        <f t="shared" ref="J150:J180" ca="1" si="5">SQRT(8314.4621/G$103*G$105*C150)</f>
        <v>1205.4746633210848</v>
      </c>
      <c r="K150" s="26">
        <f t="shared" ref="K150:K192" ca="1" si="6">IF(F$20&gt;0,SQRT(2*G$98/(F$20+N150)),10000)</f>
        <v>17692.020562843289</v>
      </c>
      <c r="L150" s="28">
        <f t="shared" ref="L150:L180" ca="1" si="7">I150*K150^2/2</f>
        <v>13171640065.063772</v>
      </c>
      <c r="M150" s="28">
        <f t="shared" ref="M150:M180" ca="1" si="8">I150*K150^3/2</f>
        <v>233032926877478.81</v>
      </c>
      <c r="N150" s="26">
        <f t="shared" ref="N150:N153" ca="1" si="9">F150*IF(G$128&gt;0,G$128,0.5)</f>
        <v>0</v>
      </c>
      <c r="O150" s="26">
        <f t="shared" ref="O150:O192" ca="1" si="10">C150-P150*(G$115+(G$114-G$115)*COS(RADIANS(38)))/2</f>
        <v>801.89986915823772</v>
      </c>
      <c r="P150" s="29">
        <f ca="1">IF(IF(G$129&lt;100000,G$129,100000)&gt;0,IF(N150&lt;IF(G$129&lt;100000,G$129,100000)/3,0.6*(N150*3/IF(G$129&lt;100000,G$129,100000))^3+0.1*(N150*3/IF(G$129&lt;100000,G$129,100000))^2-2*(N150*3/IF(G$129&lt;100000,G$129,100000))+1,0)+IF(N150&lt;IF(G$129&lt;100000,G$129,100000)/3,0,IF(ROUND(N150,-3)&lt;=IF(G$129&lt;100000,G$129,100000),(-2*((N150-IF(G$129&lt;100000,G$129,100000)/3)/(2/3*IF(G$129&lt;100000,G$129,100000)))^3+3*((N150-IF(G$129&lt;100000,G$129,100000)/3)/(2/3*IF(G$129&lt;100000,G$129,100000)))^2)*(G$101^0.25*5/IF(G$114+G$116&gt;5,G$114+G$116,5)+0.3)-0.3,5*G$101^0.25/IF(G$114+G$116&gt;5,G$114+G$116,5))),0)</f>
        <v>1</v>
      </c>
      <c r="Q150" s="14" t="str">
        <f t="shared" ref="Q150:Q190" ca="1" si="11">IF(L150&gt;L$144,"|",IF(L149&gt;L$144,"V",""))</f>
        <v>|</v>
      </c>
    </row>
    <row r="151" spans="1:17" x14ac:dyDescent="0.15">
      <c r="A151" s="20"/>
      <c r="B151" s="27">
        <f>B150-0.25</f>
        <v>2.7024776228187055</v>
      </c>
      <c r="C151" s="62">
        <f t="shared" ca="1" si="1"/>
        <v>754.30499774037764</v>
      </c>
      <c r="D151" s="28">
        <f t="shared" ref="D151:D192" ca="1" si="12">(C151-C150)/(E151-E150)</f>
        <v>-7.178102508975042E-4</v>
      </c>
      <c r="E151" s="26">
        <f ca="1">IF(D151=0,(8314.4621*C150*LN(H151/H150)/(-G$99*9.80665*G$103)),C150/D151*(1/(H151/H150)^(8314.4621*D151/(G$99*9.80665*G$103))-1))+E150</f>
        <v>66854.543710766549</v>
      </c>
      <c r="F151" s="26">
        <f t="shared" ref="F151:F185" ca="1" si="13">F$38*E151/(F$38-E151)</f>
        <v>67109.968845370458</v>
      </c>
      <c r="G151" s="26">
        <f t="shared" ca="1" si="2"/>
        <v>112593.45579740009</v>
      </c>
      <c r="H151" s="28">
        <f t="shared" si="3"/>
        <v>51073337.090492524</v>
      </c>
      <c r="I151" s="28">
        <f t="shared" ca="1" si="4"/>
        <v>50.338639114949729</v>
      </c>
      <c r="J151" s="26">
        <f t="shared" ca="1" si="5"/>
        <v>1168.8663099183823</v>
      </c>
      <c r="K151" s="26">
        <f t="shared" ca="1" si="6"/>
        <v>17658.187276296805</v>
      </c>
      <c r="L151" s="28">
        <f t="shared" ca="1" si="7"/>
        <v>7848085245.5022488</v>
      </c>
      <c r="M151" s="28">
        <f t="shared" ca="1" si="8"/>
        <v>138582959025420.48</v>
      </c>
      <c r="N151" s="26">
        <f t="shared" ca="1" si="9"/>
        <v>66617.63044292001</v>
      </c>
      <c r="O151" s="26">
        <f t="shared" ca="1" si="10"/>
        <v>752.81110388915363</v>
      </c>
      <c r="P151" s="29">
        <f t="shared" ref="P151:P192" ca="1" si="14">IF(IF(G$129&lt;100000,G$129,100000)&gt;0,IF(N151&lt;IF(G$129&lt;100000,G$129,100000)/3,0.6*(N151*3/IF(G$129&lt;100000,G$129,100000))^3+0.1*(N151*3/IF(G$129&lt;100000,G$129,100000))^2-2*(N151*3/IF(G$129&lt;100000,G$129,100000))+1,0)+IF(N151&lt;IF(G$129&lt;100000,G$129,100000)/3,0,IF(ROUND(N151,-3)&lt;=IF(G$129&lt;100000,G$129,100000),(-2*((N151-IF(G$129&lt;100000,G$129,100000)/3)/(2/3*IF(G$129&lt;100000,G$129,100000)))^3+3*((N151-IF(G$129&lt;100000,G$129,100000)/3)/(2/3*IF(G$129&lt;100000,G$129,100000)))^2)*(G$101^0.25*5/IF(G$114+G$116&gt;5,G$114+G$116,5)+0.3)-0.3,5*G$101^0.25/IF(G$114+G$116&gt;5,G$114+G$116,5))),0)</f>
        <v>3.7915570171763431</v>
      </c>
      <c r="Q151" s="14" t="str">
        <f t="shared" ca="1" si="11"/>
        <v>|</v>
      </c>
    </row>
    <row r="152" spans="1:17" x14ac:dyDescent="0.15">
      <c r="A152" s="20"/>
      <c r="B152" s="27">
        <f t="shared" ref="B152:B192" si="15">B151-0.25</f>
        <v>2.4524776228187055</v>
      </c>
      <c r="C152" s="62">
        <f t="shared" ca="1" si="1"/>
        <v>708.0501053111235</v>
      </c>
      <c r="D152" s="28">
        <f t="shared" ca="1" si="12"/>
        <v>-7.3647475118718731E-4</v>
      </c>
      <c r="E152" s="26">
        <f t="shared" ref="E152:E192" ca="1" si="16">IF(D152=0,(8314.4621*C151*LN(H152/H151)/(-G$99*9.80665*G$103)),C151/D152*(1/(H152/H151)^(8314.4621*D152/(G$99*9.80665*G$103))-1))+E151</f>
        <v>129660.35253814593</v>
      </c>
      <c r="F152" s="26">
        <f t="shared" ca="1" si="13"/>
        <v>130624.57613827888</v>
      </c>
      <c r="G152" s="26">
        <f t="shared" ca="1" si="2"/>
        <v>105689.08925899987</v>
      </c>
      <c r="H152" s="28">
        <f t="shared" si="3"/>
        <v>28720648.061360963</v>
      </c>
      <c r="I152" s="28">
        <f t="shared" ca="1" si="4"/>
        <v>30.156745012408773</v>
      </c>
      <c r="J152" s="26">
        <f t="shared" ca="1" si="5"/>
        <v>1132.4612343406529</v>
      </c>
      <c r="K152" s="26">
        <f t="shared" ca="1" si="6"/>
        <v>17626.344712713904</v>
      </c>
      <c r="L152" s="28">
        <f t="shared" ca="1" si="7"/>
        <v>4684669818.3679447</v>
      </c>
      <c r="M152" s="28">
        <f t="shared" ca="1" si="8"/>
        <v>82573605083800.234</v>
      </c>
      <c r="N152" s="26">
        <f t="shared" ca="1" si="9"/>
        <v>129666.27595958459</v>
      </c>
      <c r="O152" s="26">
        <f t="shared" ca="1" si="10"/>
        <v>704.93698567013769</v>
      </c>
      <c r="P152" s="29">
        <f t="shared" ca="1" si="14"/>
        <v>7.9012110602225247</v>
      </c>
      <c r="Q152" s="14" t="str">
        <f t="shared" ca="1" si="11"/>
        <v>|</v>
      </c>
    </row>
    <row r="153" spans="1:17" x14ac:dyDescent="0.15">
      <c r="A153" s="20"/>
      <c r="B153" s="27">
        <f t="shared" si="15"/>
        <v>2.2024776228187055</v>
      </c>
      <c r="C153" s="62">
        <f t="shared" ca="1" si="1"/>
        <v>663.5285154425743</v>
      </c>
      <c r="D153" s="28">
        <f t="shared" ca="1" si="12"/>
        <v>-7.5580662517043238E-4</v>
      </c>
      <c r="E153" s="26">
        <f t="shared" ca="1" si="16"/>
        <v>188566.41182084929</v>
      </c>
      <c r="F153" s="26">
        <f t="shared" ca="1" si="13"/>
        <v>190612.6763733775</v>
      </c>
      <c r="G153" s="26">
        <f t="shared" ca="1" si="2"/>
        <v>99043.448999541011</v>
      </c>
      <c r="H153" s="28">
        <f t="shared" si="3"/>
        <v>16150807.291151367</v>
      </c>
      <c r="I153" s="28">
        <f t="shared" ca="1" si="4"/>
        <v>18.096261524372686</v>
      </c>
      <c r="J153" s="26">
        <f t="shared" ca="1" si="5"/>
        <v>1096.2791247873449</v>
      </c>
      <c r="K153" s="26">
        <f t="shared" ca="1" si="6"/>
        <v>17596.427775819506</v>
      </c>
      <c r="L153" s="28">
        <f t="shared" ca="1" si="7"/>
        <v>2801611367.6634054</v>
      </c>
      <c r="M153" s="28">
        <f t="shared" ca="1" si="8"/>
        <v>49298352087004.023</v>
      </c>
      <c r="N153" s="26">
        <f t="shared" ca="1" si="9"/>
        <v>189214.28590789085</v>
      </c>
      <c r="O153" s="26">
        <f t="shared" ca="1" si="10"/>
        <v>660.41539580158849</v>
      </c>
      <c r="P153" s="29">
        <f t="shared" ca="1" si="14"/>
        <v>7.9012110602225247</v>
      </c>
      <c r="Q153" s="14" t="str">
        <f t="shared" ca="1" si="11"/>
        <v>|</v>
      </c>
    </row>
    <row r="154" spans="1:17" x14ac:dyDescent="0.15">
      <c r="A154" s="20"/>
      <c r="B154" s="27">
        <f t="shared" si="15"/>
        <v>1.9524776228187055</v>
      </c>
      <c r="C154" s="62">
        <f t="shared" ca="1" si="1"/>
        <v>620.73954633002541</v>
      </c>
      <c r="D154" s="28">
        <f t="shared" ca="1" si="12"/>
        <v>-7.7579156403435564E-4</v>
      </c>
      <c r="E154" s="26">
        <f t="shared" ca="1" si="16"/>
        <v>243721.65080029028</v>
      </c>
      <c r="F154" s="26">
        <f t="shared" ca="1" si="13"/>
        <v>247150.92342977875</v>
      </c>
      <c r="G154" s="26">
        <f t="shared" ca="1" si="2"/>
        <v>92656.433247527777</v>
      </c>
      <c r="H154" s="28">
        <f t="shared" si="3"/>
        <v>9082266.3750000093</v>
      </c>
      <c r="I154" s="28">
        <f t="shared" ca="1" si="4"/>
        <v>10.877749192861446</v>
      </c>
      <c r="J154" s="26">
        <f t="shared" ca="1" si="5"/>
        <v>1060.3422240067948</v>
      </c>
      <c r="K154" s="26">
        <f t="shared" ca="1" si="6"/>
        <v>17568.370325550102</v>
      </c>
      <c r="L154" s="28">
        <f t="shared" ca="1" si="7"/>
        <v>1678695786.1213555</v>
      </c>
      <c r="M154" s="28">
        <f t="shared" ca="1" si="8"/>
        <v>29491949234520.426</v>
      </c>
      <c r="N154" s="26">
        <f ca="1">F154*IF(G$128&gt;0,G$128,0.5)</f>
        <v>245337.75181162555</v>
      </c>
      <c r="O154" s="26">
        <f t="shared" ca="1" si="10"/>
        <v>617.62642668903959</v>
      </c>
      <c r="P154" s="29">
        <f t="shared" ca="1" si="14"/>
        <v>7.9012110602225247</v>
      </c>
      <c r="Q154" s="14" t="str">
        <f t="shared" ca="1" si="11"/>
        <v>|</v>
      </c>
    </row>
    <row r="155" spans="1:17" x14ac:dyDescent="0.15">
      <c r="A155" s="20"/>
      <c r="B155" s="27">
        <f t="shared" si="15"/>
        <v>1.7024776228187055</v>
      </c>
      <c r="C155" s="62">
        <f t="shared" ca="1" si="1"/>
        <v>579.68251616877274</v>
      </c>
      <c r="D155" s="28">
        <f t="shared" ca="1" si="12"/>
        <v>-7.9639977293521251E-4</v>
      </c>
      <c r="E155" s="26">
        <f t="shared" ca="1" si="16"/>
        <v>295274.94294894708</v>
      </c>
      <c r="F155" s="26">
        <f t="shared" ca="1" si="13"/>
        <v>300323.43269172218</v>
      </c>
      <c r="G155" s="26">
        <f t="shared" ca="1" si="2"/>
        <v>86527.940231464512</v>
      </c>
      <c r="H155" s="28">
        <f t="shared" si="3"/>
        <v>5107333.7090492519</v>
      </c>
      <c r="I155" s="28">
        <f t="shared" ca="1" si="4"/>
        <v>6.550255701139827</v>
      </c>
      <c r="J155" s="26">
        <f t="shared" ca="1" si="5"/>
        <v>1024.6757292211371</v>
      </c>
      <c r="K155" s="26">
        <f t="shared" ca="1" si="6"/>
        <v>17542.105239009976</v>
      </c>
      <c r="L155" s="28">
        <f t="shared" ca="1" si="7"/>
        <v>1007840211.9839957</v>
      </c>
      <c r="M155" s="28">
        <f t="shared" ca="1" si="8"/>
        <v>17679639062729.379</v>
      </c>
      <c r="N155" s="26">
        <f t="shared" ref="N155:N180" ca="1" si="17">F155*IF(G$128&gt;0,G$128,0.5)</f>
        <v>298120.17195991398</v>
      </c>
      <c r="O155" s="26">
        <f t="shared" ca="1" si="10"/>
        <v>576.56939652778692</v>
      </c>
      <c r="P155" s="29">
        <f t="shared" ca="1" si="14"/>
        <v>7.9012110602225247</v>
      </c>
      <c r="Q155" s="14" t="str">
        <f t="shared" ca="1" si="11"/>
        <v>|</v>
      </c>
    </row>
    <row r="156" spans="1:17" x14ac:dyDescent="0.15">
      <c r="A156" s="20"/>
      <c r="B156" s="27">
        <f t="shared" si="15"/>
        <v>1.4524776228187055</v>
      </c>
      <c r="C156" s="62">
        <f t="shared" ca="1" si="1"/>
        <v>540.35674315411165</v>
      </c>
      <c r="D156" s="28">
        <f t="shared" ca="1" si="12"/>
        <v>-8.1758086131696885E-4</v>
      </c>
      <c r="E156" s="26">
        <f t="shared" ca="1" si="16"/>
        <v>343375.10633989889</v>
      </c>
      <c r="F156" s="26">
        <f t="shared" ca="1" si="13"/>
        <v>350221.42617336498</v>
      </c>
      <c r="G156" s="26">
        <f t="shared" ca="1" si="2"/>
        <v>80657.868179855446</v>
      </c>
      <c r="H156" s="28">
        <f t="shared" si="3"/>
        <v>2872064.8061360973</v>
      </c>
      <c r="I156" s="28">
        <f t="shared" ca="1" si="4"/>
        <v>3.9515536268207416</v>
      </c>
      <c r="J156" s="26">
        <f t="shared" ca="1" si="5"/>
        <v>989.30826269828083</v>
      </c>
      <c r="K156" s="26">
        <f t="shared" ca="1" si="6"/>
        <v>17517.564471095571</v>
      </c>
      <c r="L156" s="28">
        <f t="shared" ca="1" si="7"/>
        <v>606296880.27067053</v>
      </c>
      <c r="M156" s="28">
        <f t="shared" ca="1" si="8"/>
        <v>10620844688765.584</v>
      </c>
      <c r="N156" s="26">
        <f t="shared" ca="1" si="17"/>
        <v>347652.09913547878</v>
      </c>
      <c r="O156" s="26">
        <f t="shared" ca="1" si="10"/>
        <v>537.24362351312584</v>
      </c>
      <c r="P156" s="29">
        <f t="shared" ca="1" si="14"/>
        <v>7.9012110602225247</v>
      </c>
      <c r="Q156" s="14" t="str">
        <f t="shared" ca="1" si="11"/>
        <v>|</v>
      </c>
    </row>
    <row r="157" spans="1:17" x14ac:dyDescent="0.15">
      <c r="A157" s="20"/>
      <c r="B157" s="27">
        <f t="shared" si="15"/>
        <v>1.2024776228187055</v>
      </c>
      <c r="C157" s="62">
        <f t="shared" ca="1" si="1"/>
        <v>502.76154548133775</v>
      </c>
      <c r="D157" s="28">
        <f t="shared" ca="1" si="12"/>
        <v>-8.392572425684234E-4</v>
      </c>
      <c r="E157" s="26">
        <f t="shared" ca="1" si="16"/>
        <v>388170.90405946295</v>
      </c>
      <c r="F157" s="26">
        <f t="shared" ca="1" si="13"/>
        <v>396942.86406015651</v>
      </c>
      <c r="G157" s="26">
        <f t="shared" ca="1" si="2"/>
        <v>75046.115321204867</v>
      </c>
      <c r="H157" s="28">
        <f t="shared" si="3"/>
        <v>1615080.7291151355</v>
      </c>
      <c r="I157" s="28">
        <f t="shared" ca="1" si="4"/>
        <v>2.3882863859112078</v>
      </c>
      <c r="J157" s="26">
        <f t="shared" ca="1" si="5"/>
        <v>954.2724259064322</v>
      </c>
      <c r="K157" s="26">
        <f t="shared" ca="1" si="6"/>
        <v>17494.679114522409</v>
      </c>
      <c r="L157" s="28">
        <f t="shared" ca="1" si="7"/>
        <v>365484000.17994887</v>
      </c>
      <c r="M157" s="28">
        <f t="shared" ca="1" si="8"/>
        <v>6394025304640.2559</v>
      </c>
      <c r="N157" s="26">
        <f t="shared" ca="1" si="17"/>
        <v>394030.77485913516</v>
      </c>
      <c r="O157" s="26">
        <f t="shared" ca="1" si="10"/>
        <v>499.64842584035188</v>
      </c>
      <c r="P157" s="29">
        <f t="shared" ca="1" si="14"/>
        <v>7.9012110602225247</v>
      </c>
      <c r="Q157" s="14" t="str">
        <f t="shared" ca="1" si="11"/>
        <v>|</v>
      </c>
    </row>
    <row r="158" spans="1:17" x14ac:dyDescent="0.15">
      <c r="A158" s="20"/>
      <c r="B158" s="27">
        <f t="shared" si="15"/>
        <v>0.95247762281870552</v>
      </c>
      <c r="C158" s="62">
        <f t="shared" ca="1" si="1"/>
        <v>466.89624134574683</v>
      </c>
      <c r="D158" s="28">
        <f t="shared" ca="1" si="12"/>
        <v>-8.6131563476784872E-4</v>
      </c>
      <c r="E158" s="26">
        <f t="shared" ca="1" si="16"/>
        <v>429811.04466280632</v>
      </c>
      <c r="F158" s="26">
        <f t="shared" ca="1" si="13"/>
        <v>440592.0660650385</v>
      </c>
      <c r="G158" s="26">
        <f t="shared" ca="1" si="2"/>
        <v>69692.579884017076</v>
      </c>
      <c r="H158" s="28">
        <f t="shared" si="3"/>
        <v>908226.63750000065</v>
      </c>
      <c r="I158" s="28">
        <f t="shared" ca="1" si="4"/>
        <v>1.4461990697561482</v>
      </c>
      <c r="J158" s="26">
        <f t="shared" ca="1" si="5"/>
        <v>919.60545220798042</v>
      </c>
      <c r="K158" s="26">
        <f t="shared" ca="1" si="6"/>
        <v>17473.379458999916</v>
      </c>
      <c r="L158" s="28">
        <f t="shared" ca="1" si="7"/>
        <v>220776019.45467407</v>
      </c>
      <c r="M158" s="28">
        <f t="shared" ca="1" si="8"/>
        <v>3857703163379.0679</v>
      </c>
      <c r="N158" s="26">
        <f t="shared" ca="1" si="17"/>
        <v>437359.75352383294</v>
      </c>
      <c r="O158" s="26">
        <f t="shared" ca="1" si="10"/>
        <v>463.78312170476096</v>
      </c>
      <c r="P158" s="29">
        <f t="shared" ca="1" si="14"/>
        <v>7.9012110602225247</v>
      </c>
      <c r="Q158" s="14" t="str">
        <f t="shared" ca="1" si="11"/>
        <v>|</v>
      </c>
    </row>
    <row r="159" spans="1:17" x14ac:dyDescent="0.15">
      <c r="B159" s="27">
        <f t="shared" si="15"/>
        <v>0.70247762281870552</v>
      </c>
      <c r="C159" s="62">
        <f t="shared" ca="1" si="1"/>
        <v>432.76014894263437</v>
      </c>
      <c r="D159" s="28">
        <f t="shared" ca="1" si="12"/>
        <v>-8.8359616031583998E-4</v>
      </c>
      <c r="E159" s="26">
        <f t="shared" ca="1" si="16"/>
        <v>468444.18266887334</v>
      </c>
      <c r="F159" s="26">
        <f t="shared" ca="1" si="13"/>
        <v>481279.32594773429</v>
      </c>
      <c r="G159" s="26">
        <f t="shared" ca="1" si="2"/>
        <v>64597.160096796339</v>
      </c>
      <c r="H159" s="28">
        <f t="shared" si="3"/>
        <v>510733.3709049251</v>
      </c>
      <c r="I159" s="28">
        <f t="shared" ca="1" si="4"/>
        <v>0.87740720019229712</v>
      </c>
      <c r="J159" s="26">
        <f t="shared" ca="1" si="5"/>
        <v>885.34997507651588</v>
      </c>
      <c r="K159" s="26">
        <f t="shared" ca="1" si="6"/>
        <v>17453.595049312113</v>
      </c>
      <c r="L159" s="28">
        <f t="shared" ca="1" si="7"/>
        <v>133641391.57979289</v>
      </c>
      <c r="M159" s="28">
        <f t="shared" ca="1" si="8"/>
        <v>2332522730460.2544</v>
      </c>
      <c r="N159" s="26">
        <f t="shared" ca="1" si="17"/>
        <v>477748.51974194538</v>
      </c>
      <c r="O159" s="26">
        <f t="shared" ca="1" si="10"/>
        <v>429.6470293016485</v>
      </c>
      <c r="P159" s="29">
        <f t="shared" ca="1" si="14"/>
        <v>7.9012110602225247</v>
      </c>
      <c r="Q159" s="14" t="str">
        <f t="shared" ca="1" si="11"/>
        <v>|</v>
      </c>
    </row>
    <row r="160" spans="1:17" x14ac:dyDescent="0.15">
      <c r="B160" s="27">
        <f t="shared" si="15"/>
        <v>0.45247762281870552</v>
      </c>
      <c r="C160" s="62">
        <f t="shared" ca="1" si="1"/>
        <v>400.35258646729596</v>
      </c>
      <c r="D160" s="28">
        <f t="shared" ca="1" si="12"/>
        <v>-9.0587844165247408E-4</v>
      </c>
      <c r="E160" s="26">
        <f t="shared" ca="1" si="16"/>
        <v>504218.91908518743</v>
      </c>
      <c r="F160" s="26">
        <f t="shared" ca="1" si="13"/>
        <v>519120.52246177546</v>
      </c>
      <c r="G160" s="26">
        <f t="shared" ca="1" si="2"/>
        <v>59759.754188046958</v>
      </c>
      <c r="H160" s="28">
        <f t="shared" si="3"/>
        <v>287206.48061360966</v>
      </c>
      <c r="I160" s="28">
        <f t="shared" ca="1" si="4"/>
        <v>0.5333420390833663</v>
      </c>
      <c r="J160" s="26">
        <f t="shared" ca="1" si="5"/>
        <v>851.55493059836238</v>
      </c>
      <c r="K160" s="26">
        <f t="shared" ca="1" si="6"/>
        <v>17435.25474207725</v>
      </c>
      <c r="L160" s="28">
        <f t="shared" ca="1" si="7"/>
        <v>81064818.667874202</v>
      </c>
      <c r="M160" s="28">
        <f t="shared" ca="1" si="8"/>
        <v>1413385764094.686</v>
      </c>
      <c r="N160" s="26">
        <f t="shared" ca="1" si="17"/>
        <v>515312.10214650206</v>
      </c>
      <c r="O160" s="26">
        <f t="shared" ca="1" si="10"/>
        <v>397.23946682631009</v>
      </c>
      <c r="P160" s="29">
        <f t="shared" ca="1" si="14"/>
        <v>7.9012110602225247</v>
      </c>
      <c r="Q160" s="14" t="str">
        <f t="shared" ca="1" si="11"/>
        <v>|</v>
      </c>
    </row>
    <row r="161" spans="2:17" x14ac:dyDescent="0.15">
      <c r="B161" s="27">
        <f t="shared" si="15"/>
        <v>0.20247762281870552</v>
      </c>
      <c r="C161" s="62">
        <f t="shared" ca="1" si="1"/>
        <v>369.67287211502725</v>
      </c>
      <c r="D161" s="28">
        <f t="shared" ca="1" si="12"/>
        <v>-9.2786399647264964E-4</v>
      </c>
      <c r="E161" s="26">
        <f t="shared" ca="1" si="16"/>
        <v>537283.8019439904</v>
      </c>
      <c r="F161" s="26">
        <f t="shared" ca="1" si="13"/>
        <v>554236.7298787632</v>
      </c>
      <c r="G161" s="26">
        <f t="shared" ca="1" si="2"/>
        <v>55180.260386273199</v>
      </c>
      <c r="H161" s="28">
        <f t="shared" si="3"/>
        <v>161508.07291151353</v>
      </c>
      <c r="I161" s="28">
        <f t="shared" ca="1" si="4"/>
        <v>0.32481110868723312</v>
      </c>
      <c r="J161" s="26">
        <f t="shared" ca="1" si="5"/>
        <v>818.27661409503446</v>
      </c>
      <c r="K161" s="26">
        <f t="shared" ca="1" si="6"/>
        <v>17418.286760976905</v>
      </c>
      <c r="L161" s="28">
        <f t="shared" ca="1" si="7"/>
        <v>49273311.472469985</v>
      </c>
      <c r="M161" s="28">
        <f t="shared" ca="1" si="8"/>
        <v>858256668890.41541</v>
      </c>
      <c r="N161" s="26">
        <f t="shared" ca="1" si="17"/>
        <v>550170.68677275907</v>
      </c>
      <c r="O161" s="26">
        <f t="shared" ca="1" si="10"/>
        <v>366.55975247404137</v>
      </c>
      <c r="P161" s="29">
        <f t="shared" ca="1" si="14"/>
        <v>7.9012110602225247</v>
      </c>
      <c r="Q161" s="14" t="str">
        <f t="shared" ca="1" si="11"/>
        <v>|</v>
      </c>
    </row>
    <row r="162" spans="2:17" x14ac:dyDescent="0.15">
      <c r="B162" s="27">
        <f t="shared" si="15"/>
        <v>-4.7522377181294484E-2</v>
      </c>
      <c r="C162" s="62">
        <f t="shared" ca="1" si="1"/>
        <v>340.72032408112375</v>
      </c>
      <c r="D162" s="28">
        <f t="shared" ca="1" si="12"/>
        <v>-9.4915417658126427E-4</v>
      </c>
      <c r="E162" s="26">
        <f t="shared" ca="1" si="16"/>
        <v>567787.32681724883</v>
      </c>
      <c r="F162" s="26">
        <f t="shared" ca="1" si="13"/>
        <v>586753.83109455521</v>
      </c>
      <c r="G162" s="26">
        <f t="shared" ca="1" si="2"/>
        <v>50858.576919979336</v>
      </c>
      <c r="H162" s="28">
        <f t="shared" si="3"/>
        <v>90822.663750000036</v>
      </c>
      <c r="I162" s="28">
        <f t="shared" ca="1" si="4"/>
        <v>0.19817570663794432</v>
      </c>
      <c r="J162" s="26">
        <f t="shared" ca="1" si="5"/>
        <v>785.57991030979701</v>
      </c>
      <c r="K162" s="26">
        <f t="shared" ca="1" si="6"/>
        <v>17402.618750265821</v>
      </c>
      <c r="L162" s="28">
        <f t="shared" ca="1" si="7"/>
        <v>30008869.275091149</v>
      </c>
      <c r="M162" s="28">
        <f t="shared" ca="1" si="8"/>
        <v>522232911120.97711</v>
      </c>
      <c r="N162" s="26">
        <f t="shared" ca="1" si="17"/>
        <v>582449.23300275172</v>
      </c>
      <c r="O162" s="26">
        <f t="shared" ca="1" si="10"/>
        <v>337.60720444013788</v>
      </c>
      <c r="P162" s="29">
        <f t="shared" ca="1" si="14"/>
        <v>7.9012110602225247</v>
      </c>
      <c r="Q162" s="14" t="str">
        <f t="shared" ca="1" si="11"/>
        <v>|</v>
      </c>
    </row>
    <row r="163" spans="2:17" x14ac:dyDescent="0.15">
      <c r="B163" s="27">
        <f t="shared" si="15"/>
        <v>-0.29752237718129448</v>
      </c>
      <c r="C163" s="62">
        <f t="shared" ca="1" si="1"/>
        <v>313.49426056088123</v>
      </c>
      <c r="D163" s="28">
        <f t="shared" ca="1" si="12"/>
        <v>-9.6922292159992631E-4</v>
      </c>
      <c r="E163" s="26">
        <f t="shared" ca="1" si="16"/>
        <v>595877.93725731131</v>
      </c>
      <c r="F163" s="26">
        <f t="shared" ca="1" si="13"/>
        <v>616802.13614912587</v>
      </c>
      <c r="G163" s="26">
        <f t="shared" ca="1" si="2"/>
        <v>46794.602017669684</v>
      </c>
      <c r="H163" s="28">
        <f t="shared" si="3"/>
        <v>51073.337090492503</v>
      </c>
      <c r="I163" s="28">
        <f t="shared" ca="1" si="4"/>
        <v>0.12112083645780762</v>
      </c>
      <c r="J163" s="26">
        <f t="shared" ca="1" si="5"/>
        <v>753.53971349752521</v>
      </c>
      <c r="K163" s="26">
        <f t="shared" ca="1" si="6"/>
        <v>17388.177826398394</v>
      </c>
      <c r="L163" s="28">
        <f t="shared" ca="1" si="7"/>
        <v>18310365.426072873</v>
      </c>
      <c r="M163" s="28">
        <f t="shared" ca="1" si="8"/>
        <v>318383890094.89209</v>
      </c>
      <c r="N163" s="26">
        <f t="shared" ca="1" si="17"/>
        <v>612277.09488380526</v>
      </c>
      <c r="O163" s="26">
        <f t="shared" ca="1" si="10"/>
        <v>310.38114091989536</v>
      </c>
      <c r="P163" s="29">
        <f t="shared" ca="1" si="14"/>
        <v>7.9012110602225247</v>
      </c>
      <c r="Q163" s="14" t="str">
        <f t="shared" ca="1" si="11"/>
        <v>|</v>
      </c>
    </row>
    <row r="164" spans="2:17" x14ac:dyDescent="0.15">
      <c r="B164" s="27">
        <f t="shared" si="15"/>
        <v>-0.54752237718129448</v>
      </c>
      <c r="C164" s="62">
        <f t="shared" ca="1" si="1"/>
        <v>287.9939997495951</v>
      </c>
      <c r="D164" s="28">
        <f t="shared" ca="1" si="12"/>
        <v>-9.8738380301527568E-4</v>
      </c>
      <c r="E164" s="26">
        <f t="shared" ca="1" si="16"/>
        <v>621704.02507991239</v>
      </c>
      <c r="F164" s="26">
        <f t="shared" ca="1" si="13"/>
        <v>644516.00879174506</v>
      </c>
      <c r="G164" s="26">
        <f t="shared" ca="1" si="2"/>
        <v>42988.233907848495</v>
      </c>
      <c r="H164" s="28">
        <f t="shared" si="3"/>
        <v>28720.64806136096</v>
      </c>
      <c r="I164" s="28">
        <f t="shared" ca="1" si="4"/>
        <v>7.4142122754093071E-2</v>
      </c>
      <c r="J164" s="26">
        <f t="shared" ca="1" si="5"/>
        <v>722.24254599863491</v>
      </c>
      <c r="K164" s="26">
        <f t="shared" ca="1" si="6"/>
        <v>17374.890627637604</v>
      </c>
      <c r="L164" s="28">
        <f t="shared" ca="1" si="7"/>
        <v>11191264.993376207</v>
      </c>
      <c r="M164" s="28">
        <f t="shared" ca="1" si="8"/>
        <v>194447005244.82108</v>
      </c>
      <c r="N164" s="26">
        <f t="shared" ca="1" si="17"/>
        <v>639787.65043334069</v>
      </c>
      <c r="O164" s="26">
        <f t="shared" ca="1" si="10"/>
        <v>284.88088010860923</v>
      </c>
      <c r="P164" s="29">
        <f t="shared" ca="1" si="14"/>
        <v>7.9012110602225247</v>
      </c>
      <c r="Q164" s="14" t="str">
        <f t="shared" ca="1" si="11"/>
        <v>|</v>
      </c>
    </row>
    <row r="165" spans="2:17" x14ac:dyDescent="0.15">
      <c r="B165" s="27">
        <f t="shared" si="15"/>
        <v>-0.79752237718129448</v>
      </c>
      <c r="C165" s="62">
        <f t="shared" ca="1" si="1"/>
        <v>264.21885984256119</v>
      </c>
      <c r="D165" s="28">
        <f t="shared" ca="1" si="12"/>
        <v>-1.0027513658188113E-3</v>
      </c>
      <c r="E165" s="26">
        <f t="shared" ca="1" si="16"/>
        <v>645413.9303639807</v>
      </c>
      <c r="F165" s="26">
        <f t="shared" ca="1" si="13"/>
        <v>670033.50349657319</v>
      </c>
      <c r="G165" s="26">
        <f t="shared" ca="1" si="2"/>
        <v>39439.370819020092</v>
      </c>
      <c r="H165" s="28">
        <f t="shared" si="3"/>
        <v>16150.807291151354</v>
      </c>
      <c r="I165" s="28">
        <f t="shared" ca="1" si="4"/>
        <v>4.5444846561984095E-2</v>
      </c>
      <c r="J165" s="26">
        <f t="shared" ca="1" si="5"/>
        <v>691.78836854151302</v>
      </c>
      <c r="K165" s="26">
        <f t="shared" ca="1" si="6"/>
        <v>17362.683361548443</v>
      </c>
      <c r="L165" s="28">
        <f t="shared" ca="1" si="7"/>
        <v>6849964.7432331117</v>
      </c>
      <c r="M165" s="28">
        <f t="shared" ca="1" si="8"/>
        <v>118933768874.52701</v>
      </c>
      <c r="N165" s="26">
        <f t="shared" ca="1" si="17"/>
        <v>665117.94131743</v>
      </c>
      <c r="O165" s="26">
        <f t="shared" ca="1" si="10"/>
        <v>261.10574020157532</v>
      </c>
      <c r="P165" s="29">
        <f t="shared" ca="1" si="14"/>
        <v>7.9012110602225247</v>
      </c>
      <c r="Q165" s="14" t="str">
        <f t="shared" ca="1" si="11"/>
        <v>|</v>
      </c>
    </row>
    <row r="166" spans="2:17" x14ac:dyDescent="0.15">
      <c r="B166" s="27">
        <f t="shared" si="15"/>
        <v>-1.0475223771812945</v>
      </c>
      <c r="C166" s="62">
        <f t="shared" ca="1" si="1"/>
        <v>242.16815903507489</v>
      </c>
      <c r="D166" s="28">
        <f t="shared" ca="1" si="12"/>
        <v>-1.0141978674855104E-3</v>
      </c>
      <c r="E166" s="26">
        <f t="shared" ca="1" si="16"/>
        <v>667155.94098579022</v>
      </c>
      <c r="F166" s="26">
        <f t="shared" ca="1" si="13"/>
        <v>693496.01508161414</v>
      </c>
      <c r="G166" s="26">
        <f t="shared" ca="1" si="2"/>
        <v>36147.910979688699</v>
      </c>
      <c r="H166" s="28">
        <f t="shared" si="3"/>
        <v>9082.2663750000029</v>
      </c>
      <c r="I166" s="28">
        <f t="shared" ca="1" si="4"/>
        <v>2.7882481024644672E-2</v>
      </c>
      <c r="J166" s="26">
        <f t="shared" ca="1" si="5"/>
        <v>662.29254841282329</v>
      </c>
      <c r="K166" s="26">
        <f t="shared" ca="1" si="6"/>
        <v>17351.481850321652</v>
      </c>
      <c r="L166" s="28">
        <f t="shared" ca="1" si="7"/>
        <v>4197343.964195135</v>
      </c>
      <c r="M166" s="28">
        <f t="shared" ca="1" si="8"/>
        <v>72830137614.289017</v>
      </c>
      <c r="N166" s="26">
        <f t="shared" ca="1" si="17"/>
        <v>688408.32504024729</v>
      </c>
      <c r="O166" s="26">
        <f t="shared" ca="1" si="10"/>
        <v>239.05503939408902</v>
      </c>
      <c r="P166" s="29">
        <f t="shared" ca="1" si="14"/>
        <v>7.9012110602225247</v>
      </c>
      <c r="Q166" s="14" t="str">
        <f t="shared" ca="1" si="11"/>
        <v>|</v>
      </c>
    </row>
    <row r="167" spans="2:17" x14ac:dyDescent="0.15">
      <c r="B167" s="27">
        <f t="shared" si="15"/>
        <v>-1.2975223771812945</v>
      </c>
      <c r="C167" s="62">
        <f t="shared" ca="1" si="1"/>
        <v>221.84121552243187</v>
      </c>
      <c r="D167" s="28">
        <f t="shared" ca="1" si="12"/>
        <v>-1.0203085005897363E-3</v>
      </c>
      <c r="E167" s="26">
        <f t="shared" ca="1" si="16"/>
        <v>687078.29143263469</v>
      </c>
      <c r="F167" s="26">
        <f t="shared" ca="1" si="13"/>
        <v>715047.94280893635</v>
      </c>
      <c r="G167" s="26">
        <f t="shared" ca="1" si="2"/>
        <v>33113.752618358638</v>
      </c>
      <c r="H167" s="28">
        <f t="shared" si="3"/>
        <v>5107.3337090492478</v>
      </c>
      <c r="I167" s="28">
        <f t="shared" ca="1" si="4"/>
        <v>1.7116155343106804E-2</v>
      </c>
      <c r="J167" s="26">
        <f t="shared" ca="1" si="5"/>
        <v>633.88790714215907</v>
      </c>
      <c r="K167" s="26">
        <f t="shared" ca="1" si="6"/>
        <v>17341.211573925229</v>
      </c>
      <c r="L167" s="28">
        <f t="shared" ca="1" si="7"/>
        <v>2573564.7393369125</v>
      </c>
      <c r="M167" s="28">
        <f t="shared" ca="1" si="8"/>
        <v>44628730644.035133</v>
      </c>
      <c r="N167" s="26">
        <f t="shared" ca="1" si="17"/>
        <v>709802.14150854852</v>
      </c>
      <c r="O167" s="26">
        <f t="shared" ca="1" si="10"/>
        <v>218.728095881446</v>
      </c>
      <c r="P167" s="29">
        <f t="shared" ca="1" si="14"/>
        <v>7.9012110602225247</v>
      </c>
      <c r="Q167" s="14" t="str">
        <f t="shared" ca="1" si="11"/>
        <v>|</v>
      </c>
    </row>
    <row r="168" spans="2:17" x14ac:dyDescent="0.15">
      <c r="B168" s="27">
        <f t="shared" si="15"/>
        <v>-1.5475223771812945</v>
      </c>
      <c r="C168" s="62">
        <f t="shared" ca="1" si="1"/>
        <v>203.23734749992778</v>
      </c>
      <c r="D168" s="28">
        <f t="shared" ca="1" si="12"/>
        <v>-1.0193414842559919E-3</v>
      </c>
      <c r="E168" s="26">
        <f t="shared" ca="1" si="16"/>
        <v>705329.16055730591</v>
      </c>
      <c r="F168" s="26">
        <f t="shared" ca="1" si="13"/>
        <v>734836.37055372715</v>
      </c>
      <c r="G168" s="26">
        <f t="shared" ca="1" si="2"/>
        <v>30336.79396353419</v>
      </c>
      <c r="H168" s="28">
        <f t="shared" si="3"/>
        <v>2872.0648061360957</v>
      </c>
      <c r="I168" s="28">
        <f t="shared" ca="1" si="4"/>
        <v>1.0506182423919066E-2</v>
      </c>
      <c r="J168" s="26">
        <f t="shared" ca="1" si="5"/>
        <v>606.72670069157016</v>
      </c>
      <c r="K168" s="26">
        <f t="shared" ca="1" si="6"/>
        <v>17331.79771113869</v>
      </c>
      <c r="L168" s="28">
        <f t="shared" ca="1" si="7"/>
        <v>1577982.435380883</v>
      </c>
      <c r="M168" s="28">
        <f t="shared" ca="1" si="8"/>
        <v>27349272361.751442</v>
      </c>
      <c r="N168" s="26">
        <f t="shared" ca="1" si="17"/>
        <v>729445.39554710023</v>
      </c>
      <c r="O168" s="26">
        <f t="shared" ca="1" si="10"/>
        <v>200.12422785894191</v>
      </c>
      <c r="P168" s="29">
        <f t="shared" ca="1" si="14"/>
        <v>7.9012110602225247</v>
      </c>
      <c r="Q168" s="14" t="str">
        <f t="shared" ca="1" si="11"/>
        <v>|</v>
      </c>
    </row>
    <row r="169" spans="2:17" x14ac:dyDescent="0.15">
      <c r="B169" s="27">
        <f t="shared" si="15"/>
        <v>-1.7975223771812945</v>
      </c>
      <c r="C169" s="62">
        <f t="shared" ca="1" si="1"/>
        <v>186.35587316285819</v>
      </c>
      <c r="D169" s="28">
        <f t="shared" ca="1" si="12"/>
        <v>-1.0092044223253336E-3</v>
      </c>
      <c r="E169" s="26">
        <f t="shared" ca="1" si="16"/>
        <v>722056.66785277799</v>
      </c>
      <c r="F169" s="26">
        <f t="shared" ca="1" si="13"/>
        <v>753010.7643420446</v>
      </c>
      <c r="G169" s="26">
        <f t="shared" ca="1" si="2"/>
        <v>27816.933243719628</v>
      </c>
      <c r="H169" s="28">
        <f t="shared" si="3"/>
        <v>1615.080729115135</v>
      </c>
      <c r="I169" s="28">
        <f t="shared" ca="1" si="4"/>
        <v>6.443255766795288E-3</v>
      </c>
      <c r="J169" s="26">
        <f t="shared" ca="1" si="5"/>
        <v>580.9822856896692</v>
      </c>
      <c r="K169" s="26">
        <f t="shared" ca="1" si="6"/>
        <v>17323.165178580588</v>
      </c>
      <c r="L169" s="28">
        <f t="shared" ca="1" si="7"/>
        <v>966784.92167902354</v>
      </c>
      <c r="M169" s="28">
        <f t="shared" ca="1" si="8"/>
        <v>16747774890.406822</v>
      </c>
      <c r="N169" s="26">
        <f t="shared" ca="1" si="17"/>
        <v>747486.45665538218</v>
      </c>
      <c r="O169" s="26">
        <f t="shared" ca="1" si="10"/>
        <v>183.24275352187232</v>
      </c>
      <c r="P169" s="29">
        <f t="shared" ca="1" si="14"/>
        <v>7.9012110602225247</v>
      </c>
      <c r="Q169" s="14" t="str">
        <f t="shared" ca="1" si="11"/>
        <v>|</v>
      </c>
    </row>
    <row r="170" spans="2:17" x14ac:dyDescent="0.15">
      <c r="B170" s="27">
        <f t="shared" si="15"/>
        <v>-2.0475223771812945</v>
      </c>
      <c r="C170" s="62">
        <f t="shared" ca="1" si="1"/>
        <v>171.19611070651877</v>
      </c>
      <c r="D170" s="28">
        <f t="shared" ca="1" si="12"/>
        <v>-9.8746515358243418E-4</v>
      </c>
      <c r="E170" s="26">
        <f t="shared" ca="1" si="16"/>
        <v>737408.86777734372</v>
      </c>
      <c r="F170" s="26">
        <f t="shared" ca="1" si="13"/>
        <v>769722.68830869079</v>
      </c>
      <c r="G170" s="26">
        <f t="shared" ca="1" si="2"/>
        <v>25554.068687419251</v>
      </c>
      <c r="H170" s="28">
        <f t="shared" si="3"/>
        <v>908.22663750000015</v>
      </c>
      <c r="I170" s="28">
        <f t="shared" ca="1" si="4"/>
        <v>3.9441603382240255E-3</v>
      </c>
      <c r="J170" s="26">
        <f t="shared" ca="1" si="5"/>
        <v>556.85009181054727</v>
      </c>
      <c r="K170" s="26">
        <f t="shared" ca="1" si="6"/>
        <v>17315.238667878602</v>
      </c>
      <c r="L170" s="28">
        <f t="shared" ca="1" si="7"/>
        <v>591264.12662962929</v>
      </c>
      <c r="M170" s="28">
        <f t="shared" ca="1" si="8"/>
        <v>10237879468.346828</v>
      </c>
      <c r="N170" s="26">
        <f t="shared" ca="1" si="17"/>
        <v>764075.77704927803</v>
      </c>
      <c r="O170" s="26">
        <f t="shared" ca="1" si="10"/>
        <v>168.08299106553289</v>
      </c>
      <c r="P170" s="29">
        <f t="shared" ca="1" si="14"/>
        <v>7.9012110602225247</v>
      </c>
      <c r="Q170" s="14" t="str">
        <f t="shared" ca="1" si="11"/>
        <v>|</v>
      </c>
    </row>
    <row r="171" spans="2:17" x14ac:dyDescent="0.15">
      <c r="B171" s="27">
        <f t="shared" si="15"/>
        <v>-2.2975223771812945</v>
      </c>
      <c r="C171" s="62">
        <f t="shared" ca="1" si="1"/>
        <v>157.7573783262049</v>
      </c>
      <c r="D171" s="28">
        <f t="shared" ca="1" si="12"/>
        <v>-9.5142317401289065E-4</v>
      </c>
      <c r="E171" s="26">
        <f t="shared" ca="1" si="16"/>
        <v>751533.74170030316</v>
      </c>
      <c r="F171" s="26">
        <f t="shared" ca="1" si="13"/>
        <v>785125.53998197429</v>
      </c>
      <c r="G171" s="26">
        <f t="shared" ca="1" si="2"/>
        <v>23548.098523137302</v>
      </c>
      <c r="H171" s="28">
        <f t="shared" si="3"/>
        <v>510.73337090492464</v>
      </c>
      <c r="I171" s="28">
        <f t="shared" ca="1" si="4"/>
        <v>2.4069040362309649E-3</v>
      </c>
      <c r="J171" s="26">
        <f t="shared" ca="1" si="5"/>
        <v>534.54735972947344</v>
      </c>
      <c r="K171" s="26">
        <f t="shared" ca="1" si="6"/>
        <v>17307.942681123055</v>
      </c>
      <c r="L171" s="28">
        <f t="shared" ca="1" si="7"/>
        <v>360511.95921566436</v>
      </c>
      <c r="M171" s="28">
        <f t="shared" ca="1" si="8"/>
        <v>6239720325.9640913</v>
      </c>
      <c r="N171" s="26">
        <f t="shared" ca="1" si="17"/>
        <v>779365.62888786511</v>
      </c>
      <c r="O171" s="26">
        <f t="shared" ca="1" si="10"/>
        <v>154.64425868521903</v>
      </c>
      <c r="P171" s="29">
        <f t="shared" ca="1" si="14"/>
        <v>7.9012110602225247</v>
      </c>
      <c r="Q171" s="14" t="str">
        <f t="shared" ca="1" si="11"/>
        <v>|</v>
      </c>
    </row>
    <row r="172" spans="2:17" x14ac:dyDescent="0.15">
      <c r="B172" s="27">
        <f t="shared" si="15"/>
        <v>-2.5475223771812945</v>
      </c>
      <c r="C172" s="62">
        <f t="shared" ca="1" si="1"/>
        <v>146.03899421721249</v>
      </c>
      <c r="D172" s="28">
        <f t="shared" ca="1" si="12"/>
        <v>-8.9827396553684665E-4</v>
      </c>
      <c r="E172" s="26">
        <f t="shared" ca="1" si="16"/>
        <v>764579.18725319649</v>
      </c>
      <c r="F172" s="26">
        <f t="shared" ca="1" si="13"/>
        <v>799374.30585865304</v>
      </c>
      <c r="G172" s="26">
        <f t="shared" ca="1" si="2"/>
        <v>21798.920979378116</v>
      </c>
      <c r="H172" s="28">
        <f t="shared" si="3"/>
        <v>287.2064806136093</v>
      </c>
      <c r="I172" s="28">
        <f t="shared" ca="1" si="4"/>
        <v>1.4621085687647152E-3</v>
      </c>
      <c r="J172" s="26">
        <f t="shared" ca="1" si="5"/>
        <v>514.31094338659284</v>
      </c>
      <c r="K172" s="26">
        <f t="shared" ca="1" si="6"/>
        <v>17301.201564645216</v>
      </c>
      <c r="L172" s="28">
        <f t="shared" ca="1" si="7"/>
        <v>218827.63077903289</v>
      </c>
      <c r="M172" s="28">
        <f t="shared" ca="1" si="8"/>
        <v>3785980948.0218096</v>
      </c>
      <c r="N172" s="26">
        <f t="shared" ca="1" si="17"/>
        <v>793509.86164153228</v>
      </c>
      <c r="O172" s="26">
        <f t="shared" ca="1" si="10"/>
        <v>142.92587457622662</v>
      </c>
      <c r="P172" s="29">
        <f t="shared" ca="1" si="14"/>
        <v>7.9012110602225247</v>
      </c>
      <c r="Q172" s="14" t="str">
        <f t="shared" ca="1" si="11"/>
        <v>|</v>
      </c>
    </row>
    <row r="173" spans="2:17" x14ac:dyDescent="0.15">
      <c r="B173" s="27">
        <f t="shared" si="15"/>
        <v>-2.7975223771812945</v>
      </c>
      <c r="C173" s="62">
        <f t="shared" ca="1" si="1"/>
        <v>136.04027657483698</v>
      </c>
      <c r="D173" s="28">
        <f t="shared" ca="1" si="12"/>
        <v>-8.2539770289328509E-4</v>
      </c>
      <c r="E173" s="26">
        <f t="shared" ca="1" si="16"/>
        <v>776693.00536454679</v>
      </c>
      <c r="F173" s="26">
        <f t="shared" ca="1" si="13"/>
        <v>812625.33860646712</v>
      </c>
      <c r="G173" s="26">
        <f t="shared" ca="1" si="2"/>
        <v>20306.434284645948</v>
      </c>
      <c r="H173" s="28">
        <f t="shared" si="3"/>
        <v>161.50807291151347</v>
      </c>
      <c r="I173" s="28">
        <f t="shared" ca="1" si="4"/>
        <v>8.8263460253421337E-4</v>
      </c>
      <c r="J173" s="26">
        <f t="shared" ca="1" si="5"/>
        <v>496.3923749402162</v>
      </c>
      <c r="K173" s="26">
        <f t="shared" ca="1" si="6"/>
        <v>17294.939540917316</v>
      </c>
      <c r="L173" s="28">
        <f t="shared" ca="1" si="7"/>
        <v>132004.59531975864</v>
      </c>
      <c r="M173" s="28">
        <f t="shared" ca="1" si="8"/>
        <v>2283011495.1784825</v>
      </c>
      <c r="N173" s="26">
        <f t="shared" ca="1" si="17"/>
        <v>806663.6809290197</v>
      </c>
      <c r="O173" s="26">
        <f t="shared" ca="1" si="10"/>
        <v>132.92715693385111</v>
      </c>
      <c r="P173" s="29">
        <f t="shared" ca="1" si="14"/>
        <v>7.9012110602225247</v>
      </c>
      <c r="Q173" s="14" t="str">
        <f t="shared" ca="1" si="11"/>
        <v>|</v>
      </c>
    </row>
    <row r="174" spans="2:17" x14ac:dyDescent="0.15">
      <c r="B174" s="27">
        <f t="shared" si="15"/>
        <v>-3.0475223771812945</v>
      </c>
      <c r="C174" s="62">
        <f t="shared" ca="1" si="1"/>
        <v>127.76054359437393</v>
      </c>
      <c r="D174" s="28">
        <f t="shared" ca="1" si="12"/>
        <v>-7.3078730260709031E-4</v>
      </c>
      <c r="E174" s="26">
        <f t="shared" ca="1" si="16"/>
        <v>788022.88609855121</v>
      </c>
      <c r="F174" s="26">
        <f t="shared" ca="1" si="13"/>
        <v>825036.15800571593</v>
      </c>
      <c r="G174" s="26">
        <f t="shared" ca="1" si="2"/>
        <v>19070.536667445074</v>
      </c>
      <c r="H174" s="28">
        <f t="shared" si="3"/>
        <v>90.822663750000004</v>
      </c>
      <c r="I174" s="28">
        <f t="shared" ca="1" si="4"/>
        <v>5.2850816919707824E-4</v>
      </c>
      <c r="J174" s="26">
        <f t="shared" ca="1" si="5"/>
        <v>481.04945182122384</v>
      </c>
      <c r="K174" s="26">
        <f t="shared" ca="1" si="6"/>
        <v>17289.080737944674</v>
      </c>
      <c r="L174" s="28">
        <f t="shared" ca="1" si="7"/>
        <v>78988.799584463603</v>
      </c>
      <c r="M174" s="28">
        <f t="shared" ca="1" si="8"/>
        <v>1365643733.4091218</v>
      </c>
      <c r="N174" s="26">
        <f t="shared" ca="1" si="17"/>
        <v>818983.45091934677</v>
      </c>
      <c r="O174" s="26">
        <f t="shared" ca="1" si="10"/>
        <v>124.64742395338807</v>
      </c>
      <c r="P174" s="29">
        <f t="shared" ca="1" si="14"/>
        <v>7.9012110602225247</v>
      </c>
      <c r="Q174" s="14" t="str">
        <f t="shared" ca="1" si="11"/>
        <v>|</v>
      </c>
    </row>
    <row r="175" spans="2:17" x14ac:dyDescent="0.15">
      <c r="B175" s="27">
        <f t="shared" si="15"/>
        <v>-3.2975223771812945</v>
      </c>
      <c r="C175" s="62">
        <f t="shared" ca="1" si="1"/>
        <v>121.19911347111898</v>
      </c>
      <c r="D175" s="28">
        <f t="shared" ca="1" si="12"/>
        <v>-6.1358996801892652E-4</v>
      </c>
      <c r="E175" s="26">
        <f t="shared" ca="1" si="16"/>
        <v>798716.39555151633</v>
      </c>
      <c r="F175" s="26">
        <f t="shared" ca="1" si="13"/>
        <v>836765.27885519131</v>
      </c>
      <c r="G175" s="26">
        <f t="shared" ca="1" si="2"/>
        <v>18091.126356279787</v>
      </c>
      <c r="H175" s="28">
        <f t="shared" si="3"/>
        <v>51.073337090492466</v>
      </c>
      <c r="I175" s="28">
        <f t="shared" ca="1" si="4"/>
        <v>3.1329178882899989E-4</v>
      </c>
      <c r="J175" s="26">
        <f t="shared" ca="1" si="5"/>
        <v>468.53395517544749</v>
      </c>
      <c r="K175" s="26">
        <f t="shared" ca="1" si="6"/>
        <v>17283.549214941606</v>
      </c>
      <c r="L175" s="28">
        <f t="shared" ca="1" si="7"/>
        <v>46793.429733432815</v>
      </c>
      <c r="M175" s="28">
        <f t="shared" ca="1" si="8"/>
        <v>808756545.73369789</v>
      </c>
      <c r="N175" s="26">
        <f t="shared" ca="1" si="17"/>
        <v>830626.52350027824</v>
      </c>
      <c r="O175" s="26">
        <f t="shared" ca="1" si="10"/>
        <v>118.08599383013312</v>
      </c>
      <c r="P175" s="29">
        <f t="shared" ca="1" si="14"/>
        <v>7.9012110602225247</v>
      </c>
      <c r="Q175" s="14" t="str">
        <f t="shared" ca="1" si="11"/>
        <v>|</v>
      </c>
    </row>
    <row r="176" spans="2:17" x14ac:dyDescent="0.15">
      <c r="B176" s="27">
        <f t="shared" si="15"/>
        <v>-3.5475223771812945</v>
      </c>
      <c r="C176" s="62">
        <f t="shared" ca="1" si="1"/>
        <v>116.35530440036781</v>
      </c>
      <c r="D176" s="28">
        <f t="shared" ca="1" si="12"/>
        <v>-4.7467049585865986E-4</v>
      </c>
      <c r="E176" s="26">
        <f t="shared" ca="1" si="16"/>
        <v>808920.96717122255</v>
      </c>
      <c r="F176" s="26">
        <f t="shared" ca="1" si="13"/>
        <v>847972.07018114941</v>
      </c>
      <c r="G176" s="26">
        <f t="shared" ca="1" si="2"/>
        <v>17368.10157965438</v>
      </c>
      <c r="H176" s="28">
        <f t="shared" si="3"/>
        <v>28.720648061360926</v>
      </c>
      <c r="I176" s="28">
        <f t="shared" ca="1" si="4"/>
        <v>1.8351107061182856E-4</v>
      </c>
      <c r="J176" s="26">
        <f t="shared" ca="1" si="5"/>
        <v>459.07584464044584</v>
      </c>
      <c r="K176" s="26">
        <f t="shared" ca="1" si="6"/>
        <v>17278.268982513553</v>
      </c>
      <c r="L176" s="28">
        <f t="shared" ca="1" si="7"/>
        <v>27392.567128556409</v>
      </c>
      <c r="M176" s="28">
        <f t="shared" ca="1" si="8"/>
        <v>473296142.96875656</v>
      </c>
      <c r="N176" s="26">
        <f t="shared" ca="1" si="17"/>
        <v>841751.09852018009</v>
      </c>
      <c r="O176" s="26">
        <f t="shared" ca="1" si="10"/>
        <v>113.24218475938196</v>
      </c>
      <c r="P176" s="29">
        <f t="shared" ca="1" si="14"/>
        <v>7.9012110602225247</v>
      </c>
      <c r="Q176" s="14" t="str">
        <f t="shared" ca="1" si="11"/>
        <v>|</v>
      </c>
    </row>
    <row r="177" spans="2:17" x14ac:dyDescent="0.15">
      <c r="B177" s="27">
        <f t="shared" si="15"/>
        <v>-3.7975223771812945</v>
      </c>
      <c r="C177" s="62">
        <f t="shared" ca="1" si="1"/>
        <v>113.228434577416</v>
      </c>
      <c r="D177" s="28">
        <f t="shared" ca="1" si="12"/>
        <v>-3.1703241343299132E-4</v>
      </c>
      <c r="E177" s="26">
        <f t="shared" ca="1" si="16"/>
        <v>818783.90133966436</v>
      </c>
      <c r="F177" s="26">
        <f t="shared" ca="1" si="13"/>
        <v>858816.65052646934</v>
      </c>
      <c r="G177" s="26">
        <f t="shared" ca="1" si="2"/>
        <v>16901.360566073123</v>
      </c>
      <c r="H177" s="28">
        <f t="shared" si="3"/>
        <v>16.150807291151345</v>
      </c>
      <c r="I177" s="28">
        <f t="shared" ca="1" si="4"/>
        <v>1.0604567297199484E-4</v>
      </c>
      <c r="J177" s="26">
        <f t="shared" ca="1" si="5"/>
        <v>452.8653575914999</v>
      </c>
      <c r="K177" s="26">
        <f t="shared" ca="1" si="6"/>
        <v>17273.164015325914</v>
      </c>
      <c r="L177" s="28">
        <f t="shared" ca="1" si="7"/>
        <v>15820.009884409123</v>
      </c>
      <c r="M177" s="28">
        <f t="shared" ca="1" si="8"/>
        <v>273261625.4574759</v>
      </c>
      <c r="N177" s="26">
        <f t="shared" ca="1" si="17"/>
        <v>852516.1198453675</v>
      </c>
      <c r="O177" s="26">
        <f t="shared" ca="1" si="10"/>
        <v>110.11531493643014</v>
      </c>
      <c r="P177" s="29">
        <f t="shared" ca="1" si="14"/>
        <v>7.9012110602225247</v>
      </c>
      <c r="Q177" s="14" t="str">
        <f t="shared" ca="1" si="11"/>
        <v>|</v>
      </c>
    </row>
    <row r="178" spans="2:17" x14ac:dyDescent="0.15">
      <c r="B178" s="27">
        <f t="shared" si="15"/>
        <v>-4.0475223771812949</v>
      </c>
      <c r="C178" s="62">
        <f t="shared" ca="1" si="1"/>
        <v>111.64399157343625</v>
      </c>
      <c r="D178" s="28">
        <f t="shared" ca="1" si="12"/>
        <v>-1.6400448972566221E-4</v>
      </c>
      <c r="E178" s="26">
        <f t="shared" ca="1" si="16"/>
        <v>828444.87468637037</v>
      </c>
      <c r="F178" s="26">
        <f t="shared" ca="1" si="13"/>
        <v>869451.5605655103</v>
      </c>
      <c r="G178" s="26">
        <f t="shared" ca="1" si="2"/>
        <v>16664.854227302323</v>
      </c>
      <c r="H178" s="28">
        <f t="shared" si="3"/>
        <v>9.082266374999989</v>
      </c>
      <c r="I178" s="28">
        <f t="shared" ca="1" si="4"/>
        <v>6.0480183518225082E-5</v>
      </c>
      <c r="J178" s="26">
        <f t="shared" ca="1" si="5"/>
        <v>449.685647212986</v>
      </c>
      <c r="K178" s="26">
        <f t="shared" ca="1" si="6"/>
        <v>17268.162140078221</v>
      </c>
      <c r="L178" s="28">
        <f t="shared" ca="1" si="7"/>
        <v>9017.2755341648608</v>
      </c>
      <c r="M178" s="28">
        <f t="shared" ca="1" si="8"/>
        <v>155711775.98571923</v>
      </c>
      <c r="N178" s="26">
        <f t="shared" ca="1" si="17"/>
        <v>863073.00906710047</v>
      </c>
      <c r="O178" s="26">
        <f t="shared" ca="1" si="10"/>
        <v>108.5308719324504</v>
      </c>
      <c r="P178" s="29">
        <f t="shared" ca="1" si="14"/>
        <v>7.9012110602225247</v>
      </c>
      <c r="Q178" s="14" t="str">
        <f t="shared" ca="1" si="11"/>
        <v>|</v>
      </c>
    </row>
    <row r="179" spans="2:17" x14ac:dyDescent="0.15">
      <c r="B179" s="27">
        <f t="shared" si="15"/>
        <v>-4.2975223771812949</v>
      </c>
      <c r="C179" s="62">
        <f t="shared" ca="1" si="1"/>
        <v>110.05546193671104</v>
      </c>
      <c r="D179" s="28">
        <f t="shared" ca="1" si="12"/>
        <v>-1.6678088196591089E-4</v>
      </c>
      <c r="E179" s="26">
        <f t="shared" ca="1" si="16"/>
        <v>837969.52534177271</v>
      </c>
      <c r="F179" s="26">
        <f t="shared" ca="1" si="13"/>
        <v>879948.43078700243</v>
      </c>
      <c r="G179" s="26">
        <f t="shared" ca="1" si="2"/>
        <v>16427.737885807474</v>
      </c>
      <c r="H179" s="28">
        <f t="shared" si="3"/>
        <v>5.1073337090492359</v>
      </c>
      <c r="I179" s="28">
        <f t="shared" ca="1" si="4"/>
        <v>3.4501410830196963E-5</v>
      </c>
      <c r="J179" s="26">
        <f t="shared" ca="1" si="5"/>
        <v>446.47500324813382</v>
      </c>
      <c r="K179" s="26">
        <f t="shared" ca="1" si="6"/>
        <v>17263.229447131038</v>
      </c>
      <c r="L179" s="28">
        <f t="shared" ca="1" si="7"/>
        <v>5141.0395459554284</v>
      </c>
      <c r="M179" s="28">
        <f t="shared" ca="1" si="8"/>
        <v>88750945.278602928</v>
      </c>
      <c r="N179" s="26">
        <f t="shared" ca="1" si="17"/>
        <v>873492.87117184792</v>
      </c>
      <c r="O179" s="26">
        <f t="shared" ca="1" si="10"/>
        <v>106.94234229572518</v>
      </c>
      <c r="P179" s="29">
        <f t="shared" ca="1" si="14"/>
        <v>7.9012110602225247</v>
      </c>
      <c r="Q179" s="14" t="str">
        <f t="shared" ca="1" si="11"/>
        <v>|</v>
      </c>
    </row>
    <row r="180" spans="2:17" x14ac:dyDescent="0.15">
      <c r="B180" s="27">
        <f t="shared" si="15"/>
        <v>-4.5475223771812949</v>
      </c>
      <c r="C180" s="62">
        <f t="shared" ca="1" si="1"/>
        <v>108.54225136447207</v>
      </c>
      <c r="D180" s="28">
        <f t="shared" ca="1" si="12"/>
        <v>-1.6112718654361425E-4</v>
      </c>
      <c r="E180" s="26">
        <f t="shared" ca="1" si="16"/>
        <v>847360.9297639518</v>
      </c>
      <c r="F180" s="26">
        <f t="shared" ca="1" si="13"/>
        <v>890310.16469868808</v>
      </c>
      <c r="G180" s="26">
        <f t="shared" ca="1" si="2"/>
        <v>16201.864256190889</v>
      </c>
      <c r="H180" s="28">
        <f t="shared" si="3"/>
        <v>2.8720648061360903</v>
      </c>
      <c r="I180" s="28">
        <f t="shared" ca="1" si="4"/>
        <v>1.9672050481224639E-5</v>
      </c>
      <c r="J180" s="26">
        <f t="shared" ca="1" si="5"/>
        <v>443.39496924002583</v>
      </c>
      <c r="K180" s="26">
        <f t="shared" ca="1" si="6"/>
        <v>17258.364400972801</v>
      </c>
      <c r="L180" s="28">
        <f t="shared" ca="1" si="7"/>
        <v>2929.6713486581821</v>
      </c>
      <c r="M180" s="28">
        <f t="shared" ca="1" si="8"/>
        <v>50561335.710232347</v>
      </c>
      <c r="N180" s="26">
        <f t="shared" ca="1" si="17"/>
        <v>883778.5883663682</v>
      </c>
      <c r="O180" s="26">
        <f t="shared" ca="1" si="10"/>
        <v>105.42913172348621</v>
      </c>
      <c r="P180" s="29">
        <f t="shared" ca="1" si="14"/>
        <v>7.9012110602225247</v>
      </c>
      <c r="Q180" s="14" t="str">
        <f t="shared" ca="1" si="11"/>
        <v>|</v>
      </c>
    </row>
    <row r="181" spans="2:17" x14ac:dyDescent="0.15">
      <c r="B181" s="27">
        <f t="shared" si="15"/>
        <v>-4.7975223771812949</v>
      </c>
      <c r="C181" s="62">
        <f t="shared" ca="1" si="1"/>
        <v>107.11151713488032</v>
      </c>
      <c r="D181" s="28">
        <f t="shared" ca="1" si="12"/>
        <v>-1.544245776723849E-4</v>
      </c>
      <c r="E181" s="26">
        <f t="shared" ca="1" si="16"/>
        <v>856625.8683582932</v>
      </c>
      <c r="F181" s="26">
        <f t="shared" ca="1" si="13"/>
        <v>900543.78000434919</v>
      </c>
      <c r="G181" s="26">
        <f t="shared" ca="1" si="2"/>
        <v>15988.301689695989</v>
      </c>
      <c r="H181" s="28">
        <f t="shared" ref="H181:H185" si="18">10^B181*101325</f>
        <v>1.6150807291151326</v>
      </c>
      <c r="I181" s="28">
        <f t="shared" ref="I181:I185" ca="1" si="19">H181/(8314.4621/G$103*C181)</f>
        <v>1.1210172225650802E-5</v>
      </c>
      <c r="J181" s="26">
        <f t="shared" ref="J181:J185" ca="1" si="20">SQRT(8314.4621/G$103*G$105*C181)</f>
        <v>440.4630015376718</v>
      </c>
      <c r="K181" s="26">
        <f t="shared" ca="1" si="6"/>
        <v>17253.563544036959</v>
      </c>
      <c r="L181" s="28">
        <f t="shared" ref="L181:L185" ca="1" si="21">I181*K181^2/2</f>
        <v>1668.5526096319272</v>
      </c>
      <c r="M181" s="28">
        <f t="shared" ref="M181:M185" ca="1" si="22">I181*K181^3/2</f>
        <v>28788478.476853151</v>
      </c>
      <c r="N181" s="26">
        <f t="shared" ref="N181:N185" ca="1" si="23">F181*IF(G$128&gt;0,G$128,0.5)</f>
        <v>893937.12687051133</v>
      </c>
      <c r="O181" s="26">
        <f t="shared" ca="1" si="10"/>
        <v>103.99839749389446</v>
      </c>
      <c r="P181" s="29">
        <f t="shared" ca="1" si="14"/>
        <v>7.9012110602225247</v>
      </c>
      <c r="Q181" s="14" t="str">
        <f t="shared" ca="1" si="11"/>
        <v>|</v>
      </c>
    </row>
    <row r="182" spans="2:17" x14ac:dyDescent="0.15">
      <c r="B182" s="27">
        <f t="shared" si="15"/>
        <v>-5.0475223771812949</v>
      </c>
      <c r="C182" s="62">
        <f t="shared" ca="1" si="1"/>
        <v>105.77041652609678</v>
      </c>
      <c r="D182" s="28">
        <f t="shared" ca="1" si="12"/>
        <v>-1.4663459131880442E-4</v>
      </c>
      <c r="E182" s="26">
        <f t="shared" ca="1" si="16"/>
        <v>865771.73630610772</v>
      </c>
      <c r="F182" s="26">
        <f t="shared" ca="1" si="13"/>
        <v>910657.01281298546</v>
      </c>
      <c r="G182" s="26">
        <f t="shared" ca="1" si="2"/>
        <v>15788.118537566181</v>
      </c>
      <c r="H182" s="28">
        <f t="shared" si="18"/>
        <v>0.90822663749999777</v>
      </c>
      <c r="I182" s="28">
        <f t="shared" ca="1" si="19"/>
        <v>6.3838730344818146E-6</v>
      </c>
      <c r="J182" s="26">
        <f t="shared" ca="1" si="20"/>
        <v>437.6968850728116</v>
      </c>
      <c r="K182" s="26">
        <f t="shared" ca="1" si="6"/>
        <v>17248.823095543445</v>
      </c>
      <c r="L182" s="28">
        <f t="shared" ca="1" si="21"/>
        <v>949.67101148389145</v>
      </c>
      <c r="M182" s="28">
        <f t="shared" ca="1" si="22"/>
        <v>16380707.276051451</v>
      </c>
      <c r="N182" s="26">
        <f t="shared" ca="1" si="23"/>
        <v>903976.16603891377</v>
      </c>
      <c r="O182" s="26">
        <f t="shared" ca="1" si="10"/>
        <v>102.65729688511092</v>
      </c>
      <c r="P182" s="29">
        <f t="shared" ca="1" si="14"/>
        <v>7.9012110602225247</v>
      </c>
      <c r="Q182" s="14" t="str">
        <f t="shared" ca="1" si="11"/>
        <v>|</v>
      </c>
    </row>
    <row r="183" spans="2:17" x14ac:dyDescent="0.15">
      <c r="B183" s="27">
        <f t="shared" si="15"/>
        <v>-5.2975223771812949</v>
      </c>
      <c r="C183" s="62">
        <f t="shared" ca="1" si="1"/>
        <v>104.52610681628242</v>
      </c>
      <c r="D183" s="28">
        <f t="shared" ca="1" si="12"/>
        <v>-1.3772399120861694E-4</v>
      </c>
      <c r="E183" s="26">
        <f t="shared" ca="1" si="16"/>
        <v>874806.54352375166</v>
      </c>
      <c r="F183" s="26">
        <f t="shared" ca="1" si="13"/>
        <v>920658.32035566226</v>
      </c>
      <c r="G183" s="26">
        <f t="shared" ca="1" si="2"/>
        <v>15602.38315104488</v>
      </c>
      <c r="H183" s="28">
        <f t="shared" si="18"/>
        <v>0.51073337090492388</v>
      </c>
      <c r="I183" s="28">
        <f t="shared" ca="1" si="19"/>
        <v>3.6326510400501116E-6</v>
      </c>
      <c r="J183" s="26">
        <f t="shared" ca="1" si="20"/>
        <v>435.11468020781621</v>
      </c>
      <c r="K183" s="26">
        <f t="shared" ca="1" si="6"/>
        <v>17244.138951210709</v>
      </c>
      <c r="L183" s="28">
        <f t="shared" ca="1" si="21"/>
        <v>540.10315269576688</v>
      </c>
      <c r="M183" s="28">
        <f t="shared" ca="1" si="22"/>
        <v>9313613.8130727783</v>
      </c>
      <c r="N183" s="26">
        <f t="shared" ca="1" si="23"/>
        <v>913904.10105791502</v>
      </c>
      <c r="O183" s="26">
        <f t="shared" ca="1" si="10"/>
        <v>101.41298717529656</v>
      </c>
      <c r="P183" s="29">
        <f t="shared" ca="1" si="14"/>
        <v>7.9012110602225247</v>
      </c>
      <c r="Q183" s="14" t="str">
        <f t="shared" ca="1" si="11"/>
        <v>|</v>
      </c>
    </row>
    <row r="184" spans="2:17" x14ac:dyDescent="0.15">
      <c r="B184" s="27">
        <f t="shared" si="15"/>
        <v>-5.5475223771812949</v>
      </c>
      <c r="C184" s="62">
        <f t="shared" ca="1" si="1"/>
        <v>103.38574528359823</v>
      </c>
      <c r="D184" s="28">
        <f t="shared" ca="1" si="12"/>
        <v>-1.2766616168326521E-4</v>
      </c>
      <c r="E184" s="26">
        <f t="shared" ca="1" si="16"/>
        <v>883738.91462074884</v>
      </c>
      <c r="F184" s="26">
        <f t="shared" ca="1" si="13"/>
        <v>930556.8836415275</v>
      </c>
      <c r="G184" s="26">
        <f t="shared" ca="1" si="2"/>
        <v>15432.163881375496</v>
      </c>
      <c r="H184" s="28">
        <f t="shared" si="18"/>
        <v>0.28720648061360921</v>
      </c>
      <c r="I184" s="28">
        <f t="shared" ca="1" si="19"/>
        <v>2.0653221025107988E-6</v>
      </c>
      <c r="J184" s="26">
        <f t="shared" ca="1" si="20"/>
        <v>432.73465849373036</v>
      </c>
      <c r="K184" s="26">
        <f t="shared" ca="1" si="6"/>
        <v>17239.506682975622</v>
      </c>
      <c r="L184" s="28">
        <f t="shared" ca="1" si="21"/>
        <v>306.90747439744609</v>
      </c>
      <c r="M184" s="28">
        <f t="shared" ca="1" si="22"/>
        <v>5290933.4559299415</v>
      </c>
      <c r="N184" s="26">
        <f t="shared" ca="1" si="23"/>
        <v>923730.04558208853</v>
      </c>
      <c r="O184" s="26">
        <f t="shared" ca="1" si="10"/>
        <v>100.27262564261237</v>
      </c>
      <c r="P184" s="29">
        <f t="shared" ca="1" si="14"/>
        <v>7.9012110602225247</v>
      </c>
      <c r="Q184" s="14" t="str">
        <f t="shared" ca="1" si="11"/>
        <v>|</v>
      </c>
    </row>
    <row r="185" spans="2:17" x14ac:dyDescent="0.15">
      <c r="B185" s="27">
        <f t="shared" si="15"/>
        <v>-5.7975223771812949</v>
      </c>
      <c r="C185" s="62">
        <f t="shared" ca="1" si="1"/>
        <v>102.3564892062052</v>
      </c>
      <c r="D185" s="28">
        <f t="shared" ca="1" si="12"/>
        <v>-1.1644256010699198E-4</v>
      </c>
      <c r="E185" s="26">
        <f t="shared" ca="1" si="16"/>
        <v>892578.08885779127</v>
      </c>
      <c r="F185" s="26">
        <f t="shared" ca="1" si="13"/>
        <v>940362.61007640895</v>
      </c>
      <c r="G185" s="26">
        <f t="shared" ca="1" si="2"/>
        <v>15278.529079801445</v>
      </c>
      <c r="H185" s="28">
        <f t="shared" si="18"/>
        <v>0.16150807291151309</v>
      </c>
      <c r="I185" s="28">
        <f t="shared" ca="1" si="19"/>
        <v>1.1730947043462695E-6</v>
      </c>
      <c r="J185" s="26">
        <f t="shared" ca="1" si="20"/>
        <v>430.57522703801004</v>
      </c>
      <c r="K185" s="26">
        <f t="shared" ca="1" si="6"/>
        <v>17234.921538718165</v>
      </c>
      <c r="L185" s="28">
        <f t="shared" ca="1" si="21"/>
        <v>174.22950385030143</v>
      </c>
      <c r="M185" s="28">
        <f t="shared" ca="1" si="22"/>
        <v>3002831.8285897393</v>
      </c>
      <c r="N185" s="26">
        <f t="shared" ca="1" si="23"/>
        <v>933463.83433362911</v>
      </c>
      <c r="O185" s="26">
        <f t="shared" ca="1" si="10"/>
        <v>99.243369565219339</v>
      </c>
      <c r="P185" s="29">
        <f t="shared" ca="1" si="14"/>
        <v>7.9012110602225247</v>
      </c>
      <c r="Q185" s="14" t="str">
        <f t="shared" ca="1" si="11"/>
        <v>|</v>
      </c>
    </row>
    <row r="186" spans="2:17" x14ac:dyDescent="0.15">
      <c r="B186" s="27">
        <f t="shared" si="15"/>
        <v>-6.0475223771812949</v>
      </c>
      <c r="C186" s="62">
        <f t="shared" ca="1" si="1"/>
        <v>101.44549586226428</v>
      </c>
      <c r="D186" s="28">
        <f t="shared" ca="1" si="12"/>
        <v>-1.0404418702798592E-4</v>
      </c>
      <c r="E186" s="26">
        <f t="shared" ca="1" si="16"/>
        <v>901333.92010568047</v>
      </c>
      <c r="F186" s="26">
        <f t="shared" ref="F186:F188" ca="1" si="24">F$38*E186/(F$38-E186)</f>
        <v>950086.13606968615</v>
      </c>
      <c r="G186" s="26">
        <f t="shared" ca="1" si="2"/>
        <v>15142.547097566136</v>
      </c>
      <c r="H186" s="28">
        <f t="shared" ref="H186:H188" si="25">10^B186*101325</f>
        <v>9.0822663749999852E-2</v>
      </c>
      <c r="I186" s="28">
        <f t="shared" ref="I186:I188" ca="1" si="26">H186/(8314.4621/G$103*C186)</f>
        <v>6.6560363687672588E-7</v>
      </c>
      <c r="J186" s="26">
        <f t="shared" ref="J186:J188" ca="1" si="27">SQRT(8314.4621/G$103*G$105*C186)</f>
        <v>428.65484146592968</v>
      </c>
      <c r="K186" s="26">
        <f t="shared" ca="1" si="6"/>
        <v>17230.378441987497</v>
      </c>
      <c r="L186" s="28">
        <f t="shared" ref="L186:L188" ca="1" si="28">I186*K186^2/2</f>
        <v>98.804181118151959</v>
      </c>
      <c r="M186" s="28">
        <f t="shared" ref="M186:M188" ca="1" si="29">I186*K186^3/2</f>
        <v>1702433.4323164339</v>
      </c>
      <c r="N186" s="26">
        <f t="shared" ref="N186:N188" ca="1" si="30">F186*IF(G$128&gt;0,G$128,0.5)</f>
        <v>943116.02569009934</v>
      </c>
      <c r="O186" s="26">
        <f t="shared" ca="1" si="10"/>
        <v>98.332376221278423</v>
      </c>
      <c r="P186" s="29">
        <f t="shared" ca="1" si="14"/>
        <v>7.9012110602225247</v>
      </c>
      <c r="Q186" s="14" t="str">
        <f t="shared" ca="1" si="11"/>
        <v>|</v>
      </c>
    </row>
    <row r="187" spans="2:17" x14ac:dyDescent="0.15">
      <c r="B187" s="27">
        <f t="shared" si="15"/>
        <v>-6.2975223771812949</v>
      </c>
      <c r="C187" s="62">
        <f t="shared" ca="1" si="1"/>
        <v>100.65992252993648</v>
      </c>
      <c r="D187" s="28">
        <f t="shared" ca="1" si="12"/>
        <v>-9.047302196715936E-5</v>
      </c>
      <c r="E187" s="26">
        <f t="shared" ca="1" si="16"/>
        <v>910016.87680644041</v>
      </c>
      <c r="F187" s="26">
        <f t="shared" ca="1" si="24"/>
        <v>959738.82965736266</v>
      </c>
      <c r="G187" s="26">
        <f t="shared" ca="1" si="2"/>
        <v>15025.286285912984</v>
      </c>
      <c r="H187" s="28">
        <f t="shared" si="25"/>
        <v>5.1073337090492339E-2</v>
      </c>
      <c r="I187" s="28">
        <f t="shared" ca="1" si="26"/>
        <v>3.772175271897625E-7</v>
      </c>
      <c r="J187" s="26">
        <f t="shared" ca="1" si="27"/>
        <v>426.99190780401653</v>
      </c>
      <c r="K187" s="26">
        <f t="shared" ca="1" si="6"/>
        <v>17225.87199172574</v>
      </c>
      <c r="L187" s="28">
        <f t="shared" ca="1" si="28"/>
        <v>55.966004011430179</v>
      </c>
      <c r="M187" s="28">
        <f t="shared" ca="1" si="29"/>
        <v>964063.22098930541</v>
      </c>
      <c r="N187" s="26">
        <f t="shared" ca="1" si="30"/>
        <v>952697.9042882584</v>
      </c>
      <c r="O187" s="26">
        <f t="shared" ca="1" si="10"/>
        <v>97.546802888950623</v>
      </c>
      <c r="P187" s="29">
        <f t="shared" ca="1" si="14"/>
        <v>7.9012110602225247</v>
      </c>
      <c r="Q187" s="14" t="str">
        <f t="shared" ca="1" si="11"/>
        <v>|</v>
      </c>
    </row>
    <row r="188" spans="2:17" x14ac:dyDescent="0.15">
      <c r="B188" s="27">
        <f t="shared" si="15"/>
        <v>-6.5475223771812949</v>
      </c>
      <c r="C188" s="62">
        <f t="shared" ca="1" si="1"/>
        <v>100.00692648738277</v>
      </c>
      <c r="D188" s="28">
        <f t="shared" ca="1" si="12"/>
        <v>-7.5743363291493659E-5</v>
      </c>
      <c r="E188" s="26">
        <f t="shared" ca="1" si="16"/>
        <v>918638.04193797347</v>
      </c>
      <c r="F188" s="26">
        <f t="shared" ca="1" si="24"/>
        <v>969332.79317153792</v>
      </c>
      <c r="G188" s="26">
        <f t="shared" ca="1" si="2"/>
        <v>14927.814996085397</v>
      </c>
      <c r="H188" s="28">
        <f t="shared" si="25"/>
        <v>2.8720648061360887E-2</v>
      </c>
      <c r="I188" s="28">
        <f t="shared" ca="1" si="26"/>
        <v>2.1351007607028682E-7</v>
      </c>
      <c r="J188" s="26">
        <f t="shared" ca="1" si="27"/>
        <v>425.60467401218364</v>
      </c>
      <c r="K188" s="26">
        <f t="shared" ca="1" si="6"/>
        <v>17221.396461985409</v>
      </c>
      <c r="L188" s="28">
        <f t="shared" ca="1" si="28"/>
        <v>31.661035121579385</v>
      </c>
      <c r="M188" s="28">
        <f t="shared" ca="1" si="29"/>
        <v>545247.23822556296</v>
      </c>
      <c r="N188" s="26">
        <f t="shared" ca="1" si="30"/>
        <v>962221.48367395008</v>
      </c>
      <c r="O188" s="26">
        <f t="shared" ca="1" si="10"/>
        <v>96.893806846396913</v>
      </c>
      <c r="P188" s="29">
        <f t="shared" ca="1" si="14"/>
        <v>7.9012110602225247</v>
      </c>
      <c r="Q188" s="14" t="str">
        <f t="shared" ca="1" si="11"/>
        <v>|</v>
      </c>
    </row>
    <row r="189" spans="2:17" x14ac:dyDescent="0.15">
      <c r="B189" s="27">
        <f t="shared" si="15"/>
        <v>-6.7975223771812949</v>
      </c>
      <c r="C189" s="62">
        <f t="shared" ca="1" si="1"/>
        <v>99.49366501276414</v>
      </c>
      <c r="D189" s="28">
        <f t="shared" ca="1" si="12"/>
        <v>-5.9883003171790131E-5</v>
      </c>
      <c r="E189" s="26">
        <f t="shared" ca="1" si="16"/>
        <v>927209.11298372841</v>
      </c>
      <c r="F189" s="26">
        <f t="shared" ref="F189:F190" ca="1" si="31">F$38*E189/(F$38-E189)</f>
        <v>978880.86598867283</v>
      </c>
      <c r="G189" s="26">
        <f t="shared" ca="1" si="2"/>
        <v>14851.201579326795</v>
      </c>
      <c r="H189" s="28">
        <f t="shared" ref="H189:H190" si="32">10^B189*101325</f>
        <v>1.6150807291151321E-2</v>
      </c>
      <c r="I189" s="28">
        <f t="shared" ref="I189:I190" ca="1" si="33">H189/(8314.4621/G$103*C189)</f>
        <v>1.2068492544512367E-7</v>
      </c>
      <c r="J189" s="26">
        <f t="shared" ref="J189:J190" ca="1" si="34">SQRT(8314.4621/G$103*G$105*C189)</f>
        <v>424.51111233191216</v>
      </c>
      <c r="K189" s="26">
        <f t="shared" ca="1" si="6"/>
        <v>17216.945801636299</v>
      </c>
      <c r="L189" s="28">
        <f t="shared" ref="L189:L190" ca="1" si="35">I189*K189^2/2</f>
        <v>17.886907268077795</v>
      </c>
      <c r="M189" s="28">
        <f t="shared" ref="M189:M190" ca="1" si="36">I189*K189^3/2</f>
        <v>307957.91299338976</v>
      </c>
      <c r="N189" s="26">
        <f t="shared" ref="N189:N190" ca="1" si="37">F189*IF(G$128&gt;0,G$128,0.5)</f>
        <v>971699.50903020625</v>
      </c>
      <c r="O189" s="26">
        <f t="shared" ca="1" si="10"/>
        <v>96.380545371778283</v>
      </c>
      <c r="P189" s="29">
        <f t="shared" ca="1" si="14"/>
        <v>7.9012110602225247</v>
      </c>
      <c r="Q189" s="14" t="str">
        <f t="shared" ca="1" si="11"/>
        <v>|</v>
      </c>
    </row>
    <row r="190" spans="2:17" x14ac:dyDescent="0.15">
      <c r="B190" s="27">
        <f t="shared" si="15"/>
        <v>-7.0475223771812949</v>
      </c>
      <c r="C190" s="62">
        <f t="shared" ca="1" si="1"/>
        <v>99.127295384241549</v>
      </c>
      <c r="D190" s="28">
        <f t="shared" ca="1" si="12"/>
        <v>-4.2934164275455895E-5</v>
      </c>
      <c r="E190" s="26">
        <f t="shared" ca="1" si="16"/>
        <v>935742.40190888406</v>
      </c>
      <c r="F190" s="26">
        <f t="shared" ca="1" si="31"/>
        <v>988396.62739122589</v>
      </c>
      <c r="G190" s="26">
        <f t="shared" ca="1" si="2"/>
        <v>14796.514386880581</v>
      </c>
      <c r="H190" s="28">
        <f t="shared" si="32"/>
        <v>9.0822663749999758E-3</v>
      </c>
      <c r="I190" s="28">
        <f t="shared" ca="1" si="33"/>
        <v>6.811695076411826E-8</v>
      </c>
      <c r="J190" s="26">
        <f t="shared" ca="1" si="34"/>
        <v>423.72879408329146</v>
      </c>
      <c r="K190" s="26">
        <f t="shared" ca="1" si="6"/>
        <v>17212.513634057246</v>
      </c>
      <c r="L190" s="28">
        <f t="shared" ca="1" si="35"/>
        <v>10.090525808513634</v>
      </c>
      <c r="M190" s="28">
        <f t="shared" ca="1" si="36"/>
        <v>173683.31305384747</v>
      </c>
      <c r="N190" s="26">
        <f t="shared" ca="1" si="37"/>
        <v>981145.46001788904</v>
      </c>
      <c r="O190" s="26">
        <f t="shared" ca="1" si="10"/>
        <v>96.014175743255691</v>
      </c>
      <c r="P190" s="29">
        <f t="shared" ca="1" si="14"/>
        <v>7.9012110602225247</v>
      </c>
      <c r="Q190" s="14" t="str">
        <f t="shared" ca="1" si="11"/>
        <v>|</v>
      </c>
    </row>
    <row r="191" spans="2:17" x14ac:dyDescent="0.15">
      <c r="B191" s="27">
        <f t="shared" si="15"/>
        <v>-7.2975223771812949</v>
      </c>
      <c r="C191" s="62">
        <f t="shared" ca="1" si="1"/>
        <v>98.914974879976015</v>
      </c>
      <c r="D191" s="28">
        <f t="shared" ca="1" si="12"/>
        <v>-2.4954124735489826E-5</v>
      </c>
      <c r="E191" s="26">
        <f t="shared" ca="1" si="16"/>
        <v>944250.83514451538</v>
      </c>
      <c r="F191" s="26">
        <f t="shared" ref="F191:F192" ca="1" si="38">F$38*E191/(F$38-E191)</f>
        <v>997894.39957934152</v>
      </c>
      <c r="G191" s="26">
        <f t="shared" ca="1" si="2"/>
        <v>14764.821769990176</v>
      </c>
      <c r="H191" s="28">
        <f t="shared" ref="H191:H192" si="39">10^B191*101325</f>
        <v>5.1073337090492268E-3</v>
      </c>
      <c r="I191" s="28">
        <f t="shared" ref="I191:I192" ca="1" si="40">H191/(8314.4621/G$103*C191)</f>
        <v>3.8387197802890306E-8</v>
      </c>
      <c r="J191" s="26">
        <f t="shared" ref="J191:J192" ca="1" si="41">SQRT(8314.4621/G$103*G$105*C191)</f>
        <v>423.27475901051827</v>
      </c>
      <c r="K191" s="26">
        <f t="shared" ca="1" si="6"/>
        <v>17208.093256808061</v>
      </c>
      <c r="L191" s="28">
        <f t="shared" ref="L191:L192" ca="1" si="42">I191*K191^2/2</f>
        <v>5.6835792083390508</v>
      </c>
      <c r="M191" s="28">
        <f t="shared" ref="M191:M192" ca="1" si="43">I191*K191^3/2</f>
        <v>97803.561049553711</v>
      </c>
      <c r="N191" s="26">
        <f t="shared" ref="N191:N192" ca="1" si="44">F191*IF(G$128&gt;0,G$128,0.5)</f>
        <v>990573.55376528425</v>
      </c>
      <c r="O191" s="26">
        <f t="shared" ca="1" si="10"/>
        <v>95.801855238990157</v>
      </c>
      <c r="P191" s="29">
        <f t="shared" ca="1" si="14"/>
        <v>7.9012110602225247</v>
      </c>
      <c r="Q191" s="14" t="str">
        <f t="shared" ref="Q191:Q192" ca="1" si="45">IF(L191&gt;L$144,"|",IF(L190&gt;L$144,"V",""))</f>
        <v>|</v>
      </c>
    </row>
    <row r="192" spans="2:17" x14ac:dyDescent="0.15">
      <c r="B192" s="27">
        <f t="shared" si="15"/>
        <v>-7.5475223771812949</v>
      </c>
      <c r="C192" s="63">
        <f t="shared" ca="1" si="1"/>
        <v>98.886319992831048</v>
      </c>
      <c r="D192" s="28">
        <f t="shared" ca="1" si="12"/>
        <v>-3.3719234728289986E-6</v>
      </c>
      <c r="E192" s="26">
        <f t="shared" ca="1" si="16"/>
        <v>952748.91861997801</v>
      </c>
      <c r="F192" s="26">
        <f t="shared" ca="1" si="38"/>
        <v>1007390.3297768421</v>
      </c>
      <c r="G192" s="26">
        <f t="shared" ca="1" si="2"/>
        <v>14760.544517713179</v>
      </c>
      <c r="H192" s="28">
        <f t="shared" si="39"/>
        <v>2.8720648061360907E-3</v>
      </c>
      <c r="I192" s="28">
        <f t="shared" ca="1" si="40"/>
        <v>2.1592962993692839E-8</v>
      </c>
      <c r="J192" s="26">
        <f t="shared" ca="1" si="41"/>
        <v>423.21344489198526</v>
      </c>
      <c r="K192" s="26">
        <f t="shared" ca="1" si="6"/>
        <v>17203.677139720901</v>
      </c>
      <c r="L192" s="28">
        <f t="shared" ca="1" si="42"/>
        <v>3.1953969178910766</v>
      </c>
      <c r="M192" s="28">
        <f t="shared" ca="1" si="43"/>
        <v>54972.576908657335</v>
      </c>
      <c r="N192" s="26">
        <f t="shared" ca="1" si="44"/>
        <v>999999.81903544767</v>
      </c>
      <c r="O192" s="26">
        <f t="shared" ca="1" si="10"/>
        <v>95.77320035184519</v>
      </c>
      <c r="P192" s="29">
        <f t="shared" ca="1" si="14"/>
        <v>7.9012110602225247</v>
      </c>
      <c r="Q192" s="14" t="str">
        <f t="shared" ca="1" si="45"/>
        <v>|</v>
      </c>
    </row>
  </sheetData>
  <sortState xmlns:xlrd2="http://schemas.microsoft.com/office/spreadsheetml/2017/richdata2" ref="P24:Q33">
    <sortCondition ref="P35"/>
  </sortState>
  <mergeCells count="58">
    <mergeCell ref="B80:H80"/>
    <mergeCell ref="B122:H122"/>
    <mergeCell ref="B132:Q132"/>
    <mergeCell ref="B133:Q133"/>
    <mergeCell ref="B93:H93"/>
    <mergeCell ref="B108:H108"/>
    <mergeCell ref="B121:H121"/>
    <mergeCell ref="B131:Q131"/>
    <mergeCell ref="F30:G30"/>
    <mergeCell ref="B35:H35"/>
    <mergeCell ref="B90:H90"/>
    <mergeCell ref="B91:H91"/>
    <mergeCell ref="B89:H89"/>
    <mergeCell ref="B85:H85"/>
    <mergeCell ref="B51:D51"/>
    <mergeCell ref="B52:D52"/>
    <mergeCell ref="B71:D71"/>
    <mergeCell ref="B53:D53"/>
    <mergeCell ref="B54:D54"/>
    <mergeCell ref="B55:D55"/>
    <mergeCell ref="B56:D56"/>
    <mergeCell ref="B57:D57"/>
    <mergeCell ref="B58:D58"/>
    <mergeCell ref="B79:H79"/>
    <mergeCell ref="B67:D67"/>
    <mergeCell ref="F38:G38"/>
    <mergeCell ref="B63:D63"/>
    <mergeCell ref="B64:D64"/>
    <mergeCell ref="B65:D65"/>
    <mergeCell ref="B66:D66"/>
    <mergeCell ref="B50:D50"/>
    <mergeCell ref="B62:D62"/>
    <mergeCell ref="B59:D59"/>
    <mergeCell ref="B60:D60"/>
    <mergeCell ref="B61:D61"/>
    <mergeCell ref="B36:H36"/>
    <mergeCell ref="B41:J41"/>
    <mergeCell ref="B42:J42"/>
    <mergeCell ref="B40:J40"/>
    <mergeCell ref="B2:H2"/>
    <mergeCell ref="B4:H4"/>
    <mergeCell ref="F11:G11"/>
    <mergeCell ref="F13:G13"/>
    <mergeCell ref="D14:E16"/>
    <mergeCell ref="B5:H5"/>
    <mergeCell ref="B6:H6"/>
    <mergeCell ref="B7:H7"/>
    <mergeCell ref="B8:H8"/>
    <mergeCell ref="F20:G20"/>
    <mergeCell ref="D21:E23"/>
    <mergeCell ref="F25:G25"/>
    <mergeCell ref="I71:J71"/>
    <mergeCell ref="B69:D69"/>
    <mergeCell ref="B70:D70"/>
    <mergeCell ref="I68:J68"/>
    <mergeCell ref="I69:J69"/>
    <mergeCell ref="I70:J70"/>
    <mergeCell ref="B68:D68"/>
  </mergeCells>
  <phoneticPr fontId="18" type="noConversion"/>
  <dataValidations count="4">
    <dataValidation type="list" allowBlank="1" showInputMessage="1" showErrorMessage="1" sqref="G19" xr:uid="{00000000-0002-0000-0700-000000000000}">
      <formula1>"Planet, Moon"</formula1>
    </dataValidation>
    <dataValidation type="decimal" allowBlank="1" showInputMessage="1" showErrorMessage="1" sqref="G44" xr:uid="{00000000-0002-0000-0700-000001000000}">
      <formula1>0.001</formula1>
      <formula2>1000</formula2>
    </dataValidation>
    <dataValidation type="list" allowBlank="1" showInputMessage="1" showErrorMessage="1" sqref="G82" xr:uid="{00000000-0002-0000-0700-000002000000}">
      <formula1>"None,10%,25%,50%,75%,90%"</formula1>
    </dataValidation>
    <dataValidation type="list" allowBlank="1" showInputMessage="1" showErrorMessage="1" sqref="I68:J71" xr:uid="{00000000-0002-0000-0700-000003000000}">
      <formula1>"No greenhouse,Mild greenhouse,Strong greenhouse"</formula1>
    </dataValidation>
  </dataValidations>
  <pageMargins left="0.7" right="0.7" top="0.75" bottom="0.75" header="0.3" footer="0.3"/>
  <pageSetup orientation="portrait" horizontalDpi="0" verticalDpi="0" r:id="rId1"/>
  <ignoredErrors>
    <ignoredError sqref="G97" formulaRange="1"/>
    <ignoredError sqref="K55"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00"/>
  <sheetViews>
    <sheetView tabSelected="1" topLeftCell="A5" workbookViewId="0">
      <selection activeCell="D38" sqref="D38"/>
    </sheetView>
  </sheetViews>
  <sheetFormatPr defaultColWidth="9.125" defaultRowHeight="15" x14ac:dyDescent="0.25"/>
  <cols>
    <col min="1" max="1" width="27.625" style="2" customWidth="1"/>
    <col min="2" max="5" width="14.625" style="2" customWidth="1"/>
    <col min="6" max="16384" width="9.125" style="2"/>
  </cols>
  <sheetData>
    <row r="1" spans="1:5" ht="78.75" customHeight="1" x14ac:dyDescent="0.25">
      <c r="A1" s="102" t="s">
        <v>377</v>
      </c>
      <c r="B1" s="102"/>
      <c r="C1" s="102"/>
      <c r="D1" s="102"/>
      <c r="E1" s="102"/>
    </row>
    <row r="2" spans="1:5" x14ac:dyDescent="0.25">
      <c r="A2" s="1"/>
      <c r="B2" s="1"/>
      <c r="C2" s="1"/>
      <c r="D2" s="1"/>
      <c r="E2" s="1"/>
    </row>
    <row r="3" spans="1:5" x14ac:dyDescent="0.25">
      <c r="A3" s="1" t="s">
        <v>97</v>
      </c>
      <c r="B3" s="1"/>
      <c r="C3" s="1"/>
      <c r="D3" s="1"/>
      <c r="E3" s="1"/>
    </row>
    <row r="4" spans="1:5" x14ac:dyDescent="0.25">
      <c r="A4" s="1" t="s">
        <v>66</v>
      </c>
      <c r="B4" s="3"/>
      <c r="D4" s="1"/>
      <c r="E4" s="3"/>
    </row>
    <row r="5" spans="1:5" x14ac:dyDescent="0.25">
      <c r="A5" s="10" t="s">
        <v>98</v>
      </c>
      <c r="B5" s="3">
        <f>Other!G24</f>
        <v>0.97599999999999998</v>
      </c>
      <c r="D5" s="1"/>
      <c r="E5" s="3"/>
    </row>
    <row r="6" spans="1:5" x14ac:dyDescent="0.25">
      <c r="A6" s="1" t="s">
        <v>67</v>
      </c>
      <c r="B6" s="3"/>
      <c r="D6" s="1"/>
      <c r="E6" s="3"/>
    </row>
    <row r="7" spans="1:5" x14ac:dyDescent="0.25">
      <c r="A7" s="1" t="s">
        <v>68</v>
      </c>
      <c r="B7" s="1"/>
      <c r="D7" s="1"/>
      <c r="E7" s="3"/>
    </row>
    <row r="8" spans="1:5" x14ac:dyDescent="0.25">
      <c r="A8" s="1" t="s">
        <v>66</v>
      </c>
      <c r="B8" s="3"/>
      <c r="D8" s="1"/>
      <c r="E8" s="3"/>
    </row>
    <row r="9" spans="1:5" x14ac:dyDescent="0.25">
      <c r="A9" s="10" t="s">
        <v>69</v>
      </c>
      <c r="B9" s="4" t="s">
        <v>70</v>
      </c>
      <c r="D9" s="3"/>
      <c r="E9" s="3"/>
    </row>
    <row r="10" spans="1:5" x14ac:dyDescent="0.25">
      <c r="A10" s="10" t="s">
        <v>71</v>
      </c>
      <c r="B10" s="4" t="str">
        <f>IF(Other!F61&gt;0,"True","False")</f>
        <v>False</v>
      </c>
      <c r="D10" s="3"/>
      <c r="E10" s="3"/>
    </row>
    <row r="11" spans="1:5" x14ac:dyDescent="0.25">
      <c r="A11" s="10" t="s">
        <v>72</v>
      </c>
      <c r="B11" s="3">
        <f ca="1">MAX(B18:B60)</f>
        <v>1000000</v>
      </c>
      <c r="D11" s="3"/>
      <c r="E11" s="3"/>
    </row>
    <row r="12" spans="1:5" x14ac:dyDescent="0.25">
      <c r="A12" s="10" t="s">
        <v>73</v>
      </c>
      <c r="B12" s="5">
        <f ca="1">ROUND(Other!G105,2)</f>
        <v>1.35</v>
      </c>
      <c r="D12" s="3"/>
      <c r="E12" s="3"/>
    </row>
    <row r="13" spans="1:5" x14ac:dyDescent="0.25">
      <c r="A13" s="10" t="s">
        <v>74</v>
      </c>
      <c r="B13" s="3">
        <f>ROUND(Other!G103/1000,5)</f>
        <v>6.1799999999999997E-3</v>
      </c>
      <c r="D13" s="3"/>
      <c r="E13" s="3"/>
    </row>
    <row r="14" spans="1:5" x14ac:dyDescent="0.25">
      <c r="A14" s="10" t="s">
        <v>75</v>
      </c>
      <c r="B14" s="7">
        <f ca="1">ROUND(Other!C$150,0)</f>
        <v>802</v>
      </c>
      <c r="D14" s="3"/>
      <c r="E14" s="3"/>
    </row>
    <row r="15" spans="1:5" x14ac:dyDescent="0.25">
      <c r="A15" s="10" t="s">
        <v>76</v>
      </c>
      <c r="B15" s="3">
        <f ca="1">C142</f>
        <v>90822.663750000109</v>
      </c>
      <c r="D15" s="3"/>
      <c r="E15" s="3"/>
    </row>
    <row r="16" spans="1:5" x14ac:dyDescent="0.25">
      <c r="A16" s="10" t="s">
        <v>77</v>
      </c>
      <c r="B16" s="3"/>
      <c r="D16" s="3"/>
      <c r="E16" s="3"/>
    </row>
    <row r="17" spans="1:5" x14ac:dyDescent="0.25">
      <c r="A17" s="10" t="s">
        <v>66</v>
      </c>
      <c r="B17" s="1"/>
      <c r="C17" s="3"/>
      <c r="D17" s="3"/>
      <c r="E17" s="3"/>
    </row>
    <row r="18" spans="1:5" x14ac:dyDescent="0.25">
      <c r="A18" s="3" t="str">
        <f t="shared" ref="A18:A48" ca="1" si="0">IF(B18="","Unused","key =")</f>
        <v>key =</v>
      </c>
      <c r="B18" s="3">
        <f ca="1">IF(Other!Q150="|",ROUND(Other!N150,0),IF(Other!Q150="V",ROUND(Other!N150,-3),""))</f>
        <v>0</v>
      </c>
      <c r="C18" s="3">
        <f ca="1">IF(B18="","",ROUND(Other!O150,0))</f>
        <v>802</v>
      </c>
      <c r="D18" s="6">
        <v>0</v>
      </c>
      <c r="E18" s="6">
        <f ca="1">(C19-C18)/(B19-B18)</f>
        <v>-7.3553694196763634E-4</v>
      </c>
    </row>
    <row r="19" spans="1:5" x14ac:dyDescent="0.25">
      <c r="A19" s="3" t="str">
        <f t="shared" ca="1" si="0"/>
        <v>key =</v>
      </c>
      <c r="B19" s="3">
        <f ca="1">IF(Other!Q151="|",ROUND(Other!N151,0),IF(Other!Q151="V",ROUND(Other!N151,-3),""))</f>
        <v>66618</v>
      </c>
      <c r="C19" s="3">
        <f ca="1">IF(B19="","",ROUND(Other!O151,0))</f>
        <v>753</v>
      </c>
      <c r="D19" s="6">
        <f ca="1">IF(C19="","",(C19-C18)/(B19-B18))</f>
        <v>-7.3553694196763634E-4</v>
      </c>
      <c r="E19" s="6">
        <f ca="1">IF(C19="","",IF(C20="",0,(C20-C19)/(B20-B19)))</f>
        <v>-7.6132470498667686E-4</v>
      </c>
    </row>
    <row r="20" spans="1:5" x14ac:dyDescent="0.25">
      <c r="A20" s="3" t="str">
        <f t="shared" ca="1" si="0"/>
        <v>key =</v>
      </c>
      <c r="B20" s="3">
        <f ca="1">IF(Other!Q152="|",ROUND(Other!N152,0),IF(Other!Q152="V",ROUND(Other!N152,-3),""))</f>
        <v>129666</v>
      </c>
      <c r="C20" s="3">
        <f ca="1">IF(B20="","",ROUND(Other!O152,0))</f>
        <v>705</v>
      </c>
      <c r="D20" s="6">
        <f t="shared" ref="D20:D48" ca="1" si="1">IF(C20="","",(C20-C19)/(B20-B19))</f>
        <v>-7.6132470498667686E-4</v>
      </c>
      <c r="E20" s="6">
        <f t="shared" ref="E20:E47" ca="1" si="2">IF(C20="","",IF(C21="",0,(C21-C20)/(B21-B20)))</f>
        <v>-7.5569288641096262E-4</v>
      </c>
    </row>
    <row r="21" spans="1:5" x14ac:dyDescent="0.25">
      <c r="A21" s="3" t="str">
        <f t="shared" ca="1" si="0"/>
        <v>key =</v>
      </c>
      <c r="B21" s="3">
        <f ca="1">IF(Other!Q153="|",ROUND(Other!N153,0),IF(Other!Q153="V",ROUND(Other!N153,-3),""))</f>
        <v>189214</v>
      </c>
      <c r="C21" s="3">
        <f ca="1">IF(B21="","",ROUND(Other!O153,0))</f>
        <v>660</v>
      </c>
      <c r="D21" s="6">
        <f t="shared" ca="1" si="1"/>
        <v>-7.5569288641096262E-4</v>
      </c>
      <c r="E21" s="6">
        <f t="shared" ca="1" si="2"/>
        <v>-7.483429548856104E-4</v>
      </c>
    </row>
    <row r="22" spans="1:5" x14ac:dyDescent="0.25">
      <c r="A22" s="3" t="str">
        <f t="shared" ca="1" si="0"/>
        <v>key =</v>
      </c>
      <c r="B22" s="3">
        <f ca="1">IF(Other!Q154="|",ROUND(Other!N154,0),IF(Other!Q154="V",ROUND(Other!N154,-3),""))</f>
        <v>245338</v>
      </c>
      <c r="C22" s="3">
        <f ca="1">IF(B22="","",ROUND(Other!O154,0))</f>
        <v>618</v>
      </c>
      <c r="D22" s="6">
        <f t="shared" ca="1" si="1"/>
        <v>-7.483429548856104E-4</v>
      </c>
      <c r="E22" s="6">
        <f t="shared" ca="1" si="2"/>
        <v>-7.7677996286612864E-4</v>
      </c>
    </row>
    <row r="23" spans="1:5" x14ac:dyDescent="0.25">
      <c r="A23" s="3" t="str">
        <f t="shared" ca="1" si="0"/>
        <v>key =</v>
      </c>
      <c r="B23" s="3">
        <f ca="1">IF(Other!Q155="|",ROUND(Other!N155,0),IF(Other!Q155="V",ROUND(Other!N155,-3),""))</f>
        <v>298120</v>
      </c>
      <c r="C23" s="3">
        <f ca="1">IF(B23="","",ROUND(Other!O155,0))</f>
        <v>577</v>
      </c>
      <c r="D23" s="6">
        <f t="shared" ca="1" si="1"/>
        <v>-7.7677996286612864E-4</v>
      </c>
      <c r="E23" s="6">
        <f t="shared" ca="1" si="2"/>
        <v>-8.0755874989905517E-4</v>
      </c>
    </row>
    <row r="24" spans="1:5" x14ac:dyDescent="0.25">
      <c r="A24" s="3" t="str">
        <f t="shared" ca="1" si="0"/>
        <v>key =</v>
      </c>
      <c r="B24" s="3">
        <f ca="1">IF(Other!Q156="|",ROUND(Other!N156,0),IF(Other!Q156="V",ROUND(Other!N156,-3),""))</f>
        <v>347652</v>
      </c>
      <c r="C24" s="3">
        <f ca="1">IF(B24="","",ROUND(Other!O156,0))</f>
        <v>537</v>
      </c>
      <c r="D24" s="6">
        <f t="shared" ca="1" si="1"/>
        <v>-8.0755874989905517E-4</v>
      </c>
      <c r="E24" s="6">
        <f t="shared" ca="1" si="2"/>
        <v>-7.977748549990297E-4</v>
      </c>
    </row>
    <row r="25" spans="1:5" x14ac:dyDescent="0.25">
      <c r="A25" s="3" t="str">
        <f t="shared" ca="1" si="0"/>
        <v>key =</v>
      </c>
      <c r="B25" s="3">
        <f ca="1">IF(Other!Q157="|",ROUND(Other!N157,0),IF(Other!Q157="V",ROUND(Other!N157,-3),""))</f>
        <v>394031</v>
      </c>
      <c r="C25" s="3">
        <f ca="1">IF(B25="","",ROUND(Other!O157,0))</f>
        <v>500</v>
      </c>
      <c r="D25" s="6">
        <f t="shared" ca="1" si="1"/>
        <v>-7.977748549990297E-4</v>
      </c>
      <c r="E25" s="6">
        <f t="shared" ca="1" si="2"/>
        <v>-8.3085231600083084E-4</v>
      </c>
    </row>
    <row r="26" spans="1:5" x14ac:dyDescent="0.25">
      <c r="A26" s="3" t="str">
        <f t="shared" ca="1" si="0"/>
        <v>key =</v>
      </c>
      <c r="B26" s="3">
        <f ca="1">IF(Other!Q158="|",ROUND(Other!N158,0),IF(Other!Q158="V",ROUND(Other!N158,-3),""))</f>
        <v>437360</v>
      </c>
      <c r="C26" s="3">
        <f ca="1">IF(B26="","",ROUND(Other!O158,0))</f>
        <v>464</v>
      </c>
      <c r="D26" s="6">
        <f t="shared" ca="1" si="1"/>
        <v>-8.3085231600083084E-4</v>
      </c>
      <c r="E26" s="6">
        <f t="shared" ca="1" si="2"/>
        <v>-8.4181336502513063E-4</v>
      </c>
    </row>
    <row r="27" spans="1:5" x14ac:dyDescent="0.25">
      <c r="A27" s="3" t="str">
        <f t="shared" ca="1" si="0"/>
        <v>key =</v>
      </c>
      <c r="B27" s="3">
        <f ca="1">IF(Other!Q159="|",ROUND(Other!N159,0),IF(Other!Q159="V",ROUND(Other!N159,-3),""))</f>
        <v>477749</v>
      </c>
      <c r="C27" s="3">
        <f ca="1">IF(B27="","",ROUND(Other!O159,0))</f>
        <v>430</v>
      </c>
      <c r="D27" s="6">
        <f t="shared" ca="1" si="1"/>
        <v>-8.4181336502513063E-4</v>
      </c>
      <c r="E27" s="6">
        <f t="shared" ca="1" si="2"/>
        <v>-8.7852407954636211E-4</v>
      </c>
    </row>
    <row r="28" spans="1:5" x14ac:dyDescent="0.25">
      <c r="A28" s="3" t="str">
        <f t="shared" ca="1" si="0"/>
        <v>key =</v>
      </c>
      <c r="B28" s="3">
        <f ca="1">IF(Other!Q160="|",ROUND(Other!N160,0),IF(Other!Q160="V",ROUND(Other!N160,-3),""))</f>
        <v>515312</v>
      </c>
      <c r="C28" s="3">
        <f ca="1">IF(B28="","",ROUND(Other!O160,0))</f>
        <v>397</v>
      </c>
      <c r="D28" s="6">
        <f t="shared" ca="1" si="1"/>
        <v>-8.7852407954636211E-4</v>
      </c>
      <c r="E28" s="6">
        <f t="shared" ca="1" si="2"/>
        <v>-8.6060988553888519E-4</v>
      </c>
    </row>
    <row r="29" spans="1:5" x14ac:dyDescent="0.25">
      <c r="A29" s="3" t="str">
        <f t="shared" ca="1" si="0"/>
        <v>key =</v>
      </c>
      <c r="B29" s="3">
        <f ca="1">IF(Other!Q161="|",ROUND(Other!N161,0),IF(Other!Q161="V",ROUND(Other!N161,-3),""))</f>
        <v>550171</v>
      </c>
      <c r="C29" s="3">
        <f ca="1">IF(B29="","",ROUND(Other!O161,0))</f>
        <v>367</v>
      </c>
      <c r="D29" s="6">
        <f t="shared" ca="1" si="1"/>
        <v>-8.6060988553888519E-4</v>
      </c>
      <c r="E29" s="6">
        <f t="shared" ca="1" si="2"/>
        <v>-8.98444761137617E-4</v>
      </c>
    </row>
    <row r="30" spans="1:5" x14ac:dyDescent="0.25">
      <c r="A30" s="3" t="str">
        <f t="shared" ca="1" si="0"/>
        <v>key =</v>
      </c>
      <c r="B30" s="3">
        <f ca="1">IF(Other!Q162="|",ROUND(Other!N162,0),IF(Other!Q162="V",ROUND(Other!N162,-3),""))</f>
        <v>582449</v>
      </c>
      <c r="C30" s="3">
        <f ca="1">IF(B30="","",ROUND(Other!O162,0))</f>
        <v>338</v>
      </c>
      <c r="D30" s="6">
        <f t="shared" ca="1" si="1"/>
        <v>-8.98444761137617E-4</v>
      </c>
      <c r="E30" s="6">
        <f t="shared" ca="1" si="2"/>
        <v>-9.3871530105940724E-4</v>
      </c>
    </row>
    <row r="31" spans="1:5" x14ac:dyDescent="0.25">
      <c r="A31" s="3" t="str">
        <f t="shared" ca="1" si="0"/>
        <v>key =</v>
      </c>
      <c r="B31" s="3">
        <f ca="1">IF(Other!Q163="|",ROUND(Other!N163,0),IF(Other!Q163="V",ROUND(Other!N163,-3),""))</f>
        <v>612277</v>
      </c>
      <c r="C31" s="3">
        <f ca="1">IF(B31="","",ROUND(Other!O163,0))</f>
        <v>310</v>
      </c>
      <c r="D31" s="6">
        <f t="shared" ca="1" si="1"/>
        <v>-9.3871530105940724E-4</v>
      </c>
      <c r="E31" s="6">
        <f t="shared" ca="1" si="2"/>
        <v>-9.0872741812365963E-4</v>
      </c>
    </row>
    <row r="32" spans="1:5" x14ac:dyDescent="0.25">
      <c r="A32" s="3" t="str">
        <f t="shared" ca="1" si="0"/>
        <v>key =</v>
      </c>
      <c r="B32" s="3">
        <f ca="1">IF(Other!Q164="|",ROUND(Other!N164,0),IF(Other!Q164="V",ROUND(Other!N164,-3),""))</f>
        <v>639788</v>
      </c>
      <c r="C32" s="3">
        <f ca="1">IF(B32="","",ROUND(Other!O164,0))</f>
        <v>285</v>
      </c>
      <c r="D32" s="6">
        <f t="shared" ca="1" si="1"/>
        <v>-9.0872741812365963E-4</v>
      </c>
      <c r="E32" s="6">
        <f t="shared" ca="1" si="2"/>
        <v>-9.4749309119621008E-4</v>
      </c>
    </row>
    <row r="33" spans="1:5" x14ac:dyDescent="0.25">
      <c r="A33" s="3" t="str">
        <f t="shared" ca="1" si="0"/>
        <v>key =</v>
      </c>
      <c r="B33" s="3">
        <f ca="1">IF(Other!Q165="|",ROUND(Other!N165,0),IF(Other!Q165="V",ROUND(Other!N165,-3),""))</f>
        <v>665118</v>
      </c>
      <c r="C33" s="3">
        <f ca="1">IF(B33="","",ROUND(Other!O165,0))</f>
        <v>261</v>
      </c>
      <c r="D33" s="6">
        <f t="shared" ca="1" si="1"/>
        <v>-9.4749309119621008E-4</v>
      </c>
      <c r="E33" s="6">
        <f t="shared" ca="1" si="2"/>
        <v>-9.4461142121082006E-4</v>
      </c>
    </row>
    <row r="34" spans="1:5" x14ac:dyDescent="0.25">
      <c r="A34" s="3" t="str">
        <f t="shared" ca="1" si="0"/>
        <v>key =</v>
      </c>
      <c r="B34" s="3">
        <f ca="1">IF(Other!Q166="|",ROUND(Other!N166,0),IF(Other!Q166="V",ROUND(Other!N166,-3),""))</f>
        <v>688408</v>
      </c>
      <c r="C34" s="3">
        <f ca="1">IF(B34="","",ROUND(Other!O166,0))</f>
        <v>239</v>
      </c>
      <c r="D34" s="6">
        <f t="shared" ca="1" si="1"/>
        <v>-9.4461142121082006E-4</v>
      </c>
      <c r="E34" s="6">
        <f t="shared" ca="1" si="2"/>
        <v>-9.3484154435823129E-4</v>
      </c>
    </row>
    <row r="35" spans="1:5" x14ac:dyDescent="0.25">
      <c r="A35" s="3" t="str">
        <f t="shared" ca="1" si="0"/>
        <v>key =</v>
      </c>
      <c r="B35" s="3">
        <f ca="1">IF(Other!Q167="|",ROUND(Other!N167,0),IF(Other!Q167="V",ROUND(Other!N167,-3),""))</f>
        <v>709802</v>
      </c>
      <c r="C35" s="3">
        <f ca="1">IF(B35="","",ROUND(Other!O167,0))</f>
        <v>219</v>
      </c>
      <c r="D35" s="6">
        <f t="shared" ca="1" si="1"/>
        <v>-9.3484154435823129E-4</v>
      </c>
      <c r="E35" s="6">
        <f t="shared" ca="1" si="2"/>
        <v>-9.672656926131446E-4</v>
      </c>
    </row>
    <row r="36" spans="1:5" x14ac:dyDescent="0.25">
      <c r="A36" s="3" t="str">
        <f t="shared" ca="1" si="0"/>
        <v>key =</v>
      </c>
      <c r="B36" s="3">
        <f ca="1">IF(Other!Q168="|",ROUND(Other!N168,0),IF(Other!Q168="V",ROUND(Other!N168,-3),""))</f>
        <v>729445</v>
      </c>
      <c r="C36" s="3">
        <f ca="1">IF(B36="","",ROUND(Other!O168,0))</f>
        <v>200</v>
      </c>
      <c r="D36" s="6">
        <f t="shared" ca="1" si="1"/>
        <v>-9.672656926131446E-4</v>
      </c>
      <c r="E36" s="6">
        <f t="shared" ca="1" si="2"/>
        <v>-9.4229809877501253E-4</v>
      </c>
    </row>
    <row r="37" spans="1:5" x14ac:dyDescent="0.25">
      <c r="A37" s="3" t="str">
        <f t="shared" ca="1" si="0"/>
        <v>key =</v>
      </c>
      <c r="B37" s="3">
        <f ca="1">IF(Other!Q169="|",ROUND(Other!N169,0),IF(Other!Q169="V",ROUND(Other!N169,-3),""))</f>
        <v>747486</v>
      </c>
      <c r="C37" s="3">
        <f ca="1">IF(B37="","",ROUND(Other!O169,0))</f>
        <v>183</v>
      </c>
      <c r="D37" s="6">
        <f t="shared" ca="1" si="1"/>
        <v>-9.4229809877501253E-4</v>
      </c>
      <c r="E37" s="6">
        <f t="shared" ca="1" si="2"/>
        <v>-9.0415913200723324E-4</v>
      </c>
    </row>
    <row r="38" spans="1:5" x14ac:dyDescent="0.25">
      <c r="A38" s="3" t="str">
        <f t="shared" ca="1" si="0"/>
        <v>key =</v>
      </c>
      <c r="B38" s="3">
        <f ca="1">IF(Other!Q170="|",ROUND(Other!N170,0),IF(Other!Q170="V",ROUND(Other!N170,-3),""))</f>
        <v>764076</v>
      </c>
      <c r="C38" s="3">
        <f ca="1">IF(B38="","",ROUND(Other!O170,0))</f>
        <v>168</v>
      </c>
      <c r="D38" s="6">
        <f t="shared" ca="1" si="1"/>
        <v>-9.0415913200723324E-4</v>
      </c>
      <c r="E38" s="6">
        <f t="shared" ca="1" si="2"/>
        <v>-8.5022890778286458E-4</v>
      </c>
    </row>
    <row r="39" spans="1:5" x14ac:dyDescent="0.25">
      <c r="A39" s="3" t="str">
        <f t="shared" ca="1" si="0"/>
        <v>key =</v>
      </c>
      <c r="B39" s="3">
        <f ca="1">IF(Other!Q171="|",ROUND(Other!N171,0),IF(Other!Q171="V",ROUND(Other!N171,-3),""))</f>
        <v>779366</v>
      </c>
      <c r="C39" s="3">
        <f ca="1">IF(B39="","",ROUND(Other!O171,0))</f>
        <v>155</v>
      </c>
      <c r="D39" s="6">
        <f t="shared" ca="1" si="1"/>
        <v>-8.5022890778286458E-4</v>
      </c>
      <c r="E39" s="6">
        <f t="shared" ca="1" si="2"/>
        <v>-8.484162895927602E-4</v>
      </c>
    </row>
    <row r="40" spans="1:5" x14ac:dyDescent="0.25">
      <c r="A40" s="3" t="str">
        <f t="shared" ca="1" si="0"/>
        <v>key =</v>
      </c>
      <c r="B40" s="3">
        <f ca="1">IF(Other!Q172="|",ROUND(Other!N172,0),IF(Other!Q172="V",ROUND(Other!N172,-3),""))</f>
        <v>793510</v>
      </c>
      <c r="C40" s="3">
        <f ca="1">IF(B40="","",ROUND(Other!O172,0))</f>
        <v>143</v>
      </c>
      <c r="D40" s="6">
        <f t="shared" ca="1" si="1"/>
        <v>-8.484162895927602E-4</v>
      </c>
      <c r="E40" s="6">
        <f t="shared" ca="1" si="2"/>
        <v>-7.6022502660787596E-4</v>
      </c>
    </row>
    <row r="41" spans="1:5" x14ac:dyDescent="0.25">
      <c r="A41" s="3" t="str">
        <f t="shared" ca="1" si="0"/>
        <v>key =</v>
      </c>
      <c r="B41" s="3">
        <f ca="1">IF(Other!Q173="|",ROUND(Other!N173,0),IF(Other!Q173="V",ROUND(Other!N173,-3),""))</f>
        <v>806664</v>
      </c>
      <c r="C41" s="3">
        <f ca="1">IF(B41="","",ROUND(Other!O173,0))</f>
        <v>133</v>
      </c>
      <c r="D41" s="6">
        <f t="shared" ca="1" si="1"/>
        <v>-7.6022502660787596E-4</v>
      </c>
      <c r="E41" s="6">
        <f t="shared" ca="1" si="2"/>
        <v>-6.4940336066239145E-4</v>
      </c>
    </row>
    <row r="42" spans="1:5" x14ac:dyDescent="0.25">
      <c r="A42" s="3" t="str">
        <f t="shared" ca="1" si="0"/>
        <v>key =</v>
      </c>
      <c r="B42" s="3">
        <f ca="1">IF(Other!Q174="|",ROUND(Other!N174,0),IF(Other!Q174="V",ROUND(Other!N174,-3),""))</f>
        <v>818983</v>
      </c>
      <c r="C42" s="3">
        <f ca="1">IF(B42="","",ROUND(Other!O174,0))</f>
        <v>125</v>
      </c>
      <c r="D42" s="6">
        <f t="shared" ca="1" si="1"/>
        <v>-6.4940336066239145E-4</v>
      </c>
      <c r="E42" s="6">
        <f t="shared" ca="1" si="2"/>
        <v>-6.0116798351082107E-4</v>
      </c>
    </row>
    <row r="43" spans="1:5" x14ac:dyDescent="0.25">
      <c r="A43" s="3" t="str">
        <f t="shared" ca="1" si="0"/>
        <v>key =</v>
      </c>
      <c r="B43" s="3">
        <f ca="1">IF(Other!Q175="|",ROUND(Other!N175,0),IF(Other!Q175="V",ROUND(Other!N175,-3),""))</f>
        <v>830627</v>
      </c>
      <c r="C43" s="3">
        <f ca="1">IF(B43="","",ROUND(Other!O175,0))</f>
        <v>118</v>
      </c>
      <c r="D43" s="6">
        <f t="shared" ca="1" si="1"/>
        <v>-6.0116798351082107E-4</v>
      </c>
      <c r="E43" s="6">
        <f t="shared" ca="1" si="2"/>
        <v>-4.4947860481841064E-4</v>
      </c>
    </row>
    <row r="44" spans="1:5" x14ac:dyDescent="0.25">
      <c r="A44" s="3" t="str">
        <f t="shared" ca="1" si="0"/>
        <v>key =</v>
      </c>
      <c r="B44" s="3">
        <f ca="1">IF(Other!Q176="|",ROUND(Other!N176,0),IF(Other!Q176="V",ROUND(Other!N176,-3),""))</f>
        <v>841751</v>
      </c>
      <c r="C44" s="3">
        <f ca="1">IF(B44="","",ROUND(Other!O176,0))</f>
        <v>113</v>
      </c>
      <c r="D44" s="6">
        <f t="shared" ca="1" si="1"/>
        <v>-4.4947860481841064E-4</v>
      </c>
      <c r="E44" s="6">
        <f t="shared" ca="1" si="2"/>
        <v>-2.7868091035764052E-4</v>
      </c>
    </row>
    <row r="45" spans="1:5" x14ac:dyDescent="0.25">
      <c r="A45" s="3" t="str">
        <f t="shared" ca="1" si="0"/>
        <v>key =</v>
      </c>
      <c r="B45" s="3">
        <f ca="1">IF(Other!Q177="|",ROUND(Other!N177,0),IF(Other!Q177="V",ROUND(Other!N177,-3),""))</f>
        <v>852516</v>
      </c>
      <c r="C45" s="3">
        <f ca="1">IF(B45="","",ROUND(Other!O177,0))</f>
        <v>110</v>
      </c>
      <c r="D45" s="6">
        <f t="shared" ca="1" si="1"/>
        <v>-2.7868091035764052E-4</v>
      </c>
      <c r="E45" s="6">
        <f t="shared" ca="1" si="2"/>
        <v>-9.4723879890120299E-5</v>
      </c>
    </row>
    <row r="46" spans="1:5" x14ac:dyDescent="0.25">
      <c r="A46" s="3" t="str">
        <f t="shared" ca="1" si="0"/>
        <v>key =</v>
      </c>
      <c r="B46" s="3">
        <f ca="1">IF(Other!Q178="|",ROUND(Other!N178,0),IF(Other!Q178="V",ROUND(Other!N178,-3),""))</f>
        <v>863073</v>
      </c>
      <c r="C46" s="3">
        <f ca="1">IF(B46="","",ROUND(Other!O178,0))</f>
        <v>109</v>
      </c>
      <c r="D46" s="6">
        <f t="shared" ca="1" si="1"/>
        <v>-9.4723879890120299E-5</v>
      </c>
      <c r="E46" s="6">
        <f t="shared" ca="1" si="2"/>
        <v>-1.9193857965451057E-4</v>
      </c>
    </row>
    <row r="47" spans="1:5" x14ac:dyDescent="0.25">
      <c r="A47" s="3" t="str">
        <f t="shared" ca="1" si="0"/>
        <v>key =</v>
      </c>
      <c r="B47" s="3">
        <f ca="1">IF(Other!Q179="|",ROUND(Other!N179,0),IF(Other!Q179="V",ROUND(Other!N179,-3),""))</f>
        <v>873493</v>
      </c>
      <c r="C47" s="3">
        <f ca="1">IF(B47="","",ROUND(Other!O179,0))</f>
        <v>107</v>
      </c>
      <c r="D47" s="6">
        <f t="shared" ca="1" si="1"/>
        <v>-1.9193857965451057E-4</v>
      </c>
      <c r="E47" s="6">
        <f t="shared" ca="1" si="2"/>
        <v>-1.9443904335990667E-4</v>
      </c>
    </row>
    <row r="48" spans="1:5" x14ac:dyDescent="0.25">
      <c r="A48" s="3" t="str">
        <f t="shared" ca="1" si="0"/>
        <v>key =</v>
      </c>
      <c r="B48" s="3">
        <f ca="1">IF(Other!Q180="|",ROUND(Other!N180,0),IF(Other!Q180="V",ROUND(Other!N180,-3),""))</f>
        <v>883779</v>
      </c>
      <c r="C48" s="3">
        <f ca="1">IF(B48="","",ROUND(Other!O180,0))</f>
        <v>105</v>
      </c>
      <c r="D48" s="6">
        <f t="shared" ca="1" si="1"/>
        <v>-1.9443904335990667E-4</v>
      </c>
      <c r="E48" s="6">
        <f t="shared" ref="E48:E53" ca="1" si="3">IF(C48="","",IF(C61="",0,(C61-C48)/(B61-B48)))</f>
        <v>0</v>
      </c>
    </row>
    <row r="49" spans="1:5" x14ac:dyDescent="0.25">
      <c r="A49" s="3" t="str">
        <f t="shared" ref="A49:A53" ca="1" si="4">IF(B49="","Unused","key =")</f>
        <v>key =</v>
      </c>
      <c r="B49" s="3">
        <f ca="1">IF(Other!Q181="|",ROUND(Other!N181,0),IF(Other!Q181="V",ROUND(Other!N181,-3),""))</f>
        <v>893937</v>
      </c>
      <c r="C49" s="3">
        <f ca="1">IF(B49="","",ROUND(Other!O181,0))</f>
        <v>104</v>
      </c>
      <c r="D49" s="6">
        <f t="shared" ref="D49:D53" ca="1" si="5">IF(C49="","",(C49-C48)/(B49-B48))</f>
        <v>-9.8444575703878715E-5</v>
      </c>
      <c r="E49" s="6">
        <f t="shared" ca="1" si="3"/>
        <v>0</v>
      </c>
    </row>
    <row r="50" spans="1:5" x14ac:dyDescent="0.25">
      <c r="A50" s="3" t="str">
        <f t="shared" ca="1" si="4"/>
        <v>key =</v>
      </c>
      <c r="B50" s="3">
        <f ca="1">IF(Other!Q182="|",ROUND(Other!N182,0),IF(Other!Q182="V",ROUND(Other!N182,-3),""))</f>
        <v>903976</v>
      </c>
      <c r="C50" s="3">
        <f ca="1">IF(B50="","",ROUND(Other!O182,0))</f>
        <v>103</v>
      </c>
      <c r="D50" s="6">
        <f t="shared" ca="1" si="5"/>
        <v>-9.9611515091144534E-5</v>
      </c>
      <c r="E50" s="6">
        <f t="shared" ca="1" si="3"/>
        <v>0</v>
      </c>
    </row>
    <row r="51" spans="1:5" x14ac:dyDescent="0.25">
      <c r="A51" s="3" t="str">
        <f t="shared" ca="1" si="4"/>
        <v>key =</v>
      </c>
      <c r="B51" s="3">
        <f ca="1">IF(Other!Q183="|",ROUND(Other!N183,0),IF(Other!Q183="V",ROUND(Other!N183,-3),""))</f>
        <v>913904</v>
      </c>
      <c r="C51" s="3">
        <f ca="1">IF(B51="","",ROUND(Other!O183,0))</f>
        <v>101</v>
      </c>
      <c r="D51" s="6">
        <f t="shared" ca="1" si="5"/>
        <v>-2.0145044319097501E-4</v>
      </c>
      <c r="E51" s="6">
        <f t="shared" ca="1" si="3"/>
        <v>1.0942068313520894E-4</v>
      </c>
    </row>
    <row r="52" spans="1:5" x14ac:dyDescent="0.25">
      <c r="A52" s="3" t="str">
        <f t="shared" ca="1" si="4"/>
        <v>key =</v>
      </c>
      <c r="B52" s="3">
        <f ca="1">IF(Other!Q184="|",ROUND(Other!N184,0),IF(Other!Q184="V",ROUND(Other!N184,-3),""))</f>
        <v>923730</v>
      </c>
      <c r="C52" s="3">
        <f ca="1">IF(B52="","",ROUND(Other!O184,0))</f>
        <v>100</v>
      </c>
      <c r="D52" s="6">
        <f t="shared" ca="1" si="5"/>
        <v>-1.0177081213108081E-4</v>
      </c>
      <c r="E52" s="6">
        <f t="shared" ca="1" si="3"/>
        <v>1.122467075481384E-4</v>
      </c>
    </row>
    <row r="53" spans="1:5" x14ac:dyDescent="0.25">
      <c r="A53" s="3" t="str">
        <f t="shared" ca="1" si="4"/>
        <v>key =</v>
      </c>
      <c r="B53" s="3">
        <f ca="1">IF(Other!Q185="|",ROUND(Other!N185,0),IF(Other!Q185="V",ROUND(Other!N185,-3),""))</f>
        <v>933464</v>
      </c>
      <c r="C53" s="3">
        <f ca="1">IF(B53="","",ROUND(Other!O185,0))</f>
        <v>99</v>
      </c>
      <c r="D53" s="6">
        <f t="shared" ca="1" si="5"/>
        <v>-1.027326895418122E-4</v>
      </c>
      <c r="E53" s="6">
        <f t="shared" ca="1" si="3"/>
        <v>1.1333568881733969E-4</v>
      </c>
    </row>
    <row r="54" spans="1:5" x14ac:dyDescent="0.25">
      <c r="A54" s="3" t="str">
        <f t="shared" ref="A54:A60" ca="1" si="6">IF(B54="","Unused","key =")</f>
        <v>key =</v>
      </c>
      <c r="B54" s="3">
        <f ca="1">IF(Other!Q186="|",ROUND(Other!N186,0),IF(Other!Q186="V",ROUND(Other!N186,-3),""))</f>
        <v>943116</v>
      </c>
      <c r="C54" s="3">
        <f ca="1">IF(B54="","",ROUND(Other!O186,0))</f>
        <v>98</v>
      </c>
      <c r="D54" s="6">
        <f t="shared" ref="D54:D60" ca="1" si="7">IF(C54="","",(C54-C53)/(B54-B53))</f>
        <v>-1.0360547036883547E-4</v>
      </c>
      <c r="E54" s="6">
        <f t="shared" ref="E54:E60" ca="1" si="8">IF(C54="","",IF(C67="",0,(C67-C54)/(B67-B54)))</f>
        <v>1.1951022811983521E-4</v>
      </c>
    </row>
    <row r="55" spans="1:5" x14ac:dyDescent="0.25">
      <c r="A55" s="3" t="str">
        <f t="shared" ca="1" si="6"/>
        <v>key =</v>
      </c>
      <c r="B55" s="3">
        <f ca="1">IF(Other!Q187="|",ROUND(Other!N187,0),IF(Other!Q187="V",ROUND(Other!N187,-3),""))</f>
        <v>952698</v>
      </c>
      <c r="C55" s="3">
        <f ca="1">IF(B55="","",ROUND(Other!O187,0))</f>
        <v>98</v>
      </c>
      <c r="D55" s="6">
        <f t="shared" ca="1" si="7"/>
        <v>0</v>
      </c>
      <c r="E55" s="6">
        <f t="shared" ca="1" si="8"/>
        <v>1.2737361456684009E-4</v>
      </c>
    </row>
    <row r="56" spans="1:5" x14ac:dyDescent="0.25">
      <c r="A56" s="3" t="str">
        <f t="shared" ca="1" si="6"/>
        <v>key =</v>
      </c>
      <c r="B56" s="3">
        <f ca="1">IF(Other!Q188="|",ROUND(Other!N188,0),IF(Other!Q188="V",ROUND(Other!N188,-3),""))</f>
        <v>962221</v>
      </c>
      <c r="C56" s="3">
        <f ca="1">IF(B56="","",ROUND(Other!O188,0))</f>
        <v>97</v>
      </c>
      <c r="D56" s="6">
        <f t="shared" ca="1" si="7"/>
        <v>-1.0500892575868948E-4</v>
      </c>
      <c r="E56" s="6">
        <f t="shared" ca="1" si="8"/>
        <v>1.3416483336119056E-4</v>
      </c>
    </row>
    <row r="57" spans="1:5" x14ac:dyDescent="0.25">
      <c r="A57" s="3" t="str">
        <f t="shared" ca="1" si="6"/>
        <v>key =</v>
      </c>
      <c r="B57" s="3">
        <f ca="1">IF(Other!Q189="|",ROUND(Other!N189,0),IF(Other!Q189="V",ROUND(Other!N189,-3),""))</f>
        <v>971700</v>
      </c>
      <c r="C57" s="3">
        <f ca="1">IF(B57="","",ROUND(Other!O189,0))</f>
        <v>96</v>
      </c>
      <c r="D57" s="6">
        <f t="shared" ca="1" si="7"/>
        <v>-1.0549636037556704E-4</v>
      </c>
      <c r="E57" s="6">
        <f t="shared" ca="1" si="8"/>
        <v>1.4117343537676589E-4</v>
      </c>
    </row>
    <row r="58" spans="1:5" x14ac:dyDescent="0.25">
      <c r="A58" s="3" t="str">
        <f t="shared" ca="1" si="6"/>
        <v>key =</v>
      </c>
      <c r="B58" s="3">
        <f ca="1">IF(Other!Q190="|",ROUND(Other!N190,0),IF(Other!Q190="V",ROUND(Other!N190,-3),""))</f>
        <v>981145</v>
      </c>
      <c r="C58" s="3">
        <f ca="1">IF(B58="","",ROUND(Other!O190,0))</f>
        <v>96</v>
      </c>
      <c r="D58" s="6">
        <f t="shared" ca="1" si="7"/>
        <v>0</v>
      </c>
      <c r="E58" s="6">
        <f t="shared" ca="1" si="8"/>
        <v>1.5005433357065238E-4</v>
      </c>
    </row>
    <row r="59" spans="1:5" x14ac:dyDescent="0.25">
      <c r="A59" s="3" t="str">
        <f t="shared" ca="1" si="6"/>
        <v>key =</v>
      </c>
      <c r="B59" s="3">
        <f ca="1">IF(Other!Q191="|",ROUND(Other!N191,0),IF(Other!Q191="V",ROUND(Other!N191,-3),""))</f>
        <v>990574</v>
      </c>
      <c r="C59" s="3">
        <f ca="1">IF(B59="","",ROUND(Other!O191,0))</f>
        <v>96</v>
      </c>
      <c r="D59" s="6">
        <f t="shared" ca="1" si="7"/>
        <v>0</v>
      </c>
      <c r="E59" s="6">
        <f t="shared" ca="1" si="8"/>
        <v>1.5924940438962138E-4</v>
      </c>
    </row>
    <row r="60" spans="1:5" x14ac:dyDescent="0.25">
      <c r="A60" s="3" t="str">
        <f t="shared" ca="1" si="6"/>
        <v>key =</v>
      </c>
      <c r="B60" s="3">
        <f ca="1">IF(Other!Q192="|",ROUND(Other!N192,0),IF(Other!Q192="V",ROUND(Other!N192,-3),""))</f>
        <v>1000000</v>
      </c>
      <c r="C60" s="3">
        <f ca="1">IF(B60="","",ROUND(Other!O192,0))</f>
        <v>96</v>
      </c>
      <c r="D60" s="6">
        <f t="shared" ca="1" si="7"/>
        <v>0</v>
      </c>
      <c r="E60" s="6">
        <f t="shared" ca="1" si="8"/>
        <v>1.6869091681969017E-4</v>
      </c>
    </row>
    <row r="61" spans="1:5" x14ac:dyDescent="0.25">
      <c r="A61" s="10" t="s">
        <v>67</v>
      </c>
      <c r="B61" s="3"/>
      <c r="C61" s="3"/>
      <c r="D61" s="6"/>
      <c r="E61" s="6"/>
    </row>
    <row r="62" spans="1:5" x14ac:dyDescent="0.25">
      <c r="A62" s="10" t="s">
        <v>79</v>
      </c>
      <c r="B62" s="3"/>
      <c r="C62" s="3"/>
      <c r="D62" s="6"/>
      <c r="E62" s="6"/>
    </row>
    <row r="63" spans="1:5" x14ac:dyDescent="0.25">
      <c r="A63" s="10" t="s">
        <v>66</v>
      </c>
      <c r="B63" s="3"/>
      <c r="C63" s="3"/>
      <c r="D63" s="6"/>
      <c r="E63" s="6"/>
    </row>
    <row r="64" spans="1:5" x14ac:dyDescent="0.25">
      <c r="A64" s="3" t="str">
        <f t="shared" ref="A64:A93" ca="1" si="9">IF(B64="","Unused","key =")</f>
        <v>key =</v>
      </c>
      <c r="B64" s="3">
        <f ca="1">IF(Other!Q150="|",ROUND(Other!N150,0),IF(Other!Q150="V",ROUND(Other!N150,-3),""))</f>
        <v>0</v>
      </c>
      <c r="C64" s="49">
        <f ca="1">IF(B64="","",ROUND(Other!P150,3))</f>
        <v>1</v>
      </c>
      <c r="D64" s="6">
        <v>0</v>
      </c>
      <c r="E64" s="6">
        <f ca="1">(C65-C64)/(B65-B64)</f>
        <v>4.1910594734155929E-5</v>
      </c>
    </row>
    <row r="65" spans="1:5" x14ac:dyDescent="0.25">
      <c r="A65" s="3" t="str">
        <f t="shared" ca="1" si="9"/>
        <v>key =</v>
      </c>
      <c r="B65" s="3">
        <f ca="1">IF(Other!Q151="|",ROUND(Other!N151,0),IF(Other!Q151="V",ROUND(Other!N151,-3),""))</f>
        <v>66618</v>
      </c>
      <c r="C65" s="49">
        <f ca="1">IF(B65="","",ROUND(Other!P151,3))</f>
        <v>3.7919999999999998</v>
      </c>
      <c r="D65" s="6">
        <f ca="1">IF(C65="","",(C65-C64)/(B65-B64))</f>
        <v>4.1910594734155929E-5</v>
      </c>
      <c r="E65" s="6">
        <f ca="1">IF(C65="","",IF(C66="",0,(C66-C65)/(B66-B65)))</f>
        <v>6.5172566933130316E-5</v>
      </c>
    </row>
    <row r="66" spans="1:5" x14ac:dyDescent="0.25">
      <c r="A66" s="3" t="str">
        <f t="shared" ca="1" si="9"/>
        <v>key =</v>
      </c>
      <c r="B66" s="3">
        <f ca="1">IF(Other!Q152="|",ROUND(Other!N152,0),IF(Other!Q152="V",ROUND(Other!N152,-3),""))</f>
        <v>129666</v>
      </c>
      <c r="C66" s="49">
        <f ca="1">IF(B66="","",ROUND(Other!P152,3))</f>
        <v>7.9009999999999998</v>
      </c>
      <c r="D66" s="6">
        <f t="shared" ref="D66:D78" ca="1" si="10">IF(C66="","",(C66-C65)/(B66-B65))</f>
        <v>6.5172566933130316E-5</v>
      </c>
      <c r="E66" s="6">
        <f t="shared" ref="E66:E78" ca="1" si="11">IF(C66="","",IF(C67="",0,(C67-C66)/(B67-B66)))</f>
        <v>0</v>
      </c>
    </row>
    <row r="67" spans="1:5" x14ac:dyDescent="0.25">
      <c r="A67" s="3" t="str">
        <f t="shared" ca="1" si="9"/>
        <v>key =</v>
      </c>
      <c r="B67" s="3">
        <f ca="1">IF(Other!Q153="|",ROUND(Other!N153,0),IF(Other!Q153="V",ROUND(Other!N153,-3),""))</f>
        <v>189214</v>
      </c>
      <c r="C67" s="49">
        <f ca="1">IF(B67="","",ROUND(Other!P153,3))</f>
        <v>7.9009999999999998</v>
      </c>
      <c r="D67" s="6">
        <f t="shared" ca="1" si="10"/>
        <v>0</v>
      </c>
      <c r="E67" s="6">
        <f t="shared" ca="1" si="11"/>
        <v>0</v>
      </c>
    </row>
    <row r="68" spans="1:5" x14ac:dyDescent="0.25">
      <c r="A68" s="3" t="str">
        <f t="shared" ca="1" si="9"/>
        <v>key =</v>
      </c>
      <c r="B68" s="3">
        <f ca="1">IF(Other!Q154="|",ROUND(Other!N154,0),IF(Other!Q154="V",ROUND(Other!N154,-3),""))</f>
        <v>245338</v>
      </c>
      <c r="C68" s="49">
        <f ca="1">IF(B68="","",ROUND(Other!P154,3))</f>
        <v>7.9009999999999998</v>
      </c>
      <c r="D68" s="6">
        <f t="shared" ca="1" si="10"/>
        <v>0</v>
      </c>
      <c r="E68" s="6">
        <f t="shared" ca="1" si="11"/>
        <v>0</v>
      </c>
    </row>
    <row r="69" spans="1:5" x14ac:dyDescent="0.25">
      <c r="A69" s="3" t="str">
        <f t="shared" ca="1" si="9"/>
        <v>key =</v>
      </c>
      <c r="B69" s="3">
        <f ca="1">IF(Other!Q155="|",ROUND(Other!N155,0),IF(Other!Q155="V",ROUND(Other!N155,-3),""))</f>
        <v>298120</v>
      </c>
      <c r="C69" s="49">
        <f ca="1">IF(B69="","",ROUND(Other!P155,3))</f>
        <v>7.9009999999999998</v>
      </c>
      <c r="D69" s="6">
        <f t="shared" ca="1" si="10"/>
        <v>0</v>
      </c>
      <c r="E69" s="6">
        <f t="shared" ca="1" si="11"/>
        <v>0</v>
      </c>
    </row>
    <row r="70" spans="1:5" x14ac:dyDescent="0.25">
      <c r="A70" s="3" t="str">
        <f t="shared" ca="1" si="9"/>
        <v>key =</v>
      </c>
      <c r="B70" s="3">
        <f ca="1">IF(Other!Q156="|",ROUND(Other!N156,0),IF(Other!Q156="V",ROUND(Other!N156,-3),""))</f>
        <v>347652</v>
      </c>
      <c r="C70" s="49">
        <f ca="1">IF(B70="","",ROUND(Other!P156,3))</f>
        <v>7.9009999999999998</v>
      </c>
      <c r="D70" s="6">
        <f t="shared" ca="1" si="10"/>
        <v>0</v>
      </c>
      <c r="E70" s="6">
        <f t="shared" ca="1" si="11"/>
        <v>0</v>
      </c>
    </row>
    <row r="71" spans="1:5" x14ac:dyDescent="0.25">
      <c r="A71" s="3" t="str">
        <f t="shared" ca="1" si="9"/>
        <v>key =</v>
      </c>
      <c r="B71" s="3">
        <f ca="1">IF(Other!Q157="|",ROUND(Other!N157,0),IF(Other!Q157="V",ROUND(Other!N157,-3),""))</f>
        <v>394031</v>
      </c>
      <c r="C71" s="49">
        <f ca="1">IF(B71="","",ROUND(Other!P157,3))</f>
        <v>7.9009999999999998</v>
      </c>
      <c r="D71" s="6">
        <f t="shared" ca="1" si="10"/>
        <v>0</v>
      </c>
      <c r="E71" s="6">
        <f t="shared" ca="1" si="11"/>
        <v>0</v>
      </c>
    </row>
    <row r="72" spans="1:5" x14ac:dyDescent="0.25">
      <c r="A72" s="3" t="str">
        <f t="shared" ca="1" si="9"/>
        <v>key =</v>
      </c>
      <c r="B72" s="3">
        <f ca="1">IF(Other!Q158="|",ROUND(Other!N158,0),IF(Other!Q158="V",ROUND(Other!N158,-3),""))</f>
        <v>437360</v>
      </c>
      <c r="C72" s="49">
        <f ca="1">IF(B72="","",ROUND(Other!P158,3))</f>
        <v>7.9009999999999998</v>
      </c>
      <c r="D72" s="6">
        <f t="shared" ca="1" si="10"/>
        <v>0</v>
      </c>
      <c r="E72" s="6">
        <f t="shared" ca="1" si="11"/>
        <v>0</v>
      </c>
    </row>
    <row r="73" spans="1:5" x14ac:dyDescent="0.25">
      <c r="A73" s="3" t="str">
        <f t="shared" ca="1" si="9"/>
        <v>key =</v>
      </c>
      <c r="B73" s="3">
        <f ca="1">IF(Other!Q159="|",ROUND(Other!N159,0),IF(Other!Q159="V",ROUND(Other!N159,-3),""))</f>
        <v>477749</v>
      </c>
      <c r="C73" s="49">
        <f ca="1">IF(B73="","",ROUND(Other!P159,3))</f>
        <v>7.9009999999999998</v>
      </c>
      <c r="D73" s="6">
        <f t="shared" ca="1" si="10"/>
        <v>0</v>
      </c>
      <c r="E73" s="6">
        <f t="shared" ca="1" si="11"/>
        <v>0</v>
      </c>
    </row>
    <row r="74" spans="1:5" x14ac:dyDescent="0.25">
      <c r="A74" s="3" t="str">
        <f t="shared" ca="1" si="9"/>
        <v>key =</v>
      </c>
      <c r="B74" s="3">
        <f ca="1">IF(Other!Q160="|",ROUND(Other!N160,0),IF(Other!Q160="V",ROUND(Other!N160,-3),""))</f>
        <v>515312</v>
      </c>
      <c r="C74" s="49">
        <f ca="1">IF(B74="","",ROUND(Other!P160,3))</f>
        <v>7.9009999999999998</v>
      </c>
      <c r="D74" s="6">
        <f t="shared" ca="1" si="10"/>
        <v>0</v>
      </c>
      <c r="E74" s="6">
        <f t="shared" ca="1" si="11"/>
        <v>0</v>
      </c>
    </row>
    <row r="75" spans="1:5" x14ac:dyDescent="0.25">
      <c r="A75" s="3" t="str">
        <f t="shared" ca="1" si="9"/>
        <v>key =</v>
      </c>
      <c r="B75" s="3">
        <f ca="1">IF(Other!Q161="|",ROUND(Other!N161,0),IF(Other!Q161="V",ROUND(Other!N161,-3),""))</f>
        <v>550171</v>
      </c>
      <c r="C75" s="49">
        <f ca="1">IF(B75="","",ROUND(Other!P161,3))</f>
        <v>7.9009999999999998</v>
      </c>
      <c r="D75" s="6">
        <f t="shared" ca="1" si="10"/>
        <v>0</v>
      </c>
      <c r="E75" s="6">
        <f t="shared" ca="1" si="11"/>
        <v>0</v>
      </c>
    </row>
    <row r="76" spans="1:5" x14ac:dyDescent="0.25">
      <c r="A76" s="3" t="str">
        <f t="shared" ca="1" si="9"/>
        <v>key =</v>
      </c>
      <c r="B76" s="3">
        <f ca="1">IF(Other!Q162="|",ROUND(Other!N162,0),IF(Other!Q162="V",ROUND(Other!N162,-3),""))</f>
        <v>582449</v>
      </c>
      <c r="C76" s="49">
        <f ca="1">IF(B76="","",ROUND(Other!P162,3))</f>
        <v>7.9009999999999998</v>
      </c>
      <c r="D76" s="6">
        <f t="shared" ca="1" si="10"/>
        <v>0</v>
      </c>
      <c r="E76" s="6">
        <f t="shared" ca="1" si="11"/>
        <v>0</v>
      </c>
    </row>
    <row r="77" spans="1:5" x14ac:dyDescent="0.25">
      <c r="A77" s="3" t="str">
        <f t="shared" ca="1" si="9"/>
        <v>key =</v>
      </c>
      <c r="B77" s="3">
        <f ca="1">IF(Other!Q163="|",ROUND(Other!N163,0),IF(Other!Q163="V",ROUND(Other!N163,-3),""))</f>
        <v>612277</v>
      </c>
      <c r="C77" s="49">
        <f ca="1">IF(B77="","",ROUND(Other!P163,3))</f>
        <v>7.9009999999999998</v>
      </c>
      <c r="D77" s="6">
        <f t="shared" ca="1" si="10"/>
        <v>0</v>
      </c>
      <c r="E77" s="6">
        <f t="shared" ca="1" si="11"/>
        <v>0</v>
      </c>
    </row>
    <row r="78" spans="1:5" x14ac:dyDescent="0.25">
      <c r="A78" s="3" t="str">
        <f t="shared" ca="1" si="9"/>
        <v>key =</v>
      </c>
      <c r="B78" s="3">
        <f ca="1">IF(Other!Q164="|",ROUND(Other!N164,0),IF(Other!Q164="V",ROUND(Other!N164,-3),""))</f>
        <v>639788</v>
      </c>
      <c r="C78" s="49">
        <f ca="1">IF(B78="","",ROUND(Other!P164,3))</f>
        <v>7.9009999999999998</v>
      </c>
      <c r="D78" s="6">
        <f t="shared" ca="1" si="10"/>
        <v>0</v>
      </c>
      <c r="E78" s="6">
        <f t="shared" ca="1" si="11"/>
        <v>0</v>
      </c>
    </row>
    <row r="79" spans="1:5" x14ac:dyDescent="0.25">
      <c r="A79" s="3" t="str">
        <f t="shared" ca="1" si="9"/>
        <v>key =</v>
      </c>
      <c r="B79" s="3">
        <f ca="1">IF(Other!Q165="|",ROUND(Other!N165,0),IF(Other!Q165="V",ROUND(Other!N165,-3),""))</f>
        <v>665118</v>
      </c>
      <c r="C79" s="49">
        <f ca="1">IF(B79="","",ROUND(Other!P165,3))</f>
        <v>7.9009999999999998</v>
      </c>
      <c r="D79" s="6">
        <f t="shared" ref="D79:D93" ca="1" si="12">IF(C79="","",(C79-C78)/(B79-B78))</f>
        <v>0</v>
      </c>
      <c r="E79" s="6">
        <f t="shared" ref="E79:E93" ca="1" si="13">IF(C79="","",IF(C80="",0,(C80-C79)/(B80-B79)))</f>
        <v>0</v>
      </c>
    </row>
    <row r="80" spans="1:5" x14ac:dyDescent="0.25">
      <c r="A80" s="3" t="str">
        <f t="shared" ca="1" si="9"/>
        <v>key =</v>
      </c>
      <c r="B80" s="3">
        <f ca="1">IF(Other!Q166="|",ROUND(Other!N166,0),IF(Other!Q166="V",ROUND(Other!N166,-3),""))</f>
        <v>688408</v>
      </c>
      <c r="C80" s="49">
        <f ca="1">IF(B80="","",ROUND(Other!P166,3))</f>
        <v>7.9009999999999998</v>
      </c>
      <c r="D80" s="6">
        <f t="shared" ca="1" si="12"/>
        <v>0</v>
      </c>
      <c r="E80" s="6">
        <f t="shared" ca="1" si="13"/>
        <v>0</v>
      </c>
    </row>
    <row r="81" spans="1:5" x14ac:dyDescent="0.25">
      <c r="A81" s="3" t="str">
        <f t="shared" ca="1" si="9"/>
        <v>key =</v>
      </c>
      <c r="B81" s="3">
        <f ca="1">IF(Other!Q167="|",ROUND(Other!N167,0),IF(Other!Q167="V",ROUND(Other!N167,-3),""))</f>
        <v>709802</v>
      </c>
      <c r="C81" s="49">
        <f ca="1">IF(B81="","",ROUND(Other!P167,3))</f>
        <v>7.9009999999999998</v>
      </c>
      <c r="D81" s="6">
        <f t="shared" ca="1" si="12"/>
        <v>0</v>
      </c>
      <c r="E81" s="6">
        <f t="shared" ca="1" si="13"/>
        <v>0</v>
      </c>
    </row>
    <row r="82" spans="1:5" x14ac:dyDescent="0.25">
      <c r="A82" s="3" t="str">
        <f t="shared" ca="1" si="9"/>
        <v>key =</v>
      </c>
      <c r="B82" s="3">
        <f ca="1">IF(Other!Q168="|",ROUND(Other!N168,0),IF(Other!Q168="V",ROUND(Other!N168,-3),""))</f>
        <v>729445</v>
      </c>
      <c r="C82" s="49">
        <f ca="1">IF(B82="","",ROUND(Other!P168,3))</f>
        <v>7.9009999999999998</v>
      </c>
      <c r="D82" s="6">
        <f t="shared" ca="1" si="12"/>
        <v>0</v>
      </c>
      <c r="E82" s="6">
        <f t="shared" ca="1" si="13"/>
        <v>0</v>
      </c>
    </row>
    <row r="83" spans="1:5" x14ac:dyDescent="0.25">
      <c r="A83" s="3" t="str">
        <f t="shared" ca="1" si="9"/>
        <v>key =</v>
      </c>
      <c r="B83" s="3">
        <f ca="1">IF(Other!Q169="|",ROUND(Other!N169,0),IF(Other!Q169="V",ROUND(Other!N169,-3),""))</f>
        <v>747486</v>
      </c>
      <c r="C83" s="49">
        <f ca="1">IF(B83="","",ROUND(Other!P169,3))</f>
        <v>7.9009999999999998</v>
      </c>
      <c r="D83" s="6">
        <f t="shared" ca="1" si="12"/>
        <v>0</v>
      </c>
      <c r="E83" s="6">
        <f t="shared" ca="1" si="13"/>
        <v>0</v>
      </c>
    </row>
    <row r="84" spans="1:5" x14ac:dyDescent="0.25">
      <c r="A84" s="3" t="str">
        <f t="shared" ca="1" si="9"/>
        <v>key =</v>
      </c>
      <c r="B84" s="3">
        <f ca="1">IF(Other!Q170="|",ROUND(Other!N170,0),IF(Other!Q170="V",ROUND(Other!N170,-3),""))</f>
        <v>764076</v>
      </c>
      <c r="C84" s="49">
        <f ca="1">IF(B84="","",ROUND(Other!P170,3))</f>
        <v>7.9009999999999998</v>
      </c>
      <c r="D84" s="6">
        <f t="shared" ca="1" si="12"/>
        <v>0</v>
      </c>
      <c r="E84" s="6">
        <f t="shared" ca="1" si="13"/>
        <v>0</v>
      </c>
    </row>
    <row r="85" spans="1:5" x14ac:dyDescent="0.25">
      <c r="A85" s="3" t="str">
        <f t="shared" ca="1" si="9"/>
        <v>key =</v>
      </c>
      <c r="B85" s="3">
        <f ca="1">IF(Other!Q171="|",ROUND(Other!N171,0),IF(Other!Q171="V",ROUND(Other!N171,-3),""))</f>
        <v>779366</v>
      </c>
      <c r="C85" s="49">
        <f ca="1">IF(B85="","",ROUND(Other!P171,3))</f>
        <v>7.9009999999999998</v>
      </c>
      <c r="D85" s="6">
        <f t="shared" ca="1" si="12"/>
        <v>0</v>
      </c>
      <c r="E85" s="6">
        <f t="shared" ca="1" si="13"/>
        <v>0</v>
      </c>
    </row>
    <row r="86" spans="1:5" x14ac:dyDescent="0.25">
      <c r="A86" s="3" t="str">
        <f t="shared" ca="1" si="9"/>
        <v>key =</v>
      </c>
      <c r="B86" s="3">
        <f ca="1">IF(Other!Q172="|",ROUND(Other!N172,0),IF(Other!Q172="V",ROUND(Other!N172,-3),""))</f>
        <v>793510</v>
      </c>
      <c r="C86" s="49">
        <f ca="1">IF(B86="","",ROUND(Other!P172,3))</f>
        <v>7.9009999999999998</v>
      </c>
      <c r="D86" s="6">
        <f t="shared" ca="1" si="12"/>
        <v>0</v>
      </c>
      <c r="E86" s="6">
        <f t="shared" ca="1" si="13"/>
        <v>0</v>
      </c>
    </row>
    <row r="87" spans="1:5" x14ac:dyDescent="0.25">
      <c r="A87" s="3" t="str">
        <f t="shared" ca="1" si="9"/>
        <v>key =</v>
      </c>
      <c r="B87" s="3">
        <f ca="1">IF(Other!Q173="|",ROUND(Other!N173,0),IF(Other!Q173="V",ROUND(Other!N173,-3),""))</f>
        <v>806664</v>
      </c>
      <c r="C87" s="49">
        <f ca="1">IF(B87="","",ROUND(Other!P173,3))</f>
        <v>7.9009999999999998</v>
      </c>
      <c r="D87" s="6">
        <f t="shared" ca="1" si="12"/>
        <v>0</v>
      </c>
      <c r="E87" s="6">
        <f t="shared" ca="1" si="13"/>
        <v>0</v>
      </c>
    </row>
    <row r="88" spans="1:5" x14ac:dyDescent="0.25">
      <c r="A88" s="3" t="str">
        <f t="shared" ca="1" si="9"/>
        <v>key =</v>
      </c>
      <c r="B88" s="3">
        <f ca="1">IF(Other!Q174="|",ROUND(Other!N174,0),IF(Other!Q174="V",ROUND(Other!N174,-3),""))</f>
        <v>818983</v>
      </c>
      <c r="C88" s="49">
        <f ca="1">IF(B88="","",ROUND(Other!P174,3))</f>
        <v>7.9009999999999998</v>
      </c>
      <c r="D88" s="6">
        <f t="shared" ca="1" si="12"/>
        <v>0</v>
      </c>
      <c r="E88" s="6">
        <f t="shared" ca="1" si="13"/>
        <v>0</v>
      </c>
    </row>
    <row r="89" spans="1:5" x14ac:dyDescent="0.25">
      <c r="A89" s="3" t="str">
        <f t="shared" ca="1" si="9"/>
        <v>key =</v>
      </c>
      <c r="B89" s="3">
        <f ca="1">IF(Other!Q175="|",ROUND(Other!N175,0),IF(Other!Q175="V",ROUND(Other!N175,-3),""))</f>
        <v>830627</v>
      </c>
      <c r="C89" s="49">
        <f ca="1">IF(B89="","",ROUND(Other!P175,3))</f>
        <v>7.9009999999999998</v>
      </c>
      <c r="D89" s="6">
        <f t="shared" ca="1" si="12"/>
        <v>0</v>
      </c>
      <c r="E89" s="6">
        <f t="shared" ca="1" si="13"/>
        <v>0</v>
      </c>
    </row>
    <row r="90" spans="1:5" x14ac:dyDescent="0.25">
      <c r="A90" s="3" t="str">
        <f t="shared" ca="1" si="9"/>
        <v>key =</v>
      </c>
      <c r="B90" s="3">
        <f ca="1">IF(Other!Q176="|",ROUND(Other!N176,0),IF(Other!Q176="V",ROUND(Other!N176,-3),""))</f>
        <v>841751</v>
      </c>
      <c r="C90" s="49">
        <f ca="1">IF(B90="","",ROUND(Other!P176,3))</f>
        <v>7.9009999999999998</v>
      </c>
      <c r="D90" s="6">
        <f t="shared" ca="1" si="12"/>
        <v>0</v>
      </c>
      <c r="E90" s="6">
        <f t="shared" ca="1" si="13"/>
        <v>0</v>
      </c>
    </row>
    <row r="91" spans="1:5" x14ac:dyDescent="0.25">
      <c r="A91" s="3" t="str">
        <f t="shared" ca="1" si="9"/>
        <v>key =</v>
      </c>
      <c r="B91" s="3">
        <f ca="1">IF(Other!Q177="|",ROUND(Other!N177,0),IF(Other!Q177="V",ROUND(Other!N177,-3),""))</f>
        <v>852516</v>
      </c>
      <c r="C91" s="49">
        <f ca="1">IF(B91="","",ROUND(Other!P177,3))</f>
        <v>7.9009999999999998</v>
      </c>
      <c r="D91" s="6">
        <f t="shared" ca="1" si="12"/>
        <v>0</v>
      </c>
      <c r="E91" s="6">
        <f t="shared" ca="1" si="13"/>
        <v>0</v>
      </c>
    </row>
    <row r="92" spans="1:5" x14ac:dyDescent="0.25">
      <c r="A92" s="3" t="str">
        <f t="shared" ca="1" si="9"/>
        <v>key =</v>
      </c>
      <c r="B92" s="3">
        <f ca="1">IF(Other!Q178="|",ROUND(Other!N178,0),IF(Other!Q178="V",ROUND(Other!N178,-3),""))</f>
        <v>863073</v>
      </c>
      <c r="C92" s="49">
        <f ca="1">IF(B92="","",ROUND(Other!P178,3))</f>
        <v>7.9009999999999998</v>
      </c>
      <c r="D92" s="6">
        <f t="shared" ca="1" si="12"/>
        <v>0</v>
      </c>
      <c r="E92" s="6">
        <f t="shared" ca="1" si="13"/>
        <v>0</v>
      </c>
    </row>
    <row r="93" spans="1:5" x14ac:dyDescent="0.25">
      <c r="A93" s="3" t="str">
        <f t="shared" ca="1" si="9"/>
        <v>key =</v>
      </c>
      <c r="B93" s="3">
        <f ca="1">IF(Other!Q179="|",ROUND(Other!N179,0),IF(Other!Q179="V",ROUND(Other!N179,-3),""))</f>
        <v>873493</v>
      </c>
      <c r="C93" s="49">
        <f ca="1">IF(B93="","",ROUND(Other!P179,3))</f>
        <v>7.9009999999999998</v>
      </c>
      <c r="D93" s="6">
        <f t="shared" ca="1" si="12"/>
        <v>0</v>
      </c>
      <c r="E93" s="6">
        <f t="shared" ca="1" si="13"/>
        <v>0</v>
      </c>
    </row>
    <row r="94" spans="1:5" x14ac:dyDescent="0.25">
      <c r="A94" s="3" t="str">
        <f t="shared" ref="A94:A99" ca="1" si="14">IF(B94="","Unused","key =")</f>
        <v>key =</v>
      </c>
      <c r="B94" s="3">
        <f ca="1">IF(Other!Q180="|",ROUND(Other!N180,0),IF(Other!Q180="V",ROUND(Other!N180,-3),""))</f>
        <v>883779</v>
      </c>
      <c r="C94" s="49">
        <f ca="1">IF(B94="","",ROUND(Other!P180,3))</f>
        <v>7.9009999999999998</v>
      </c>
      <c r="D94" s="6">
        <f t="shared" ref="D94:D99" ca="1" si="15">IF(C94="","",(C94-C93)/(B94-B93))</f>
        <v>0</v>
      </c>
      <c r="E94" s="6">
        <f t="shared" ref="E94:E98" ca="1" si="16">IF(C94="","",IF(C95="",0,(C95-C94)/(B95-B94)))</f>
        <v>0</v>
      </c>
    </row>
    <row r="95" spans="1:5" x14ac:dyDescent="0.25">
      <c r="A95" s="3" t="str">
        <f t="shared" ca="1" si="14"/>
        <v>key =</v>
      </c>
      <c r="B95" s="3">
        <f ca="1">IF(Other!Q181="|",ROUND(Other!N181,0),IF(Other!Q181="V",ROUND(Other!N181,-3),""))</f>
        <v>893937</v>
      </c>
      <c r="C95" s="49">
        <f ca="1">IF(B95="","",ROUND(Other!P181,3))</f>
        <v>7.9009999999999998</v>
      </c>
      <c r="D95" s="6">
        <f t="shared" ca="1" si="15"/>
        <v>0</v>
      </c>
      <c r="E95" s="6">
        <f t="shared" ca="1" si="16"/>
        <v>0</v>
      </c>
    </row>
    <row r="96" spans="1:5" x14ac:dyDescent="0.25">
      <c r="A96" s="3" t="str">
        <f t="shared" ca="1" si="14"/>
        <v>key =</v>
      </c>
      <c r="B96" s="3">
        <f ca="1">IF(Other!Q182="|",ROUND(Other!N182,0),IF(Other!Q182="V",ROUND(Other!N182,-3),""))</f>
        <v>903976</v>
      </c>
      <c r="C96" s="49">
        <f ca="1">IF(B96="","",ROUND(Other!P182,3))</f>
        <v>7.9009999999999998</v>
      </c>
      <c r="D96" s="6">
        <f t="shared" ca="1" si="15"/>
        <v>0</v>
      </c>
      <c r="E96" s="6">
        <f t="shared" ca="1" si="16"/>
        <v>0</v>
      </c>
    </row>
    <row r="97" spans="1:5" x14ac:dyDescent="0.25">
      <c r="A97" s="3" t="str">
        <f t="shared" ca="1" si="14"/>
        <v>key =</v>
      </c>
      <c r="B97" s="3">
        <f ca="1">IF(Other!Q183="|",ROUND(Other!N183,0),IF(Other!Q183="V",ROUND(Other!N183,-3),""))</f>
        <v>913904</v>
      </c>
      <c r="C97" s="49">
        <f ca="1">IF(B97="","",ROUND(Other!P183,3))</f>
        <v>7.9009999999999998</v>
      </c>
      <c r="D97" s="6">
        <f t="shared" ca="1" si="15"/>
        <v>0</v>
      </c>
      <c r="E97" s="6">
        <f t="shared" ca="1" si="16"/>
        <v>0</v>
      </c>
    </row>
    <row r="98" spans="1:5" x14ac:dyDescent="0.25">
      <c r="A98" s="3" t="str">
        <f t="shared" ca="1" si="14"/>
        <v>key =</v>
      </c>
      <c r="B98" s="3">
        <f ca="1">IF(Other!Q184="|",ROUND(Other!N184,0),IF(Other!Q184="V",ROUND(Other!N184,-3),""))</f>
        <v>923730</v>
      </c>
      <c r="C98" s="49">
        <f ca="1">IF(B98="","",ROUND(Other!P184,3))</f>
        <v>7.9009999999999998</v>
      </c>
      <c r="D98" s="6">
        <f t="shared" ca="1" si="15"/>
        <v>0</v>
      </c>
      <c r="E98" s="6">
        <f t="shared" ca="1" si="16"/>
        <v>0</v>
      </c>
    </row>
    <row r="99" spans="1:5" x14ac:dyDescent="0.25">
      <c r="A99" s="3" t="str">
        <f t="shared" ca="1" si="14"/>
        <v>key =</v>
      </c>
      <c r="B99" s="3">
        <f ca="1">IF(Other!Q185="|",ROUND(Other!N185,0),IF(Other!Q185="V",ROUND(Other!N185,-3),""))</f>
        <v>933464</v>
      </c>
      <c r="C99" s="49">
        <f ca="1">IF(B99="","",ROUND(Other!P185,3))</f>
        <v>7.9009999999999998</v>
      </c>
      <c r="D99" s="6">
        <f t="shared" ca="1" si="15"/>
        <v>0</v>
      </c>
      <c r="E99" s="6">
        <f ca="1">IF(C99="","",IF(C107="",0,(C107-C99)/(B107-B99)))</f>
        <v>0</v>
      </c>
    </row>
    <row r="100" spans="1:5" x14ac:dyDescent="0.25">
      <c r="A100" s="3" t="str">
        <f t="shared" ref="A100:A106" ca="1" si="17">IF(B100="","Unused","key =")</f>
        <v>key =</v>
      </c>
      <c r="B100" s="3">
        <f ca="1">IF(Other!Q186="|",ROUND(Other!N186,0),IF(Other!Q186="V",ROUND(Other!N186,-3),""))</f>
        <v>943116</v>
      </c>
      <c r="C100" s="49">
        <f ca="1">IF(B100="","",ROUND(Other!P186,3))</f>
        <v>7.9009999999999998</v>
      </c>
      <c r="D100" s="6">
        <f t="shared" ref="D100:D106" ca="1" si="18">IF(C100="","",(C100-C99)/(B100-B99))</f>
        <v>0</v>
      </c>
      <c r="E100" s="6">
        <f t="shared" ref="E100:E106" ca="1" si="19">IF(C100="","",IF(C108="",0,(C108-C100)/(B108-B100)))</f>
        <v>0</v>
      </c>
    </row>
    <row r="101" spans="1:5" x14ac:dyDescent="0.25">
      <c r="A101" s="3" t="str">
        <f t="shared" ca="1" si="17"/>
        <v>key =</v>
      </c>
      <c r="B101" s="3">
        <f ca="1">IF(Other!Q187="|",ROUND(Other!N187,0),IF(Other!Q187="V",ROUND(Other!N187,-3),""))</f>
        <v>952698</v>
      </c>
      <c r="C101" s="49">
        <f ca="1">IF(B101="","",ROUND(Other!P187,3))</f>
        <v>7.9009999999999998</v>
      </c>
      <c r="D101" s="6">
        <f t="shared" ca="1" si="18"/>
        <v>0</v>
      </c>
      <c r="E101" s="6">
        <f t="shared" ca="1" si="19"/>
        <v>0</v>
      </c>
    </row>
    <row r="102" spans="1:5" x14ac:dyDescent="0.25">
      <c r="A102" s="3" t="str">
        <f t="shared" ca="1" si="17"/>
        <v>key =</v>
      </c>
      <c r="B102" s="3">
        <f ca="1">IF(Other!Q188="|",ROUND(Other!N188,0),IF(Other!Q188="V",ROUND(Other!N188,-3),""))</f>
        <v>962221</v>
      </c>
      <c r="C102" s="49">
        <f ca="1">IF(B102="","",ROUND(Other!P188,3))</f>
        <v>7.9009999999999998</v>
      </c>
      <c r="D102" s="6">
        <f t="shared" ca="1" si="18"/>
        <v>0</v>
      </c>
      <c r="E102" s="6">
        <f t="shared" ca="1" si="19"/>
        <v>7.9929662728209011E-6</v>
      </c>
    </row>
    <row r="103" spans="1:5" x14ac:dyDescent="0.25">
      <c r="A103" s="3" t="str">
        <f t="shared" ca="1" si="17"/>
        <v>key =</v>
      </c>
      <c r="B103" s="3">
        <f ca="1">IF(Other!Q189="|",ROUND(Other!N189,0),IF(Other!Q189="V",ROUND(Other!N189,-3),""))</f>
        <v>971700</v>
      </c>
      <c r="C103" s="49">
        <f ca="1">IF(B103="","",ROUND(Other!P189,3))</f>
        <v>7.9009999999999998</v>
      </c>
      <c r="D103" s="6">
        <f t="shared" ca="1" si="18"/>
        <v>0</v>
      </c>
      <c r="E103" s="6">
        <f t="shared" ca="1" si="19"/>
        <v>8.1314284185241374E-6</v>
      </c>
    </row>
    <row r="104" spans="1:5" x14ac:dyDescent="0.25">
      <c r="A104" s="3" t="str">
        <f t="shared" ca="1" si="17"/>
        <v>key =</v>
      </c>
      <c r="B104" s="3">
        <f ca="1">IF(Other!Q190="|",ROUND(Other!N190,0),IF(Other!Q190="V",ROUND(Other!N190,-3),""))</f>
        <v>981145</v>
      </c>
      <c r="C104" s="49">
        <f ca="1">IF(B104="","",ROUND(Other!P190,3))</f>
        <v>7.9009999999999998</v>
      </c>
      <c r="D104" s="6">
        <f t="shared" ca="1" si="18"/>
        <v>0</v>
      </c>
      <c r="E104" s="6">
        <f t="shared" ca="1" si="19"/>
        <v>8.8588305446687491E-6</v>
      </c>
    </row>
    <row r="105" spans="1:5" x14ac:dyDescent="0.25">
      <c r="A105" s="3" t="str">
        <f t="shared" ca="1" si="17"/>
        <v>key =</v>
      </c>
      <c r="B105" s="3">
        <f ca="1">IF(Other!Q191="|",ROUND(Other!N191,0),IF(Other!Q191="V",ROUND(Other!N191,-3),""))</f>
        <v>990574</v>
      </c>
      <c r="C105" s="49">
        <f ca="1">IF(B105="","",ROUND(Other!P191,3))</f>
        <v>7.9009999999999998</v>
      </c>
      <c r="D105" s="6">
        <f t="shared" ca="1" si="18"/>
        <v>0</v>
      </c>
      <c r="E105" s="6">
        <f t="shared" ca="1" si="19"/>
        <v>0</v>
      </c>
    </row>
    <row r="106" spans="1:5" x14ac:dyDescent="0.25">
      <c r="A106" s="3" t="str">
        <f t="shared" ca="1" si="17"/>
        <v>key =</v>
      </c>
      <c r="B106" s="3">
        <f ca="1">IF(Other!Q192="|",ROUND(Other!N192,0),IF(Other!Q192="V",ROUND(Other!N192,-3),""))</f>
        <v>1000000</v>
      </c>
      <c r="C106" s="49">
        <f ca="1">IF(B106="","",ROUND(Other!P192,3))</f>
        <v>7.9009999999999998</v>
      </c>
      <c r="D106" s="6">
        <f t="shared" ca="1" si="18"/>
        <v>0</v>
      </c>
      <c r="E106" s="6">
        <f t="shared" ca="1" si="19"/>
        <v>0</v>
      </c>
    </row>
    <row r="107" spans="1:5" x14ac:dyDescent="0.25">
      <c r="A107" s="10" t="s">
        <v>67</v>
      </c>
      <c r="B107" s="3"/>
      <c r="C107" s="3"/>
      <c r="D107" s="3"/>
      <c r="E107" s="3"/>
    </row>
    <row r="108" spans="1:5" x14ac:dyDescent="0.25">
      <c r="A108" s="10" t="s">
        <v>80</v>
      </c>
      <c r="B108" s="3"/>
      <c r="C108" s="3"/>
      <c r="D108" s="3"/>
      <c r="E108" s="3"/>
    </row>
    <row r="109" spans="1:5" x14ac:dyDescent="0.25">
      <c r="A109" s="10" t="s">
        <v>66</v>
      </c>
      <c r="B109" s="3"/>
      <c r="C109" s="3"/>
      <c r="D109" s="3"/>
      <c r="E109" s="3"/>
    </row>
    <row r="110" spans="1:5" x14ac:dyDescent="0.25">
      <c r="A110" s="3" t="s">
        <v>78</v>
      </c>
      <c r="B110" s="3">
        <v>0</v>
      </c>
      <c r="C110" s="3">
        <f>ROUND(Other!G$116*(COS(RADIANS(B110))-COS(RADIANS(38))),2)</f>
        <v>0.21</v>
      </c>
      <c r="D110" s="3">
        <v>0</v>
      </c>
      <c r="E110" s="3">
        <f>ROUND(-Other!G$116*SIN(RADIANS(B110))*PI()/180,4)</f>
        <v>0</v>
      </c>
    </row>
    <row r="111" spans="1:5" x14ac:dyDescent="0.25">
      <c r="A111" s="3" t="s">
        <v>78</v>
      </c>
      <c r="B111" s="3">
        <v>38</v>
      </c>
      <c r="C111" s="3">
        <f>ROUND(Other!G$116*(COS(RADIANS(B111))-COS(RADIANS(38))),2)</f>
        <v>0</v>
      </c>
      <c r="D111" s="3">
        <f>ROUND(-Other!G$116*SIN(RADIANS(B111))*PI()/180,4)</f>
        <v>-1.0699999999999999E-2</v>
      </c>
      <c r="E111" s="3">
        <f>ROUND(-Other!G$116*SIN(RADIANS(B111))*PI()/180,4)</f>
        <v>-1.0699999999999999E-2</v>
      </c>
    </row>
    <row r="112" spans="1:5" x14ac:dyDescent="0.25">
      <c r="A112" s="3" t="s">
        <v>78</v>
      </c>
      <c r="B112" s="3">
        <v>90</v>
      </c>
      <c r="C112" s="3">
        <f>ROUND(Other!G$116*(COS(RADIANS(B112))-COS(RADIANS(38))),2)</f>
        <v>-0.79</v>
      </c>
      <c r="D112" s="3">
        <f>ROUND(-Other!G$116*SIN(RADIANS(B112))*PI()/180,4)</f>
        <v>-1.7500000000000002E-2</v>
      </c>
      <c r="E112" s="3">
        <v>0</v>
      </c>
    </row>
    <row r="113" spans="1:5" x14ac:dyDescent="0.25">
      <c r="A113" s="10" t="s">
        <v>67</v>
      </c>
      <c r="B113" s="3"/>
      <c r="C113" s="3"/>
      <c r="D113" s="3"/>
      <c r="E113" s="3"/>
    </row>
    <row r="114" spans="1:5" x14ac:dyDescent="0.25">
      <c r="A114" s="10" t="s">
        <v>81</v>
      </c>
      <c r="B114" s="3"/>
      <c r="C114" s="3"/>
      <c r="D114" s="3"/>
      <c r="E114" s="3"/>
    </row>
    <row r="115" spans="1:5" x14ac:dyDescent="0.25">
      <c r="A115" s="10" t="s">
        <v>66</v>
      </c>
      <c r="B115" s="3"/>
      <c r="C115" s="3"/>
      <c r="D115" s="3"/>
      <c r="E115" s="3"/>
    </row>
    <row r="116" spans="1:5" x14ac:dyDescent="0.25">
      <c r="A116" s="3" t="s">
        <v>78</v>
      </c>
      <c r="B116" s="3">
        <v>0</v>
      </c>
      <c r="C116" s="3">
        <f>ROUND((Other!G$114-Other!G$115)*COS(RADIANS(B116))+Other!G$115,2)</f>
        <v>1</v>
      </c>
      <c r="D116" s="3">
        <v>0</v>
      </c>
      <c r="E116" s="3">
        <f>ROUND((Other!G$115-Other!G$114)*SIN(RADIANS(B116))*PI()/180,4)</f>
        <v>0</v>
      </c>
    </row>
    <row r="117" spans="1:5" x14ac:dyDescent="0.25">
      <c r="A117" s="3" t="s">
        <v>78</v>
      </c>
      <c r="B117" s="3">
        <v>38</v>
      </c>
      <c r="C117" s="3">
        <f>ROUND((Other!G$114-Other!G$115)*COS(RADIANS(B117))+Other!G$115,2)</f>
        <v>0.79</v>
      </c>
      <c r="D117" s="3">
        <f>ROUND((Other!G$115-Other!G$114)*SIN(RADIANS(B117))*PI()/180,4)</f>
        <v>-1.0699999999999999E-2</v>
      </c>
      <c r="E117" s="3">
        <f>ROUND((Other!G$115-Other!G$114)*SIN(RADIANS(B117))*PI()/180,4)</f>
        <v>-1.0699999999999999E-2</v>
      </c>
    </row>
    <row r="118" spans="1:5" x14ac:dyDescent="0.25">
      <c r="A118" s="3" t="s">
        <v>78</v>
      </c>
      <c r="B118" s="3">
        <v>90</v>
      </c>
      <c r="C118" s="3">
        <f>ROUND((Other!G$114-Other!G$115)*COS(RADIANS(B118))+Other!G$115,2)</f>
        <v>0</v>
      </c>
      <c r="D118" s="3">
        <f>ROUND((Other!G$115-Other!G$114)*SIN(RADIANS(B118))*PI()/180,4)</f>
        <v>-1.7500000000000002E-2</v>
      </c>
      <c r="E118" s="3">
        <v>0</v>
      </c>
    </row>
    <row r="119" spans="1:5" x14ac:dyDescent="0.25">
      <c r="A119" s="10" t="s">
        <v>67</v>
      </c>
      <c r="B119" s="3"/>
      <c r="C119" s="3"/>
      <c r="D119" s="3"/>
      <c r="E119" s="3"/>
    </row>
    <row r="120" spans="1:5" x14ac:dyDescent="0.25">
      <c r="A120" s="10" t="s">
        <v>82</v>
      </c>
      <c r="B120" s="3"/>
      <c r="C120" s="3"/>
      <c r="D120" s="3"/>
      <c r="E120" s="3"/>
    </row>
    <row r="121" spans="1:5" x14ac:dyDescent="0.25">
      <c r="A121" s="10" t="s">
        <v>66</v>
      </c>
      <c r="B121" s="3"/>
      <c r="C121" s="3"/>
      <c r="D121" s="3"/>
      <c r="E121" s="3"/>
    </row>
    <row r="122" spans="1:5" x14ac:dyDescent="0.25">
      <c r="A122" s="3" t="s">
        <v>78</v>
      </c>
      <c r="B122" s="3">
        <v>0</v>
      </c>
      <c r="C122" s="3">
        <f>IF(Other!G$19="Planet",ROUND(-Other!G$117*Other!G$119*SIN(RADIANS(B122-36+Other!G28)),2),ROUND(-Other!G$117*Other!G$119*SIN(RADIANS(B122-36+Other!G$33)),2))</f>
        <v>0.24</v>
      </c>
      <c r="D122" s="3">
        <v>0</v>
      </c>
      <c r="E122" s="3">
        <f>IF(Other!G$19="Planet",IF(Other!G$27&gt;0,D127,0),IF(Other!G$32&gt;0,D127,0))</f>
        <v>-0.16239999999999999</v>
      </c>
    </row>
    <row r="123" spans="1:5" x14ac:dyDescent="0.25">
      <c r="A123" s="3" t="str">
        <f t="shared" ref="A123:A127" si="20">IF(B123="","Unused","key =")</f>
        <v>key =</v>
      </c>
      <c r="B123" s="3">
        <f>IF(Other!G19="Planet",IF(Other!G$27&gt;0,MIN(IF(36-Other!G$28&lt;0,36-Other!G$28+360,36-Other!G$28),IF(126-Other!G$28&lt;0,126-Other!G$28+360,126-Other!G$28),IF(216-Other!G$28&lt;0,216-Other!G$28+360,216-Other!G$28),IF(306-Other!G$28&lt;0,306-Other!G$28+360,306-Other!G$28)),""),IF(Other!G$32&gt;0,MIN(IF(36-Other!G$33&lt;0,36-Other!G$33+360,36-Other!G$33),IF(126-Other!G$33&lt;0,126-Other!G$33+360,126-Other!G$33),IF(216-Other!G$33&lt;0,216-Other!G$33+360,216-Other!G$33),IF(306-Other!G$33&lt;0,306-Other!G$33+360,306-Other!G$33)),""))</f>
        <v>1.4755899999999968</v>
      </c>
      <c r="C123" s="3">
        <f>IF(Other!G$19="Planet",IF(Other!G$27&gt;0,ROUND(-Other!G$117*Other!G$119*SIN(RADIANS(B123-36+Other!G$28)),2),""),IF(Other!G$32&gt;0,ROUND(-Other!G$117*Other!G$119*SIN(RADIANS(B123-36+Other!G$33)),2),""))</f>
        <v>0</v>
      </c>
      <c r="D123" s="3">
        <f>IF(Other!G$19="Planet",IF(Other!G$27&gt;0,ROUND(Other!G$117*Other!G$119*SIN(RADIANS(270))*COS(RADIANS(B123-36+Other!G$28))*PI()/180,4),""),IF(Other!G$32&gt;0,ROUND(Other!G$117*Other!G$119*SIN(RADIANS(270))*COS(RADIANS(B123-36+Other!G$33))*PI()/180,4),""))</f>
        <v>-0.16239999999999999</v>
      </c>
      <c r="E123" s="3">
        <f>IF(Other!G$19="Planet",IF(Other!G$27&gt;0,D123,""),IF(Other!G$32&gt;0,D123,""))</f>
        <v>-0.16239999999999999</v>
      </c>
    </row>
    <row r="124" spans="1:5" x14ac:dyDescent="0.25">
      <c r="A124" s="3" t="str">
        <f t="shared" si="20"/>
        <v>key =</v>
      </c>
      <c r="B124" s="3">
        <f>IF(Other!G$19="Planet",IF(Other!G$27&gt;0,B123+90,""),IF(Other!G$32&gt;0,B123+90,""))</f>
        <v>91.475589999999997</v>
      </c>
      <c r="C124" s="3">
        <f>IF(Other!G$19="Planet",IF(Other!G$27&gt;0,ROUND(-Other!G$117*Other!G$119*SIN(RADIANS(B124-36+Other!G$28)),2),""),IF(Other!G$32&gt;0,ROUND(-Other!G$117*Other!G$119*SIN(RADIANS(B124-36+Other!G$33)),2),""))</f>
        <v>-9.31</v>
      </c>
      <c r="D124" s="3">
        <f>IF(Other!G$19="Planet",IF(Other!G$27&gt;0,ROUND(Other!G$117*Other!G$119*SIN(RADIANS(270))*COS(RADIANS(B124-36+Other!G$28))*PI()/180,4),""),IF(Other!G$32&gt;0,ROUND(Other!G$117*Other!G$119*SIN(RADIANS(270))*COS(RADIANS(B124-36+Other!G$33))*PI()/180,4),""))</f>
        <v>0</v>
      </c>
      <c r="E124" s="3">
        <f>IF(Other!G$19="Planet",IF(Other!G$27&gt;0,D124,""),IF(Other!G$32&gt;0,D124,""))</f>
        <v>0</v>
      </c>
    </row>
    <row r="125" spans="1:5" x14ac:dyDescent="0.25">
      <c r="A125" s="3" t="str">
        <f t="shared" si="20"/>
        <v>key =</v>
      </c>
      <c r="B125" s="3">
        <f>IF(Other!G$19="Planet",IF(Other!G$27&gt;0,B124+90,""),IF(Other!G$32&gt;0,B124+90,""))</f>
        <v>181.47559000000001</v>
      </c>
      <c r="C125" s="3">
        <f>IF(Other!G$19="Planet",IF(Other!G$27&gt;0,ROUND(-Other!G$117*Other!G$119*SIN(RADIANS(B125-36+Other!G$28)),2),""),IF(Other!G$32&gt;0,ROUND(-Other!G$117*Other!G$119*SIN(RADIANS(B125-36+Other!G$33)),2),""))</f>
        <v>0</v>
      </c>
      <c r="D125" s="3">
        <f>IF(Other!G$19="Planet",IF(Other!G$27&gt;0,ROUND(Other!G$117*Other!G$119*SIN(RADIANS(270))*COS(RADIANS(B125-36+Other!G$28))*PI()/180,4),""),IF(Other!G$32&gt;0,ROUND(Other!G$117*Other!G$119*SIN(RADIANS(270))*COS(RADIANS(B125-36+Other!G$33))*PI()/180,4),""))</f>
        <v>0.16239999999999999</v>
      </c>
      <c r="E125" s="3">
        <f>IF(Other!G$19="Planet",IF(Other!G$27&gt;0,D125,""),IF(Other!G$32&gt;0,D125,""))</f>
        <v>0.16239999999999999</v>
      </c>
    </row>
    <row r="126" spans="1:5" x14ac:dyDescent="0.25">
      <c r="A126" s="3" t="str">
        <f t="shared" si="20"/>
        <v>key =</v>
      </c>
      <c r="B126" s="3">
        <f>IF(Other!G$19="Planet",IF(Other!G$27&gt;0,B125+90,""),IF(Other!G$32&gt;0,B125+90,""))</f>
        <v>271.47559000000001</v>
      </c>
      <c r="C126" s="3">
        <f>IF(Other!G$19="Planet",IF(Other!G$27&gt;0,ROUND(-Other!G$117*Other!G$119*SIN(RADIANS(B126-36+Other!G$28)),2),""),IF(Other!G$32&gt;0,ROUND(-Other!G$117*Other!G$119*SIN(RADIANS(B126-36+Other!G$33)),2),""))</f>
        <v>9.31</v>
      </c>
      <c r="D126" s="3">
        <f>IF(Other!G$19="Planet",IF(Other!G$27&gt;0,ROUND(Other!G$117*Other!G$119*SIN(RADIANS(270))*COS(RADIANS(B126-36+Other!G$28))*PI()/180,4),""),IF(Other!G$32&gt;0,ROUND(Other!G$117*Other!G$119*SIN(RADIANS(270))*COS(RADIANS(B126-36+Other!G$33))*PI()/180,4),""))</f>
        <v>0</v>
      </c>
      <c r="E126" s="3">
        <f>IF(Other!G$19="Planet",IF(Other!G$27&gt;0,D126,""),IF(Other!G$32&gt;0,D126,""))</f>
        <v>0</v>
      </c>
    </row>
    <row r="127" spans="1:5" x14ac:dyDescent="0.25">
      <c r="A127" s="3" t="str">
        <f t="shared" si="20"/>
        <v>key =</v>
      </c>
      <c r="B127" s="3">
        <f>IF(Other!G$19="Planet",IF(Other!G$27&gt;0,360,""),IF(Other!G$32&gt;0,360,""))</f>
        <v>360</v>
      </c>
      <c r="C127" s="3">
        <f>IF(Other!G$19="Planet",IF(Other!G$27&gt;0,ROUND(-Other!G$117*Other!G$119*SIN(RADIANS(B127-36+Other!G$28)),2),""),IF(Other!G$32&gt;0,ROUND(-Other!G$117*Other!G$119*SIN(RADIANS(B127-36+Other!G$33)),2),""))</f>
        <v>0.24</v>
      </c>
      <c r="D127" s="3">
        <f>IF(Other!G$19="Planet",IF(Other!G$27&gt;0,ROUND(Other!G$117*Other!G$119*SIN(RADIANS(270))*COS(RADIANS(B127-36+Other!G$28))*PI()/180,4),""),IF(Other!G$32&gt;0,ROUND(Other!G$117*Other!G$119*SIN(RADIANS(270))*COS(RADIANS(B127-36+Other!G$33))*PI()/180,4),""))</f>
        <v>-0.16239999999999999</v>
      </c>
      <c r="E127" s="3">
        <f>IF(Other!G$19="Planet",IF(Other!G$27&gt;0,0,""),IF(Other!G$32&gt;0,0,""))</f>
        <v>0</v>
      </c>
    </row>
    <row r="128" spans="1:5" x14ac:dyDescent="0.25">
      <c r="A128" s="10" t="s">
        <v>67</v>
      </c>
      <c r="B128" s="3"/>
      <c r="C128" s="3"/>
      <c r="D128" s="3"/>
      <c r="E128" s="3"/>
    </row>
    <row r="129" spans="1:5" x14ac:dyDescent="0.25">
      <c r="A129" s="10" t="s">
        <v>83</v>
      </c>
      <c r="B129" s="3"/>
      <c r="C129" s="3"/>
      <c r="D129" s="3"/>
      <c r="E129" s="3"/>
    </row>
    <row r="130" spans="1:5" x14ac:dyDescent="0.25">
      <c r="A130" s="10" t="s">
        <v>66</v>
      </c>
      <c r="B130" s="3"/>
      <c r="C130" s="3"/>
      <c r="D130" s="3"/>
      <c r="E130" s="3"/>
    </row>
    <row r="131" spans="1:5" x14ac:dyDescent="0.25">
      <c r="A131" s="3" t="s">
        <v>78</v>
      </c>
      <c r="B131" s="3">
        <v>0</v>
      </c>
      <c r="C131" s="3">
        <v>0</v>
      </c>
      <c r="D131" s="3">
        <v>0</v>
      </c>
      <c r="E131" s="3">
        <v>0</v>
      </c>
    </row>
    <row r="132" spans="1:5" x14ac:dyDescent="0.25">
      <c r="A132" s="3" t="str">
        <f t="shared" ref="A132:A133" si="21">IF(B132="","Unused","key =")</f>
        <v>key =</v>
      </c>
      <c r="B132" s="3">
        <f>IF(Other!G$19="Planet",IF(Other!G$27&gt;0,38,""),IF(Other!G$32&gt;0,38,""))</f>
        <v>38</v>
      </c>
      <c r="C132" s="3">
        <f>IF(Other!G$19="Planet",IF(Other!G$27&gt;0,0.5,""),IF(Other!G$32&gt;0,0.5,""))</f>
        <v>0.5</v>
      </c>
      <c r="D132" s="3">
        <f>IF(Other!G$19="Planet",IF(Other!G$27&gt;0,0.02,""),IF(Other!G$32&gt;0,0.02,""))</f>
        <v>0.02</v>
      </c>
      <c r="E132" s="3">
        <f>IF(Other!G$19="Planet",IF(Other!G$27&gt;0,0.02,""),IF(Other!G$32&gt;0,0.02,""))</f>
        <v>0.02</v>
      </c>
    </row>
    <row r="133" spans="1:5" x14ac:dyDescent="0.25">
      <c r="A133" s="3" t="str">
        <f t="shared" si="21"/>
        <v>key =</v>
      </c>
      <c r="B133" s="3">
        <f>IF(Other!G$19="Planet",IF(Other!G$27&gt;0,90,""),IF(Other!G$32&gt;0,90,""))</f>
        <v>90</v>
      </c>
      <c r="C133" s="3">
        <f>IF(Other!G$19="Planet",IF(Other!G$27&gt;0,1,""),IF(Other!G$32&gt;0,1,""))</f>
        <v>1</v>
      </c>
      <c r="D133" s="3">
        <f>IF(Other!G$19="Planet",IF(Other!G$27&gt;0,0,""),IF(Other!G$32&gt;0,0,""))</f>
        <v>0</v>
      </c>
      <c r="E133" s="3">
        <f>IF(Other!G$19="Planet",IF(Other!G$27&gt;0,0,""),IF(Other!G$32&gt;0,0,""))</f>
        <v>0</v>
      </c>
    </row>
    <row r="134" spans="1:5" x14ac:dyDescent="0.25">
      <c r="A134" s="10" t="s">
        <v>67</v>
      </c>
      <c r="B134" s="3"/>
      <c r="C134" s="3"/>
      <c r="D134" s="3"/>
      <c r="E134" s="3"/>
    </row>
    <row r="135" spans="1:5" x14ac:dyDescent="0.25">
      <c r="A135" s="10" t="s">
        <v>84</v>
      </c>
      <c r="B135" s="3"/>
      <c r="C135" s="3"/>
      <c r="D135" s="3"/>
      <c r="E135" s="3"/>
    </row>
    <row r="136" spans="1:5" x14ac:dyDescent="0.25">
      <c r="A136" s="10" t="s">
        <v>66</v>
      </c>
      <c r="B136" s="3"/>
      <c r="C136" s="3"/>
      <c r="D136" s="3"/>
      <c r="E136" s="3"/>
    </row>
    <row r="137" spans="1:5" x14ac:dyDescent="0.25">
      <c r="A137" s="3" t="s">
        <v>78</v>
      </c>
      <c r="B137" s="3">
        <v>0</v>
      </c>
      <c r="C137" s="3">
        <f>ROUND(Other!G$118*Other!G$119,1)/2</f>
        <v>0.3</v>
      </c>
      <c r="D137" s="3">
        <v>0</v>
      </c>
      <c r="E137" s="3">
        <f>-2*C137</f>
        <v>-0.6</v>
      </c>
    </row>
    <row r="138" spans="1:5" x14ac:dyDescent="0.25">
      <c r="A138" s="3" t="str">
        <f t="shared" ref="A138" si="22">IF(B138="","Unused","key =")</f>
        <v>key =</v>
      </c>
      <c r="B138" s="3">
        <f>IF(Other!G$19="Planet",IF(Other!G$26&gt;0,1,""),IF(Other!G$31&gt;0,1,""))</f>
        <v>1</v>
      </c>
      <c r="C138" s="3">
        <f>IF(Other!G$19="Planet",IF(Other!G$26&gt;0,-C137,""),IF(Other!G$31&gt;0,-C137,""))</f>
        <v>-0.3</v>
      </c>
      <c r="D138" s="3">
        <f>IF(Other!G$19="Planet",IF(Other!G$26&gt;0,E137,""),IF(Other!G$31&gt;0,E137,""))</f>
        <v>-0.6</v>
      </c>
      <c r="E138" s="3">
        <f>IF(Other!G$19="Planet",IF(Other!G$26&gt;0,0,""),IF(Other!G$31&gt;0,0,""))</f>
        <v>0</v>
      </c>
    </row>
    <row r="139" spans="1:5" x14ac:dyDescent="0.25">
      <c r="A139" s="10" t="s">
        <v>67</v>
      </c>
      <c r="B139" s="3"/>
      <c r="C139" s="3"/>
      <c r="D139" s="3"/>
      <c r="E139" s="3"/>
    </row>
    <row r="140" spans="1:5" x14ac:dyDescent="0.25">
      <c r="A140" s="10" t="s">
        <v>85</v>
      </c>
      <c r="B140" s="3"/>
      <c r="C140" s="3"/>
      <c r="D140" s="3"/>
      <c r="E140" s="3"/>
    </row>
    <row r="141" spans="1:5" x14ac:dyDescent="0.25">
      <c r="A141" s="10" t="s">
        <v>66</v>
      </c>
      <c r="B141" s="3"/>
      <c r="C141" s="3"/>
      <c r="D141" s="3"/>
      <c r="E141" s="3"/>
    </row>
    <row r="142" spans="1:5" x14ac:dyDescent="0.25">
      <c r="A142" s="3" t="str">
        <f t="shared" ref="A142:A168" ca="1" si="23">IF(B142="","Unused","key =")</f>
        <v>key =</v>
      </c>
      <c r="B142" s="3">
        <f ca="1">IF(Other!Q150="|",ROUND(Other!N150,0),IF(Other!Q150="V",ROUND(Other!N150,-3),""))</f>
        <v>0</v>
      </c>
      <c r="C142" s="6">
        <f ca="1">IF(B142="","",IF(B143="",0,Other!H150/1000))</f>
        <v>90822.663750000109</v>
      </c>
      <c r="D142" s="6">
        <v>0</v>
      </c>
      <c r="E142" s="6">
        <f ca="1">IF(C142="","",IF(C142=0,0,-(C142*1.001-C142*0.999)/(Other!G150*LN((C142*1.001)/(C142*0.999)))/IF(Other!G$128&gt;0,Other!G$128,0.8)))</f>
        <v>-0.76399814916681452</v>
      </c>
    </row>
    <row r="143" spans="1:5" x14ac:dyDescent="0.25">
      <c r="A143" s="3" t="str">
        <f t="shared" ca="1" si="23"/>
        <v>key =</v>
      </c>
      <c r="B143" s="3">
        <f ca="1">IF(Other!Q151="|",ROUND(Other!N151,0),IF(Other!Q151="V",ROUND(Other!N151,-3),""))</f>
        <v>66618</v>
      </c>
      <c r="C143" s="6">
        <f ca="1">IF(B143="","",IF(B144="",0,Other!H151/1000))</f>
        <v>51073.337090492525</v>
      </c>
      <c r="D143" s="6">
        <f ca="1">IF(C143="","",IF(C143=0,0,-(C143*1.001-C143*0.999)/(Other!G151*LN((C143*1.001)/(C143*0.999)))/IF(Other!G$128&gt;0,Other!G$128,0.8)))</f>
        <v>-0.45696064385370172</v>
      </c>
      <c r="E143" s="6">
        <f ca="1">D143</f>
        <v>-0.45696064385370172</v>
      </c>
    </row>
    <row r="144" spans="1:5" x14ac:dyDescent="0.25">
      <c r="A144" s="3" t="str">
        <f t="shared" ca="1" si="23"/>
        <v>key =</v>
      </c>
      <c r="B144" s="3">
        <f ca="1">IF(Other!Q152="|",ROUND(Other!N152,0),IF(Other!Q152="V",ROUND(Other!N152,-3),""))</f>
        <v>129666</v>
      </c>
      <c r="C144" s="6">
        <f ca="1">IF(B144="","",IF(B145="",0,Other!H152/1000))</f>
        <v>28720.648061360964</v>
      </c>
      <c r="D144" s="6">
        <f ca="1">IF(C144="","",IF(C144=0,0,-(C144*1.001-C144*0.999)/(Other!G152*LN((C144*1.001)/(C144*0.999)))/IF(Other!G$128&gt;0,Other!G$128,0.8)))</f>
        <v>-0.27375483047794552</v>
      </c>
      <c r="E144" s="6">
        <f t="shared" ref="E144:E168" ca="1" si="24">D144</f>
        <v>-0.27375483047794552</v>
      </c>
    </row>
    <row r="145" spans="1:5" x14ac:dyDescent="0.25">
      <c r="A145" s="3" t="str">
        <f t="shared" ca="1" si="23"/>
        <v>key =</v>
      </c>
      <c r="B145" s="3">
        <f ca="1">IF(Other!Q153="|",ROUND(Other!N153,0),IF(Other!Q153="V",ROUND(Other!N153,-3),""))</f>
        <v>189214</v>
      </c>
      <c r="C145" s="6">
        <f ca="1">IF(B145="","",IF(B146="",0,Other!H153/1000))</f>
        <v>16150.807291151366</v>
      </c>
      <c r="D145" s="6">
        <f ca="1">IF(C145="","",IF(C145=0,0,-(C145*1.001-C145*0.999)/(Other!G153*LN((C145*1.001)/(C145*0.999)))/IF(Other!G$128&gt;0,Other!G$128,0.8)))</f>
        <v>-0.16427300107655107</v>
      </c>
      <c r="E145" s="6">
        <f t="shared" ca="1" si="24"/>
        <v>-0.16427300107655107</v>
      </c>
    </row>
    <row r="146" spans="1:5" x14ac:dyDescent="0.25">
      <c r="A146" s="3" t="str">
        <f t="shared" ca="1" si="23"/>
        <v>key =</v>
      </c>
      <c r="B146" s="3">
        <f ca="1">IF(Other!Q154="|",ROUND(Other!N154,0),IF(Other!Q154="V",ROUND(Other!N154,-3),""))</f>
        <v>245338</v>
      </c>
      <c r="C146" s="6">
        <f ca="1">IF(B146="","",IF(B147="",0,Other!H154/1000))</f>
        <v>9082.2663750000102</v>
      </c>
      <c r="D146" s="6">
        <f ca="1">IF(C146="","",IF(C146=0,0,-(C146*1.001-C146*0.999)/(Other!G154*LN((C146*1.001)/(C146*0.999)))/IF(Other!G$128&gt;0,Other!G$128,0.8)))</f>
        <v>-9.8745285177424022E-2</v>
      </c>
      <c r="E146" s="6">
        <f t="shared" ca="1" si="24"/>
        <v>-9.8745285177424022E-2</v>
      </c>
    </row>
    <row r="147" spans="1:5" x14ac:dyDescent="0.25">
      <c r="A147" s="3" t="str">
        <f t="shared" ca="1" si="23"/>
        <v>key =</v>
      </c>
      <c r="B147" s="3">
        <f ca="1">IF(Other!Q155="|",ROUND(Other!N155,0),IF(Other!Q155="V",ROUND(Other!N155,-3),""))</f>
        <v>298120</v>
      </c>
      <c r="C147" s="6">
        <f ca="1">IF(B147="","",IF(B148="",0,Other!H155/1000))</f>
        <v>5107.3337090492514</v>
      </c>
      <c r="D147" s="6">
        <f ca="1">IF(C147="","",IF(C147=0,0,-(C147*1.001-C147*0.999)/(Other!G155*LN((C147*1.001)/(C147*0.999)))/IF(Other!G$128&gt;0,Other!G$128,0.8)))</f>
        <v>-5.9461461716603749E-2</v>
      </c>
      <c r="E147" s="6">
        <f t="shared" ca="1" si="24"/>
        <v>-5.9461461716603749E-2</v>
      </c>
    </row>
    <row r="148" spans="1:5" x14ac:dyDescent="0.25">
      <c r="A148" s="3" t="str">
        <f t="shared" ca="1" si="23"/>
        <v>key =</v>
      </c>
      <c r="B148" s="3">
        <f ca="1">IF(Other!Q156="|",ROUND(Other!N156,0),IF(Other!Q156="V",ROUND(Other!N156,-3),""))</f>
        <v>347652</v>
      </c>
      <c r="C148" s="6">
        <f ca="1">IF(B148="","",IF(B149="",0,Other!H156/1000))</f>
        <v>2872.0648061360971</v>
      </c>
      <c r="D148" s="6">
        <f ca="1">IF(C148="","",IF(C148=0,0,-(C148*1.001-C148*0.999)/(Other!G156*LN((C148*1.001)/(C148*0.999)))/IF(Other!G$128&gt;0,Other!G$128,0.8)))</f>
        <v>-3.5871142352718682E-2</v>
      </c>
      <c r="E148" s="6">
        <f t="shared" ca="1" si="24"/>
        <v>-3.5871142352718682E-2</v>
      </c>
    </row>
    <row r="149" spans="1:5" x14ac:dyDescent="0.25">
      <c r="A149" s="3" t="str">
        <f t="shared" ca="1" si="23"/>
        <v>key =</v>
      </c>
      <c r="B149" s="3">
        <f ca="1">IF(Other!Q157="|",ROUND(Other!N157,0),IF(Other!Q157="V",ROUND(Other!N157,-3),""))</f>
        <v>394031</v>
      </c>
      <c r="C149" s="6">
        <f ca="1">IF(B149="","",IF(B150="",0,Other!H157/1000))</f>
        <v>1615.0807291151355</v>
      </c>
      <c r="D149" s="6">
        <f ca="1">IF(C149="","",IF(C149=0,0,-(C149*1.001-C149*0.999)/(Other!G157*LN((C149*1.001)/(C149*0.999)))/IF(Other!G$128&gt;0,Other!G$128,0.8)))</f>
        <v>-2.1680222266656411E-2</v>
      </c>
      <c r="E149" s="6">
        <f t="shared" ca="1" si="24"/>
        <v>-2.1680222266656411E-2</v>
      </c>
    </row>
    <row r="150" spans="1:5" x14ac:dyDescent="0.25">
      <c r="A150" s="3" t="str">
        <f t="shared" ca="1" si="23"/>
        <v>key =</v>
      </c>
      <c r="B150" s="3">
        <f ca="1">IF(Other!Q158="|",ROUND(Other!N158,0),IF(Other!Q158="V",ROUND(Other!N158,-3),""))</f>
        <v>437360</v>
      </c>
      <c r="C150" s="6">
        <f ca="1">IF(B150="","",IF(B151="",0,Other!H158/1000))</f>
        <v>908.22663750000061</v>
      </c>
      <c r="D150" s="6">
        <f ca="1">IF(C150="","",IF(C150=0,0,-(C150*1.001-C150*0.999)/(Other!G158*LN((C150*1.001)/(C150*0.999)))/IF(Other!G$128&gt;0,Other!G$128,0.8)))</f>
        <v>-1.3128206675340806E-2</v>
      </c>
      <c r="E150" s="6">
        <f t="shared" ca="1" si="24"/>
        <v>-1.3128206675340806E-2</v>
      </c>
    </row>
    <row r="151" spans="1:5" x14ac:dyDescent="0.25">
      <c r="A151" s="3" t="str">
        <f t="shared" ca="1" si="23"/>
        <v>key =</v>
      </c>
      <c r="B151" s="3">
        <f ca="1">IF(Other!Q159="|",ROUND(Other!N159,0),IF(Other!Q159="V",ROUND(Other!N159,-3),""))</f>
        <v>477749</v>
      </c>
      <c r="C151" s="6">
        <f ca="1">IF(B151="","",IF(B152="",0,Other!H159/1000))</f>
        <v>510.7333709049251</v>
      </c>
      <c r="D151" s="6">
        <f ca="1">IF(C151="","",IF(C151=0,0,-(C151*1.001-C151*0.999)/(Other!G159*LN((C151*1.001)/(C151*0.999)))/IF(Other!G$128&gt;0,Other!G$128,0.8)))</f>
        <v>-7.9648668730631384E-3</v>
      </c>
      <c r="E151" s="6">
        <f t="shared" ca="1" si="24"/>
        <v>-7.9648668730631384E-3</v>
      </c>
    </row>
    <row r="152" spans="1:5" x14ac:dyDescent="0.25">
      <c r="A152" s="3" t="str">
        <f t="shared" ca="1" si="23"/>
        <v>key =</v>
      </c>
      <c r="B152" s="3">
        <f ca="1">IF(Other!Q160="|",ROUND(Other!N160,0),IF(Other!Q160="V",ROUND(Other!N160,-3),""))</f>
        <v>515312</v>
      </c>
      <c r="C152" s="6">
        <f ca="1">IF(B152="","",IF(B153="",0,Other!H160/1000))</f>
        <v>287.20648061360964</v>
      </c>
      <c r="D152" s="6">
        <f ca="1">IF(C152="","",IF(C152=0,0,-(C152*1.001-C152*0.999)/(Other!G160*LN((C152*1.001)/(C152*0.999)))/IF(Other!G$128&gt;0,Other!G$128,0.8)))</f>
        <v>-4.8415357637551677E-3</v>
      </c>
      <c r="E152" s="6">
        <f t="shared" ca="1" si="24"/>
        <v>-4.8415357637551677E-3</v>
      </c>
    </row>
    <row r="153" spans="1:5" x14ac:dyDescent="0.25">
      <c r="A153" s="3" t="str">
        <f t="shared" ca="1" si="23"/>
        <v>key =</v>
      </c>
      <c r="B153" s="3">
        <f ca="1">IF(Other!Q161="|",ROUND(Other!N161,0),IF(Other!Q161="V",ROUND(Other!N161,-3),""))</f>
        <v>550171</v>
      </c>
      <c r="C153" s="6">
        <f ca="1">IF(B153="","",IF(B154="",0,Other!H161/1000))</f>
        <v>161.50807291151352</v>
      </c>
      <c r="D153" s="6">
        <f ca="1">IF(C153="","",IF(C153=0,0,-(C153*1.001-C153*0.999)/(Other!G161*LN((C153*1.001)/(C153*0.999)))/IF(Other!G$128&gt;0,Other!G$128,0.8)))</f>
        <v>-2.948547993473116E-3</v>
      </c>
      <c r="E153" s="6">
        <f t="shared" ca="1" si="24"/>
        <v>-2.948547993473116E-3</v>
      </c>
    </row>
    <row r="154" spans="1:5" x14ac:dyDescent="0.25">
      <c r="A154" s="3" t="str">
        <f t="shared" ca="1" si="23"/>
        <v>key =</v>
      </c>
      <c r="B154" s="3">
        <f ca="1">IF(Other!Q162="|",ROUND(Other!N162,0),IF(Other!Q162="V",ROUND(Other!N162,-3),""))</f>
        <v>582449</v>
      </c>
      <c r="C154" s="6">
        <f ca="1">IF(B154="","",IF(B155="",0,Other!H162/1000))</f>
        <v>90.822663750000032</v>
      </c>
      <c r="D154" s="6">
        <f ca="1">IF(C154="","",IF(C154=0,0,-(C154*1.001-C154*0.999)/(Other!G162*LN((C154*1.001)/(C154*0.999)))/IF(Other!G$128&gt;0,Other!G$128,0.8)))</f>
        <v>-1.7989858306389052E-3</v>
      </c>
      <c r="E154" s="6">
        <f t="shared" ca="1" si="24"/>
        <v>-1.7989858306389052E-3</v>
      </c>
    </row>
    <row r="155" spans="1:5" x14ac:dyDescent="0.25">
      <c r="A155" s="3" t="str">
        <f t="shared" ca="1" si="23"/>
        <v>key =</v>
      </c>
      <c r="B155" s="3">
        <f ca="1">IF(Other!Q163="|",ROUND(Other!N163,0),IF(Other!Q163="V",ROUND(Other!N163,-3),""))</f>
        <v>612277</v>
      </c>
      <c r="C155" s="6">
        <f ca="1">IF(B155="","",IF(B156="",0,Other!H163/1000))</f>
        <v>51.073337090492501</v>
      </c>
      <c r="D155" s="6">
        <f ca="1">IF(C155="","",IF(C155=0,0,-(C155*1.001-C155*0.999)/(Other!G163*LN((C155*1.001)/(C155*0.999)))/IF(Other!G$128&gt;0,Other!G$128,0.8)))</f>
        <v>-1.0995024177247147E-3</v>
      </c>
      <c r="E155" s="6">
        <f t="shared" ca="1" si="24"/>
        <v>-1.0995024177247147E-3</v>
      </c>
    </row>
    <row r="156" spans="1:5" x14ac:dyDescent="0.25">
      <c r="A156" s="3" t="str">
        <f t="shared" ca="1" si="23"/>
        <v>key =</v>
      </c>
      <c r="B156" s="3">
        <f ca="1">IF(Other!Q164="|",ROUND(Other!N164,0),IF(Other!Q164="V",ROUND(Other!N164,-3),""))</f>
        <v>639788</v>
      </c>
      <c r="C156" s="6">
        <f ca="1">IF(B156="","",IF(B157="",0,Other!H164/1000))</f>
        <v>28.720648061360961</v>
      </c>
      <c r="D156" s="6">
        <f ca="1">IF(C156="","",IF(C156=0,0,-(C156*1.001-C156*0.999)/(Other!G164*LN((C156*1.001)/(C156*0.999)))/IF(Other!G$128&gt;0,Other!G$128,0.8)))</f>
        <v>-6.730422742066332E-4</v>
      </c>
      <c r="E156" s="6">
        <f t="shared" ca="1" si="24"/>
        <v>-6.730422742066332E-4</v>
      </c>
    </row>
    <row r="157" spans="1:5" x14ac:dyDescent="0.25">
      <c r="A157" s="3" t="str">
        <f t="shared" ca="1" si="23"/>
        <v>key =</v>
      </c>
      <c r="B157" s="3">
        <f ca="1">IF(Other!Q165="|",ROUND(Other!N165,0),IF(Other!Q165="V",ROUND(Other!N165,-3),""))</f>
        <v>665118</v>
      </c>
      <c r="C157" s="6">
        <f ca="1">IF(B157="","",IF(B158="",0,Other!H165/1000))</f>
        <v>16.150807291151352</v>
      </c>
      <c r="D157" s="6">
        <f ca="1">IF(C157="","",IF(C157=0,0,-(C157*1.001-C157*0.999)/(Other!G165*LN((C157*1.001)/(C157*0.999)))/IF(Other!G$128&gt;0,Other!G$128,0.8)))</f>
        <v>-4.1253610963492421E-4</v>
      </c>
      <c r="E157" s="6">
        <f t="shared" ca="1" si="24"/>
        <v>-4.1253610963492421E-4</v>
      </c>
    </row>
    <row r="158" spans="1:5" x14ac:dyDescent="0.25">
      <c r="A158" s="3" t="str">
        <f t="shared" ca="1" si="23"/>
        <v>key =</v>
      </c>
      <c r="B158" s="3">
        <f ca="1">IF(Other!Q166="|",ROUND(Other!N166,0),IF(Other!Q166="V",ROUND(Other!N166,-3),""))</f>
        <v>688408</v>
      </c>
      <c r="C158" s="6">
        <f ca="1">IF(B158="","",IF(B159="",0,Other!H166/1000))</f>
        <v>9.0822663750000032</v>
      </c>
      <c r="D158" s="6">
        <f ca="1">IF(C158="","",IF(C158=0,0,-(C158*1.001-C158*0.999)/(Other!G166*LN((C158*1.001)/(C158*0.999)))/IF(Other!G$128&gt;0,Other!G$128,0.8)))</f>
        <v>-2.531096729128041E-4</v>
      </c>
      <c r="E158" s="6">
        <f t="shared" ca="1" si="24"/>
        <v>-2.531096729128041E-4</v>
      </c>
    </row>
    <row r="159" spans="1:5" x14ac:dyDescent="0.25">
      <c r="A159" s="3" t="str">
        <f t="shared" ca="1" si="23"/>
        <v>key =</v>
      </c>
      <c r="B159" s="3">
        <f ca="1">IF(Other!Q167="|",ROUND(Other!N167,0),IF(Other!Q167="V",ROUND(Other!N167,-3),""))</f>
        <v>709802</v>
      </c>
      <c r="C159" s="6">
        <f ca="1">IF(B159="","",IF(B160="",0,Other!H167/1000))</f>
        <v>5.1073337090492474</v>
      </c>
      <c r="D159" s="6">
        <f ca="1">IF(C159="","",IF(C159=0,0,-(C159*1.001-C159*0.999)/(Other!G167*LN((C159*1.001)/(C159*0.999)))/IF(Other!G$128&gt;0,Other!G$128,0.8)))</f>
        <v>-1.5537586044044317E-4</v>
      </c>
      <c r="E159" s="6">
        <f t="shared" ca="1" si="24"/>
        <v>-1.5537586044044317E-4</v>
      </c>
    </row>
    <row r="160" spans="1:5" x14ac:dyDescent="0.25">
      <c r="A160" s="3" t="str">
        <f t="shared" ca="1" si="23"/>
        <v>key =</v>
      </c>
      <c r="B160" s="3">
        <f ca="1">IF(Other!Q168="|",ROUND(Other!N168,0),IF(Other!Q168="V",ROUND(Other!N168,-3),""))</f>
        <v>729445</v>
      </c>
      <c r="C160" s="6">
        <f ca="1">IF(B160="","",IF(B161="",0,Other!H168/1000))</f>
        <v>2.8720648061360956</v>
      </c>
      <c r="D160" s="6">
        <f ca="1">IF(C160="","",IF(C160=0,0,-(C160*1.001-C160*0.999)/(Other!G168*LN((C160*1.001)/(C160*0.999)))/IF(Other!G$128&gt;0,Other!G$128,0.8)))</f>
        <v>-9.5372301859723369E-5</v>
      </c>
      <c r="E160" s="6">
        <f t="shared" ca="1" si="24"/>
        <v>-9.5372301859723369E-5</v>
      </c>
    </row>
    <row r="161" spans="1:5" x14ac:dyDescent="0.25">
      <c r="A161" s="3" t="str">
        <f t="shared" ca="1" si="23"/>
        <v>key =</v>
      </c>
      <c r="B161" s="3">
        <f ca="1">IF(Other!Q169="|",ROUND(Other!N169,0),IF(Other!Q169="V",ROUND(Other!N169,-3),""))</f>
        <v>747486</v>
      </c>
      <c r="C161" s="6">
        <f ca="1">IF(B161="","",IF(B162="",0,Other!H169/1000))</f>
        <v>1.615080729115135</v>
      </c>
      <c r="D161" s="6">
        <f ca="1">IF(C161="","",IF(C161=0,0,-(C161*1.001-C161*0.999)/(Other!G169*LN((C161*1.001)/(C161*0.999)))/IF(Other!G$128&gt;0,Other!G$128,0.8)))</f>
        <v>-5.8490145055087229E-5</v>
      </c>
      <c r="E161" s="6">
        <f t="shared" ca="1" si="24"/>
        <v>-5.8490145055087229E-5</v>
      </c>
    </row>
    <row r="162" spans="1:5" x14ac:dyDescent="0.25">
      <c r="A162" s="3" t="str">
        <f t="shared" ca="1" si="23"/>
        <v>key =</v>
      </c>
      <c r="B162" s="3">
        <f ca="1">IF(Other!Q170="|",ROUND(Other!N170,0),IF(Other!Q170="V",ROUND(Other!N170,-3),""))</f>
        <v>764076</v>
      </c>
      <c r="C162" s="6">
        <f ca="1">IF(B162="","",IF(B163="",0,Other!H170/1000))</f>
        <v>0.9082266375000001</v>
      </c>
      <c r="D162" s="6">
        <f ca="1">IF(C162="","",IF(C162=0,0,-(C162*1.001-C162*0.999)/(Other!G170*LN((C162*1.001)/(C162*0.999)))/IF(Other!G$128&gt;0,Other!G$128,0.8)))</f>
        <v>-3.5804028064832079E-5</v>
      </c>
      <c r="E162" s="6">
        <f t="shared" ca="1" si="24"/>
        <v>-3.5804028064832079E-5</v>
      </c>
    </row>
    <row r="163" spans="1:5" x14ac:dyDescent="0.25">
      <c r="A163" s="3" t="str">
        <f t="shared" ca="1" si="23"/>
        <v>key =</v>
      </c>
      <c r="B163" s="3">
        <f ca="1">IF(Other!Q171="|",ROUND(Other!N171,0),IF(Other!Q171="V",ROUND(Other!N171,-3),""))</f>
        <v>779366</v>
      </c>
      <c r="C163" s="6">
        <f ca="1">IF(B163="","",IF(B164="",0,Other!H171/1000))</f>
        <v>0.51073337090492466</v>
      </c>
      <c r="D163" s="6">
        <f ca="1">IF(C163="","",IF(C163=0,0,-(C163*1.001-C163*0.999)/(Other!G171*LN((C163*1.001)/(C163*0.999)))/IF(Other!G$128&gt;0,Other!G$128,0.8)))</f>
        <v>-2.1849228295159931E-5</v>
      </c>
      <c r="E163" s="6">
        <f t="shared" ca="1" si="24"/>
        <v>-2.1849228295159931E-5</v>
      </c>
    </row>
    <row r="164" spans="1:5" x14ac:dyDescent="0.25">
      <c r="A164" s="3" t="str">
        <f t="shared" ca="1" si="23"/>
        <v>key =</v>
      </c>
      <c r="B164" s="3">
        <f ca="1">IF(Other!Q172="|",ROUND(Other!N172,0),IF(Other!Q172="V",ROUND(Other!N172,-3),""))</f>
        <v>793510</v>
      </c>
      <c r="C164" s="6">
        <f ca="1">IF(B164="","",IF(B165="",0,Other!H172/1000))</f>
        <v>0.28720648061360932</v>
      </c>
      <c r="D164" s="6">
        <f ca="1">IF(C164="","",IF(C164=0,0,-(C164*1.001-C164*0.999)/(Other!G172*LN((C164*1.001)/(C164*0.999)))/IF(Other!G$128&gt;0,Other!G$128,0.8)))</f>
        <v>-1.3272628833708654E-5</v>
      </c>
      <c r="E164" s="6">
        <f t="shared" ca="1" si="24"/>
        <v>-1.3272628833708654E-5</v>
      </c>
    </row>
    <row r="165" spans="1:5" x14ac:dyDescent="0.25">
      <c r="A165" s="3" t="str">
        <f t="shared" ca="1" si="23"/>
        <v>key =</v>
      </c>
      <c r="B165" s="3">
        <f ca="1">IF(Other!Q173="|",ROUND(Other!N173,0),IF(Other!Q173="V",ROUND(Other!N173,-3),""))</f>
        <v>806664</v>
      </c>
      <c r="C165" s="6">
        <f ca="1">IF(B165="","",IF(B166="",0,Other!H173/1000))</f>
        <v>0.16150807291151348</v>
      </c>
      <c r="D165" s="6">
        <f ca="1">IF(C165="","",IF(C165=0,0,-(C165*1.001-C165*0.999)/(Other!G173*LN((C165*1.001)/(C165*0.999)))/IF(Other!G$128&gt;0,Other!G$128,0.8)))</f>
        <v>-8.0123198273312928E-6</v>
      </c>
      <c r="E165" s="6">
        <f t="shared" ca="1" si="24"/>
        <v>-8.0123198273312928E-6</v>
      </c>
    </row>
    <row r="166" spans="1:5" x14ac:dyDescent="0.25">
      <c r="A166" s="3" t="str">
        <f t="shared" ca="1" si="23"/>
        <v>key =</v>
      </c>
      <c r="B166" s="3">
        <f ca="1">IF(Other!Q174="|",ROUND(Other!N174,0),IF(Other!Q174="V",ROUND(Other!N174,-3),""))</f>
        <v>818983</v>
      </c>
      <c r="C166" s="6">
        <f ca="1">IF(B166="","",IF(B167="",0,Other!H174/1000))</f>
        <v>9.0822663750000004E-2</v>
      </c>
      <c r="D166" s="6">
        <f ca="1">IF(C166="","",IF(C166=0,0,-(C166*1.001-C166*0.999)/(Other!G174*LN((C166*1.001)/(C166*0.999)))/IF(Other!G$128&gt;0,Other!G$128,0.8)))</f>
        <v>-4.797655191407868E-6</v>
      </c>
      <c r="E166" s="6">
        <f t="shared" ca="1" si="24"/>
        <v>-4.797655191407868E-6</v>
      </c>
    </row>
    <row r="167" spans="1:5" x14ac:dyDescent="0.25">
      <c r="A167" s="3" t="str">
        <f t="shared" ca="1" si="23"/>
        <v>key =</v>
      </c>
      <c r="B167" s="3">
        <f ca="1">IF(Other!Q175="|",ROUND(Other!N175,0),IF(Other!Q175="V",ROUND(Other!N175,-3),""))</f>
        <v>830627</v>
      </c>
      <c r="C167" s="6">
        <f ca="1">IF(B167="","",IF(B168="",0,Other!H175/1000))</f>
        <v>5.1073337090492464E-2</v>
      </c>
      <c r="D167" s="6">
        <f ca="1">IF(C167="","",IF(C167=0,0,-(C167*1.001-C167*0.999)/(Other!G175*LN((C167*1.001)/(C167*0.999)))/IF(Other!G$128&gt;0,Other!G$128,0.8)))</f>
        <v>-2.8439787021350525E-6</v>
      </c>
      <c r="E167" s="6">
        <f t="shared" ca="1" si="24"/>
        <v>-2.8439787021350525E-6</v>
      </c>
    </row>
    <row r="168" spans="1:5" x14ac:dyDescent="0.25">
      <c r="A168" s="3" t="str">
        <f t="shared" ca="1" si="23"/>
        <v>key =</v>
      </c>
      <c r="B168" s="3">
        <f ca="1">IF(Other!Q176="|",ROUND(Other!N176,0),IF(Other!Q176="V",ROUND(Other!N176,-3),""))</f>
        <v>841751</v>
      </c>
      <c r="C168" s="6">
        <f ca="1">IF(B168="","",IF(B169="",0,Other!H176/1000))</f>
        <v>2.8720648061360925E-2</v>
      </c>
      <c r="D168" s="6">
        <f ca="1">IF(C168="","",IF(C168=0,0,-(C168*1.001-C168*0.999)/(Other!G176*LN((C168*1.001)/(C168*0.999)))/IF(Other!G$128&gt;0,Other!G$128,0.8)))</f>
        <v>-1.6658642040277121E-6</v>
      </c>
      <c r="E168" s="6">
        <f t="shared" ca="1" si="24"/>
        <v>-1.6658642040277121E-6</v>
      </c>
    </row>
    <row r="169" spans="1:5" x14ac:dyDescent="0.25">
      <c r="A169" s="3" t="str">
        <f t="shared" ref="A169:A184" ca="1" si="25">IF(B169="","Unused","key =")</f>
        <v>key =</v>
      </c>
      <c r="B169" s="3">
        <f ca="1">IF(Other!Q177="|",ROUND(Other!N177,0),IF(Other!Q177="V",ROUND(Other!N177,-3),""))</f>
        <v>852516</v>
      </c>
      <c r="C169" s="6">
        <f ca="1">IF(B169="","",IF(B170="",0,Other!H177/1000))</f>
        <v>1.6150807291151346E-2</v>
      </c>
      <c r="D169" s="6">
        <f ca="1">IF(C169="","",IF(C169=0,0,-(C169*1.001-C169*0.999)/(Other!G177*LN((C169*1.001)/(C169*0.999)))/IF(Other!G$128&gt;0,Other!G$128,0.8)))</f>
        <v>-9.6265413311084047E-7</v>
      </c>
      <c r="E169" s="6">
        <f t="shared" ref="E169:E184" ca="1" si="26">D169</f>
        <v>-9.6265413311084047E-7</v>
      </c>
    </row>
    <row r="170" spans="1:5" x14ac:dyDescent="0.25">
      <c r="A170" s="3" t="str">
        <f t="shared" ca="1" si="25"/>
        <v>key =</v>
      </c>
      <c r="B170" s="3">
        <f ca="1">IF(Other!Q178="|",ROUND(Other!N178,0),IF(Other!Q178="V",ROUND(Other!N178,-3),""))</f>
        <v>863073</v>
      </c>
      <c r="C170" s="6">
        <f ca="1">IF(B170="","",IF(B171="",0,Other!H178/1000))</f>
        <v>9.0822663749999897E-3</v>
      </c>
      <c r="D170" s="6">
        <f ca="1">IF(C170="","",IF(C170=0,0,-(C170*1.001-C170*0.999)/(Other!G178*LN((C170*1.001)/(C170*0.999)))/IF(Other!G$128&gt;0,Other!G$128,0.8)))</f>
        <v>-5.4902285971159436E-7</v>
      </c>
      <c r="E170" s="6">
        <f t="shared" ca="1" si="26"/>
        <v>-5.4902285971159436E-7</v>
      </c>
    </row>
    <row r="171" spans="1:5" x14ac:dyDescent="0.25">
      <c r="A171" s="3" t="str">
        <f t="shared" ca="1" si="25"/>
        <v>key =</v>
      </c>
      <c r="B171" s="3">
        <f ca="1">IF(Other!Q179="|",ROUND(Other!N179,0),IF(Other!Q179="V",ROUND(Other!N179,-3),""))</f>
        <v>873493</v>
      </c>
      <c r="C171" s="6">
        <f ca="1">IF(B171="","",IF(B172="",0,Other!H179/1000))</f>
        <v>5.1073337090492355E-3</v>
      </c>
      <c r="D171" s="6">
        <f ca="1">IF(C171="","",IF(C171=0,0,-(C171*1.001-C171*0.999)/(Other!G179*LN((C171*1.001)/(C171*0.999)))/IF(Other!G$128&gt;0,Other!G$128,0.8)))</f>
        <v>-3.1319453970192717E-7</v>
      </c>
      <c r="E171" s="6">
        <f t="shared" ca="1" si="26"/>
        <v>-3.1319453970192717E-7</v>
      </c>
    </row>
    <row r="172" spans="1:5" x14ac:dyDescent="0.25">
      <c r="A172" s="3" t="str">
        <f t="shared" ca="1" si="25"/>
        <v>key =</v>
      </c>
      <c r="B172" s="3">
        <f ca="1">IF(Other!Q180="|",ROUND(Other!N180,0),IF(Other!Q180="V",ROUND(Other!N180,-3),""))</f>
        <v>883779</v>
      </c>
      <c r="C172" s="6">
        <f ca="1">IF(B172="","",IF(B173="",0,Other!H180/1000))</f>
        <v>2.8720648061360903E-3</v>
      </c>
      <c r="D172" s="6">
        <f ca="1">IF(C172="","",IF(C172=0,0,-(C172*1.001-C172*0.999)/(Other!G180*LN((C172*1.001)/(C172*0.999)))/IF(Other!G$128&gt;0,Other!G$128,0.8)))</f>
        <v>-1.7857758993635047E-7</v>
      </c>
      <c r="E172" s="6">
        <f t="shared" ca="1" si="26"/>
        <v>-1.7857758993635047E-7</v>
      </c>
    </row>
    <row r="173" spans="1:5" x14ac:dyDescent="0.25">
      <c r="A173" s="3" t="str">
        <f t="shared" ca="1" si="25"/>
        <v>key =</v>
      </c>
      <c r="B173" s="3">
        <f ca="1">IF(Other!Q181="|",ROUND(Other!N181,0),IF(Other!Q181="V",ROUND(Other!N181,-3),""))</f>
        <v>893937</v>
      </c>
      <c r="C173" s="6">
        <f ca="1">IF(B173="","",IF(B174="",0,Other!H181/1000))</f>
        <v>1.6150807291151325E-3</v>
      </c>
      <c r="D173" s="6">
        <f ca="1">IF(C173="","",IF(C173=0,0,-(C173*1.001-C173*0.999)/(Other!G181*LN((C173*1.001)/(C173*0.999)))/IF(Other!G$128&gt;0,Other!G$128,0.8)))</f>
        <v>-1.017629321731725E-7</v>
      </c>
      <c r="E173" s="6">
        <f t="shared" ca="1" si="26"/>
        <v>-1.017629321731725E-7</v>
      </c>
    </row>
    <row r="174" spans="1:5" x14ac:dyDescent="0.25">
      <c r="A174" s="3" t="str">
        <f t="shared" ca="1" si="25"/>
        <v>key =</v>
      </c>
      <c r="B174" s="3">
        <f ca="1">IF(Other!Q182="|",ROUND(Other!N182,0),IF(Other!Q182="V",ROUND(Other!N182,-3),""))</f>
        <v>903976</v>
      </c>
      <c r="C174" s="6">
        <f ca="1">IF(B174="","",IF(B175="",0,Other!H182/1000))</f>
        <v>9.0822663749999782E-4</v>
      </c>
      <c r="D174" s="6">
        <f ca="1">IF(C174="","",IF(C174=0,0,-(C174*1.001-C174*0.999)/(Other!G182*LN((C174*1.001)/(C174*0.999)))/IF(Other!G$128&gt;0,Other!G$128,0.8)))</f>
        <v>-5.7951084562608377E-8</v>
      </c>
      <c r="E174" s="6">
        <f t="shared" ca="1" si="26"/>
        <v>-5.7951084562608377E-8</v>
      </c>
    </row>
    <row r="175" spans="1:5" x14ac:dyDescent="0.25">
      <c r="A175" s="3" t="str">
        <f t="shared" ca="1" si="25"/>
        <v>key =</v>
      </c>
      <c r="B175" s="3">
        <f ca="1">IF(Other!Q183="|",ROUND(Other!N183,0),IF(Other!Q183="V",ROUND(Other!N183,-3),""))</f>
        <v>913904</v>
      </c>
      <c r="C175" s="6">
        <f ca="1">IF(B175="","",IF(B176="",0,Other!H183/1000))</f>
        <v>5.1073337090492383E-4</v>
      </c>
      <c r="D175" s="6">
        <f ca="1">IF(C175="","",IF(C175=0,0,-(C175*1.001-C175*0.999)/(Other!G183*LN((C175*1.001)/(C175*0.999)))/IF(Other!G$128&gt;0,Other!G$128,0.8)))</f>
        <v>-3.2976230334050211E-8</v>
      </c>
      <c r="E175" s="6">
        <f t="shared" ca="1" si="26"/>
        <v>-3.2976230334050211E-8</v>
      </c>
    </row>
    <row r="176" spans="1:5" x14ac:dyDescent="0.25">
      <c r="A176" s="3" t="str">
        <f t="shared" ca="1" si="25"/>
        <v>key =</v>
      </c>
      <c r="B176" s="3">
        <f ca="1">IF(Other!Q184="|",ROUND(Other!N184,0),IF(Other!Q184="V",ROUND(Other!N184,-3),""))</f>
        <v>923730</v>
      </c>
      <c r="C176" s="6">
        <f ca="1">IF(B176="","",IF(B177="",0,Other!H184/1000))</f>
        <v>2.8720648061360921E-4</v>
      </c>
      <c r="D176" s="6">
        <f ca="1">IF(C176="","",IF(C176=0,0,-(C176*1.001-C176*0.999)/(Other!G184*LN((C176*1.001)/(C176*0.999)))/IF(Other!G$128&gt;0,Other!G$128,0.8)))</f>
        <v>-1.8748439257039786E-8</v>
      </c>
      <c r="E176" s="6">
        <f t="shared" ca="1" si="26"/>
        <v>-1.8748439257039786E-8</v>
      </c>
    </row>
    <row r="177" spans="1:5" x14ac:dyDescent="0.25">
      <c r="A177" s="3" t="str">
        <f t="shared" ca="1" si="25"/>
        <v>key =</v>
      </c>
      <c r="B177" s="3">
        <f ca="1">IF(Other!Q185="|",ROUND(Other!N185,0),IF(Other!Q185="V",ROUND(Other!N185,-3),""))</f>
        <v>933464</v>
      </c>
      <c r="C177" s="6">
        <f ca="1">IF(B177="","",IF(B178="",0,Other!H185/1000))</f>
        <v>1.615080729115131E-4</v>
      </c>
      <c r="D177" s="6">
        <f ca="1">IF(C177="","",IF(C177=0,0,-(C177*1.001-C177*0.999)/(Other!G185*LN((C177*1.001)/(C177*0.999)))/IF(Other!G$128&gt;0,Other!G$128,0.8)))</f>
        <v>-1.0649038607804527E-8</v>
      </c>
      <c r="E177" s="6">
        <f t="shared" ca="1" si="26"/>
        <v>-1.0649038607804527E-8</v>
      </c>
    </row>
    <row r="178" spans="1:5" x14ac:dyDescent="0.25">
      <c r="A178" s="3" t="str">
        <f t="shared" ca="1" si="25"/>
        <v>key =</v>
      </c>
      <c r="B178" s="3">
        <f ca="1">IF(Other!Q186="|",ROUND(Other!N186,0),IF(Other!Q186="V",ROUND(Other!N186,-3),""))</f>
        <v>943116</v>
      </c>
      <c r="C178" s="6">
        <f ca="1">IF(B178="","",IF(B179="",0,Other!H186/1000))</f>
        <v>9.0822663749999847E-5</v>
      </c>
      <c r="D178" s="6">
        <f ca="1">IF(C178="","",IF(C178=0,0,-(C178*1.001-C178*0.999)/(Other!G186*LN((C178*1.001)/(C178*0.999)))/IF(Other!G$128&gt;0,Other!G$128,0.8)))</f>
        <v>-6.0421710202378566E-9</v>
      </c>
      <c r="E178" s="6">
        <f t="shared" ca="1" si="26"/>
        <v>-6.0421710202378566E-9</v>
      </c>
    </row>
    <row r="179" spans="1:5" x14ac:dyDescent="0.25">
      <c r="A179" s="3" t="str">
        <f t="shared" ca="1" si="25"/>
        <v>key =</v>
      </c>
      <c r="B179" s="3">
        <f ca="1">IF(Other!Q187="|",ROUND(Other!N187,0),IF(Other!Q187="V",ROUND(Other!N187,-3),""))</f>
        <v>952698</v>
      </c>
      <c r="C179" s="6">
        <f ca="1">IF(B179="","",IF(B180="",0,Other!H187/1000))</f>
        <v>5.1073337090492337E-5</v>
      </c>
      <c r="D179" s="6">
        <f ca="1">IF(C179="","",IF(C179=0,0,-(C179*1.001-C179*0.999)/(Other!G187*LN((C179*1.001)/(C179*0.999)))/IF(Other!G$128&gt;0,Other!G$128,0.8)))</f>
        <v>-3.4242793831577002E-9</v>
      </c>
      <c r="E179" s="6">
        <f t="shared" ca="1" si="26"/>
        <v>-3.4242793831577002E-9</v>
      </c>
    </row>
    <row r="180" spans="1:5" x14ac:dyDescent="0.25">
      <c r="A180" s="3" t="str">
        <f t="shared" ca="1" si="25"/>
        <v>key =</v>
      </c>
      <c r="B180" s="3">
        <f ca="1">IF(Other!Q188="|",ROUND(Other!N188,0),IF(Other!Q188="V",ROUND(Other!N188,-3),""))</f>
        <v>962221</v>
      </c>
      <c r="C180" s="6">
        <f ca="1">IF(B180="","",IF(B181="",0,Other!H188/1000))</f>
        <v>2.8720648061360885E-5</v>
      </c>
      <c r="D180" s="6">
        <f ca="1">IF(C180="","",IF(C180=0,0,-(C180*1.001-C180*0.999)/(Other!G188*LN((C180*1.001)/(C180*0.999)))/IF(Other!G$128&gt;0,Other!G$128,0.8)))</f>
        <v>-1.9381871172070552E-9</v>
      </c>
      <c r="E180" s="6">
        <f t="shared" ca="1" si="26"/>
        <v>-1.9381871172070552E-9</v>
      </c>
    </row>
    <row r="181" spans="1:5" x14ac:dyDescent="0.25">
      <c r="A181" s="3" t="str">
        <f t="shared" ca="1" si="25"/>
        <v>key =</v>
      </c>
      <c r="B181" s="3">
        <f ca="1">IF(Other!Q189="|",ROUND(Other!N189,0),IF(Other!Q189="V",ROUND(Other!N189,-3),""))</f>
        <v>971700</v>
      </c>
      <c r="C181" s="6">
        <f ca="1">IF(B181="","",IF(B182="",0,Other!H189/1000))</f>
        <v>1.615080729115132E-5</v>
      </c>
      <c r="D181" s="6">
        <f ca="1">IF(C181="","",IF(C181=0,0,-(C181*1.001-C181*0.999)/(Other!G189*LN((C181*1.001)/(C181*0.999)))/IF(Other!G$128&gt;0,Other!G$128,0.8)))</f>
        <v>-1.0955453346465749E-9</v>
      </c>
      <c r="E181" s="6">
        <f t="shared" ca="1" si="26"/>
        <v>-1.0955453346465749E-9</v>
      </c>
    </row>
    <row r="182" spans="1:5" x14ac:dyDescent="0.25">
      <c r="A182" s="3" t="str">
        <f t="shared" ca="1" si="25"/>
        <v>key =</v>
      </c>
      <c r="B182" s="3">
        <f ca="1">IF(Other!Q190="|",ROUND(Other!N190,0),IF(Other!Q190="V",ROUND(Other!N190,-3),""))</f>
        <v>981145</v>
      </c>
      <c r="C182" s="6">
        <f ca="1">IF(B182="","",IF(B183="",0,Other!H190/1000))</f>
        <v>9.0822663749999762E-6</v>
      </c>
      <c r="D182" s="6">
        <f ca="1">IF(C182="","",IF(C182=0,0,-(C182*1.001-C182*0.999)/(Other!G190*LN((C182*1.001)/(C182*0.999)))/IF(Other!G$128&gt;0,Other!G$128,0.8)))</f>
        <v>-6.1834738137128136E-10</v>
      </c>
      <c r="E182" s="6">
        <f t="shared" ca="1" si="26"/>
        <v>-6.1834738137128136E-10</v>
      </c>
    </row>
    <row r="183" spans="1:5" x14ac:dyDescent="0.25">
      <c r="A183" s="3" t="str">
        <f t="shared" ca="1" si="25"/>
        <v>key =</v>
      </c>
      <c r="B183" s="3">
        <f ca="1">IF(Other!Q191="|",ROUND(Other!N191,0),IF(Other!Q191="V",ROUND(Other!N191,-3),""))</f>
        <v>990574</v>
      </c>
      <c r="C183" s="6">
        <f ca="1">IF(B183="","",IF(B184="",0,Other!H191/1000))</f>
        <v>5.1073337090492266E-6</v>
      </c>
      <c r="D183" s="6">
        <f ca="1">IF(C183="","",IF(C183=0,0,-(C183*1.001-C183*0.999)/(Other!G191*LN((C183*1.001)/(C183*0.999)))/IF(Other!G$128&gt;0,Other!G$128,0.8)))</f>
        <v>-3.4846867003482519E-10</v>
      </c>
      <c r="E183" s="6">
        <f t="shared" ca="1" si="26"/>
        <v>-3.4846867003482519E-10</v>
      </c>
    </row>
    <row r="184" spans="1:5" x14ac:dyDescent="0.25">
      <c r="A184" s="3" t="str">
        <f t="shared" ca="1" si="25"/>
        <v>key =</v>
      </c>
      <c r="B184" s="3">
        <f ca="1">IF(Other!Q192="|",ROUND(Other!N192,0),IF(Other!Q192="V",ROUND(Other!N192,-3),""))</f>
        <v>1000000</v>
      </c>
      <c r="C184" s="6">
        <f ca="1">IF(B184="","",IF(B185="",0,Other!H192/1000))</f>
        <v>0</v>
      </c>
      <c r="D184" s="6">
        <f ca="1">IF(C184="","",IF(C184=0,0,-(C184*1.001-C184*0.999)/(Other!G192*LN((C184*1.001)/(C184*0.999)))/IF(Other!G$128&gt;0,Other!G$128,0.8)))</f>
        <v>0</v>
      </c>
      <c r="E184" s="6">
        <f t="shared" ca="1" si="26"/>
        <v>0</v>
      </c>
    </row>
    <row r="185" spans="1:5" x14ac:dyDescent="0.25">
      <c r="A185" s="10" t="s">
        <v>67</v>
      </c>
      <c r="B185" s="3"/>
      <c r="C185" s="3"/>
      <c r="D185" s="3"/>
      <c r="E185" s="3"/>
    </row>
    <row r="186" spans="1:5" x14ac:dyDescent="0.25">
      <c r="A186" s="1" t="s">
        <v>67</v>
      </c>
      <c r="B186" s="3"/>
      <c r="C186" s="3"/>
      <c r="D186" s="3"/>
      <c r="E186" s="3"/>
    </row>
    <row r="188" spans="1:5" x14ac:dyDescent="0.25">
      <c r="C188" s="8"/>
      <c r="D188" s="9"/>
      <c r="E188" s="9"/>
    </row>
    <row r="190" spans="1:5" x14ac:dyDescent="0.25">
      <c r="E190" s="9"/>
    </row>
    <row r="191" spans="1:5" x14ac:dyDescent="0.25">
      <c r="D191" s="9"/>
      <c r="E191" s="9"/>
    </row>
    <row r="192" spans="1:5" x14ac:dyDescent="0.25">
      <c r="D192" s="9"/>
      <c r="E192" s="9"/>
    </row>
    <row r="193" spans="3:5" x14ac:dyDescent="0.25">
      <c r="C193" s="8"/>
      <c r="D193" s="9"/>
      <c r="E193" s="9"/>
    </row>
    <row r="200" spans="3:5" x14ac:dyDescent="0.25">
      <c r="D200" s="9"/>
      <c r="E200" s="9"/>
    </row>
  </sheetData>
  <mergeCells count="1">
    <mergeCell ref="A1:E1"/>
  </mergeCells>
  <phoneticPr fontId="1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Instructions</vt:lpstr>
      <vt:lpstr>Star</vt:lpstr>
      <vt:lpstr>Star CFG</vt:lpstr>
      <vt:lpstr>Gas Giant</vt:lpstr>
      <vt:lpstr>Gas Giant CFG</vt:lpstr>
      <vt:lpstr>Earthlike</vt:lpstr>
      <vt:lpstr>Earthlike CFG</vt:lpstr>
      <vt:lpstr>Other</vt:lpstr>
      <vt:lpstr>Other CFG</vt:lpstr>
      <vt:lpstr>Locked</vt:lpstr>
      <vt:lpstr>Locked CFG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Braeunig</dc:creator>
  <cp:lastModifiedBy>YWM Kerman</cp:lastModifiedBy>
  <dcterms:created xsi:type="dcterms:W3CDTF">2021-03-13T14:01:24Z</dcterms:created>
  <dcterms:modified xsi:type="dcterms:W3CDTF">2025-10-08T04:17:16Z</dcterms:modified>
</cp:coreProperties>
</file>