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heet1" sheetId="1" r:id="rId1"/>
    <sheet name="Sheet2" sheetId="2" r:id="rId2"/>
  </sheets>
  <calcPr calcId="144525" iterate="1" iterateCount="100" iterateDelta="0.001"/>
</workbook>
</file>

<file path=xl/sharedStrings.xml><?xml version="1.0" encoding="utf-8"?>
<sst xmlns="http://schemas.openxmlformats.org/spreadsheetml/2006/main" count="65" uniqueCount="39">
  <si>
    <t>Brightness Curves for Stars in Kerbal Space Program</t>
  </si>
  <si>
    <t>Luminosity of star (solar flux at 1 au)</t>
  </si>
  <si>
    <t>W/m²</t>
  </si>
  <si>
    <t>Instructions:</t>
  </si>
  <si>
    <t>Radius of star</t>
  </si>
  <si>
    <t>m</t>
  </si>
  <si>
    <t>Input the requested data in fields F3, F4 &amp; F5.</t>
  </si>
  <si>
    <t>Semi-major axis of home world (1 au)</t>
  </si>
  <si>
    <t>Copy sunAU and brightnessCurve to the Light node of the star's .cfg file.</t>
  </si>
  <si>
    <t>Each star requires a custom curve, they are not interchangeable.</t>
  </si>
  <si>
    <t>ScaledVersion</t>
  </si>
  <si>
    <t>{</t>
  </si>
  <si>
    <t>Background Information:</t>
  </si>
  <si>
    <t>Light</t>
  </si>
  <si>
    <t>Different theories exist regarding how to make a brightnessCurve.  The method used here attempts</t>
  </si>
  <si>
    <t>to combine the best of two techniques.  One technique computes the size of the sunflare based on the</t>
  </si>
  <si>
    <t>sunAU =</t>
  </si>
  <si>
    <t>apparent size of the star, while the other technique computes the size of the sunflare based on the</t>
  </si>
  <si>
    <t>brightnessCurve</t>
  </si>
  <si>
    <t>apparent brightness of the star.  The former governs when close to the star, and the latter when far from</t>
  </si>
  <si>
    <t>the star.</t>
  </si>
  <si>
    <t>key =</t>
  </si>
  <si>
    <t>When the visible disc of the star is large, the size of the sunflare is computed as a function of the disc</t>
  </si>
  <si>
    <t>size.  Therefore, two stars having the same apparent size will have the same sunflare size, regardless</t>
  </si>
  <si>
    <t>of the stars' luminosities.  When the visible disc is small and insignificant, the size of the sunflare is</t>
  </si>
  <si>
    <t>computed as a function of the star's apparent brightness, as determined by the local solar flux.</t>
  </si>
  <si>
    <t>Therefore, two stars having the same apparent brightness will have the same sunflare size, regardless</t>
  </si>
  <si>
    <t>of the stars' sizes.  The largest of the two computations is used to produce the curve.</t>
  </si>
  <si>
    <t>}</t>
  </si>
  <si>
    <t>Distance from Star</t>
  </si>
  <si>
    <t>flux</t>
  </si>
  <si>
    <t>Size of sunflare</t>
  </si>
  <si>
    <t>1/au</t>
  </si>
  <si>
    <t>au</t>
  </si>
  <si>
    <t>Sun_radii</t>
  </si>
  <si>
    <r>
      <rPr>
        <sz val="11"/>
        <color theme="1"/>
        <rFont val="Calibri"/>
        <charset val="134"/>
        <scheme val="minor"/>
      </rPr>
      <t>W/m</t>
    </r>
    <r>
      <rPr>
        <sz val="11"/>
        <color theme="1"/>
        <rFont val="Calibri"/>
        <charset val="134"/>
      </rPr>
      <t>²</t>
    </r>
  </si>
  <si>
    <t>flux based</t>
  </si>
  <si>
    <t>radii based</t>
  </si>
  <si>
    <t>&lt;-- Star surface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</si>
</sst>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"/>
    <numFmt numFmtId="178" formatCode="0.000E+00"/>
  </numFmts>
  <fonts count="26">
    <font>
      <sz val="11"/>
      <color theme="1"/>
      <name val="Calibri"/>
      <charset val="134"/>
      <scheme val="minor"/>
    </font>
    <font>
      <sz val="12"/>
      <color theme="1"/>
      <name val="Franklin Gothic Book"/>
      <charset val="134"/>
    </font>
    <font>
      <sz val="20"/>
      <color theme="1"/>
      <name val="Franklin Gothic Book"/>
      <charset val="134"/>
    </font>
    <font>
      <sz val="12"/>
      <color rgb="FFFF0000"/>
      <name val="Franklin Gothic Book"/>
      <charset val="134"/>
    </font>
    <font>
      <b/>
      <sz val="12"/>
      <color theme="1"/>
      <name val="Franklin Gothic Boo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2" fillId="2" borderId="0" xfId="0" applyFont="1" applyFill="1"/>
    <xf numFmtId="0" fontId="3" fillId="0" borderId="1" xfId="0" applyFont="1" applyFill="1" applyBorder="1"/>
    <xf numFmtId="0" fontId="1" fillId="2" borderId="0" xfId="0" applyFont="1" applyFill="1" applyAlignment="1"/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NumberFormat="1" applyFont="1" applyFill="1"/>
    <xf numFmtId="178" fontId="1" fillId="2" borderId="0" xfId="0" applyNumberFormat="1" applyFont="1" applyFill="1"/>
    <xf numFmtId="176" fontId="1" fillId="2" borderId="0" xfId="0" applyNumberFormat="1" applyFont="1" applyFill="1"/>
    <xf numFmtId="176" fontId="1" fillId="2" borderId="0" xfId="0" applyNumberFormat="1" applyFont="1" applyFill="1" applyAlignment="1">
      <alignment horizontal="center"/>
    </xf>
    <xf numFmtId="0" fontId="4" fillId="2" borderId="0" xfId="0" applyFont="1" applyFill="1"/>
    <xf numFmtId="0" fontId="1" fillId="2" borderId="0" xfId="0" applyFont="1" applyFill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A12" sqref="A12:G30"/>
    </sheetView>
  </sheetViews>
  <sheetFormatPr defaultColWidth="9" defaultRowHeight="16.5"/>
  <cols>
    <col min="1" max="2" width="5.78095238095238" style="8" customWidth="1"/>
    <col min="3" max="3" width="12.1047619047619" style="8" customWidth="1"/>
    <col min="4" max="5" width="14.552380952381" style="8" customWidth="1"/>
    <col min="6" max="7" width="19.552380952381" style="8" customWidth="1"/>
    <col min="8" max="16384" width="8.88571428571429" style="8"/>
  </cols>
  <sheetData>
    <row r="1" ht="27" spans="1:1">
      <c r="A1" s="9" t="s">
        <v>0</v>
      </c>
    </row>
    <row r="3" spans="1:12">
      <c r="A3" s="8" t="s">
        <v>1</v>
      </c>
      <c r="F3" s="10">
        <v>1360</v>
      </c>
      <c r="G3" s="11" t="s">
        <v>2</v>
      </c>
      <c r="L3" s="20" t="s">
        <v>3</v>
      </c>
    </row>
    <row r="4" spans="1:12">
      <c r="A4" s="8" t="s">
        <v>4</v>
      </c>
      <c r="F4" s="12">
        <v>31746165121.5</v>
      </c>
      <c r="G4" s="8" t="s">
        <v>5</v>
      </c>
      <c r="L4" s="8" t="s">
        <v>6</v>
      </c>
    </row>
    <row r="5" spans="1:12">
      <c r="A5" s="8" t="s">
        <v>7</v>
      </c>
      <c r="F5" s="13">
        <v>3036836821352.99</v>
      </c>
      <c r="G5" s="21" t="s">
        <v>5</v>
      </c>
      <c r="L5" s="8" t="s">
        <v>8</v>
      </c>
    </row>
    <row r="6" spans="12:12">
      <c r="L6" s="8" t="s">
        <v>9</v>
      </c>
    </row>
    <row r="7" spans="1:1">
      <c r="A7" s="8" t="s">
        <v>10</v>
      </c>
    </row>
    <row r="8" spans="1:12">
      <c r="A8" s="11" t="s">
        <v>11</v>
      </c>
      <c r="L8" s="20" t="s">
        <v>12</v>
      </c>
    </row>
    <row r="9" spans="2:12">
      <c r="B9" s="8" t="s">
        <v>13</v>
      </c>
      <c r="L9" s="8" t="s">
        <v>14</v>
      </c>
    </row>
    <row r="10" spans="2:12">
      <c r="B10" s="11" t="s">
        <v>11</v>
      </c>
      <c r="L10" s="8" t="s">
        <v>15</v>
      </c>
    </row>
    <row r="11" spans="3:12">
      <c r="C11" s="8" t="s">
        <v>16</v>
      </c>
      <c r="D11" s="14">
        <f>F5</f>
        <v>3036836821352.99</v>
      </c>
      <c r="E11" s="14"/>
      <c r="L11" s="8" t="s">
        <v>17</v>
      </c>
    </row>
    <row r="12" spans="3:12">
      <c r="C12" s="11" t="s">
        <v>18</v>
      </c>
      <c r="L12" s="8" t="s">
        <v>19</v>
      </c>
    </row>
    <row r="13" spans="3:12">
      <c r="C13" s="11" t="s">
        <v>11</v>
      </c>
      <c r="L13" s="8" t="s">
        <v>20</v>
      </c>
    </row>
    <row r="14" spans="3:7">
      <c r="C14" s="15" t="s">
        <v>21</v>
      </c>
      <c r="D14" s="16">
        <v>0</v>
      </c>
      <c r="E14" s="16">
        <v>0</v>
      </c>
      <c r="F14" s="17">
        <v>0</v>
      </c>
      <c r="G14" s="17">
        <f>IF(D15&gt;0,(E15-E14)/(D15-D14),0)</f>
        <v>64</v>
      </c>
    </row>
    <row r="15" spans="3:12">
      <c r="C15" s="15" t="s">
        <v>21</v>
      </c>
      <c r="D15" s="16">
        <f>Sheet2!A4</f>
        <v>0.001</v>
      </c>
      <c r="E15" s="18">
        <f>ROUND(MAX(Sheet2!E4:F4),3)</f>
        <v>0.064</v>
      </c>
      <c r="F15" s="17">
        <f>G14</f>
        <v>64</v>
      </c>
      <c r="G15" s="17">
        <f t="shared" ref="G15:G34" si="0">IF(D16&gt;0,(E16-E15)/(D16-D15),0)</f>
        <v>27</v>
      </c>
      <c r="L15" s="8" t="s">
        <v>22</v>
      </c>
    </row>
    <row r="16" spans="3:12">
      <c r="C16" s="15" t="s">
        <v>21</v>
      </c>
      <c r="D16" s="16">
        <f>Sheet2!A5</f>
        <v>0.002</v>
      </c>
      <c r="E16" s="18">
        <f>ROUND(MAX(Sheet2!E5:F5),3)</f>
        <v>0.091</v>
      </c>
      <c r="F16" s="17">
        <f t="shared" ref="F16:F32" si="1">G15</f>
        <v>27</v>
      </c>
      <c r="G16" s="17">
        <f t="shared" si="0"/>
        <v>11.6666666666667</v>
      </c>
      <c r="L16" s="8" t="s">
        <v>23</v>
      </c>
    </row>
    <row r="17" spans="3:12">
      <c r="C17" s="15" t="s">
        <v>21</v>
      </c>
      <c r="D17" s="16">
        <f>Sheet2!A6</f>
        <v>0.005</v>
      </c>
      <c r="E17" s="18">
        <f>ROUND(MAX(Sheet2!E6:F6),3)</f>
        <v>0.126</v>
      </c>
      <c r="F17" s="17">
        <f t="shared" si="1"/>
        <v>11.6666666666667</v>
      </c>
      <c r="G17" s="17">
        <f t="shared" si="0"/>
        <v>6.8</v>
      </c>
      <c r="L17" s="8" t="s">
        <v>24</v>
      </c>
    </row>
    <row r="18" spans="3:12">
      <c r="C18" s="15" t="s">
        <v>21</v>
      </c>
      <c r="D18" s="16">
        <f>Sheet2!A7</f>
        <v>0.01</v>
      </c>
      <c r="E18" s="18">
        <f>ROUND(MAX(Sheet2!E7:F7),3)</f>
        <v>0.16</v>
      </c>
      <c r="F18" s="17">
        <f t="shared" si="1"/>
        <v>6.8</v>
      </c>
      <c r="G18" s="17">
        <f t="shared" si="0"/>
        <v>4.7</v>
      </c>
      <c r="L18" s="8" t="s">
        <v>25</v>
      </c>
    </row>
    <row r="19" spans="3:12">
      <c r="C19" s="15" t="s">
        <v>21</v>
      </c>
      <c r="D19" s="16">
        <f>Sheet2!A8</f>
        <v>0.02</v>
      </c>
      <c r="E19" s="18">
        <f>ROUND(MAX(Sheet2!E8:F8),3)</f>
        <v>0.207</v>
      </c>
      <c r="F19" s="17">
        <f t="shared" si="1"/>
        <v>4.7</v>
      </c>
      <c r="G19" s="17">
        <f t="shared" si="0"/>
        <v>3.1</v>
      </c>
      <c r="L19" s="8" t="s">
        <v>26</v>
      </c>
    </row>
    <row r="20" spans="3:12">
      <c r="C20" s="15" t="s">
        <v>21</v>
      </c>
      <c r="D20" s="16">
        <f>Sheet2!A9</f>
        <v>0.05</v>
      </c>
      <c r="E20" s="18">
        <f>ROUND(MAX(Sheet2!E9:F9),3)</f>
        <v>0.3</v>
      </c>
      <c r="F20" s="17">
        <f t="shared" si="1"/>
        <v>3.1</v>
      </c>
      <c r="G20" s="17">
        <f t="shared" si="0"/>
        <v>2</v>
      </c>
      <c r="L20" s="8" t="s">
        <v>27</v>
      </c>
    </row>
    <row r="21" spans="3:7">
      <c r="C21" s="15" t="s">
        <v>21</v>
      </c>
      <c r="D21" s="16">
        <f>Sheet2!A10</f>
        <v>0.1</v>
      </c>
      <c r="E21" s="18">
        <f>ROUND(MAX(Sheet2!E10:F10),3)</f>
        <v>0.4</v>
      </c>
      <c r="F21" s="17">
        <f t="shared" si="1"/>
        <v>2</v>
      </c>
      <c r="G21" s="17">
        <f t="shared" si="0"/>
        <v>1.33</v>
      </c>
    </row>
    <row r="22" spans="3:7">
      <c r="C22" s="15" t="s">
        <v>21</v>
      </c>
      <c r="D22" s="16">
        <f>Sheet2!A11</f>
        <v>0.2</v>
      </c>
      <c r="E22" s="18">
        <f>ROUND(MAX(Sheet2!E11:F11),3)</f>
        <v>0.533</v>
      </c>
      <c r="F22" s="17">
        <f t="shared" si="1"/>
        <v>1.33</v>
      </c>
      <c r="G22" s="17">
        <f t="shared" si="0"/>
        <v>0.786666666666667</v>
      </c>
    </row>
    <row r="23" spans="3:7">
      <c r="C23" s="15" t="s">
        <v>21</v>
      </c>
      <c r="D23" s="16">
        <f>Sheet2!A12</f>
        <v>0.5</v>
      </c>
      <c r="E23" s="18">
        <f>ROUND(MAX(Sheet2!E12:F12),3)</f>
        <v>0.769</v>
      </c>
      <c r="F23" s="17">
        <f t="shared" si="1"/>
        <v>0.786666666666667</v>
      </c>
      <c r="G23" s="17">
        <f t="shared" si="0"/>
        <v>0.462</v>
      </c>
    </row>
    <row r="24" spans="3:7">
      <c r="C24" s="15" t="s">
        <v>21</v>
      </c>
      <c r="D24" s="16">
        <f>Sheet2!A13</f>
        <v>1</v>
      </c>
      <c r="E24" s="18">
        <f>ROUND(MAX(Sheet2!E13:F13),3)</f>
        <v>1</v>
      </c>
      <c r="F24" s="17">
        <f t="shared" si="1"/>
        <v>0.462</v>
      </c>
      <c r="G24" s="17">
        <f t="shared" si="0"/>
        <v>0.381</v>
      </c>
    </row>
    <row r="25" spans="3:8">
      <c r="C25" s="15" t="s">
        <v>21</v>
      </c>
      <c r="D25" s="16">
        <f>Sheet2!A14</f>
        <v>2</v>
      </c>
      <c r="E25" s="18">
        <f>ROUND(MAX(Sheet2!E14:F14),3)</f>
        <v>1.381</v>
      </c>
      <c r="F25" s="17">
        <f t="shared" si="1"/>
        <v>0.381</v>
      </c>
      <c r="G25" s="17">
        <f t="shared" si="0"/>
        <v>0.364666666666667</v>
      </c>
      <c r="H25" s="8" t="str">
        <f t="shared" ref="H25:H32" si="2">IF(D25=0,"   &lt;&lt;&lt; Unused line, delete","")</f>
        <v/>
      </c>
    </row>
    <row r="26" spans="3:8">
      <c r="C26" s="15" t="s">
        <v>21</v>
      </c>
      <c r="D26" s="16">
        <f>Sheet2!A15</f>
        <v>5</v>
      </c>
      <c r="E26" s="18">
        <f>ROUND(MAX(Sheet2!E15:F15),3)</f>
        <v>2.475</v>
      </c>
      <c r="F26" s="17">
        <f t="shared" si="1"/>
        <v>0.364666666666667</v>
      </c>
      <c r="G26" s="17">
        <f t="shared" si="0"/>
        <v>0.1656</v>
      </c>
      <c r="H26" s="8" t="str">
        <f t="shared" si="2"/>
        <v/>
      </c>
    </row>
    <row r="27" spans="3:8">
      <c r="C27" s="15" t="s">
        <v>21</v>
      </c>
      <c r="D27" s="16">
        <f>Sheet2!A16</f>
        <v>10</v>
      </c>
      <c r="E27" s="18">
        <f>ROUND(MAX(Sheet2!E16:F16),3)</f>
        <v>3.303</v>
      </c>
      <c r="F27" s="17">
        <f t="shared" si="1"/>
        <v>0.1656</v>
      </c>
      <c r="G27" s="17">
        <f t="shared" si="0"/>
        <v>0.0828</v>
      </c>
      <c r="H27" s="8" t="str">
        <f t="shared" si="2"/>
        <v/>
      </c>
    </row>
    <row r="28" spans="3:8">
      <c r="C28" s="15" t="s">
        <v>21</v>
      </c>
      <c r="D28" s="16">
        <f>Sheet2!A17</f>
        <v>20</v>
      </c>
      <c r="E28" s="18">
        <f>ROUND(MAX(Sheet2!E17:F17),3)</f>
        <v>4.131</v>
      </c>
      <c r="F28" s="17">
        <f t="shared" si="1"/>
        <v>0.0828</v>
      </c>
      <c r="G28" s="17">
        <f t="shared" si="0"/>
        <v>0.0364666666666666</v>
      </c>
      <c r="H28" s="8" t="str">
        <f t="shared" si="2"/>
        <v/>
      </c>
    </row>
    <row r="29" spans="3:8">
      <c r="C29" s="15" t="s">
        <v>21</v>
      </c>
      <c r="D29" s="16">
        <f>Sheet2!A18</f>
        <v>50</v>
      </c>
      <c r="E29" s="18">
        <f>ROUND(MAX(Sheet2!E18:F18),3)</f>
        <v>5.225</v>
      </c>
      <c r="F29" s="17">
        <f t="shared" si="1"/>
        <v>0.0364666666666666</v>
      </c>
      <c r="G29" s="17">
        <f t="shared" si="0"/>
        <v>0.0169347826086957</v>
      </c>
      <c r="H29" s="8" t="str">
        <f t="shared" si="2"/>
        <v/>
      </c>
    </row>
    <row r="30" spans="3:8">
      <c r="C30" s="15" t="s">
        <v>21</v>
      </c>
      <c r="D30" s="16">
        <f>Sheet2!A19</f>
        <v>96</v>
      </c>
      <c r="E30" s="18">
        <f>ROUND(MAX(Sheet2!E19:F19),3)</f>
        <v>6.004</v>
      </c>
      <c r="F30" s="17">
        <f t="shared" si="1"/>
        <v>0.0169347826086957</v>
      </c>
      <c r="G30" s="17">
        <f t="shared" si="0"/>
        <v>0</v>
      </c>
      <c r="H30" s="8" t="str">
        <f t="shared" si="2"/>
        <v/>
      </c>
    </row>
    <row r="31" spans="3:8">
      <c r="C31" s="15" t="s">
        <v>21</v>
      </c>
      <c r="D31" s="16">
        <f>Sheet2!A20</f>
        <v>0</v>
      </c>
      <c r="E31" s="18">
        <f>ROUND(MAX(Sheet2!E20:F20),3)</f>
        <v>0</v>
      </c>
      <c r="F31" s="17">
        <f t="shared" si="1"/>
        <v>0</v>
      </c>
      <c r="G31" s="17">
        <f t="shared" si="0"/>
        <v>0</v>
      </c>
      <c r="H31" s="8" t="str">
        <f t="shared" si="2"/>
        <v>   &lt;&lt;&lt; Unused line, delete</v>
      </c>
    </row>
    <row r="32" spans="3:8">
      <c r="C32" s="15" t="s">
        <v>21</v>
      </c>
      <c r="D32" s="16">
        <f>Sheet2!A21</f>
        <v>0</v>
      </c>
      <c r="E32" s="18">
        <f>ROUND(MAX(Sheet2!E21:F21),3)</f>
        <v>0</v>
      </c>
      <c r="F32" s="17">
        <f t="shared" si="1"/>
        <v>0</v>
      </c>
      <c r="G32" s="17">
        <f t="shared" si="0"/>
        <v>0</v>
      </c>
      <c r="H32" s="8" t="str">
        <f t="shared" si="2"/>
        <v>   &lt;&lt;&lt; Unused line, delete</v>
      </c>
    </row>
    <row r="33" spans="3:8">
      <c r="C33" s="15" t="s">
        <v>21</v>
      </c>
      <c r="D33" s="16">
        <f>Sheet2!A22</f>
        <v>0</v>
      </c>
      <c r="E33" s="18">
        <f>ROUND(MAX(Sheet2!E22:F22),3)</f>
        <v>0</v>
      </c>
      <c r="F33" s="17">
        <f t="shared" ref="F33:F35" si="3">G32</f>
        <v>0</v>
      </c>
      <c r="G33" s="17">
        <f t="shared" si="0"/>
        <v>0</v>
      </c>
      <c r="H33" s="8" t="str">
        <f t="shared" ref="H33:H35" si="4">IF(D33=0,"   &lt;&lt;&lt; Unused line, delete","")</f>
        <v>   &lt;&lt;&lt; Unused line, delete</v>
      </c>
    </row>
    <row r="34" spans="3:8">
      <c r="C34" s="15" t="s">
        <v>21</v>
      </c>
      <c r="D34" s="16">
        <f>Sheet2!A23</f>
        <v>0</v>
      </c>
      <c r="E34" s="18">
        <f>ROUND(MAX(Sheet2!E23:F23),3)</f>
        <v>0</v>
      </c>
      <c r="F34" s="17">
        <f t="shared" si="3"/>
        <v>0</v>
      </c>
      <c r="G34" s="17">
        <f t="shared" si="0"/>
        <v>0</v>
      </c>
      <c r="H34" s="8" t="str">
        <f t="shared" si="4"/>
        <v>   &lt;&lt;&lt; Unused line, delete</v>
      </c>
    </row>
    <row r="35" spans="3:8">
      <c r="C35" s="15" t="s">
        <v>21</v>
      </c>
      <c r="D35" s="16">
        <f>Sheet2!A24</f>
        <v>0</v>
      </c>
      <c r="E35" s="18">
        <f>ROUND(MAX(Sheet2!E24:F24),3)</f>
        <v>0</v>
      </c>
      <c r="F35" s="17">
        <f t="shared" si="3"/>
        <v>0</v>
      </c>
      <c r="G35" s="17">
        <v>0</v>
      </c>
      <c r="H35" s="8" t="str">
        <f t="shared" si="4"/>
        <v>   &lt;&lt;&lt; Unused line, delete</v>
      </c>
    </row>
    <row r="36" spans="3:7">
      <c r="C36" s="11" t="s">
        <v>28</v>
      </c>
      <c r="D36" s="16"/>
      <c r="E36" s="18"/>
      <c r="F36" s="17"/>
      <c r="G36" s="17"/>
    </row>
    <row r="37" spans="2:2">
      <c r="B37" s="11" t="s">
        <v>28</v>
      </c>
    </row>
    <row r="38" spans="1:1">
      <c r="A38" s="11" t="s">
        <v>28</v>
      </c>
    </row>
    <row r="40" spans="7:7">
      <c r="G40" s="19"/>
    </row>
    <row r="41" spans="7:7">
      <c r="G41" s="19"/>
    </row>
    <row r="43" spans="7:7">
      <c r="G43" s="19"/>
    </row>
    <row r="44" spans="7:7">
      <c r="G44" s="19"/>
    </row>
    <row r="45" spans="7:7">
      <c r="G45" s="19"/>
    </row>
    <row r="46" spans="7:7">
      <c r="G46" s="19"/>
    </row>
    <row r="47" spans="7:7">
      <c r="G47" s="19"/>
    </row>
  </sheetData>
  <mergeCells count="1">
    <mergeCell ref="D11:E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:C1"/>
    </sheetView>
  </sheetViews>
  <sheetFormatPr defaultColWidth="9" defaultRowHeight="15" outlineLevelCol="5"/>
  <cols>
    <col min="1" max="2" width="9.55238095238095" customWidth="1"/>
    <col min="3" max="3" width="11.552380952381" customWidth="1"/>
    <col min="4" max="4" width="13.3333333333333" customWidth="1"/>
    <col min="5" max="6" width="10.552380952381" customWidth="1"/>
  </cols>
  <sheetData>
    <row r="1" spans="1:6">
      <c r="A1" s="1" t="s">
        <v>29</v>
      </c>
      <c r="B1" s="1"/>
      <c r="C1" s="1"/>
      <c r="D1" s="1" t="s">
        <v>30</v>
      </c>
      <c r="E1" s="1" t="s">
        <v>31</v>
      </c>
      <c r="F1" s="1"/>
    </row>
    <row r="2" spans="1:6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4" spans="1:6">
      <c r="A4" s="2">
        <v>0.001</v>
      </c>
      <c r="B4" s="3">
        <f t="shared" ref="B4:B13" si="0">1/A4</f>
        <v>1000</v>
      </c>
      <c r="C4" s="4">
        <f>B4*Sheet1!F$5/Sheet1!F$4</f>
        <v>95659.957973831</v>
      </c>
      <c r="D4" s="5">
        <f>Sheet1!F$3/B4^2</f>
        <v>0.00136</v>
      </c>
      <c r="E4" s="2">
        <f t="shared" ref="E4:E13" si="1">0.036*LOG(SQRT(D4/1360))^3+0.288*LOG(SQRT(D4/1360))^2+0.852*LOG(SQRT(D4/1360))+1</f>
        <v>0.0639999999999996</v>
      </c>
      <c r="F4" s="2">
        <f t="shared" ref="F4:F13" si="2">IF(C4&lt;100,-2.75*LOG(C4)+6,50/C4)</f>
        <v>0.000522684737261521</v>
      </c>
    </row>
    <row r="5" spans="1:6">
      <c r="A5" s="3">
        <v>0.002</v>
      </c>
      <c r="B5" s="3">
        <f t="shared" si="0"/>
        <v>500</v>
      </c>
      <c r="C5" s="4">
        <f>B5*Sheet1!F$5/Sheet1!F$4</f>
        <v>47829.9789869155</v>
      </c>
      <c r="D5" s="5">
        <f>Sheet1!F$3/B5^2</f>
        <v>0.00544</v>
      </c>
      <c r="E5" s="2">
        <f t="shared" si="1"/>
        <v>0.0906186394553834</v>
      </c>
      <c r="F5" s="2">
        <f t="shared" si="2"/>
        <v>0.00104536947452304</v>
      </c>
    </row>
    <row r="6" spans="1:6">
      <c r="A6" s="3">
        <v>0.005</v>
      </c>
      <c r="B6" s="3">
        <f t="shared" si="0"/>
        <v>200</v>
      </c>
      <c r="C6" s="4">
        <f>B6*Sheet1!F$5/Sheet1!F$4</f>
        <v>19131.9915947662</v>
      </c>
      <c r="D6" s="5">
        <f>Sheet1!F$3/B6^2</f>
        <v>0.034</v>
      </c>
      <c r="E6" s="2">
        <f t="shared" si="1"/>
        <v>0.125806566799133</v>
      </c>
      <c r="F6" s="2">
        <f t="shared" si="2"/>
        <v>0.0026134236863076</v>
      </c>
    </row>
    <row r="7" spans="1:6">
      <c r="A7" s="3">
        <v>0.01</v>
      </c>
      <c r="B7" s="3">
        <f t="shared" si="0"/>
        <v>100</v>
      </c>
      <c r="C7" s="4">
        <f>B7*Sheet1!F$5/Sheet1!F$4</f>
        <v>9565.9957973831</v>
      </c>
      <c r="D7" s="5">
        <f>Sheet1!F$3/B7^2</f>
        <v>0.136</v>
      </c>
      <c r="E7" s="2">
        <f t="shared" si="1"/>
        <v>0.16</v>
      </c>
      <c r="F7" s="2">
        <f t="shared" si="2"/>
        <v>0.00522684737261521</v>
      </c>
    </row>
    <row r="8" spans="1:6">
      <c r="A8" s="3">
        <v>0.02</v>
      </c>
      <c r="B8" s="3">
        <f t="shared" si="0"/>
        <v>50</v>
      </c>
      <c r="C8" s="4">
        <f>B8*Sheet1!F$5/Sheet1!F$4</f>
        <v>4782.99789869155</v>
      </c>
      <c r="D8" s="5">
        <f>Sheet1!F$3/B8^2</f>
        <v>0.544</v>
      </c>
      <c r="E8" s="2">
        <f t="shared" si="1"/>
        <v>0.207242577594549</v>
      </c>
      <c r="F8" s="2">
        <f t="shared" si="2"/>
        <v>0.0104536947452304</v>
      </c>
    </row>
    <row r="9" spans="1:6">
      <c r="A9" s="3">
        <v>0.05</v>
      </c>
      <c r="B9" s="3">
        <f t="shared" si="0"/>
        <v>20</v>
      </c>
      <c r="C9" s="4">
        <f>B9*Sheet1!F$5/Sheet1!F$4</f>
        <v>1913.19915947662</v>
      </c>
      <c r="D9" s="5">
        <f>Sheet1!F$3/B9^2</f>
        <v>3.4</v>
      </c>
      <c r="E9" s="2">
        <f t="shared" si="1"/>
        <v>0.299733866187071</v>
      </c>
      <c r="F9" s="2">
        <f t="shared" si="2"/>
        <v>0.026134236863076</v>
      </c>
    </row>
    <row r="10" spans="1:6">
      <c r="A10" s="3">
        <v>0.1</v>
      </c>
      <c r="B10" s="3">
        <f t="shared" si="0"/>
        <v>10</v>
      </c>
      <c r="C10" s="4">
        <f>B10*Sheet1!F$5/Sheet1!F$4</f>
        <v>956.59957973831</v>
      </c>
      <c r="D10" s="5">
        <f>Sheet1!F$3/B10^2</f>
        <v>13.6</v>
      </c>
      <c r="E10" s="2">
        <f t="shared" si="1"/>
        <v>0.4</v>
      </c>
      <c r="F10" s="2">
        <f t="shared" si="2"/>
        <v>0.0522684737261521</v>
      </c>
    </row>
    <row r="11" spans="1:6">
      <c r="A11" s="3">
        <v>0.2</v>
      </c>
      <c r="B11" s="3">
        <f t="shared" si="0"/>
        <v>5</v>
      </c>
      <c r="C11" s="4">
        <f>B11*Sheet1!F$5/Sheet1!F$4</f>
        <v>478.299789869155</v>
      </c>
      <c r="D11" s="5">
        <f>Sheet1!F$3/B11^2</f>
        <v>54.4</v>
      </c>
      <c r="E11" s="2">
        <f t="shared" si="1"/>
        <v>0.532888994797133</v>
      </c>
      <c r="F11" s="2">
        <f t="shared" si="2"/>
        <v>0.104536947452304</v>
      </c>
    </row>
    <row r="12" spans="1:6">
      <c r="A12" s="3">
        <v>0.5</v>
      </c>
      <c r="B12" s="3">
        <f t="shared" si="0"/>
        <v>2</v>
      </c>
      <c r="C12" s="4">
        <f>B12*Sheet1!F$5/Sheet1!F$4</f>
        <v>191.319915947662</v>
      </c>
      <c r="D12" s="5">
        <f>Sheet1!F$3/B12^2</f>
        <v>340</v>
      </c>
      <c r="E12" s="2">
        <f t="shared" si="1"/>
        <v>0.768638686511589</v>
      </c>
      <c r="F12" s="2">
        <f t="shared" si="2"/>
        <v>0.26134236863076</v>
      </c>
    </row>
    <row r="13" spans="1:6">
      <c r="A13" s="3">
        <v>1</v>
      </c>
      <c r="B13" s="3">
        <f t="shared" si="0"/>
        <v>1</v>
      </c>
      <c r="C13" s="4">
        <f>B13*Sheet1!F$5/Sheet1!F$4</f>
        <v>95.659957973831</v>
      </c>
      <c r="D13" s="5">
        <f>Sheet1!F$3/B13^2</f>
        <v>1360</v>
      </c>
      <c r="E13" s="2">
        <f t="shared" si="1"/>
        <v>1</v>
      </c>
      <c r="F13" s="2">
        <f t="shared" si="2"/>
        <v>0.552991989220668</v>
      </c>
    </row>
    <row r="14" spans="1:6">
      <c r="A14" s="3">
        <f>IF(A$26&gt;=2,2,IF(A$26&gt;1,ROUND(A$26,0),0))</f>
        <v>2</v>
      </c>
      <c r="B14" s="3">
        <f t="shared" ref="B14:B21" si="3">IF(A14&gt;0,1/A14,0)</f>
        <v>0.5</v>
      </c>
      <c r="C14" s="4">
        <f>B14*Sheet1!F$5/Sheet1!F$4</f>
        <v>47.8299789869155</v>
      </c>
      <c r="D14" s="5">
        <f>IF(A14&gt;0,Sheet1!F$3/B14^2,0)</f>
        <v>5440</v>
      </c>
      <c r="E14" s="2">
        <f>IF(A14&gt;0,0.036*LOG(SQRT(D14/1360))^3+0.288*LOG(SQRT(D14/1360))^2+0.852*LOG(SQRT(D14/1360))+1,0)</f>
        <v>1.28355789106314</v>
      </c>
      <c r="F14" s="2">
        <f>IF(A14&gt;0,IF(C14&lt;100,-2.75*LOG(C14)+6,50/C14),0)</f>
        <v>1.38082447729662</v>
      </c>
    </row>
    <row r="15" spans="1:6">
      <c r="A15" s="3">
        <f>IF(A$26&gt;=5,5,IF(A$26&gt;2,ROUND(A$26,0),0))</f>
        <v>5</v>
      </c>
      <c r="B15" s="3">
        <f t="shared" si="3"/>
        <v>0.2</v>
      </c>
      <c r="C15" s="4">
        <f>B15*Sheet1!F$5/Sheet1!F$4</f>
        <v>19.1319915947662</v>
      </c>
      <c r="D15" s="5">
        <f>IF(A15&gt;0,Sheet1!F$3/B15^2,0)</f>
        <v>34000</v>
      </c>
      <c r="E15" s="2">
        <f t="shared" ref="E15:E24" si="4">IF(A15&gt;0,0.036*LOG(SQRT(D15/1360))^3+0.288*LOG(SQRT(D15/1360))^2+0.852*LOG(SQRT(D15/1360))+1,0)</f>
        <v>1.74852102777269</v>
      </c>
      <c r="F15" s="2">
        <f t="shared" ref="F15:F24" si="5">IF(A15&gt;0,IF(C15&lt;100,-2.75*LOG(C15)+6,50/C15),0)</f>
        <v>2.47515950114472</v>
      </c>
    </row>
    <row r="16" spans="1:6">
      <c r="A16" s="3">
        <f>IF(A$26&gt;=10,10,IF(A$26&gt;5,ROUND(A$26,0),0))</f>
        <v>10</v>
      </c>
      <c r="B16" s="3">
        <f t="shared" si="3"/>
        <v>0.1</v>
      </c>
      <c r="C16" s="4">
        <f>B16*Sheet1!F$5/Sheet1!F$4</f>
        <v>9.5659957973831</v>
      </c>
      <c r="D16" s="5">
        <f>IF(A16&gt;0,Sheet1!F$3/B16^2,0)</f>
        <v>136000</v>
      </c>
      <c r="E16" s="2">
        <f t="shared" si="4"/>
        <v>2.176</v>
      </c>
      <c r="F16" s="2">
        <f t="shared" si="5"/>
        <v>3.30299198922067</v>
      </c>
    </row>
    <row r="17" spans="1:6">
      <c r="A17" s="3">
        <f>IF(A$26&gt;=20,20,IF(A$26&gt;10,ROUND(A$26,0),0))</f>
        <v>20</v>
      </c>
      <c r="B17" s="3">
        <f t="shared" si="3"/>
        <v>0.05</v>
      </c>
      <c r="C17" s="4">
        <f>B17*Sheet1!F$5/Sheet1!F$4</f>
        <v>4.78299789869155</v>
      </c>
      <c r="D17" s="5">
        <f>IF(A17&gt;0,Sheet1!F$3/B17^2,0)</f>
        <v>544000</v>
      </c>
      <c r="E17" s="2">
        <f t="shared" si="4"/>
        <v>2.67524926639256</v>
      </c>
      <c r="F17" s="2">
        <f t="shared" si="5"/>
        <v>4.13082447729662</v>
      </c>
    </row>
    <row r="18" spans="1:6">
      <c r="A18" s="3">
        <f>IF(A$26&gt;=50,50,IF(A$26&gt;20,ROUND(A$26,0),0))</f>
        <v>50</v>
      </c>
      <c r="B18" s="3">
        <f t="shared" si="3"/>
        <v>0.02</v>
      </c>
      <c r="C18" s="4">
        <f>B18*Sheet1!F$5/Sheet1!F$4</f>
        <v>1.91319915947662</v>
      </c>
      <c r="D18" s="5">
        <f>IF(A18&gt;0,Sheet1!F$3/B18^2,0)</f>
        <v>3400000</v>
      </c>
      <c r="E18" s="2">
        <f t="shared" si="4"/>
        <v>3.45538088997037</v>
      </c>
      <c r="F18" s="2">
        <f t="shared" si="5"/>
        <v>5.22515950114472</v>
      </c>
    </row>
    <row r="19" spans="1:6">
      <c r="A19" s="3">
        <f>IF(A$26&gt;=100,100,IF(A$26&gt;50,ROUND(A$26,0),0))</f>
        <v>96</v>
      </c>
      <c r="B19" s="3">
        <f t="shared" si="3"/>
        <v>0.0104166666666667</v>
      </c>
      <c r="C19" s="4">
        <f>B19*Sheet1!F$5/Sheet1!F$4</f>
        <v>0.99645789556074</v>
      </c>
      <c r="D19" s="5">
        <f>IF(A19&gt;0,Sheet1!F$3/B19^2,0)</f>
        <v>12533760</v>
      </c>
      <c r="E19" s="2">
        <f t="shared" si="4"/>
        <v>4.10097093490676</v>
      </c>
      <c r="F19" s="2">
        <f t="shared" si="5"/>
        <v>6.00423788007948</v>
      </c>
    </row>
    <row r="20" spans="1:6">
      <c r="A20" s="3">
        <f>IF(A$26&gt;=200,200,IF(A$26&gt;100,ROUND(A$26,0),0))</f>
        <v>0</v>
      </c>
      <c r="B20" s="3">
        <f t="shared" si="3"/>
        <v>0</v>
      </c>
      <c r="C20" s="4">
        <f>B20*Sheet1!F$5/Sheet1!F$4</f>
        <v>0</v>
      </c>
      <c r="D20" s="5">
        <f>IF(A20&gt;0,Sheet1!F$3/B20^2,0)</f>
        <v>0</v>
      </c>
      <c r="E20" s="2">
        <f t="shared" si="4"/>
        <v>0</v>
      </c>
      <c r="F20" s="2">
        <f t="shared" si="5"/>
        <v>0</v>
      </c>
    </row>
    <row r="21" spans="1:6">
      <c r="A21" s="3">
        <f>IF(A$26&gt;=500,500,IF(A$26&gt;200,ROUND(A$26,0),0))</f>
        <v>0</v>
      </c>
      <c r="B21" s="3">
        <f t="shared" si="3"/>
        <v>0</v>
      </c>
      <c r="C21" s="4">
        <f>B21*Sheet1!F$5/Sheet1!F$4</f>
        <v>0</v>
      </c>
      <c r="D21" s="5">
        <f>IF(A21&gt;0,Sheet1!F$3/B21^2,0)</f>
        <v>0</v>
      </c>
      <c r="E21" s="2">
        <f t="shared" si="4"/>
        <v>0</v>
      </c>
      <c r="F21" s="2">
        <f t="shared" si="5"/>
        <v>0</v>
      </c>
    </row>
    <row r="22" spans="1:6">
      <c r="A22" s="3">
        <f>IF(A$26&gt;=1000,1000,IF(A$26&gt;500,ROUND(A$26,0),0))</f>
        <v>0</v>
      </c>
      <c r="B22" s="3">
        <f t="shared" ref="B22:B24" si="6">IF(A22&gt;0,1/A22,0)</f>
        <v>0</v>
      </c>
      <c r="C22" s="4">
        <f>B22*Sheet1!F$5/Sheet1!F$4</f>
        <v>0</v>
      </c>
      <c r="D22" s="5">
        <f>IF(A22&gt;0,Sheet1!F$3/B22^2,0)</f>
        <v>0</v>
      </c>
      <c r="E22" s="2">
        <f t="shared" si="4"/>
        <v>0</v>
      </c>
      <c r="F22" s="2">
        <f t="shared" si="5"/>
        <v>0</v>
      </c>
    </row>
    <row r="23" spans="1:6">
      <c r="A23" s="3">
        <f>IF(A$26&gt;=2000,2000,IF(A$26&gt;1000,ROUND(A$26,0),0))</f>
        <v>0</v>
      </c>
      <c r="B23" s="3">
        <f t="shared" si="6"/>
        <v>0</v>
      </c>
      <c r="C23" s="4">
        <f>B23*Sheet1!F$5/Sheet1!F$4</f>
        <v>0</v>
      </c>
      <c r="D23" s="5">
        <f>IF(A23&gt;0,Sheet1!F$3/B23^2,0)</f>
        <v>0</v>
      </c>
      <c r="E23" s="2">
        <f t="shared" si="4"/>
        <v>0</v>
      </c>
      <c r="F23" s="2">
        <f t="shared" si="5"/>
        <v>0</v>
      </c>
    </row>
    <row r="24" spans="1:6">
      <c r="A24" s="3">
        <f>IF(A$26&gt;=5000,5000,IF(A$26&gt;2000,ROUND(A$26,0),0))</f>
        <v>0</v>
      </c>
      <c r="B24" s="3">
        <f t="shared" si="6"/>
        <v>0</v>
      </c>
      <c r="C24" s="4">
        <f>B24*Sheet1!F$5/Sheet1!F$4</f>
        <v>0</v>
      </c>
      <c r="D24" s="5">
        <f>IF(A24&gt;0,Sheet1!F$3/B24^2,0)</f>
        <v>0</v>
      </c>
      <c r="E24" s="2">
        <f t="shared" si="4"/>
        <v>0</v>
      </c>
      <c r="F24" s="2">
        <f t="shared" si="5"/>
        <v>0</v>
      </c>
    </row>
    <row r="25" spans="6:6">
      <c r="F25" s="2"/>
    </row>
    <row r="26" spans="1:6">
      <c r="A26" s="6">
        <f>Sheet1!F5/Sheet1!F4</f>
        <v>95.659957973831</v>
      </c>
      <c r="B26" s="7" t="s">
        <v>38</v>
      </c>
      <c r="F26" s="3"/>
    </row>
  </sheetData>
  <mergeCells count="2">
    <mergeCell ref="A1:C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Braeunig</dc:creator>
  <cp:lastModifiedBy>ASUS</cp:lastModifiedBy>
  <dcterms:created xsi:type="dcterms:W3CDTF">2022-05-04T17:23:00Z</dcterms:created>
  <dcterms:modified xsi:type="dcterms:W3CDTF">2024-01-31T10:39:42Z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F6F4A140E0924D39BC728AF439CDA435_12</vt:lpwstr>
  </property>
  <property fmtid="{D5CDD505-2E9C-101B-9397-08002B2CF9AE}" pid="3" name="KSOProductBuildVer">
    <vt:lpwstr>1033-12.2.0.13359</vt:lpwstr>
  </property>
</Properties>
</file>