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e\Documents\writtenworks\Resume&amp;Related\Sample\Sample\"/>
    </mc:Choice>
  </mc:AlternateContent>
  <xr:revisionPtr revIDLastSave="0" documentId="13_ncr:1_{1DA50E9F-8B9C-4801-AAB0-25C4D555D271}" xr6:coauthVersionLast="28" xr6:coauthVersionMax="28" xr10:uidLastSave="{00000000-0000-0000-0000-000000000000}"/>
  <bookViews>
    <workbookView xWindow="0" yWindow="0" windowWidth="23040" windowHeight="8496" firstSheet="1" activeTab="5" xr2:uid="{C9D6B494-3C4C-4BB5-AED1-E64E43D09DF4}"/>
  </bookViews>
  <sheets>
    <sheet name="MachineScheduling" sheetId="4" r:id="rId1"/>
    <sheet name="FactoryScheduling" sheetId="5" r:id="rId2"/>
    <sheet name="FactoryPlacement" sheetId="6" r:id="rId3"/>
    <sheet name="Sheet1" sheetId="7" r:id="rId4"/>
    <sheet name="TransportationModel" sheetId="8" r:id="rId5"/>
    <sheet name="PortfolioOptimization" sheetId="1" r:id="rId6"/>
  </sheets>
  <externalReferences>
    <externalReference r:id="rId7"/>
    <externalReference r:id="rId8"/>
  </externalReferences>
  <definedNames>
    <definedName name="Amount">PortfolioOptimization!$B$2:$B$9</definedName>
    <definedName name="Amounts">[2]Sheet1!$D$7:$D$14</definedName>
    <definedName name="CompsAvailable">Sheet1!$G$6:$G$11</definedName>
    <definedName name="Demands">TransportationModel!$C$15:$F$15</definedName>
    <definedName name="Inventory" localSheetId="3">Sheet1!$I$6:$I$11</definedName>
    <definedName name="inventory">FactoryScheduling!$D$4:$E$15</definedName>
    <definedName name="Liquidity">PortfolioOptimization!$E$2:$E$9</definedName>
    <definedName name="MaxSavings">[2]Sheet1!$F$21</definedName>
    <definedName name="MinARated">[2]Sheet1!$F$19</definedName>
    <definedName name="MinExpReturn">[2]Sheet1!$F$18</definedName>
    <definedName name="MinLiquid">[2]Sheet1!$F$20</definedName>
    <definedName name="only1factory">FactoryScheduling!$K$4:$K$15</definedName>
    <definedName name="OpenSolver_ChosenSolver" localSheetId="4" hidden="1">CBC</definedName>
    <definedName name="OpenSolver_DualsNewSheet" localSheetId="4" hidden="1">0</definedName>
    <definedName name="OpenSolver_LinearityCheck" localSheetId="4" hidden="1">1</definedName>
    <definedName name="Orders">Sheet1!$H$6:$H$11</definedName>
    <definedName name="OTCapacity">Sheet1!$E$6:$E$11</definedName>
    <definedName name="OTProduction">Sheet1!$D$6:$D$11</definedName>
    <definedName name="PortfolioAmt">[2]Sheet1!$D$3</definedName>
    <definedName name="pr_14">MachineScheduling!$L$4:$M$4</definedName>
    <definedName name="pr_16">MachineScheduling!$L$5:$M$5</definedName>
    <definedName name="pr_17">MachineScheduling!$L$6:$M$6</definedName>
    <definedName name="pr_19">MachineScheduling!$L$7:$M$7</definedName>
    <definedName name="pr_9">MachineScheduling!$L$3:$M$3</definedName>
    <definedName name="prereq5">MachineScheduling!$L$2:$M$2</definedName>
    <definedName name="_xlnm.Print_Area" localSheetId="4">TransportationModel!$B$1:$H$17</definedName>
    <definedName name="prodbinaries">FactoryScheduling!$I$4:$J$15</definedName>
    <definedName name="prodintegers">FactoryScheduling!$F$4:$G$15</definedName>
    <definedName name="productioncaps" localSheetId="2">'[1]9.7'!$L$4:$M$15</definedName>
    <definedName name="productioncaps">FactoryScheduling!$L$4:$M$15</definedName>
    <definedName name="Ratings">PortfolioOptimization!$D$2:$D$9</definedName>
    <definedName name="RegCapacity">Sheet1!$C$6:$C$11</definedName>
    <definedName name="RegProduction">Sheet1!$B$6:$B$11</definedName>
    <definedName name="Returns" localSheetId="4">[2]Sheet1!$E$7:$E$14</definedName>
    <definedName name="Returns">PortfolioOptimization!$C$2:$C$9</definedName>
    <definedName name="RiskFactors" localSheetId="4">[2]Sheet1!$H$7:$H$14</definedName>
    <definedName name="RiskFactors">PortfolioOptimization!$F$2:$F$9</definedName>
    <definedName name="ShippingCosts">TransportationModel!$C$4:$F$6</definedName>
    <definedName name="ShippingSchedule">TransportationModel!$C$12:$F$14</definedName>
    <definedName name="solver_adj" localSheetId="2" hidden="1">FactoryPlacement!$D$14:$D$19</definedName>
    <definedName name="solver_adj" localSheetId="1" hidden="1">FactoryScheduling!$I$4:$J$15,FactoryScheduling!$F$4:$G$15</definedName>
    <definedName name="solver_adj" localSheetId="0" hidden="1">MachineScheduling!$B$2:$B$22</definedName>
    <definedName name="solver_adj" localSheetId="5" hidden="1">PortfolioOptimization!$B$2:$B$9</definedName>
    <definedName name="solver_adj" localSheetId="3" hidden="1">Sheet1!$B$6:$B$11,Sheet1!$D$6:$D$11</definedName>
    <definedName name="solver_adj" localSheetId="4" hidden="1">TransportationModel!$C$12:$F$14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cvg" localSheetId="5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1" hidden="1">1</definedName>
    <definedName name="solver_drv" localSheetId="0" hidden="1">2</definedName>
    <definedName name="solver_drv" localSheetId="5" hidden="1">2</definedName>
    <definedName name="solver_drv" localSheetId="3" hidden="1">1</definedName>
    <definedName name="solver_drv" localSheetId="4" hidden="1">1</definedName>
    <definedName name="solver_eng" localSheetId="2" hidden="1">2</definedName>
    <definedName name="solver_eng" localSheetId="1" hidden="1">2</definedName>
    <definedName name="solver_eng" localSheetId="0" hidden="1">2</definedName>
    <definedName name="solver_eng" localSheetId="5" hidden="1">2</definedName>
    <definedName name="solver_eng" localSheetId="3" hidden="1">2</definedName>
    <definedName name="solver_eng" localSheetId="4" hidden="1">2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est" localSheetId="5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itr" localSheetId="5" hidden="1">2147483647</definedName>
    <definedName name="solver_itr" localSheetId="3" hidden="1">100</definedName>
    <definedName name="solver_itr" localSheetId="4" hidden="1">2147483647</definedName>
    <definedName name="solver_lhs1" localSheetId="2" hidden="1">FactoryPlacement!$D$14:$D$19</definedName>
    <definedName name="solver_lhs1" localSheetId="1" hidden="1">FactoryScheduling!$F$4:$G$15</definedName>
    <definedName name="solver_lhs1" localSheetId="0" hidden="1">MachineScheduling!$B$2:$B$22</definedName>
    <definedName name="solver_lhs1" localSheetId="5" hidden="1">PortfolioOptimization!$B$15</definedName>
    <definedName name="solver_lhs1" localSheetId="3" hidden="1">Sheet1!$G$6:$G$11</definedName>
    <definedName name="solver_lhs1" localSheetId="4" hidden="1">TransportationModel!$C$15:$F$15</definedName>
    <definedName name="solver_lhs10" localSheetId="3" hidden="1">Sheet1!$G$11</definedName>
    <definedName name="solver_lhs2" localSheetId="2" hidden="1">FactoryPlacement!$M$14:$M$19</definedName>
    <definedName name="solver_lhs2" localSheetId="1" hidden="1">FactoryScheduling!$I$4:$J$15</definedName>
    <definedName name="solver_lhs2" localSheetId="0" hidden="1">MachineScheduling!$I$2:$I$5</definedName>
    <definedName name="solver_lhs2" localSheetId="5" hidden="1">PortfolioOptimization!$B$16</definedName>
    <definedName name="solver_lhs2" localSheetId="3" hidden="1">Sheet1!$D$6:$D$11</definedName>
    <definedName name="solver_lhs2" localSheetId="4" hidden="1">TransportationModel!$G$12:$G$14</definedName>
    <definedName name="solver_lhs3" localSheetId="2" hidden="1">FactoryPlacement!$V$14:$V$19</definedName>
    <definedName name="solver_lhs3" localSheetId="1" hidden="1">FactoryScheduling!$F$4:$G$15</definedName>
    <definedName name="solver_lhs3" localSheetId="0" hidden="1">MachineScheduling!$I$6:$I$7</definedName>
    <definedName name="solver_lhs3" localSheetId="5" hidden="1">PortfolioOptimization!$B$17</definedName>
    <definedName name="solver_lhs3" localSheetId="3" hidden="1">Sheet1!$B$6:$B$11</definedName>
    <definedName name="solver_lhs4" localSheetId="2" hidden="1">FactoryPlacement!$V$14:$V$19</definedName>
    <definedName name="solver_lhs4" localSheetId="1" hidden="1">FactoryScheduling!$D$4:$E$15</definedName>
    <definedName name="solver_lhs4" localSheetId="0" hidden="1">MachineScheduling!$I$8</definedName>
    <definedName name="solver_lhs4" localSheetId="5" hidden="1">PortfolioOptimization!$B$18</definedName>
    <definedName name="solver_lhs4" localSheetId="3" hidden="1">Sheet1!$D$6:$D$11</definedName>
    <definedName name="solver_lhs5" localSheetId="1" hidden="1">FactoryScheduling!$K$4:$K$15</definedName>
    <definedName name="solver_lhs5" localSheetId="0" hidden="1">MachineScheduling!$L$12</definedName>
    <definedName name="solver_lhs5" localSheetId="5" hidden="1">PortfolioOptimization!$B$19</definedName>
    <definedName name="solver_lhs5" localSheetId="3" hidden="1">Sheet1!$G$6:$G$11</definedName>
    <definedName name="solver_lhs6" localSheetId="1" hidden="1">FactoryScheduling!$D$4:$E$15</definedName>
    <definedName name="solver_lhs6" localSheetId="0" hidden="1">MachineScheduling!$L$2:$L$11</definedName>
    <definedName name="solver_lhs6" localSheetId="3" hidden="1">Sheet1!$G$8</definedName>
    <definedName name="solver_lhs7" localSheetId="0" hidden="1">MachineScheduling!$L$11</definedName>
    <definedName name="solver_lhs7" localSheetId="3" hidden="1">Sheet1!$G$8</definedName>
    <definedName name="solver_lhs8" localSheetId="0" hidden="1">MachineScheduling!$L$8:$L$11</definedName>
    <definedName name="solver_lhs8" localSheetId="3" hidden="1">Sheet1!$G$9</definedName>
    <definedName name="solver_lhs9" localSheetId="3" hidden="1">Sheet1!$G$11</definedName>
    <definedName name="solver_lin" localSheetId="3" hidden="1">1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ip" localSheetId="5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ni" localSheetId="5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rt" localSheetId="5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msl" localSheetId="5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eg" localSheetId="5" hidden="1">1</definedName>
    <definedName name="solver_neg" localSheetId="3" hidden="1">1</definedName>
    <definedName name="solver_neg" localSheetId="4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od" localSheetId="5" hidden="1">2147483647</definedName>
    <definedName name="solver_nod" localSheetId="3" hidden="1">2147483647</definedName>
    <definedName name="solver_nod" localSheetId="4" hidden="1">2147483647</definedName>
    <definedName name="solver_num" localSheetId="2" hidden="1">3</definedName>
    <definedName name="solver_num" localSheetId="1" hidden="1">6</definedName>
    <definedName name="solver_num" localSheetId="0" hidden="1">8</definedName>
    <definedName name="solver_num" localSheetId="5" hidden="1">5</definedName>
    <definedName name="solver_num" localSheetId="3" hidden="1">3</definedName>
    <definedName name="solver_num" localSheetId="4" hidden="1">2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nwt" localSheetId="5" hidden="1">1</definedName>
    <definedName name="solver_nwt" localSheetId="3" hidden="1">1</definedName>
    <definedName name="solver_nwt" localSheetId="4" hidden="1">1</definedName>
    <definedName name="solver_opt" localSheetId="2" hidden="1">FactoryPlacement!$D$20</definedName>
    <definedName name="solver_opt" localSheetId="1" hidden="1">FactoryScheduling!$P$18</definedName>
    <definedName name="solver_opt" localSheetId="0" hidden="1">MachineScheduling!$I$9</definedName>
    <definedName name="solver_opt" localSheetId="5" hidden="1">PortfolioOptimization!$B$14</definedName>
    <definedName name="solver_opt" localSheetId="3" hidden="1">Sheet1!$C$13</definedName>
    <definedName name="solver_opt" localSheetId="4" hidden="1">TransportationModel!$H$17</definedName>
    <definedName name="solver_pre" localSheetId="2" hidden="1">0.000001</definedName>
    <definedName name="solver_pre" localSheetId="1" hidden="1">0.1</definedName>
    <definedName name="solver_pre" localSheetId="0" hidden="1">0.000001</definedName>
    <definedName name="solver_pre" localSheetId="5" hidden="1">0.000001</definedName>
    <definedName name="solver_pre" localSheetId="3" hidden="1">0.01</definedName>
    <definedName name="solver_pre" localSheetId="4" hidden="1">0.000001</definedName>
    <definedName name="solver_rbv" localSheetId="2" hidden="1">1</definedName>
    <definedName name="solver_rbv" localSheetId="1" hidden="1">1</definedName>
    <definedName name="solver_rbv" localSheetId="0" hidden="1">2</definedName>
    <definedName name="solver_rbv" localSheetId="5" hidden="1">2</definedName>
    <definedName name="solver_rbv" localSheetId="3" hidden="1">1</definedName>
    <definedName name="solver_rbv" localSheetId="4" hidden="1">1</definedName>
    <definedName name="solver_rel1" localSheetId="2" hidden="1">5</definedName>
    <definedName name="solver_rel1" localSheetId="1" hidden="1">1</definedName>
    <definedName name="solver_rel1" localSheetId="0" hidden="1">5</definedName>
    <definedName name="solver_rel1" localSheetId="5" hidden="1">2</definedName>
    <definedName name="solver_rel1" localSheetId="3" hidden="1">3</definedName>
    <definedName name="solver_rel1" localSheetId="4" hidden="1">2</definedName>
    <definedName name="solver_rel10" localSheetId="3" hidden="1">3</definedName>
    <definedName name="solver_rel2" localSheetId="2" hidden="1">3</definedName>
    <definedName name="solver_rel2" localSheetId="1" hidden="1">5</definedName>
    <definedName name="solver_rel2" localSheetId="0" hidden="1">1</definedName>
    <definedName name="solver_rel2" localSheetId="5" hidden="1">3</definedName>
    <definedName name="solver_rel2" localSheetId="3" hidden="1">1</definedName>
    <definedName name="solver_rel2" localSheetId="4" hidden="1">1</definedName>
    <definedName name="solver_rel3" localSheetId="2" hidden="1">3</definedName>
    <definedName name="solver_rel3" localSheetId="1" hidden="1">4</definedName>
    <definedName name="solver_rel3" localSheetId="0" hidden="1">2</definedName>
    <definedName name="solver_rel3" localSheetId="5" hidden="1">3</definedName>
    <definedName name="solver_rel3" localSheetId="3" hidden="1">1</definedName>
    <definedName name="solver_rel4" localSheetId="2" hidden="1">3</definedName>
    <definedName name="solver_rel4" localSheetId="1" hidden="1">1</definedName>
    <definedName name="solver_rel4" localSheetId="0" hidden="1">3</definedName>
    <definedName name="solver_rel4" localSheetId="5" hidden="1">3</definedName>
    <definedName name="solver_rel4" localSheetId="3" hidden="1">1</definedName>
    <definedName name="solver_rel5" localSheetId="1" hidden="1">2</definedName>
    <definedName name="solver_rel5" localSheetId="0" hidden="1">1</definedName>
    <definedName name="solver_rel5" localSheetId="5" hidden="1">1</definedName>
    <definedName name="solver_rel5" localSheetId="3" hidden="1">3</definedName>
    <definedName name="solver_rel6" localSheetId="1" hidden="1">3</definedName>
    <definedName name="solver_rel6" localSheetId="0" hidden="1">1</definedName>
    <definedName name="solver_rel6" localSheetId="3" hidden="1">3</definedName>
    <definedName name="solver_rel7" localSheetId="0" hidden="1">1</definedName>
    <definedName name="solver_rel7" localSheetId="3" hidden="1">3</definedName>
    <definedName name="solver_rel8" localSheetId="0" hidden="1">1</definedName>
    <definedName name="solver_rel8" localSheetId="3" hidden="1">3</definedName>
    <definedName name="solver_rel9" localSheetId="3" hidden="1">3</definedName>
    <definedName name="solver_rhs1" localSheetId="2" hidden="1">binary</definedName>
    <definedName name="solver_rhs1" localSheetId="1" hidden="1">productioncaps</definedName>
    <definedName name="solver_rhs1" localSheetId="0" hidden="1">binary</definedName>
    <definedName name="solver_rhs1" localSheetId="5" hidden="1">100000</definedName>
    <definedName name="solver_rhs1" localSheetId="3" hidden="1">Orders</definedName>
    <definedName name="solver_rhs1" localSheetId="4" hidden="1">TotalDemand</definedName>
    <definedName name="solver_rhs10" localSheetId="3" hidden="1">Sheet1!$H$11</definedName>
    <definedName name="solver_rhs2" localSheetId="2" hidden="1">1</definedName>
    <definedName name="solver_rhs2" localSheetId="1" hidden="1">binary</definedName>
    <definedName name="solver_rhs2" localSheetId="0" hidden="1">MachineScheduling!$J$2:$J$5</definedName>
    <definedName name="solver_rhs2" localSheetId="5" hidden="1">PortfolioOptimization!$D$16</definedName>
    <definedName name="solver_rhs2" localSheetId="3" hidden="1">OTCapacity</definedName>
    <definedName name="solver_rhs2" localSheetId="4" hidden="1">TotalSupply</definedName>
    <definedName name="solver_rhs3" localSheetId="2" hidden="1">1</definedName>
    <definedName name="solver_rhs3" localSheetId="1" hidden="1">integer</definedName>
    <definedName name="solver_rhs3" localSheetId="0" hidden="1">MachineScheduling!$J$6:$J$7</definedName>
    <definedName name="solver_rhs3" localSheetId="5" hidden="1">PortfolioOptimization!$D$17</definedName>
    <definedName name="solver_rhs3" localSheetId="3" hidden="1">RegCapacity</definedName>
    <definedName name="solver_rhs4" localSheetId="2" hidden="1">0</definedName>
    <definedName name="solver_rhs4" localSheetId="1" hidden="1">productioncaps</definedName>
    <definedName name="solver_rhs4" localSheetId="0" hidden="1">MachineScheduling!$J$8</definedName>
    <definedName name="solver_rhs4" localSheetId="5" hidden="1">PortfolioOptimization!$D$18</definedName>
    <definedName name="solver_rhs4" localSheetId="3" hidden="1">50</definedName>
    <definedName name="solver_rhs5" localSheetId="1" hidden="1">1</definedName>
    <definedName name="solver_rhs5" localSheetId="0" hidden="1">MachineScheduling!$P$12</definedName>
    <definedName name="solver_rhs5" localSheetId="5" hidden="1">PortfolioOptimization!$D$19</definedName>
    <definedName name="solver_rhs5" localSheetId="3" hidden="1">Sheet1!$H$6:$H$11</definedName>
    <definedName name="solver_rhs6" localSheetId="1" hidden="1">0</definedName>
    <definedName name="solver_rhs6" localSheetId="0" hidden="1">MachineScheduling!$M$2:$M$11</definedName>
    <definedName name="solver_rhs6" localSheetId="3" hidden="1">Sheet1!$H$8</definedName>
    <definedName name="solver_rhs7" localSheetId="0" hidden="1">MachineScheduling!$O$11</definedName>
    <definedName name="solver_rhs7" localSheetId="3" hidden="1">Sheet1!$H$8</definedName>
    <definedName name="solver_rhs8" localSheetId="0" hidden="1">MachineScheduling!$N$8:$N$11</definedName>
    <definedName name="solver_rhs8" localSheetId="3" hidden="1">Sheet1!$H$9</definedName>
    <definedName name="solver_rhs9" localSheetId="3" hidden="1">Sheet1!$H$11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lx" localSheetId="5" hidden="1">2</definedName>
    <definedName name="solver_rlx" localSheetId="3" hidden="1">1</definedName>
    <definedName name="solver_rlx" localSheetId="4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rsd" localSheetId="5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1" hidden="1">1</definedName>
    <definedName name="solver_scl" localSheetId="0" hidden="1">2</definedName>
    <definedName name="solver_scl" localSheetId="5" hidden="1">2</definedName>
    <definedName name="solver_scl" localSheetId="3" hidden="1">2</definedName>
    <definedName name="solver_scl" localSheetId="4" hidden="1">1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ho" localSheetId="5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ssz" localSheetId="5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im" localSheetId="5" hidden="1">2147483647</definedName>
    <definedName name="solver_tim" localSheetId="3" hidden="1">100</definedName>
    <definedName name="solver_tim" localSheetId="4" hidden="1">2147483647</definedName>
    <definedName name="solver_tmp" localSheetId="3" hidden="1">0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ol" localSheetId="5" hidden="1">0.01</definedName>
    <definedName name="solver_tol" localSheetId="3" hidden="1">0.05</definedName>
    <definedName name="solver_tol" localSheetId="4" hidden="1">0.01</definedName>
    <definedName name="solver_typ" localSheetId="2" hidden="1">2</definedName>
    <definedName name="solver_typ" localSheetId="1" hidden="1">2</definedName>
    <definedName name="solver_typ" localSheetId="0" hidden="1">1</definedName>
    <definedName name="solver_typ" localSheetId="5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al" localSheetId="5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1" hidden="1">3</definedName>
    <definedName name="solver_ver" localSheetId="0" hidden="1">3</definedName>
    <definedName name="solver_ver" localSheetId="5" hidden="1">3</definedName>
    <definedName name="solver_ver" localSheetId="3" hidden="1">3</definedName>
    <definedName name="solver_ver" localSheetId="4" hidden="1">3</definedName>
    <definedName name="Supplies">TransportationModel!$G$12:$G$14</definedName>
    <definedName name="TotalCost" localSheetId="4">TransportationModel!$H$17</definedName>
    <definedName name="TotalCost">Sheet1!$C$13</definedName>
    <definedName name="TotalDemand">TransportationModel!$C$16:$F$16</definedName>
    <definedName name="TotalProduction">Sheet1!$F$6:$F$11</definedName>
    <definedName name="TotalSupply">TransportationModel!$H$12:$H$14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8" l="1"/>
  <c r="F15" i="8"/>
  <c r="E15" i="8"/>
  <c r="D15" i="8"/>
  <c r="C15" i="8"/>
  <c r="G14" i="8"/>
  <c r="G13" i="8"/>
  <c r="G12" i="8"/>
  <c r="F11" i="7" l="1"/>
  <c r="F10" i="7"/>
  <c r="F9" i="7"/>
  <c r="F8" i="7"/>
  <c r="F7" i="7"/>
  <c r="G6" i="7"/>
  <c r="I6" i="7" s="1"/>
  <c r="F6" i="7"/>
  <c r="G7" i="7" l="1"/>
  <c r="I7" i="7" s="1"/>
  <c r="G8" i="7" s="1"/>
  <c r="I8" i="7" s="1"/>
  <c r="G9" i="7" s="1"/>
  <c r="I9" i="7" s="1"/>
  <c r="G10" i="7" s="1"/>
  <c r="I10" i="7" s="1"/>
  <c r="G11" i="7" s="1"/>
  <c r="C13" i="7" l="1"/>
  <c r="D20" i="6" l="1"/>
  <c r="S19" i="6"/>
  <c r="Q19" i="6"/>
  <c r="L19" i="6"/>
  <c r="U19" i="6" s="1"/>
  <c r="K19" i="6"/>
  <c r="T19" i="6" s="1"/>
  <c r="J19" i="6"/>
  <c r="I19" i="6"/>
  <c r="R19" i="6" s="1"/>
  <c r="H19" i="6"/>
  <c r="G19" i="6"/>
  <c r="P19" i="6" s="1"/>
  <c r="V19" i="6" s="1"/>
  <c r="U18" i="6"/>
  <c r="Q18" i="6"/>
  <c r="M18" i="6"/>
  <c r="L18" i="6"/>
  <c r="K18" i="6"/>
  <c r="T18" i="6" s="1"/>
  <c r="J18" i="6"/>
  <c r="S18" i="6" s="1"/>
  <c r="I18" i="6"/>
  <c r="R18" i="6" s="1"/>
  <c r="H18" i="6"/>
  <c r="G18" i="6"/>
  <c r="P18" i="6" s="1"/>
  <c r="V18" i="6" s="1"/>
  <c r="U17" i="6"/>
  <c r="S17" i="6"/>
  <c r="L17" i="6"/>
  <c r="K17" i="6"/>
  <c r="T17" i="6" s="1"/>
  <c r="J17" i="6"/>
  <c r="I17" i="6"/>
  <c r="R17" i="6" s="1"/>
  <c r="H17" i="6"/>
  <c r="Q17" i="6" s="1"/>
  <c r="G17" i="6"/>
  <c r="P17" i="6" s="1"/>
  <c r="V17" i="6" s="1"/>
  <c r="U16" i="6"/>
  <c r="S16" i="6"/>
  <c r="Q16" i="6"/>
  <c r="L16" i="6"/>
  <c r="K16" i="6"/>
  <c r="T16" i="6" s="1"/>
  <c r="J16" i="6"/>
  <c r="I16" i="6"/>
  <c r="R16" i="6" s="1"/>
  <c r="H16" i="6"/>
  <c r="G16" i="6"/>
  <c r="P16" i="6" s="1"/>
  <c r="S15" i="6"/>
  <c r="Q15" i="6"/>
  <c r="M15" i="6"/>
  <c r="L15" i="6"/>
  <c r="U15" i="6" s="1"/>
  <c r="K15" i="6"/>
  <c r="T15" i="6" s="1"/>
  <c r="J15" i="6"/>
  <c r="I15" i="6"/>
  <c r="R15" i="6" s="1"/>
  <c r="H15" i="6"/>
  <c r="G15" i="6"/>
  <c r="P15" i="6" s="1"/>
  <c r="U14" i="6"/>
  <c r="Q14" i="6"/>
  <c r="L14" i="6"/>
  <c r="K14" i="6"/>
  <c r="T14" i="6" s="1"/>
  <c r="J14" i="6"/>
  <c r="S14" i="6" s="1"/>
  <c r="I14" i="6"/>
  <c r="R14" i="6" s="1"/>
  <c r="H14" i="6"/>
  <c r="G14" i="6"/>
  <c r="P14" i="6" s="1"/>
  <c r="P15" i="5"/>
  <c r="M15" i="5"/>
  <c r="L15" i="5"/>
  <c r="K15" i="5"/>
  <c r="H15" i="5"/>
  <c r="P14" i="5"/>
  <c r="M14" i="5"/>
  <c r="L14" i="5"/>
  <c r="K14" i="5"/>
  <c r="H14" i="5"/>
  <c r="M13" i="5"/>
  <c r="L13" i="5"/>
  <c r="K13" i="5"/>
  <c r="H13" i="5"/>
  <c r="M12" i="5"/>
  <c r="L12" i="5"/>
  <c r="K12" i="5"/>
  <c r="H12" i="5"/>
  <c r="M11" i="5"/>
  <c r="L11" i="5"/>
  <c r="K11" i="5"/>
  <c r="H11" i="5"/>
  <c r="M10" i="5"/>
  <c r="L10" i="5"/>
  <c r="K10" i="5"/>
  <c r="H10" i="5"/>
  <c r="M9" i="5"/>
  <c r="L9" i="5"/>
  <c r="K9" i="5"/>
  <c r="H9" i="5"/>
  <c r="M8" i="5"/>
  <c r="L8" i="5"/>
  <c r="K8" i="5"/>
  <c r="H8" i="5"/>
  <c r="M7" i="5"/>
  <c r="L7" i="5"/>
  <c r="K7" i="5"/>
  <c r="H7" i="5"/>
  <c r="M6" i="5"/>
  <c r="L6" i="5"/>
  <c r="K6" i="5"/>
  <c r="H6" i="5"/>
  <c r="M5" i="5"/>
  <c r="L5" i="5"/>
  <c r="K5" i="5"/>
  <c r="H5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D5" i="5"/>
  <c r="D6" i="5" s="1"/>
  <c r="M4" i="5"/>
  <c r="L4" i="5"/>
  <c r="K4" i="5"/>
  <c r="H4" i="5"/>
  <c r="P17" i="5" s="1"/>
  <c r="E4" i="5"/>
  <c r="D4" i="5"/>
  <c r="K3" i="5"/>
  <c r="O12" i="4"/>
  <c r="N12" i="4"/>
  <c r="M12" i="4"/>
  <c r="L12" i="4"/>
  <c r="O11" i="4"/>
  <c r="N11" i="4"/>
  <c r="M11" i="4"/>
  <c r="L11" i="4"/>
  <c r="N10" i="4"/>
  <c r="M10" i="4"/>
  <c r="L10" i="4"/>
  <c r="N9" i="4"/>
  <c r="M9" i="4"/>
  <c r="L9" i="4"/>
  <c r="I9" i="4"/>
  <c r="N8" i="4"/>
  <c r="M8" i="4"/>
  <c r="L8" i="4"/>
  <c r="I8" i="4"/>
  <c r="M7" i="4"/>
  <c r="L7" i="4"/>
  <c r="I7" i="4"/>
  <c r="M6" i="4"/>
  <c r="L6" i="4"/>
  <c r="I6" i="4"/>
  <c r="M5" i="4"/>
  <c r="L5" i="4"/>
  <c r="I5" i="4"/>
  <c r="M4" i="4"/>
  <c r="L4" i="4"/>
  <c r="I4" i="4"/>
  <c r="M3" i="4"/>
  <c r="L3" i="4"/>
  <c r="I3" i="4"/>
  <c r="M2" i="4"/>
  <c r="L2" i="4"/>
  <c r="I2" i="4"/>
  <c r="P12" i="4" l="1"/>
  <c r="V14" i="6"/>
  <c r="V15" i="6"/>
  <c r="V16" i="6"/>
  <c r="M19" i="6"/>
  <c r="M14" i="6"/>
  <c r="M16" i="6"/>
  <c r="M17" i="6"/>
  <c r="D7" i="5"/>
  <c r="D8" i="5" s="1"/>
  <c r="D9" i="5" s="1"/>
  <c r="D10" i="5" s="1"/>
  <c r="D11" i="5" s="1"/>
  <c r="D12" i="5" s="1"/>
  <c r="D13" i="5" s="1"/>
  <c r="D14" i="5" s="1"/>
  <c r="D15" i="5" s="1"/>
  <c r="P16" i="5" l="1"/>
  <c r="P18" i="5" s="1"/>
  <c r="D17" i="1" l="1"/>
  <c r="D18" i="1"/>
  <c r="D19" i="1"/>
  <c r="D16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<sst xmlns="http://schemas.openxmlformats.org/spreadsheetml/2006/main" count="297" uniqueCount="177">
  <si>
    <t>savings account</t>
  </si>
  <si>
    <t>cert. of deposit</t>
  </si>
  <si>
    <t>atlantic lighting</t>
  </si>
  <si>
    <t>arkansas reit</t>
  </si>
  <si>
    <t>bedrock insurance annuity</t>
  </si>
  <si>
    <t>nocal mining bond</t>
  </si>
  <si>
    <t>minicomp systems</t>
  </si>
  <si>
    <t>antony hotels</t>
  </si>
  <si>
    <t>A</t>
  </si>
  <si>
    <t>B+</t>
  </si>
  <si>
    <t>C</t>
  </si>
  <si>
    <t>Immediate</t>
  </si>
  <si>
    <t>1-year</t>
  </si>
  <si>
    <t>5-year</t>
  </si>
  <si>
    <t>Investment</t>
  </si>
  <si>
    <t>Exp. Return</t>
  </si>
  <si>
    <t>Jones' Rating</t>
  </si>
  <si>
    <t>Liquidity Analysis</t>
  </si>
  <si>
    <t>Risk Factor</t>
  </si>
  <si>
    <t>Annual return of at least 7.5%</t>
  </si>
  <si>
    <t>At least 50% of the inheritance in A-rated investments</t>
  </si>
  <si>
    <t>At least 40% of the inheritance in immediately liquid investments</t>
  </si>
  <si>
    <t>No more than $30000 in savings accounts and certificates of deposit</t>
  </si>
  <si>
    <t xml:space="preserve">The decision we're making is dollars to assign to each investment. </t>
  </si>
  <si>
    <t>If 0, can leave out of the equation since they never add value</t>
  </si>
  <si>
    <t>25x3+30x4…40x8</t>
  </si>
  <si>
    <t>minimize summation coefficients * x, top n, bottom i=1</t>
  </si>
  <si>
    <t>Risk:</t>
  </si>
  <si>
    <t>Subject to:</t>
  </si>
  <si>
    <t>contraint 1</t>
  </si>
  <si>
    <t>x1+x2+x5+x7 &gt;= 50000</t>
  </si>
  <si>
    <t>.04x+.052x….125x&gt;=7500</t>
  </si>
  <si>
    <t>x1+x3+x4+x7+x8 &gt;= 40000</t>
  </si>
  <si>
    <t>recast as we know which are A, so their amount must be over 50000</t>
  </si>
  <si>
    <t>x1+x2 &lt;= 30000</t>
  </si>
  <si>
    <t>x1+x2+x3…+x8 = 100000</t>
  </si>
  <si>
    <t>implied constraint</t>
  </si>
  <si>
    <t>Amount</t>
  </si>
  <si>
    <t>Total Porfolio Amount</t>
  </si>
  <si>
    <t>Total Risk</t>
  </si>
  <si>
    <t>Total Invested</t>
  </si>
  <si>
    <t>Expected Return</t>
  </si>
  <si>
    <t>Total A Ratings</t>
  </si>
  <si>
    <t>Total Liquid</t>
  </si>
  <si>
    <t>Total Savings / CD</t>
  </si>
  <si>
    <t>MIN</t>
  </si>
  <si>
    <t>MAX</t>
  </si>
  <si>
    <t>Constraints</t>
  </si>
  <si>
    <t>Select</t>
  </si>
  <si>
    <t>Title</t>
  </si>
  <si>
    <t>prerequisites</t>
  </si>
  <si>
    <t>2, 6</t>
  </si>
  <si>
    <t>1, 3 or 21</t>
  </si>
  <si>
    <t>1,10</t>
  </si>
  <si>
    <t>9,12</t>
  </si>
  <si>
    <t>10,12,17</t>
  </si>
  <si>
    <t>Demand</t>
  </si>
  <si>
    <t>Inventory</t>
  </si>
  <si>
    <t>Production</t>
  </si>
  <si>
    <t>Month</t>
  </si>
  <si>
    <t>W</t>
  </si>
  <si>
    <t>Switched</t>
  </si>
  <si>
    <t>Producing W</t>
  </si>
  <si>
    <t>Producing C</t>
  </si>
  <si>
    <t>Either</t>
  </si>
  <si>
    <t>Cap W</t>
  </si>
  <si>
    <t>Cap C</t>
  </si>
  <si>
    <t>Initial Values</t>
  </si>
  <si>
    <t>---</t>
  </si>
  <si>
    <t>Values</t>
  </si>
  <si>
    <t>Jan</t>
  </si>
  <si>
    <t>w max</t>
  </si>
  <si>
    <t>Feb</t>
  </si>
  <si>
    <t>c max</t>
  </si>
  <si>
    <t>Mar</t>
  </si>
  <si>
    <t>factswitchcost</t>
  </si>
  <si>
    <t>Apr</t>
  </si>
  <si>
    <t>first 6 cost w</t>
  </si>
  <si>
    <t>May</t>
  </si>
  <si>
    <t>first 6 cost c</t>
  </si>
  <si>
    <t>Jun</t>
  </si>
  <si>
    <t>2nd 6 cost w</t>
  </si>
  <si>
    <t>Jul</t>
  </si>
  <si>
    <t>2nd 6 cost c</t>
  </si>
  <si>
    <t>Aug</t>
  </si>
  <si>
    <t>w storage</t>
  </si>
  <si>
    <t>Sep</t>
  </si>
  <si>
    <t>c storage</t>
  </si>
  <si>
    <t>Oct</t>
  </si>
  <si>
    <t>Nov</t>
  </si>
  <si>
    <t>W Cost</t>
  </si>
  <si>
    <t>Dec</t>
  </si>
  <si>
    <t>C Cost</t>
  </si>
  <si>
    <t>holding cost</t>
  </si>
  <si>
    <t>switch cost</t>
  </si>
  <si>
    <t>total:</t>
  </si>
  <si>
    <t>TO--&gt;</t>
  </si>
  <si>
    <t>INITIAL</t>
  </si>
  <si>
    <t>Arlington</t>
  </si>
  <si>
    <t>Belmont</t>
  </si>
  <si>
    <t>Cambridge</t>
  </si>
  <si>
    <t>Lexington</t>
  </si>
  <si>
    <t>Concord</t>
  </si>
  <si>
    <t>Winchester</t>
  </si>
  <si>
    <t>FROM</t>
  </si>
  <si>
    <t>We need it to be under ten minutes, so just recast problem as one where you can use it if its ten or not</t>
  </si>
  <si>
    <t>not minimizing time minimizing number of atms</t>
  </si>
  <si>
    <t>TO---&gt;</t>
  </si>
  <si>
    <t>AT LEAST 1</t>
  </si>
  <si>
    <t>PLACE HERE?</t>
  </si>
  <si>
    <t>CALC</t>
  </si>
  <si>
    <t>DISTANCE</t>
  </si>
  <si>
    <t>GREATER THAN 1</t>
  </si>
  <si>
    <t>A Multiperiod Scheduling Example</t>
  </si>
  <si>
    <t xml:space="preserve">Regular </t>
  </si>
  <si>
    <t>Regular</t>
  </si>
  <si>
    <t xml:space="preserve">Overtime </t>
  </si>
  <si>
    <t>Overtime</t>
  </si>
  <si>
    <t>Total</t>
  </si>
  <si>
    <t xml:space="preserve">Computers </t>
  </si>
  <si>
    <t>Computer</t>
  </si>
  <si>
    <t>Week</t>
  </si>
  <si>
    <t>Capacity</t>
  </si>
  <si>
    <t>Available</t>
  </si>
  <si>
    <t>Orders</t>
  </si>
  <si>
    <t>Linkages</t>
  </si>
  <si>
    <t xml:space="preserve">             Total Cost = $</t>
  </si>
  <si>
    <t>Shipping Cost per Case of Vaccine</t>
  </si>
  <si>
    <t>From</t>
  </si>
  <si>
    <t>Boston</t>
  </si>
  <si>
    <t>Richmond</t>
  </si>
  <si>
    <t>Atlanta</t>
  </si>
  <si>
    <t>St. Louis</t>
  </si>
  <si>
    <t>Cleveland</t>
  </si>
  <si>
    <t>Detroit</t>
  </si>
  <si>
    <t>Greensboro</t>
  </si>
  <si>
    <t>Supply</t>
  </si>
  <si>
    <t>COST</t>
  </si>
  <si>
    <t>Machine number</t>
  </si>
  <si>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</si>
  <si>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</si>
  <si>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</si>
  <si>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</si>
  <si>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</si>
  <si>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</si>
  <si>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</si>
  <si>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</si>
  <si>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</si>
  <si>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</si>
  <si>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Machine 11</t>
  </si>
  <si>
    <t>Machine 12</t>
  </si>
  <si>
    <t>Machine 13</t>
  </si>
  <si>
    <t>Machine 14</t>
  </si>
  <si>
    <t>Machine 15</t>
  </si>
  <si>
    <t>Machine 16</t>
  </si>
  <si>
    <t>Machine 17</t>
  </si>
  <si>
    <t>Machine 18</t>
  </si>
  <si>
    <t>Machine 19</t>
  </si>
  <si>
    <t>Machine 20</t>
  </si>
  <si>
    <t>Machine 21</t>
  </si>
  <si>
    <t>Preprocessing</t>
  </si>
  <si>
    <t>Postprocessing</t>
  </si>
  <si>
    <t>Machine value contribution</t>
  </si>
  <si>
    <t>Total value</t>
  </si>
  <si>
    <t>Machine 3 &amp; 4 can't be used concurrently</t>
  </si>
  <si>
    <t>M9 &amp; M15 can't both be used</t>
  </si>
  <si>
    <t>Prequisite machine completion requirements</t>
  </si>
  <si>
    <t>M14 must run once</t>
  </si>
  <si>
    <t>M10 must run once</t>
  </si>
  <si>
    <t>3 of Machines 1, 2, 3, 7, 21 must run as preproc</t>
  </si>
  <si>
    <t>This model shows a way to use solver to schedule machines to run in such a way that they satisfy process requirements and various machine requirements.</t>
  </si>
  <si>
    <t>This model demonstrates the scheduling of a factory to produce either "W" or "C" products to meet predicted demand, taking into account inventory and the fact that the factory can only produce one at a time.</t>
  </si>
  <si>
    <t>This model minimizes the number of factories needed to be placed based on limiting travel time to various cities from said production centers.</t>
  </si>
  <si>
    <t>Demonstrates generic multiperiod production scheduling.</t>
  </si>
  <si>
    <t>Also has a mathematical formulation of the model.</t>
  </si>
  <si>
    <t xml:space="preserve">Shows a simple formulation of shipping cost minimization while also meeting demand. </t>
  </si>
  <si>
    <t>Attempting to satisfy various constraints and keep risk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</si>
</sst>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_(&quot;$&quot;* #,##0.0_);_(&quot;$&quot;* \(#,##0.0\);_(&quot;$&quot;* &quot;-&quot;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3" fillId="7" borderId="0" applyNumberFormat="0" applyBorder="0" applyAlignment="0" applyProtection="0"/>
  </cellStyleXfs>
  <cellXfs count="69">
    <xf numFmtId="0" fontId="0" fillId="0" borderId="0" xfId="0"/>
    <xf numFmtId="0" fontId="4" fillId="4" borderId="1" xfId="5"/>
    <xf numFmtId="164" fontId="0" fillId="0" borderId="0" xfId="2" applyNumberFormat="1" applyFont="1"/>
    <xf numFmtId="0" fontId="3" fillId="3" borderId="1" xfId="4"/>
    <xf numFmtId="44" fontId="4" fillId="4" borderId="1" xfId="1" applyFont="1" applyFill="1" applyBorder="1"/>
    <xf numFmtId="44" fontId="0" fillId="0" borderId="0" xfId="1" applyFont="1"/>
    <xf numFmtId="165" fontId="3" fillId="3" borderId="1" xfId="1" applyNumberFormat="1" applyFont="1" applyFill="1" applyBorder="1"/>
    <xf numFmtId="0" fontId="2" fillId="2" borderId="0" xfId="3"/>
    <xf numFmtId="44" fontId="1" fillId="5" borderId="1" xfId="6" applyNumberFormat="1" applyBorder="1"/>
    <xf numFmtId="0" fontId="4" fillId="4" borderId="0" xfId="5" applyBorder="1"/>
    <xf numFmtId="44" fontId="4" fillId="4" borderId="1" xfId="5" applyNumberFormat="1"/>
    <xf numFmtId="166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0" fontId="8" fillId="8" borderId="2" xfId="9"/>
    <xf numFmtId="0" fontId="7" fillId="7" borderId="0" xfId="8"/>
    <xf numFmtId="0" fontId="0" fillId="0" borderId="0" xfId="0" quotePrefix="1" applyAlignment="1">
      <alignment horizontal="center"/>
    </xf>
    <xf numFmtId="0" fontId="0" fillId="0" borderId="0" xfId="0" quotePrefix="1"/>
    <xf numFmtId="0" fontId="7" fillId="7" borderId="1" xfId="8" applyBorder="1"/>
    <xf numFmtId="0" fontId="6" fillId="6" borderId="0" xfId="7"/>
    <xf numFmtId="0" fontId="11" fillId="0" borderId="0" xfId="11" applyFont="1"/>
    <xf numFmtId="0" fontId="10" fillId="0" borderId="0" xfId="11"/>
    <xf numFmtId="0" fontId="10" fillId="0" borderId="3" xfId="11" applyBorder="1"/>
    <xf numFmtId="0" fontId="12" fillId="0" borderId="4" xfId="11" applyFont="1" applyBorder="1" applyAlignment="1">
      <alignment horizontal="center"/>
    </xf>
    <xf numFmtId="0" fontId="12" fillId="0" borderId="5" xfId="11" applyFont="1" applyBorder="1" applyAlignment="1">
      <alignment horizontal="center"/>
    </xf>
    <xf numFmtId="0" fontId="10" fillId="0" borderId="6" xfId="11" applyBorder="1" applyAlignment="1">
      <alignment horizontal="center"/>
    </xf>
    <xf numFmtId="0" fontId="12" fillId="0" borderId="7" xfId="11" applyFont="1" applyBorder="1" applyAlignment="1">
      <alignment horizontal="center"/>
    </xf>
    <xf numFmtId="0" fontId="12" fillId="0" borderId="8" xfId="11" applyFont="1" applyBorder="1" applyAlignment="1">
      <alignment horizontal="center"/>
    </xf>
    <xf numFmtId="0" fontId="12" fillId="0" borderId="9" xfId="11" applyFont="1" applyBorder="1" applyAlignment="1">
      <alignment horizontal="center"/>
    </xf>
    <xf numFmtId="0" fontId="12" fillId="0" borderId="10" xfId="11" applyFont="1" applyBorder="1" applyAlignment="1">
      <alignment horizontal="center"/>
    </xf>
    <xf numFmtId="0" fontId="12" fillId="0" borderId="11" xfId="11" applyFont="1" applyBorder="1" applyAlignment="1">
      <alignment horizontal="center"/>
    </xf>
    <xf numFmtId="0" fontId="10" fillId="0" borderId="12" xfId="11" applyBorder="1" applyAlignment="1">
      <alignment horizontal="center"/>
    </xf>
    <xf numFmtId="0" fontId="7" fillId="7" borderId="13" xfId="8" applyBorder="1" applyAlignment="1">
      <alignment horizontal="center"/>
    </xf>
    <xf numFmtId="0" fontId="10" fillId="0" borderId="0" xfId="11" applyBorder="1" applyAlignment="1">
      <alignment horizontal="center"/>
    </xf>
    <xf numFmtId="0" fontId="9" fillId="4" borderId="1" xfId="10" applyFill="1" applyBorder="1" applyAlignment="1">
      <alignment horizontal="center"/>
    </xf>
    <xf numFmtId="0" fontId="4" fillId="4" borderId="1" xfId="5" applyAlignment="1">
      <alignment horizontal="center"/>
    </xf>
    <xf numFmtId="0" fontId="3" fillId="3" borderId="1" xfId="4" applyAlignment="1">
      <alignment horizontal="center"/>
    </xf>
    <xf numFmtId="0" fontId="10" fillId="0" borderId="14" xfId="11" applyBorder="1" applyAlignment="1">
      <alignment horizontal="center"/>
    </xf>
    <xf numFmtId="0" fontId="7" fillId="7" borderId="15" xfId="8" applyBorder="1" applyAlignment="1">
      <alignment horizontal="center"/>
    </xf>
    <xf numFmtId="0" fontId="10" fillId="0" borderId="7" xfId="11" applyBorder="1" applyAlignment="1">
      <alignment horizontal="center"/>
    </xf>
    <xf numFmtId="0" fontId="7" fillId="7" borderId="16" xfId="8" applyBorder="1" applyAlignment="1">
      <alignment horizontal="center"/>
    </xf>
    <xf numFmtId="0" fontId="10" fillId="0" borderId="9" xfId="11" applyBorder="1" applyAlignment="1">
      <alignment horizontal="center"/>
    </xf>
    <xf numFmtId="0" fontId="10" fillId="9" borderId="17" xfId="11" applyFill="1" applyBorder="1" applyAlignment="1">
      <alignment horizontal="center"/>
    </xf>
    <xf numFmtId="165" fontId="0" fillId="0" borderId="0" xfId="12" applyNumberFormat="1" applyFont="1"/>
    <xf numFmtId="0" fontId="9" fillId="0" borderId="0" xfId="10" applyAlignment="1">
      <alignment horizontal="center"/>
    </xf>
    <xf numFmtId="165" fontId="2" fillId="2" borderId="17" xfId="3" applyNumberForma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5" fillId="10" borderId="20" xfId="0" applyFont="1" applyFill="1" applyBorder="1"/>
    <xf numFmtId="165" fontId="0" fillId="10" borderId="20" xfId="1" applyNumberFormat="1" applyFont="1" applyFill="1" applyBorder="1"/>
    <xf numFmtId="165" fontId="0" fillId="10" borderId="21" xfId="1" applyNumberFormat="1" applyFont="1" applyFill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0" fontId="5" fillId="10" borderId="22" xfId="0" applyFont="1" applyFill="1" applyBorder="1"/>
    <xf numFmtId="165" fontId="0" fillId="10" borderId="22" xfId="1" applyNumberFormat="1" applyFont="1" applyFill="1" applyBorder="1"/>
    <xf numFmtId="165" fontId="0" fillId="10" borderId="23" xfId="1" applyNumberFormat="1" applyFont="1" applyFill="1" applyBorder="1"/>
    <xf numFmtId="0" fontId="13" fillId="7" borderId="24" xfId="13" applyNumberFormat="1" applyBorder="1"/>
    <xf numFmtId="0" fontId="13" fillId="7" borderId="25" xfId="13" applyNumberFormat="1" applyBorder="1"/>
    <xf numFmtId="0" fontId="13" fillId="7" borderId="26" xfId="13" applyNumberFormat="1" applyBorder="1"/>
    <xf numFmtId="0" fontId="4" fillId="4" borderId="27" xfId="5" applyNumberFormat="1" applyBorder="1"/>
    <xf numFmtId="0" fontId="13" fillId="7" borderId="28" xfId="13" applyNumberFormat="1" applyBorder="1"/>
    <xf numFmtId="0" fontId="13" fillId="7" borderId="0" xfId="13" applyNumberFormat="1" applyBorder="1"/>
    <xf numFmtId="0" fontId="13" fillId="7" borderId="29" xfId="13" applyNumberFormat="1" applyBorder="1"/>
    <xf numFmtId="0" fontId="13" fillId="7" borderId="30" xfId="13" applyNumberFormat="1" applyBorder="1"/>
    <xf numFmtId="0" fontId="13" fillId="7" borderId="31" xfId="13" applyNumberFormat="1" applyBorder="1"/>
    <xf numFmtId="0" fontId="13" fillId="7" borderId="32" xfId="13" applyNumberFormat="1" applyBorder="1"/>
    <xf numFmtId="0" fontId="4" fillId="4" borderId="33" xfId="5" applyNumberFormat="1" applyBorder="1"/>
    <xf numFmtId="0" fontId="14" fillId="2" borderId="0" xfId="3" applyFont="1"/>
    <xf numFmtId="44" fontId="14" fillId="2" borderId="0" xfId="1" applyFont="1" applyFill="1"/>
  </cellXfs>
  <cellStyles count="14">
    <cellStyle name="40% - Accent5" xfId="6" builtinId="47"/>
    <cellStyle name="Bad" xfId="7" builtinId="27"/>
    <cellStyle name="Calculation" xfId="5" builtinId="22"/>
    <cellStyle name="Check Cell" xfId="9" builtinId="23"/>
    <cellStyle name="Currency" xfId="1" builtinId="4"/>
    <cellStyle name="Currency 2" xfId="12" xr:uid="{DD186F9A-DDA1-41B3-AABA-FF4E96115581}"/>
    <cellStyle name="Explanatory Text" xfId="10" builtinId="53"/>
    <cellStyle name="Good" xfId="3" builtinId="26"/>
    <cellStyle name="Input" xfId="4" builtinId="20"/>
    <cellStyle name="Neutral" xfId="8" builtinId="28"/>
    <cellStyle name="Neutral 2" xfId="13" xr:uid="{F3FF7D51-40A3-470B-AD89-A510E286C67F}"/>
    <cellStyle name="Normal" xfId="0" builtinId="0"/>
    <cellStyle name="Normal 2" xfId="11" xr:uid="{4A2B685B-F9AE-4717-A7F4-35904A7F6E0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</xdr:colOff>
      <xdr:row>2</xdr:row>
      <xdr:rowOff>160020</xdr:rowOff>
    </xdr:from>
    <xdr:to>
      <xdr:col>20</xdr:col>
      <xdr:colOff>434340</xdr:colOff>
      <xdr:row>19</xdr:row>
      <xdr:rowOff>51435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785CE0-CDC5-4D64-95AD-0DE03274EF77}"/>
            </a:ext>
          </a:extLst>
        </xdr:cNvPr>
        <xdr:cNvSpPr txBox="1">
          <a:spLocks noChangeArrowheads="1"/>
        </xdr:cNvSpPr>
      </xdr:nvSpPr>
      <xdr:spPr bwMode="auto">
        <a:xfrm>
          <a:off x="7069455" y="525780"/>
          <a:ext cx="6524625" cy="28784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minimize Z = $190(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) + $260(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) + 10(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)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subject to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j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≤ 160 (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1, 2, 3, 4, 5, 6) 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j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≤ 50 (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1, 2, 3, 4, 5, 6)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-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105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-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170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-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230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-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180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5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-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150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250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r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,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,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≥  0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le\Documents\School\Sem1%20Master\Optimization\hw4\hw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koeh\Dropbox\WM\opt\14\ChuckJones_s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3"/>
      <sheetName val="9.4"/>
      <sheetName val="9.7"/>
      <sheetName val="9.8"/>
    </sheetNames>
    <sheetDataSet>
      <sheetData sheetId="0"/>
      <sheetData sheetId="1" refreshError="1"/>
      <sheetData sheetId="2">
        <row r="4">
          <cell r="L4">
            <v>100</v>
          </cell>
          <cell r="M4">
            <v>0</v>
          </cell>
        </row>
        <row r="5">
          <cell r="L5">
            <v>0</v>
          </cell>
          <cell r="M5">
            <v>110</v>
          </cell>
        </row>
        <row r="6">
          <cell r="L6">
            <v>100</v>
          </cell>
          <cell r="M6">
            <v>0</v>
          </cell>
        </row>
        <row r="7">
          <cell r="L7">
            <v>0</v>
          </cell>
          <cell r="M7">
            <v>110</v>
          </cell>
        </row>
        <row r="8">
          <cell r="L8">
            <v>100</v>
          </cell>
          <cell r="M8">
            <v>0</v>
          </cell>
        </row>
        <row r="9">
          <cell r="L9">
            <v>0</v>
          </cell>
          <cell r="M9">
            <v>110</v>
          </cell>
        </row>
        <row r="10">
          <cell r="L10">
            <v>100</v>
          </cell>
          <cell r="M10">
            <v>0</v>
          </cell>
        </row>
        <row r="11">
          <cell r="L11">
            <v>0</v>
          </cell>
          <cell r="M11">
            <v>110</v>
          </cell>
        </row>
        <row r="12">
          <cell r="L12">
            <v>100</v>
          </cell>
          <cell r="M12">
            <v>0</v>
          </cell>
        </row>
        <row r="13">
          <cell r="L13">
            <v>0</v>
          </cell>
          <cell r="M13">
            <v>110</v>
          </cell>
        </row>
        <row r="14">
          <cell r="L14">
            <v>100</v>
          </cell>
          <cell r="M14">
            <v>0</v>
          </cell>
        </row>
        <row r="15">
          <cell r="L15">
            <v>0</v>
          </cell>
          <cell r="M15">
            <v>110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 Report 2"/>
      <sheetName val="Sheet1"/>
    </sheetNames>
    <sheetDataSet>
      <sheetData sheetId="0"/>
      <sheetData sheetId="1">
        <row r="3">
          <cell r="D3">
            <v>100000</v>
          </cell>
        </row>
        <row r="7">
          <cell r="E7">
            <v>0.04</v>
          </cell>
          <cell r="H7">
            <v>0</v>
          </cell>
        </row>
        <row r="8">
          <cell r="E8">
            <v>5.1999999999999998E-2</v>
          </cell>
          <cell r="H8">
            <v>0</v>
          </cell>
        </row>
        <row r="9">
          <cell r="E9">
            <v>7.0999999999999994E-2</v>
          </cell>
          <cell r="H9">
            <v>25</v>
          </cell>
        </row>
        <row r="10">
          <cell r="E10">
            <v>0.1</v>
          </cell>
          <cell r="H10">
            <v>30</v>
          </cell>
        </row>
        <row r="11">
          <cell r="E11">
            <v>8.2000000000000003E-2</v>
          </cell>
          <cell r="H11">
            <v>20</v>
          </cell>
        </row>
        <row r="12">
          <cell r="E12">
            <v>6.5000000000000002E-2</v>
          </cell>
          <cell r="H12">
            <v>15</v>
          </cell>
        </row>
        <row r="13">
          <cell r="E13">
            <v>0.2</v>
          </cell>
          <cell r="H13">
            <v>65</v>
          </cell>
        </row>
        <row r="14">
          <cell r="E14">
            <v>0.125</v>
          </cell>
          <cell r="H14">
            <v>40</v>
          </cell>
        </row>
        <row r="18">
          <cell r="F18">
            <v>7500</v>
          </cell>
        </row>
        <row r="19">
          <cell r="F19">
            <v>50000</v>
          </cell>
        </row>
        <row r="20">
          <cell r="F20">
            <v>40000</v>
          </cell>
        </row>
        <row r="21">
          <cell r="F21">
            <v>30000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2A86-735A-48C4-AB21-BDA9FA0460CA}">
  <dimension ref="A1:P24"/>
  <sheetViews>
    <sheetView workbookViewId="0">
      <selection activeCell="L23" sqref="L23"/>
    </sheetView>
  </sheetViews>
  <sheetFormatPr defaultRowHeight="14.4" x14ac:dyDescent="0.3"/>
  <cols>
    <col min="1" max="1" width="16.88671875" customWidth="1"/>
    <col min="3" max="3" width="15.109375" bestFit="1" customWidth="1"/>
    <col min="4" max="4" width="12.21875" bestFit="1" customWidth="1"/>
    <col min="5" max="5" width="12.77734375" customWidth="1"/>
    <col min="6" max="6" width="11.44140625" bestFit="1" customWidth="1"/>
    <col min="7" max="7" width="23.5546875" bestFit="1" customWidth="1"/>
    <col min="8" max="8" width="39.77734375" bestFit="1" customWidth="1"/>
    <col min="9" max="9" width="3" bestFit="1" customWidth="1"/>
  </cols>
  <sheetData>
    <row r="1" spans="1:16" ht="15" thickBot="1" x14ac:dyDescent="0.35">
      <c r="A1" t="s">
        <v>138</v>
      </c>
      <c r="B1" t="s">
        <v>48</v>
      </c>
      <c r="C1" t="s">
        <v>49</v>
      </c>
      <c r="D1" t="s">
        <v>160</v>
      </c>
      <c r="E1" t="s">
        <v>161</v>
      </c>
      <c r="F1" t="s">
        <v>50</v>
      </c>
      <c r="G1" t="s">
        <v>162</v>
      </c>
      <c r="H1" t="s">
        <v>47</v>
      </c>
      <c r="K1" t="s">
        <v>166</v>
      </c>
    </row>
    <row r="2" spans="1:16" ht="15.6" thickTop="1" thickBot="1" x14ac:dyDescent="0.35">
      <c r="A2" s="13">
        <v>1</v>
      </c>
      <c r="B2" s="13">
        <v>1</v>
      </c>
      <c r="C2" s="13" t="s">
        <v>139</v>
      </c>
      <c r="D2" s="13">
        <v>1</v>
      </c>
      <c r="E2" s="13">
        <v>0</v>
      </c>
      <c r="F2" s="13">
        <v>0</v>
      </c>
      <c r="G2" s="13">
        <v>5</v>
      </c>
      <c r="H2" t="s">
        <v>160</v>
      </c>
      <c r="I2" s="14">
        <f>SUMPRODUCT(B2:B22,D2:D22)</f>
        <v>5</v>
      </c>
      <c r="J2">
        <v>5</v>
      </c>
      <c r="K2" s="15">
        <v>5</v>
      </c>
      <c r="L2" s="14">
        <f>B7</f>
        <v>0</v>
      </c>
      <c r="M2" s="14">
        <f>B6</f>
        <v>0</v>
      </c>
    </row>
    <row r="3" spans="1:16" ht="15.6" thickTop="1" thickBot="1" x14ac:dyDescent="0.35">
      <c r="A3" s="13">
        <v>2</v>
      </c>
      <c r="B3" s="13">
        <v>1</v>
      </c>
      <c r="C3" s="13" t="s">
        <v>140</v>
      </c>
      <c r="D3" s="13">
        <v>1</v>
      </c>
      <c r="E3" s="13">
        <v>0</v>
      </c>
      <c r="F3" s="13">
        <v>0</v>
      </c>
      <c r="G3" s="13">
        <v>5</v>
      </c>
      <c r="H3" t="s">
        <v>161</v>
      </c>
      <c r="I3" s="14">
        <f>SUMPRODUCT(B2:B22,E2:E22)</f>
        <v>5</v>
      </c>
      <c r="J3">
        <v>5</v>
      </c>
      <c r="K3" s="15">
        <v>9</v>
      </c>
      <c r="L3" s="14">
        <f>B11</f>
        <v>1</v>
      </c>
      <c r="M3" s="14">
        <f>B2</f>
        <v>1</v>
      </c>
    </row>
    <row r="4" spans="1:16" ht="15.6" thickTop="1" thickBot="1" x14ac:dyDescent="0.35">
      <c r="A4" s="13">
        <v>3</v>
      </c>
      <c r="B4" s="13">
        <v>0</v>
      </c>
      <c r="C4" s="13" t="s">
        <v>141</v>
      </c>
      <c r="D4" s="13">
        <v>1</v>
      </c>
      <c r="E4" s="13">
        <v>0</v>
      </c>
      <c r="F4" s="13">
        <v>0</v>
      </c>
      <c r="G4" s="13">
        <v>4</v>
      </c>
      <c r="H4" t="s">
        <v>164</v>
      </c>
      <c r="I4" s="14">
        <f>SUM(B4:B5)</f>
        <v>1</v>
      </c>
      <c r="J4">
        <v>1</v>
      </c>
      <c r="K4" s="15">
        <v>14</v>
      </c>
      <c r="L4" s="14">
        <f>B16</f>
        <v>0</v>
      </c>
      <c r="M4" s="14">
        <f>B4</f>
        <v>0</v>
      </c>
    </row>
    <row r="5" spans="1:16" ht="15.6" thickTop="1" thickBot="1" x14ac:dyDescent="0.35">
      <c r="A5" s="13">
        <v>21</v>
      </c>
      <c r="B5" s="13">
        <v>1</v>
      </c>
      <c r="C5" s="13" t="s">
        <v>142</v>
      </c>
      <c r="D5" s="13">
        <v>0</v>
      </c>
      <c r="E5" s="13">
        <v>1</v>
      </c>
      <c r="F5" s="13">
        <v>0</v>
      </c>
      <c r="G5" s="13">
        <v>4</v>
      </c>
      <c r="H5" t="s">
        <v>165</v>
      </c>
      <c r="I5" s="14">
        <f>SUM(B10,B16)</f>
        <v>1</v>
      </c>
      <c r="J5">
        <v>1</v>
      </c>
      <c r="K5" s="15">
        <v>16</v>
      </c>
      <c r="L5" s="14">
        <f>B18</f>
        <v>0</v>
      </c>
      <c r="M5" s="14">
        <f>B17</f>
        <v>0</v>
      </c>
    </row>
    <row r="6" spans="1:16" ht="15.6" thickTop="1" thickBot="1" x14ac:dyDescent="0.35">
      <c r="A6" s="13">
        <v>4</v>
      </c>
      <c r="B6" s="13">
        <v>0</v>
      </c>
      <c r="C6" s="13" t="s">
        <v>143</v>
      </c>
      <c r="D6" s="13">
        <v>1</v>
      </c>
      <c r="E6" s="13">
        <v>0</v>
      </c>
      <c r="F6" s="13">
        <v>0</v>
      </c>
      <c r="G6" s="13">
        <v>4</v>
      </c>
      <c r="H6" t="s">
        <v>167</v>
      </c>
      <c r="I6" s="14">
        <f>B14</f>
        <v>1</v>
      </c>
      <c r="J6">
        <v>1</v>
      </c>
      <c r="K6" s="15">
        <v>17</v>
      </c>
      <c r="L6" s="14">
        <f>B19</f>
        <v>0</v>
      </c>
      <c r="M6" s="14">
        <f>B6</f>
        <v>0</v>
      </c>
    </row>
    <row r="7" spans="1:16" ht="15.6" thickTop="1" thickBot="1" x14ac:dyDescent="0.35">
      <c r="A7" s="13">
        <v>5</v>
      </c>
      <c r="B7" s="13">
        <v>0</v>
      </c>
      <c r="C7" s="13" t="s">
        <v>144</v>
      </c>
      <c r="D7" s="13">
        <v>0</v>
      </c>
      <c r="E7" s="13">
        <v>1</v>
      </c>
      <c r="F7" s="13">
        <v>4</v>
      </c>
      <c r="G7" s="13">
        <v>4</v>
      </c>
      <c r="H7" t="s">
        <v>168</v>
      </c>
      <c r="I7" s="14">
        <f>B12</f>
        <v>1</v>
      </c>
      <c r="J7">
        <v>1</v>
      </c>
      <c r="K7" s="15">
        <v>19</v>
      </c>
      <c r="L7" s="14">
        <f>B21</f>
        <v>0</v>
      </c>
      <c r="M7" s="14">
        <f>B6</f>
        <v>0</v>
      </c>
    </row>
    <row r="8" spans="1:16" ht="15.6" thickTop="1" thickBot="1" x14ac:dyDescent="0.35">
      <c r="A8" s="13">
        <v>6</v>
      </c>
      <c r="B8" s="13">
        <v>0</v>
      </c>
      <c r="C8" s="13" t="s">
        <v>145</v>
      </c>
      <c r="D8" s="13">
        <v>1</v>
      </c>
      <c r="E8" s="13">
        <v>0</v>
      </c>
      <c r="F8" s="13">
        <v>0</v>
      </c>
      <c r="G8" s="13">
        <v>3</v>
      </c>
      <c r="H8" t="s">
        <v>169</v>
      </c>
      <c r="I8" s="14">
        <f>SUM(B2,B3,B4,B8,B22)</f>
        <v>3</v>
      </c>
      <c r="J8">
        <v>3</v>
      </c>
      <c r="K8" s="15">
        <v>7</v>
      </c>
      <c r="L8" s="14">
        <f>B9</f>
        <v>0</v>
      </c>
      <c r="M8" s="14">
        <f>B3</f>
        <v>1</v>
      </c>
      <c r="N8" s="14">
        <f>B8</f>
        <v>0</v>
      </c>
    </row>
    <row r="9" spans="1:16" ht="15.6" thickTop="1" thickBot="1" x14ac:dyDescent="0.35">
      <c r="A9" s="13">
        <v>7</v>
      </c>
      <c r="B9" s="13">
        <v>0</v>
      </c>
      <c r="C9" s="13" t="s">
        <v>146</v>
      </c>
      <c r="D9" s="13">
        <v>0</v>
      </c>
      <c r="E9" s="13">
        <v>1</v>
      </c>
      <c r="F9" s="13" t="s">
        <v>51</v>
      </c>
      <c r="G9" s="13">
        <v>3</v>
      </c>
      <c r="H9" t="s">
        <v>163</v>
      </c>
      <c r="I9" s="7">
        <f>SUMPRODUCT(B2:B22,G2:G22)</f>
        <v>42</v>
      </c>
      <c r="K9" s="15">
        <v>11</v>
      </c>
      <c r="L9" s="14">
        <f>B13</f>
        <v>1</v>
      </c>
      <c r="M9" s="14">
        <f>B2</f>
        <v>1</v>
      </c>
      <c r="N9" s="14">
        <f>B12</f>
        <v>1</v>
      </c>
    </row>
    <row r="10" spans="1:16" ht="15.6" thickTop="1" thickBot="1" x14ac:dyDescent="0.35">
      <c r="A10" s="13">
        <v>8</v>
      </c>
      <c r="B10" s="13">
        <v>1</v>
      </c>
      <c r="C10" s="13" t="s">
        <v>147</v>
      </c>
      <c r="D10" s="13">
        <v>0</v>
      </c>
      <c r="E10" s="13">
        <v>1</v>
      </c>
      <c r="F10" s="13" t="s">
        <v>52</v>
      </c>
      <c r="G10" s="13">
        <v>5</v>
      </c>
      <c r="K10" s="15">
        <v>13</v>
      </c>
      <c r="L10" s="14">
        <f>B15</f>
        <v>1</v>
      </c>
      <c r="M10" s="14">
        <f>B11</f>
        <v>1</v>
      </c>
      <c r="N10" s="14">
        <f>B14</f>
        <v>1</v>
      </c>
    </row>
    <row r="11" spans="1:16" ht="15.6" thickTop="1" thickBot="1" x14ac:dyDescent="0.35">
      <c r="A11" s="13">
        <v>9</v>
      </c>
      <c r="B11" s="13">
        <v>1</v>
      </c>
      <c r="C11" s="13" t="s">
        <v>148</v>
      </c>
      <c r="D11" s="13">
        <v>0</v>
      </c>
      <c r="E11" s="13">
        <v>1</v>
      </c>
      <c r="F11" s="13">
        <v>1</v>
      </c>
      <c r="G11" s="13">
        <v>4</v>
      </c>
      <c r="K11" s="15">
        <v>18</v>
      </c>
      <c r="L11" s="14">
        <f>B20</f>
        <v>0</v>
      </c>
      <c r="M11" s="14">
        <f>B12</f>
        <v>1</v>
      </c>
      <c r="N11" s="14">
        <f>B14</f>
        <v>1</v>
      </c>
      <c r="O11" s="14">
        <f>B19</f>
        <v>0</v>
      </c>
    </row>
    <row r="12" spans="1:16" ht="15.6" thickTop="1" thickBot="1" x14ac:dyDescent="0.35">
      <c r="A12" s="13">
        <v>10</v>
      </c>
      <c r="B12" s="13">
        <v>1</v>
      </c>
      <c r="C12" s="13" t="s">
        <v>149</v>
      </c>
      <c r="D12" s="13">
        <v>1</v>
      </c>
      <c r="E12" s="13">
        <v>0</v>
      </c>
      <c r="F12" s="13">
        <v>0</v>
      </c>
      <c r="G12" s="13">
        <v>4</v>
      </c>
      <c r="K12" s="15">
        <v>8</v>
      </c>
      <c r="L12" s="14">
        <f>B10</f>
        <v>1</v>
      </c>
      <c r="M12" s="14">
        <f>B2</f>
        <v>1</v>
      </c>
      <c r="N12" s="14">
        <f>B4</f>
        <v>0</v>
      </c>
      <c r="O12" s="14">
        <f>B5</f>
        <v>1</v>
      </c>
      <c r="P12" s="14">
        <f>(SUM(M12:O12)+1)/3</f>
        <v>1</v>
      </c>
    </row>
    <row r="13" spans="1:16" ht="15" thickTop="1" x14ac:dyDescent="0.3">
      <c r="A13" s="13">
        <v>11</v>
      </c>
      <c r="B13" s="13">
        <v>1</v>
      </c>
      <c r="C13" s="13" t="s">
        <v>150</v>
      </c>
      <c r="D13" s="13">
        <v>0</v>
      </c>
      <c r="E13" s="13">
        <v>1</v>
      </c>
      <c r="F13" s="13" t="s">
        <v>53</v>
      </c>
      <c r="G13" s="13">
        <v>4</v>
      </c>
    </row>
    <row r="14" spans="1:16" x14ac:dyDescent="0.3">
      <c r="A14" s="13">
        <v>12</v>
      </c>
      <c r="B14" s="13">
        <v>1</v>
      </c>
      <c r="C14" s="13" t="s">
        <v>151</v>
      </c>
      <c r="D14" s="13">
        <v>1</v>
      </c>
      <c r="E14" s="13">
        <v>0</v>
      </c>
      <c r="F14" s="13">
        <v>0</v>
      </c>
      <c r="G14" s="13">
        <v>3</v>
      </c>
    </row>
    <row r="15" spans="1:16" x14ac:dyDescent="0.3">
      <c r="A15" s="13">
        <v>13</v>
      </c>
      <c r="B15" s="13">
        <v>1</v>
      </c>
      <c r="C15" s="13" t="s">
        <v>152</v>
      </c>
      <c r="D15" s="13">
        <v>0</v>
      </c>
      <c r="E15" s="13">
        <v>1</v>
      </c>
      <c r="F15" s="13" t="s">
        <v>54</v>
      </c>
      <c r="G15" s="13">
        <v>3</v>
      </c>
    </row>
    <row r="16" spans="1:16" x14ac:dyDescent="0.3">
      <c r="A16" s="13">
        <v>14</v>
      </c>
      <c r="B16" s="13">
        <v>0</v>
      </c>
      <c r="C16" s="13" t="s">
        <v>153</v>
      </c>
      <c r="D16" s="13">
        <v>0</v>
      </c>
      <c r="E16" s="13">
        <v>1</v>
      </c>
      <c r="F16" s="13">
        <v>3</v>
      </c>
      <c r="G16" s="13">
        <v>5</v>
      </c>
    </row>
    <row r="17" spans="1:8" x14ac:dyDescent="0.3">
      <c r="A17" s="13">
        <v>15</v>
      </c>
      <c r="B17" s="13">
        <v>0</v>
      </c>
      <c r="C17" s="13" t="s">
        <v>154</v>
      </c>
      <c r="D17" s="13">
        <v>1</v>
      </c>
      <c r="E17" s="13">
        <v>0</v>
      </c>
      <c r="F17" s="13">
        <v>0</v>
      </c>
      <c r="G17" s="13">
        <v>4</v>
      </c>
    </row>
    <row r="18" spans="1:8" x14ac:dyDescent="0.3">
      <c r="A18" s="13">
        <v>16</v>
      </c>
      <c r="B18" s="13">
        <v>0</v>
      </c>
      <c r="C18" s="13" t="s">
        <v>155</v>
      </c>
      <c r="D18" s="13">
        <v>0</v>
      </c>
      <c r="E18" s="13">
        <v>1</v>
      </c>
      <c r="F18" s="13">
        <v>15</v>
      </c>
      <c r="G18" s="13">
        <v>4</v>
      </c>
    </row>
    <row r="19" spans="1:8" x14ac:dyDescent="0.3">
      <c r="A19" s="13">
        <v>17</v>
      </c>
      <c r="B19" s="13">
        <v>0</v>
      </c>
      <c r="C19" s="13" t="s">
        <v>156</v>
      </c>
      <c r="D19" s="13">
        <v>0</v>
      </c>
      <c r="E19" s="13">
        <v>1</v>
      </c>
      <c r="F19" s="13">
        <v>4</v>
      </c>
      <c r="G19" s="13">
        <v>4</v>
      </c>
    </row>
    <row r="20" spans="1:8" x14ac:dyDescent="0.3">
      <c r="A20" s="13">
        <v>18</v>
      </c>
      <c r="B20" s="13">
        <v>0</v>
      </c>
      <c r="C20" s="13" t="s">
        <v>157</v>
      </c>
      <c r="D20" s="13">
        <v>0</v>
      </c>
      <c r="E20" s="13">
        <v>1</v>
      </c>
      <c r="F20" s="16" t="s">
        <v>55</v>
      </c>
      <c r="G20" s="13">
        <v>3</v>
      </c>
    </row>
    <row r="21" spans="1:8" x14ac:dyDescent="0.3">
      <c r="A21" s="13">
        <v>19</v>
      </c>
      <c r="B21" s="13">
        <v>0</v>
      </c>
      <c r="C21" s="13" t="s">
        <v>158</v>
      </c>
      <c r="D21" s="13">
        <v>1</v>
      </c>
      <c r="E21" s="13">
        <v>0</v>
      </c>
      <c r="F21" s="13">
        <v>4</v>
      </c>
      <c r="G21" s="13">
        <v>3</v>
      </c>
    </row>
    <row r="22" spans="1:8" x14ac:dyDescent="0.3">
      <c r="A22" s="13">
        <v>20</v>
      </c>
      <c r="B22" s="13">
        <v>1</v>
      </c>
      <c r="C22" s="13" t="s">
        <v>159</v>
      </c>
      <c r="D22" s="13">
        <v>1</v>
      </c>
      <c r="E22" s="13">
        <v>0</v>
      </c>
      <c r="F22" s="13">
        <v>0</v>
      </c>
      <c r="G22" s="13">
        <v>5</v>
      </c>
    </row>
    <row r="24" spans="1:8" x14ac:dyDescent="0.3">
      <c r="A24" s="3" t="s">
        <v>170</v>
      </c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F065-92D3-46A2-BF8B-B2ACD02DA00D}">
  <dimension ref="A1:Q20"/>
  <sheetViews>
    <sheetView workbookViewId="0">
      <selection activeCell="H22" sqref="H22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10" bestFit="1" customWidth="1"/>
    <col min="9" max="9" width="12.109375" bestFit="1" customWidth="1"/>
    <col min="10" max="10" width="12.6640625" customWidth="1"/>
    <col min="13" max="13" width="10" bestFit="1" customWidth="1"/>
    <col min="15" max="15" width="12.88671875" bestFit="1" customWidth="1"/>
    <col min="16" max="16" width="11" bestFit="1" customWidth="1"/>
  </cols>
  <sheetData>
    <row r="1" spans="1:16" x14ac:dyDescent="0.3">
      <c r="B1" t="s">
        <v>56</v>
      </c>
      <c r="D1" t="s">
        <v>57</v>
      </c>
      <c r="F1" t="s">
        <v>58</v>
      </c>
    </row>
    <row r="2" spans="1:16" ht="15" thickBot="1" x14ac:dyDescent="0.35">
      <c r="A2" t="s">
        <v>59</v>
      </c>
      <c r="B2" t="s">
        <v>60</v>
      </c>
      <c r="C2" t="s">
        <v>10</v>
      </c>
      <c r="D2" t="s">
        <v>60</v>
      </c>
      <c r="E2" t="s">
        <v>10</v>
      </c>
      <c r="F2" t="s">
        <v>60</v>
      </c>
      <c r="G2" t="s">
        <v>10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</row>
    <row r="3" spans="1:16" ht="15.6" thickTop="1" thickBot="1" x14ac:dyDescent="0.35">
      <c r="A3" t="s">
        <v>67</v>
      </c>
      <c r="B3" s="17" t="s">
        <v>68</v>
      </c>
      <c r="C3" s="17" t="s">
        <v>68</v>
      </c>
      <c r="D3" s="15">
        <v>50</v>
      </c>
      <c r="E3" s="15">
        <v>50</v>
      </c>
      <c r="F3" s="17" t="s">
        <v>68</v>
      </c>
      <c r="G3" s="17" t="s">
        <v>68</v>
      </c>
      <c r="H3" s="17" t="s">
        <v>68</v>
      </c>
      <c r="I3" s="15">
        <v>1</v>
      </c>
      <c r="J3" s="15">
        <v>0</v>
      </c>
      <c r="K3" s="14">
        <f>SUM(I3:J3)</f>
        <v>1</v>
      </c>
      <c r="L3" s="17" t="s">
        <v>68</v>
      </c>
      <c r="M3" s="17" t="s">
        <v>68</v>
      </c>
      <c r="O3" t="s">
        <v>69</v>
      </c>
    </row>
    <row r="4" spans="1:16" ht="15.6" thickTop="1" thickBot="1" x14ac:dyDescent="0.35">
      <c r="A4" t="s">
        <v>70</v>
      </c>
      <c r="B4">
        <v>34</v>
      </c>
      <c r="C4">
        <v>42</v>
      </c>
      <c r="D4">
        <f>D3+F4-B4</f>
        <v>39</v>
      </c>
      <c r="E4">
        <f>E3+G4-C4</f>
        <v>8</v>
      </c>
      <c r="F4" s="1">
        <v>23</v>
      </c>
      <c r="G4" s="1">
        <v>0</v>
      </c>
      <c r="H4">
        <f>ABS(I3-I4)</f>
        <v>0</v>
      </c>
      <c r="I4" s="1">
        <v>1</v>
      </c>
      <c r="J4" s="1">
        <v>0</v>
      </c>
      <c r="K4" s="14">
        <f t="shared" ref="K4:K15" si="0">SUM(I4:J4)</f>
        <v>1</v>
      </c>
      <c r="L4" s="14">
        <f>I4*$P$4</f>
        <v>100</v>
      </c>
      <c r="M4" s="14">
        <f>J4*$P$5</f>
        <v>0</v>
      </c>
      <c r="O4" t="s">
        <v>71</v>
      </c>
      <c r="P4">
        <v>100</v>
      </c>
    </row>
    <row r="5" spans="1:16" ht="15.6" thickTop="1" thickBot="1" x14ac:dyDescent="0.35">
      <c r="A5" t="s">
        <v>72</v>
      </c>
      <c r="B5">
        <v>39</v>
      </c>
      <c r="C5">
        <v>45</v>
      </c>
      <c r="D5">
        <f>D4+F5-B5</f>
        <v>0</v>
      </c>
      <c r="E5">
        <f>E4+G5-C5</f>
        <v>46</v>
      </c>
      <c r="F5" s="1">
        <v>0</v>
      </c>
      <c r="G5" s="1">
        <v>83</v>
      </c>
      <c r="H5">
        <f t="shared" ref="H5:H15" si="1">ABS(I4-I5)</f>
        <v>1</v>
      </c>
      <c r="I5" s="1">
        <v>0</v>
      </c>
      <c r="J5" s="1">
        <v>1</v>
      </c>
      <c r="K5" s="14">
        <f t="shared" si="0"/>
        <v>1</v>
      </c>
      <c r="L5" s="14">
        <f t="shared" ref="L5:L15" si="2">I5*$P$4</f>
        <v>0</v>
      </c>
      <c r="M5" s="14">
        <f t="shared" ref="M5:M15" si="3">J5*$P$5</f>
        <v>110</v>
      </c>
      <c r="O5" t="s">
        <v>73</v>
      </c>
      <c r="P5">
        <v>110</v>
      </c>
    </row>
    <row r="6" spans="1:16" ht="15.6" thickTop="1" thickBot="1" x14ac:dyDescent="0.35">
      <c r="A6" t="s">
        <v>74</v>
      </c>
      <c r="B6">
        <v>40</v>
      </c>
      <c r="C6">
        <v>46</v>
      </c>
      <c r="D6">
        <f t="shared" ref="D6:E15" si="4">D5+F6-B6</f>
        <v>31</v>
      </c>
      <c r="E6">
        <f t="shared" si="4"/>
        <v>0</v>
      </c>
      <c r="F6" s="1">
        <v>71</v>
      </c>
      <c r="G6" s="1">
        <v>0</v>
      </c>
      <c r="H6">
        <f t="shared" si="1"/>
        <v>1</v>
      </c>
      <c r="I6" s="1">
        <v>1</v>
      </c>
      <c r="J6" s="1">
        <v>0</v>
      </c>
      <c r="K6" s="14">
        <f t="shared" si="0"/>
        <v>1</v>
      </c>
      <c r="L6" s="14">
        <f t="shared" si="2"/>
        <v>100</v>
      </c>
      <c r="M6" s="14">
        <f t="shared" si="3"/>
        <v>0</v>
      </c>
      <c r="O6" t="s">
        <v>75</v>
      </c>
      <c r="P6">
        <v>15000000</v>
      </c>
    </row>
    <row r="7" spans="1:16" ht="15.6" thickTop="1" thickBot="1" x14ac:dyDescent="0.35">
      <c r="A7" t="s">
        <v>76</v>
      </c>
      <c r="B7">
        <v>31</v>
      </c>
      <c r="C7">
        <v>38</v>
      </c>
      <c r="D7">
        <f t="shared" si="4"/>
        <v>0</v>
      </c>
      <c r="E7">
        <f t="shared" si="4"/>
        <v>36</v>
      </c>
      <c r="F7" s="1">
        <v>0</v>
      </c>
      <c r="G7" s="1">
        <v>74</v>
      </c>
      <c r="H7">
        <f t="shared" si="1"/>
        <v>1</v>
      </c>
      <c r="I7" s="1">
        <v>0</v>
      </c>
      <c r="J7" s="1">
        <v>1</v>
      </c>
      <c r="K7" s="14">
        <f t="shared" si="0"/>
        <v>1</v>
      </c>
      <c r="L7" s="14">
        <f t="shared" si="2"/>
        <v>0</v>
      </c>
      <c r="M7" s="14">
        <f t="shared" si="3"/>
        <v>110</v>
      </c>
      <c r="O7" t="s">
        <v>77</v>
      </c>
      <c r="P7">
        <v>7000</v>
      </c>
    </row>
    <row r="8" spans="1:16" ht="15.6" thickTop="1" thickBot="1" x14ac:dyDescent="0.35">
      <c r="A8" t="s">
        <v>78</v>
      </c>
      <c r="B8">
        <v>30</v>
      </c>
      <c r="C8">
        <v>36</v>
      </c>
      <c r="D8">
        <f t="shared" si="4"/>
        <v>33</v>
      </c>
      <c r="E8">
        <f t="shared" si="4"/>
        <v>0</v>
      </c>
      <c r="F8" s="1">
        <v>63</v>
      </c>
      <c r="G8" s="1">
        <v>0</v>
      </c>
      <c r="H8">
        <f t="shared" si="1"/>
        <v>1</v>
      </c>
      <c r="I8" s="1">
        <v>1</v>
      </c>
      <c r="J8" s="1">
        <v>0</v>
      </c>
      <c r="K8" s="14">
        <f t="shared" si="0"/>
        <v>1</v>
      </c>
      <c r="L8" s="14">
        <f t="shared" si="2"/>
        <v>100</v>
      </c>
      <c r="M8" s="14">
        <f t="shared" si="3"/>
        <v>0</v>
      </c>
      <c r="O8" t="s">
        <v>79</v>
      </c>
      <c r="P8">
        <v>6000</v>
      </c>
    </row>
    <row r="9" spans="1:16" ht="15.6" thickTop="1" thickBot="1" x14ac:dyDescent="0.35">
      <c r="A9" t="s">
        <v>80</v>
      </c>
      <c r="B9">
        <v>33</v>
      </c>
      <c r="C9">
        <v>43</v>
      </c>
      <c r="D9">
        <f t="shared" si="4"/>
        <v>0</v>
      </c>
      <c r="E9">
        <f t="shared" si="4"/>
        <v>42</v>
      </c>
      <c r="F9" s="1">
        <v>0</v>
      </c>
      <c r="G9" s="1">
        <v>85</v>
      </c>
      <c r="H9">
        <f t="shared" si="1"/>
        <v>1</v>
      </c>
      <c r="I9" s="1">
        <v>0</v>
      </c>
      <c r="J9" s="1">
        <v>1</v>
      </c>
      <c r="K9" s="14">
        <f t="shared" si="0"/>
        <v>1</v>
      </c>
      <c r="L9" s="14">
        <f t="shared" si="2"/>
        <v>0</v>
      </c>
      <c r="M9" s="14">
        <f t="shared" si="3"/>
        <v>110</v>
      </c>
      <c r="O9" t="s">
        <v>81</v>
      </c>
      <c r="P9">
        <v>7700</v>
      </c>
    </row>
    <row r="10" spans="1:16" ht="15.6" thickTop="1" thickBot="1" x14ac:dyDescent="0.35">
      <c r="A10" t="s">
        <v>82</v>
      </c>
      <c r="B10">
        <v>32</v>
      </c>
      <c r="C10">
        <v>42</v>
      </c>
      <c r="D10">
        <f t="shared" si="4"/>
        <v>41</v>
      </c>
      <c r="E10">
        <f t="shared" si="4"/>
        <v>0</v>
      </c>
      <c r="F10" s="1">
        <v>73</v>
      </c>
      <c r="G10" s="1">
        <v>0</v>
      </c>
      <c r="H10">
        <f t="shared" si="1"/>
        <v>1</v>
      </c>
      <c r="I10" s="1">
        <v>1</v>
      </c>
      <c r="J10" s="1">
        <v>0</v>
      </c>
      <c r="K10" s="14">
        <f t="shared" si="0"/>
        <v>1</v>
      </c>
      <c r="L10" s="14">
        <f t="shared" si="2"/>
        <v>100</v>
      </c>
      <c r="M10" s="14">
        <f t="shared" si="3"/>
        <v>0</v>
      </c>
      <c r="O10" t="s">
        <v>83</v>
      </c>
      <c r="P10">
        <v>6600</v>
      </c>
    </row>
    <row r="11" spans="1:16" ht="15.6" thickTop="1" thickBot="1" x14ac:dyDescent="0.35">
      <c r="A11" t="s">
        <v>84</v>
      </c>
      <c r="B11">
        <v>41</v>
      </c>
      <c r="C11">
        <v>41</v>
      </c>
      <c r="D11">
        <f t="shared" si="4"/>
        <v>0</v>
      </c>
      <c r="E11">
        <f t="shared" si="4"/>
        <v>44</v>
      </c>
      <c r="F11" s="1">
        <v>0</v>
      </c>
      <c r="G11" s="1">
        <v>85</v>
      </c>
      <c r="H11">
        <f t="shared" si="1"/>
        <v>1</v>
      </c>
      <c r="I11" s="1">
        <v>0</v>
      </c>
      <c r="J11" s="1">
        <v>1</v>
      </c>
      <c r="K11" s="14">
        <f t="shared" si="0"/>
        <v>1</v>
      </c>
      <c r="L11" s="14">
        <f t="shared" si="2"/>
        <v>0</v>
      </c>
      <c r="M11" s="14">
        <f t="shared" si="3"/>
        <v>110</v>
      </c>
      <c r="O11" t="s">
        <v>85</v>
      </c>
      <c r="P11">
        <v>700</v>
      </c>
    </row>
    <row r="12" spans="1:16" ht="15.6" thickTop="1" thickBot="1" x14ac:dyDescent="0.35">
      <c r="A12" t="s">
        <v>86</v>
      </c>
      <c r="B12">
        <v>40</v>
      </c>
      <c r="C12">
        <v>44</v>
      </c>
      <c r="D12">
        <f t="shared" si="4"/>
        <v>38</v>
      </c>
      <c r="E12">
        <f t="shared" si="4"/>
        <v>0</v>
      </c>
      <c r="F12" s="1">
        <v>78</v>
      </c>
      <c r="G12" s="1">
        <v>0</v>
      </c>
      <c r="H12">
        <f t="shared" si="1"/>
        <v>1</v>
      </c>
      <c r="I12" s="1">
        <v>1</v>
      </c>
      <c r="J12" s="1">
        <v>0</v>
      </c>
      <c r="K12" s="14">
        <f t="shared" si="0"/>
        <v>1</v>
      </c>
      <c r="L12" s="14">
        <f t="shared" si="2"/>
        <v>100</v>
      </c>
      <c r="M12" s="14">
        <f t="shared" si="3"/>
        <v>0</v>
      </c>
      <c r="O12" t="s">
        <v>87</v>
      </c>
      <c r="P12">
        <v>600</v>
      </c>
    </row>
    <row r="13" spans="1:16" ht="15.6" thickTop="1" thickBot="1" x14ac:dyDescent="0.35">
      <c r="A13" t="s">
        <v>88</v>
      </c>
      <c r="B13">
        <v>38</v>
      </c>
      <c r="C13">
        <v>47</v>
      </c>
      <c r="D13">
        <f t="shared" si="4"/>
        <v>0</v>
      </c>
      <c r="E13">
        <f t="shared" si="4"/>
        <v>48</v>
      </c>
      <c r="F13" s="1">
        <v>0</v>
      </c>
      <c r="G13" s="1">
        <v>95</v>
      </c>
      <c r="H13">
        <f t="shared" si="1"/>
        <v>1</v>
      </c>
      <c r="I13" s="1">
        <v>0</v>
      </c>
      <c r="J13" s="1">
        <v>1</v>
      </c>
      <c r="K13" s="14">
        <f t="shared" si="0"/>
        <v>1</v>
      </c>
      <c r="L13" s="14">
        <f t="shared" si="2"/>
        <v>0</v>
      </c>
      <c r="M13" s="14">
        <f t="shared" si="3"/>
        <v>110</v>
      </c>
    </row>
    <row r="14" spans="1:16" ht="15.6" thickTop="1" thickBot="1" x14ac:dyDescent="0.35">
      <c r="A14" t="s">
        <v>89</v>
      </c>
      <c r="B14">
        <v>41</v>
      </c>
      <c r="C14">
        <v>48</v>
      </c>
      <c r="D14">
        <f t="shared" si="4"/>
        <v>40</v>
      </c>
      <c r="E14">
        <f t="shared" si="4"/>
        <v>0</v>
      </c>
      <c r="F14" s="1">
        <v>81</v>
      </c>
      <c r="G14" s="1">
        <v>0</v>
      </c>
      <c r="H14">
        <f t="shared" si="1"/>
        <v>1</v>
      </c>
      <c r="I14" s="1">
        <v>1</v>
      </c>
      <c r="J14" s="1">
        <v>0</v>
      </c>
      <c r="K14" s="14">
        <f t="shared" si="0"/>
        <v>1</v>
      </c>
      <c r="L14" s="14">
        <f t="shared" si="2"/>
        <v>100</v>
      </c>
      <c r="M14" s="14">
        <f t="shared" si="3"/>
        <v>0</v>
      </c>
      <c r="O14" t="s">
        <v>90</v>
      </c>
      <c r="P14">
        <f>(SUM(F4:F9)*P7+SUM(F10:F15)*P9)*1000</f>
        <v>2885400000</v>
      </c>
    </row>
    <row r="15" spans="1:16" ht="15.6" thickTop="1" thickBot="1" x14ac:dyDescent="0.35">
      <c r="A15" t="s">
        <v>91</v>
      </c>
      <c r="B15">
        <v>40</v>
      </c>
      <c r="C15">
        <v>46</v>
      </c>
      <c r="D15">
        <f t="shared" si="4"/>
        <v>0</v>
      </c>
      <c r="E15">
        <f t="shared" si="4"/>
        <v>0</v>
      </c>
      <c r="F15" s="1">
        <v>0</v>
      </c>
      <c r="G15" s="1">
        <v>46</v>
      </c>
      <c r="H15">
        <f t="shared" si="1"/>
        <v>1</v>
      </c>
      <c r="I15" s="1">
        <v>0</v>
      </c>
      <c r="J15" s="1">
        <v>1</v>
      </c>
      <c r="K15" s="14">
        <f t="shared" si="0"/>
        <v>1</v>
      </c>
      <c r="L15" s="14">
        <f t="shared" si="2"/>
        <v>0</v>
      </c>
      <c r="M15" s="14">
        <f t="shared" si="3"/>
        <v>110</v>
      </c>
      <c r="O15" t="s">
        <v>92</v>
      </c>
      <c r="P15">
        <f>(SUM(G4:G9)*P8+SUM(G10:G15)*P10)*1000</f>
        <v>2943600000</v>
      </c>
    </row>
    <row r="16" spans="1:16" ht="15" thickTop="1" x14ac:dyDescent="0.3">
      <c r="O16" t="s">
        <v>93</v>
      </c>
      <c r="P16">
        <f>(P11*SUM(D4:D15)+P12*SUM(E4:E15))*1000</f>
        <v>289800000</v>
      </c>
    </row>
    <row r="17" spans="1:17" x14ac:dyDescent="0.3">
      <c r="O17" t="s">
        <v>94</v>
      </c>
      <c r="P17">
        <f>SUM(H4:H15)*P6</f>
        <v>165000000</v>
      </c>
    </row>
    <row r="18" spans="1:17" x14ac:dyDescent="0.3">
      <c r="O18" t="s">
        <v>95</v>
      </c>
      <c r="P18" s="7">
        <f>SUM(P14:P17)</f>
        <v>6283800000</v>
      </c>
    </row>
    <row r="20" spans="1:17" x14ac:dyDescent="0.3">
      <c r="A20" s="3" t="s">
        <v>171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5712-89FD-4737-864D-39766FA3F762}">
  <dimension ref="B1:V24"/>
  <sheetViews>
    <sheetView topLeftCell="B6" workbookViewId="0">
      <selection activeCell="I25" sqref="I25"/>
    </sheetView>
  </sheetViews>
  <sheetFormatPr defaultRowHeight="14.4" x14ac:dyDescent="0.3"/>
  <cols>
    <col min="5" max="6" width="10.21875" bestFit="1" customWidth="1"/>
    <col min="8" max="9" width="9.6640625" bestFit="1" customWidth="1"/>
    <col min="12" max="13" width="10.21875" bestFit="1" customWidth="1"/>
    <col min="16" max="16" width="9.6640625" bestFit="1" customWidth="1"/>
  </cols>
  <sheetData>
    <row r="1" spans="3:22" x14ac:dyDescent="0.3">
      <c r="G1" t="s">
        <v>96</v>
      </c>
    </row>
    <row r="2" spans="3:22" x14ac:dyDescent="0.3"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</row>
    <row r="3" spans="3:22" x14ac:dyDescent="0.3">
      <c r="F3" t="s">
        <v>98</v>
      </c>
      <c r="G3">
        <v>0</v>
      </c>
      <c r="H3">
        <v>5</v>
      </c>
      <c r="I3">
        <v>10</v>
      </c>
      <c r="J3">
        <v>15</v>
      </c>
      <c r="K3">
        <v>20</v>
      </c>
      <c r="L3">
        <v>15</v>
      </c>
      <c r="O3" t="s">
        <v>98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</row>
    <row r="4" spans="3:22" x14ac:dyDescent="0.3">
      <c r="F4" t="s">
        <v>99</v>
      </c>
      <c r="G4">
        <v>5</v>
      </c>
      <c r="H4">
        <v>0</v>
      </c>
      <c r="I4">
        <v>8</v>
      </c>
      <c r="J4">
        <v>10</v>
      </c>
      <c r="K4">
        <v>15</v>
      </c>
      <c r="L4">
        <v>12</v>
      </c>
      <c r="O4" t="s">
        <v>99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3:22" x14ac:dyDescent="0.3">
      <c r="F5" t="s">
        <v>100</v>
      </c>
      <c r="G5">
        <v>10</v>
      </c>
      <c r="H5">
        <v>8</v>
      </c>
      <c r="I5">
        <v>0</v>
      </c>
      <c r="J5">
        <v>15</v>
      </c>
      <c r="K5">
        <v>20</v>
      </c>
      <c r="L5">
        <v>10</v>
      </c>
      <c r="O5" t="s">
        <v>100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</row>
    <row r="6" spans="3:22" x14ac:dyDescent="0.3">
      <c r="F6" t="s">
        <v>101</v>
      </c>
      <c r="G6">
        <v>15</v>
      </c>
      <c r="H6">
        <v>10</v>
      </c>
      <c r="I6">
        <v>15</v>
      </c>
      <c r="J6">
        <v>0</v>
      </c>
      <c r="K6">
        <v>10</v>
      </c>
      <c r="L6">
        <v>12</v>
      </c>
      <c r="O6" t="s">
        <v>101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</row>
    <row r="7" spans="3:22" x14ac:dyDescent="0.3">
      <c r="F7" t="s">
        <v>102</v>
      </c>
      <c r="G7">
        <v>20</v>
      </c>
      <c r="H7">
        <v>15</v>
      </c>
      <c r="I7">
        <v>20</v>
      </c>
      <c r="J7">
        <v>10</v>
      </c>
      <c r="K7">
        <v>0</v>
      </c>
      <c r="L7">
        <v>12</v>
      </c>
      <c r="O7" t="s">
        <v>102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3:22" x14ac:dyDescent="0.3">
      <c r="F8" t="s">
        <v>103</v>
      </c>
      <c r="G8">
        <v>15</v>
      </c>
      <c r="H8">
        <v>12</v>
      </c>
      <c r="I8">
        <v>10</v>
      </c>
      <c r="J8">
        <v>12</v>
      </c>
      <c r="K8">
        <v>12</v>
      </c>
      <c r="L8">
        <v>0</v>
      </c>
      <c r="O8" t="s">
        <v>103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</row>
    <row r="9" spans="3:22" x14ac:dyDescent="0.3">
      <c r="F9" t="s">
        <v>104</v>
      </c>
      <c r="O9" t="s">
        <v>105</v>
      </c>
    </row>
    <row r="10" spans="3:22" x14ac:dyDescent="0.3">
      <c r="O10" t="s">
        <v>106</v>
      </c>
    </row>
    <row r="12" spans="3:22" x14ac:dyDescent="0.3">
      <c r="G12" t="s">
        <v>107</v>
      </c>
      <c r="M12" t="s">
        <v>108</v>
      </c>
      <c r="P12" t="s">
        <v>107</v>
      </c>
    </row>
    <row r="13" spans="3:22" ht="15" thickBot="1" x14ac:dyDescent="0.35">
      <c r="D13" t="s">
        <v>109</v>
      </c>
      <c r="F13" t="s">
        <v>110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O13" t="s">
        <v>111</v>
      </c>
      <c r="P13" t="s">
        <v>98</v>
      </c>
      <c r="Q13" t="s">
        <v>99</v>
      </c>
      <c r="R13" t="s">
        <v>100</v>
      </c>
      <c r="S13" t="s">
        <v>101</v>
      </c>
      <c r="T13" t="s">
        <v>102</v>
      </c>
      <c r="U13" t="s">
        <v>103</v>
      </c>
      <c r="V13" t="s">
        <v>112</v>
      </c>
    </row>
    <row r="14" spans="3:22" ht="15.6" thickTop="1" thickBot="1" x14ac:dyDescent="0.35">
      <c r="C14" t="s">
        <v>98</v>
      </c>
      <c r="D14" s="1">
        <v>0</v>
      </c>
      <c r="F14" t="s">
        <v>98</v>
      </c>
      <c r="G14" s="18">
        <f t="shared" ref="G14:G19" si="0">$D$14</f>
        <v>0</v>
      </c>
      <c r="H14" s="18">
        <f t="shared" ref="H14:H19" si="1">$D$15</f>
        <v>0</v>
      </c>
      <c r="I14" s="18">
        <f t="shared" ref="I14:I19" si="2">$D$16</f>
        <v>1</v>
      </c>
      <c r="J14" s="18">
        <f t="shared" ref="J14:J19" si="3">$D$17</f>
        <v>1</v>
      </c>
      <c r="K14" s="18">
        <f t="shared" ref="K14:K19" si="4">$D$18</f>
        <v>0</v>
      </c>
      <c r="L14" s="18">
        <f t="shared" ref="L14:L19" si="5">$D$19</f>
        <v>0</v>
      </c>
      <c r="M14" s="14">
        <f t="shared" ref="M14:M19" si="6">SUM(G14:L14)</f>
        <v>2</v>
      </c>
      <c r="O14" t="s">
        <v>98</v>
      </c>
      <c r="P14">
        <f t="shared" ref="P14:U19" si="7">G14*P3</f>
        <v>0</v>
      </c>
      <c r="Q14">
        <f t="shared" si="7"/>
        <v>0</v>
      </c>
      <c r="R14">
        <f t="shared" si="7"/>
        <v>1</v>
      </c>
      <c r="S14">
        <f t="shared" si="7"/>
        <v>0</v>
      </c>
      <c r="T14">
        <f t="shared" si="7"/>
        <v>0</v>
      </c>
      <c r="U14">
        <f t="shared" si="7"/>
        <v>0</v>
      </c>
      <c r="V14" s="14">
        <f t="shared" ref="V14:V19" si="8">SUM(P14:U14)</f>
        <v>1</v>
      </c>
    </row>
    <row r="15" spans="3:22" ht="15.6" thickTop="1" thickBot="1" x14ac:dyDescent="0.35">
      <c r="C15" t="s">
        <v>99</v>
      </c>
      <c r="D15" s="1">
        <v>0</v>
      </c>
      <c r="F15" t="s">
        <v>99</v>
      </c>
      <c r="G15" s="18">
        <f t="shared" si="0"/>
        <v>0</v>
      </c>
      <c r="H15" s="18">
        <f t="shared" si="1"/>
        <v>0</v>
      </c>
      <c r="I15" s="18">
        <f t="shared" si="2"/>
        <v>1</v>
      </c>
      <c r="J15" s="18">
        <f t="shared" si="3"/>
        <v>1</v>
      </c>
      <c r="K15" s="18">
        <f t="shared" si="4"/>
        <v>0</v>
      </c>
      <c r="L15" s="18">
        <f t="shared" si="5"/>
        <v>0</v>
      </c>
      <c r="M15" s="14">
        <f t="shared" si="6"/>
        <v>2</v>
      </c>
      <c r="O15" t="s">
        <v>99</v>
      </c>
      <c r="P15">
        <f t="shared" si="7"/>
        <v>0</v>
      </c>
      <c r="Q15">
        <f t="shared" si="7"/>
        <v>0</v>
      </c>
      <c r="R15">
        <f t="shared" si="7"/>
        <v>1</v>
      </c>
      <c r="S15">
        <f t="shared" si="7"/>
        <v>1</v>
      </c>
      <c r="T15">
        <f t="shared" si="7"/>
        <v>0</v>
      </c>
      <c r="U15">
        <f t="shared" si="7"/>
        <v>0</v>
      </c>
      <c r="V15" s="14">
        <f t="shared" si="8"/>
        <v>2</v>
      </c>
    </row>
    <row r="16" spans="3:22" ht="15.6" thickTop="1" thickBot="1" x14ac:dyDescent="0.35">
      <c r="C16" t="s">
        <v>100</v>
      </c>
      <c r="D16" s="1">
        <v>1</v>
      </c>
      <c r="F16" t="s">
        <v>100</v>
      </c>
      <c r="G16" s="18">
        <f t="shared" si="0"/>
        <v>0</v>
      </c>
      <c r="H16" s="18">
        <f t="shared" si="1"/>
        <v>0</v>
      </c>
      <c r="I16" s="18">
        <f t="shared" si="2"/>
        <v>1</v>
      </c>
      <c r="J16" s="18">
        <f t="shared" si="3"/>
        <v>1</v>
      </c>
      <c r="K16" s="18">
        <f t="shared" si="4"/>
        <v>0</v>
      </c>
      <c r="L16" s="18">
        <f t="shared" si="5"/>
        <v>0</v>
      </c>
      <c r="M16" s="14">
        <f t="shared" si="6"/>
        <v>2</v>
      </c>
      <c r="O16" t="s">
        <v>100</v>
      </c>
      <c r="P16">
        <f t="shared" si="7"/>
        <v>0</v>
      </c>
      <c r="Q16">
        <f t="shared" si="7"/>
        <v>0</v>
      </c>
      <c r="R16">
        <f t="shared" si="7"/>
        <v>1</v>
      </c>
      <c r="S16">
        <f t="shared" si="7"/>
        <v>0</v>
      </c>
      <c r="T16">
        <f t="shared" si="7"/>
        <v>0</v>
      </c>
      <c r="U16">
        <f t="shared" si="7"/>
        <v>0</v>
      </c>
      <c r="V16" s="14">
        <f t="shared" si="8"/>
        <v>1</v>
      </c>
    </row>
    <row r="17" spans="2:22" ht="15.6" thickTop="1" thickBot="1" x14ac:dyDescent="0.35">
      <c r="C17" t="s">
        <v>101</v>
      </c>
      <c r="D17" s="1">
        <v>1</v>
      </c>
      <c r="F17" t="s">
        <v>101</v>
      </c>
      <c r="G17" s="18">
        <f t="shared" si="0"/>
        <v>0</v>
      </c>
      <c r="H17" s="18">
        <f t="shared" si="1"/>
        <v>0</v>
      </c>
      <c r="I17" s="18">
        <f t="shared" si="2"/>
        <v>1</v>
      </c>
      <c r="J17" s="18">
        <f t="shared" si="3"/>
        <v>1</v>
      </c>
      <c r="K17" s="18">
        <f t="shared" si="4"/>
        <v>0</v>
      </c>
      <c r="L17" s="18">
        <f t="shared" si="5"/>
        <v>0</v>
      </c>
      <c r="M17" s="14">
        <f t="shared" si="6"/>
        <v>2</v>
      </c>
      <c r="O17" t="s">
        <v>101</v>
      </c>
      <c r="P17">
        <f t="shared" si="7"/>
        <v>0</v>
      </c>
      <c r="Q17">
        <f t="shared" si="7"/>
        <v>0</v>
      </c>
      <c r="R17">
        <f t="shared" si="7"/>
        <v>0</v>
      </c>
      <c r="S17">
        <f t="shared" si="7"/>
        <v>1</v>
      </c>
      <c r="T17">
        <f t="shared" si="7"/>
        <v>0</v>
      </c>
      <c r="U17">
        <f t="shared" si="7"/>
        <v>0</v>
      </c>
      <c r="V17" s="14">
        <f t="shared" si="8"/>
        <v>1</v>
      </c>
    </row>
    <row r="18" spans="2:22" ht="15.6" thickTop="1" thickBot="1" x14ac:dyDescent="0.35">
      <c r="C18" t="s">
        <v>102</v>
      </c>
      <c r="D18" s="1">
        <v>0</v>
      </c>
      <c r="F18" t="s">
        <v>102</v>
      </c>
      <c r="G18" s="18">
        <f t="shared" si="0"/>
        <v>0</v>
      </c>
      <c r="H18" s="18">
        <f t="shared" si="1"/>
        <v>0</v>
      </c>
      <c r="I18" s="18">
        <f t="shared" si="2"/>
        <v>1</v>
      </c>
      <c r="J18" s="18">
        <f t="shared" si="3"/>
        <v>1</v>
      </c>
      <c r="K18" s="18">
        <f t="shared" si="4"/>
        <v>0</v>
      </c>
      <c r="L18" s="18">
        <f t="shared" si="5"/>
        <v>0</v>
      </c>
      <c r="M18" s="14">
        <f t="shared" si="6"/>
        <v>2</v>
      </c>
      <c r="O18" t="s">
        <v>102</v>
      </c>
      <c r="P18">
        <f t="shared" si="7"/>
        <v>0</v>
      </c>
      <c r="Q18">
        <f t="shared" si="7"/>
        <v>0</v>
      </c>
      <c r="R18">
        <f t="shared" si="7"/>
        <v>0</v>
      </c>
      <c r="S18">
        <f t="shared" si="7"/>
        <v>1</v>
      </c>
      <c r="T18">
        <f t="shared" si="7"/>
        <v>0</v>
      </c>
      <c r="U18">
        <f t="shared" si="7"/>
        <v>0</v>
      </c>
      <c r="V18" s="14">
        <f t="shared" si="8"/>
        <v>1</v>
      </c>
    </row>
    <row r="19" spans="2:22" ht="15.6" thickTop="1" thickBot="1" x14ac:dyDescent="0.35">
      <c r="C19" t="s">
        <v>103</v>
      </c>
      <c r="D19" s="1">
        <v>0</v>
      </c>
      <c r="F19" t="s">
        <v>103</v>
      </c>
      <c r="G19" s="18">
        <f t="shared" si="0"/>
        <v>0</v>
      </c>
      <c r="H19" s="18">
        <f t="shared" si="1"/>
        <v>0</v>
      </c>
      <c r="I19" s="18">
        <f t="shared" si="2"/>
        <v>1</v>
      </c>
      <c r="J19" s="18">
        <f t="shared" si="3"/>
        <v>1</v>
      </c>
      <c r="K19" s="18">
        <f t="shared" si="4"/>
        <v>0</v>
      </c>
      <c r="L19" s="18">
        <f t="shared" si="5"/>
        <v>0</v>
      </c>
      <c r="M19" s="14">
        <f t="shared" si="6"/>
        <v>2</v>
      </c>
      <c r="O19" t="s">
        <v>103</v>
      </c>
      <c r="P19">
        <f t="shared" si="7"/>
        <v>0</v>
      </c>
      <c r="Q19">
        <f t="shared" si="7"/>
        <v>0</v>
      </c>
      <c r="R19">
        <f t="shared" si="7"/>
        <v>1</v>
      </c>
      <c r="S19">
        <f t="shared" si="7"/>
        <v>0</v>
      </c>
      <c r="T19">
        <f t="shared" si="7"/>
        <v>0</v>
      </c>
      <c r="U19">
        <f t="shared" si="7"/>
        <v>0</v>
      </c>
      <c r="V19" s="14">
        <f t="shared" si="8"/>
        <v>1</v>
      </c>
    </row>
    <row r="20" spans="2:22" ht="15" thickTop="1" x14ac:dyDescent="0.3">
      <c r="D20" s="19">
        <f>SUM(D14:D19)</f>
        <v>2</v>
      </c>
      <c r="F20" t="s">
        <v>104</v>
      </c>
      <c r="O20" t="s">
        <v>104</v>
      </c>
    </row>
    <row r="24" spans="2:22" x14ac:dyDescent="0.3">
      <c r="B24" s="3" t="s">
        <v>172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1546-AADE-4441-9C4A-423981614496}">
  <dimension ref="A1:I20"/>
  <sheetViews>
    <sheetView zoomScaleNormal="100" workbookViewId="0">
      <selection activeCell="G20" sqref="G20"/>
    </sheetView>
  </sheetViews>
  <sheetFormatPr defaultRowHeight="13.2" x14ac:dyDescent="0.25"/>
  <cols>
    <col min="1" max="1" width="8.88671875" style="21"/>
    <col min="2" max="2" width="11.5546875" style="21" customWidth="1"/>
    <col min="3" max="3" width="10.33203125" style="21" customWidth="1"/>
    <col min="4" max="4" width="11.109375" style="21" customWidth="1"/>
    <col min="5" max="5" width="10.44140625" style="21" customWidth="1"/>
    <col min="6" max="6" width="10.6640625" style="21" customWidth="1"/>
    <col min="7" max="7" width="11.44140625" style="21" customWidth="1"/>
    <col min="8" max="8" width="10.109375" style="21" customWidth="1"/>
    <col min="9" max="9" width="9.5546875" style="21" customWidth="1"/>
    <col min="10" max="16384" width="8.88671875" style="21"/>
  </cols>
  <sheetData>
    <row r="1" spans="1:9" ht="15.6" x14ac:dyDescent="0.3">
      <c r="A1" s="20" t="s">
        <v>113</v>
      </c>
    </row>
    <row r="4" spans="1:9" x14ac:dyDescent="0.25">
      <c r="A4" s="22"/>
      <c r="B4" s="23" t="s">
        <v>114</v>
      </c>
      <c r="C4" s="24" t="s">
        <v>115</v>
      </c>
      <c r="D4" s="23" t="s">
        <v>116</v>
      </c>
      <c r="E4" s="24" t="s">
        <v>117</v>
      </c>
      <c r="F4" s="23" t="s">
        <v>118</v>
      </c>
      <c r="G4" s="23" t="s">
        <v>119</v>
      </c>
      <c r="H4" s="23" t="s">
        <v>120</v>
      </c>
      <c r="I4" s="25"/>
    </row>
    <row r="5" spans="1:9" ht="13.8" thickBot="1" x14ac:dyDescent="0.3">
      <c r="A5" s="26" t="s">
        <v>121</v>
      </c>
      <c r="B5" s="27" t="s">
        <v>58</v>
      </c>
      <c r="C5" s="28" t="s">
        <v>122</v>
      </c>
      <c r="D5" s="27" t="s">
        <v>58</v>
      </c>
      <c r="E5" s="28" t="s">
        <v>122</v>
      </c>
      <c r="F5" s="29" t="s">
        <v>58</v>
      </c>
      <c r="G5" s="29" t="s">
        <v>123</v>
      </c>
      <c r="H5" s="29" t="s">
        <v>124</v>
      </c>
      <c r="I5" s="30" t="s">
        <v>57</v>
      </c>
    </row>
    <row r="6" spans="1:9" ht="14.4" x14ac:dyDescent="0.3">
      <c r="A6" s="31">
        <v>1</v>
      </c>
      <c r="B6" s="32">
        <v>160</v>
      </c>
      <c r="C6" s="33">
        <v>160</v>
      </c>
      <c r="D6" s="32">
        <v>0</v>
      </c>
      <c r="E6" s="33">
        <v>50</v>
      </c>
      <c r="F6" s="34">
        <f t="shared" ref="F6:F11" si="0">B6+D6</f>
        <v>160</v>
      </c>
      <c r="G6" s="35">
        <f>B6+D6</f>
        <v>160</v>
      </c>
      <c r="H6" s="36">
        <v>105</v>
      </c>
      <c r="I6" s="37">
        <f>G6-H6</f>
        <v>55</v>
      </c>
    </row>
    <row r="7" spans="1:9" ht="14.4" x14ac:dyDescent="0.3">
      <c r="A7" s="31">
        <v>2</v>
      </c>
      <c r="B7" s="38">
        <v>160</v>
      </c>
      <c r="C7" s="33">
        <v>160</v>
      </c>
      <c r="D7" s="38">
        <v>0</v>
      </c>
      <c r="E7" s="33">
        <v>50</v>
      </c>
      <c r="F7" s="34">
        <f t="shared" si="0"/>
        <v>160</v>
      </c>
      <c r="G7" s="35">
        <f>B7+D7+I6</f>
        <v>215</v>
      </c>
      <c r="H7" s="36">
        <v>170</v>
      </c>
      <c r="I7" s="37">
        <f>G7-H7</f>
        <v>45</v>
      </c>
    </row>
    <row r="8" spans="1:9" ht="14.4" x14ac:dyDescent="0.3">
      <c r="A8" s="31">
        <v>3</v>
      </c>
      <c r="B8" s="38">
        <v>160</v>
      </c>
      <c r="C8" s="33">
        <v>160</v>
      </c>
      <c r="D8" s="38">
        <v>25</v>
      </c>
      <c r="E8" s="33">
        <v>50</v>
      </c>
      <c r="F8" s="34">
        <f t="shared" si="0"/>
        <v>185</v>
      </c>
      <c r="G8" s="35">
        <f>B8+D8+I7</f>
        <v>230</v>
      </c>
      <c r="H8" s="36">
        <v>230</v>
      </c>
      <c r="I8" s="37">
        <f>G8-H8</f>
        <v>0</v>
      </c>
    </row>
    <row r="9" spans="1:9" ht="14.4" x14ac:dyDescent="0.3">
      <c r="A9" s="31">
        <v>4</v>
      </c>
      <c r="B9" s="38">
        <v>160</v>
      </c>
      <c r="C9" s="33">
        <v>160</v>
      </c>
      <c r="D9" s="38">
        <v>20</v>
      </c>
      <c r="E9" s="33">
        <v>50</v>
      </c>
      <c r="F9" s="34">
        <f t="shared" si="0"/>
        <v>180</v>
      </c>
      <c r="G9" s="35">
        <f>B9+D9+I8</f>
        <v>180</v>
      </c>
      <c r="H9" s="36">
        <v>180</v>
      </c>
      <c r="I9" s="37">
        <f>G9-H9</f>
        <v>0</v>
      </c>
    </row>
    <row r="10" spans="1:9" ht="14.4" x14ac:dyDescent="0.3">
      <c r="A10" s="31">
        <v>5</v>
      </c>
      <c r="B10" s="38">
        <v>160</v>
      </c>
      <c r="C10" s="33">
        <v>160</v>
      </c>
      <c r="D10" s="38">
        <v>30</v>
      </c>
      <c r="E10" s="33">
        <v>50</v>
      </c>
      <c r="F10" s="34">
        <f t="shared" si="0"/>
        <v>190</v>
      </c>
      <c r="G10" s="35">
        <f>B10+D10+I9</f>
        <v>190</v>
      </c>
      <c r="H10" s="36">
        <v>150</v>
      </c>
      <c r="I10" s="37">
        <f>G10-H10</f>
        <v>40</v>
      </c>
    </row>
    <row r="11" spans="1:9" ht="15" thickBot="1" x14ac:dyDescent="0.35">
      <c r="A11" s="39">
        <v>6</v>
      </c>
      <c r="B11" s="40">
        <v>160</v>
      </c>
      <c r="C11" s="41">
        <v>160</v>
      </c>
      <c r="D11" s="40">
        <v>50</v>
      </c>
      <c r="E11" s="41">
        <v>50</v>
      </c>
      <c r="F11" s="34">
        <f t="shared" si="0"/>
        <v>210</v>
      </c>
      <c r="G11" s="35">
        <f>B11+D11+I10</f>
        <v>250</v>
      </c>
      <c r="H11" s="36">
        <v>250</v>
      </c>
      <c r="I11" s="42"/>
    </row>
    <row r="12" spans="1:9" ht="14.4" x14ac:dyDescent="0.3">
      <c r="B12" s="43">
        <v>190</v>
      </c>
      <c r="D12" s="43">
        <v>260</v>
      </c>
      <c r="G12" s="44" t="s">
        <v>125</v>
      </c>
      <c r="I12" s="43">
        <v>10</v>
      </c>
    </row>
    <row r="13" spans="1:9" ht="14.4" x14ac:dyDescent="0.3">
      <c r="A13" s="7" t="s">
        <v>126</v>
      </c>
      <c r="B13" s="7"/>
      <c r="C13" s="45">
        <f>B12*SUM(B6:B11)+D12*SUM(D6:D11)+I12*SUM(I6:I10)</f>
        <v>216300</v>
      </c>
    </row>
    <row r="19" spans="1:5" ht="14.4" x14ac:dyDescent="0.3">
      <c r="A19" s="3" t="s">
        <v>173</v>
      </c>
      <c r="B19" s="3"/>
      <c r="C19" s="3"/>
      <c r="D19" s="3"/>
      <c r="E19" s="3"/>
    </row>
    <row r="20" spans="1:5" ht="14.4" x14ac:dyDescent="0.3">
      <c r="A20" s="3" t="s">
        <v>174</v>
      </c>
      <c r="B20" s="3"/>
      <c r="C20" s="3"/>
      <c r="D20" s="3"/>
      <c r="E20" s="3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817-234E-49D7-BC00-E2B5C3104D77}">
  <dimension ref="A2:H20"/>
  <sheetViews>
    <sheetView zoomScaleNormal="100" workbookViewId="0">
      <selection activeCell="I19" sqref="I19"/>
    </sheetView>
  </sheetViews>
  <sheetFormatPr defaultRowHeight="14.4" x14ac:dyDescent="0.3"/>
  <cols>
    <col min="4" max="4" width="11.44140625" bestFit="1" customWidth="1"/>
    <col min="5" max="5" width="9.33203125" customWidth="1"/>
    <col min="6" max="6" width="12" customWidth="1"/>
    <col min="7" max="7" width="9.5546875" customWidth="1"/>
    <col min="8" max="8" width="11.44140625" bestFit="1" customWidth="1"/>
    <col min="10" max="10" width="12.33203125" bestFit="1" customWidth="1"/>
  </cols>
  <sheetData>
    <row r="2" spans="2:8" x14ac:dyDescent="0.3">
      <c r="C2" s="12" t="s">
        <v>127</v>
      </c>
    </row>
    <row r="3" spans="2:8" ht="15" thickBot="1" x14ac:dyDescent="0.35">
      <c r="B3" s="46" t="s">
        <v>128</v>
      </c>
      <c r="C3" s="46" t="s">
        <v>129</v>
      </c>
      <c r="D3" s="46" t="s">
        <v>130</v>
      </c>
      <c r="E3" s="46" t="s">
        <v>131</v>
      </c>
      <c r="F3" s="47" t="s">
        <v>132</v>
      </c>
    </row>
    <row r="4" spans="2:8" x14ac:dyDescent="0.3">
      <c r="B4" s="48" t="s">
        <v>133</v>
      </c>
      <c r="C4" s="49">
        <v>35</v>
      </c>
      <c r="D4" s="49">
        <v>30</v>
      </c>
      <c r="E4" s="49">
        <v>40</v>
      </c>
      <c r="F4" s="50">
        <v>32</v>
      </c>
    </row>
    <row r="5" spans="2:8" x14ac:dyDescent="0.3">
      <c r="B5" s="46" t="s">
        <v>134</v>
      </c>
      <c r="C5" s="51">
        <v>37</v>
      </c>
      <c r="D5" s="51">
        <v>40</v>
      </c>
      <c r="E5" s="51">
        <v>42</v>
      </c>
      <c r="F5" s="52">
        <v>25</v>
      </c>
    </row>
    <row r="6" spans="2:8" x14ac:dyDescent="0.3">
      <c r="B6" s="53" t="s">
        <v>135</v>
      </c>
      <c r="C6" s="54">
        <v>40</v>
      </c>
      <c r="D6" s="54">
        <v>15</v>
      </c>
      <c r="E6" s="54">
        <v>20</v>
      </c>
      <c r="F6" s="55">
        <v>28</v>
      </c>
    </row>
    <row r="10" spans="2:8" x14ac:dyDescent="0.3">
      <c r="C10" s="12" t="s">
        <v>127</v>
      </c>
    </row>
    <row r="11" spans="2:8" ht="15" thickBot="1" x14ac:dyDescent="0.35">
      <c r="C11" t="s">
        <v>129</v>
      </c>
      <c r="D11" t="s">
        <v>130</v>
      </c>
      <c r="E11" t="s">
        <v>131</v>
      </c>
      <c r="F11" t="s">
        <v>132</v>
      </c>
      <c r="H11" t="s">
        <v>136</v>
      </c>
    </row>
    <row r="12" spans="2:8" x14ac:dyDescent="0.3">
      <c r="B12" t="s">
        <v>133</v>
      </c>
      <c r="C12" s="56">
        <v>850</v>
      </c>
      <c r="D12" s="57">
        <v>350</v>
      </c>
      <c r="E12" s="57">
        <v>0</v>
      </c>
      <c r="F12" s="58">
        <v>0</v>
      </c>
      <c r="G12" s="59">
        <f>SUM(C12:F12)</f>
        <v>1200</v>
      </c>
      <c r="H12" s="3">
        <v>1200</v>
      </c>
    </row>
    <row r="13" spans="2:8" x14ac:dyDescent="0.3">
      <c r="B13" t="s">
        <v>134</v>
      </c>
      <c r="C13" s="60">
        <v>250</v>
      </c>
      <c r="D13" s="61">
        <v>0</v>
      </c>
      <c r="E13" s="61">
        <v>0</v>
      </c>
      <c r="F13" s="62">
        <v>750</v>
      </c>
      <c r="G13" s="59">
        <f>SUM(C13:F13)</f>
        <v>1000</v>
      </c>
      <c r="H13" s="3">
        <v>1000</v>
      </c>
    </row>
    <row r="14" spans="2:8" ht="15" thickBot="1" x14ac:dyDescent="0.35">
      <c r="B14" t="s">
        <v>135</v>
      </c>
      <c r="C14" s="63">
        <v>0</v>
      </c>
      <c r="D14" s="64">
        <v>50</v>
      </c>
      <c r="E14" s="64">
        <v>750</v>
      </c>
      <c r="F14" s="65">
        <v>0</v>
      </c>
      <c r="G14" s="59">
        <f>SUM(C14:F14)</f>
        <v>800</v>
      </c>
      <c r="H14" s="3">
        <v>800</v>
      </c>
    </row>
    <row r="15" spans="2:8" x14ac:dyDescent="0.3">
      <c r="C15" s="66">
        <f>SUM(C12:C14)</f>
        <v>1100</v>
      </c>
      <c r="D15" s="66">
        <f>SUM(D12:D14)</f>
        <v>400</v>
      </c>
      <c r="E15" s="66">
        <f>SUM(E12:E14)</f>
        <v>750</v>
      </c>
      <c r="F15" s="66">
        <f>SUM(F12:F14)</f>
        <v>750</v>
      </c>
    </row>
    <row r="16" spans="2:8" x14ac:dyDescent="0.3">
      <c r="B16" t="s">
        <v>56</v>
      </c>
      <c r="C16" s="3">
        <v>1100</v>
      </c>
      <c r="D16" s="3">
        <v>400</v>
      </c>
      <c r="E16" s="3">
        <v>750</v>
      </c>
      <c r="F16" s="3">
        <v>750</v>
      </c>
    </row>
    <row r="17" spans="1:8" x14ac:dyDescent="0.3">
      <c r="G17" s="67" t="s">
        <v>137</v>
      </c>
      <c r="H17" s="68">
        <f>SUMPRODUCT(TransportationModel!$C$4:$F$6,C12:F14)</f>
        <v>84000</v>
      </c>
    </row>
    <row r="20" spans="1:8" x14ac:dyDescent="0.3">
      <c r="A20" s="3" t="s">
        <v>175</v>
      </c>
      <c r="B20" s="3"/>
      <c r="C20" s="3"/>
      <c r="D20" s="3"/>
      <c r="E20" s="3"/>
      <c r="F20" s="3"/>
      <c r="G20" s="3"/>
      <c r="H20" s="3"/>
    </row>
  </sheetData>
  <pageMargins left="0.7" right="0.7" top="0.75" bottom="0.75" header="0.3" footer="0.3"/>
  <pageSetup scale="8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F3C4-45C7-43D3-821E-6C494DAFDEFB}">
  <dimension ref="A1:M28"/>
  <sheetViews>
    <sheetView tabSelected="1" workbookViewId="0">
      <selection activeCell="E23" sqref="E23"/>
    </sheetView>
  </sheetViews>
  <sheetFormatPr defaultRowHeight="14.4" x14ac:dyDescent="0.3"/>
  <cols>
    <col min="1" max="1" width="22.5546875" bestFit="1" customWidth="1"/>
    <col min="2" max="2" width="22.5546875" customWidth="1"/>
    <col min="3" max="3" width="10.33203125" bestFit="1" customWidth="1"/>
    <col min="4" max="4" width="11.5546875" bestFit="1" customWidth="1"/>
    <col min="5" max="5" width="14.77734375" bestFit="1" customWidth="1"/>
  </cols>
  <sheetData>
    <row r="1" spans="1:13" x14ac:dyDescent="0.3">
      <c r="A1" t="s">
        <v>14</v>
      </c>
      <c r="B1" t="s">
        <v>37</v>
      </c>
      <c r="C1" t="s">
        <v>15</v>
      </c>
      <c r="D1" t="s">
        <v>16</v>
      </c>
      <c r="E1" t="s">
        <v>17</v>
      </c>
      <c r="F1" t="s">
        <v>18</v>
      </c>
      <c r="H1">
        <v>1</v>
      </c>
      <c r="I1" t="s">
        <v>19</v>
      </c>
    </row>
    <row r="2" spans="1:13" x14ac:dyDescent="0.3">
      <c r="A2" t="s">
        <v>0</v>
      </c>
      <c r="B2" s="8">
        <v>17333.333333333438</v>
      </c>
      <c r="C2" s="2">
        <v>0.04</v>
      </c>
      <c r="D2" t="s">
        <v>8</v>
      </c>
      <c r="E2" t="s">
        <v>11</v>
      </c>
      <c r="F2">
        <v>0</v>
      </c>
      <c r="H2">
        <v>2</v>
      </c>
      <c r="I2" t="s">
        <v>20</v>
      </c>
    </row>
    <row r="3" spans="1:13" x14ac:dyDescent="0.3">
      <c r="A3" t="s">
        <v>1</v>
      </c>
      <c r="B3" s="8">
        <v>12666.666666666562</v>
      </c>
      <c r="C3" s="2">
        <v>5.1999999999999998E-2</v>
      </c>
      <c r="D3" t="s">
        <v>8</v>
      </c>
      <c r="E3" t="s">
        <v>13</v>
      </c>
      <c r="F3">
        <v>0</v>
      </c>
      <c r="H3">
        <v>3</v>
      </c>
      <c r="I3" t="s">
        <v>21</v>
      </c>
    </row>
    <row r="4" spans="1:13" x14ac:dyDescent="0.3">
      <c r="A4" t="s">
        <v>2</v>
      </c>
      <c r="B4" s="8">
        <v>0</v>
      </c>
      <c r="C4" s="2">
        <v>7.0999999999999994E-2</v>
      </c>
      <c r="D4" t="s">
        <v>9</v>
      </c>
      <c r="E4" t="s">
        <v>11</v>
      </c>
      <c r="F4">
        <v>25</v>
      </c>
      <c r="H4">
        <v>4</v>
      </c>
      <c r="I4" t="s">
        <v>22</v>
      </c>
    </row>
    <row r="5" spans="1:13" x14ac:dyDescent="0.3">
      <c r="A5" t="s">
        <v>3</v>
      </c>
      <c r="B5" s="8">
        <v>22666.666666666566</v>
      </c>
      <c r="C5" s="2">
        <v>0.1</v>
      </c>
      <c r="D5" t="s">
        <v>9</v>
      </c>
      <c r="E5" t="s">
        <v>11</v>
      </c>
      <c r="F5">
        <v>30</v>
      </c>
    </row>
    <row r="6" spans="1:13" x14ac:dyDescent="0.3">
      <c r="A6" t="s">
        <v>4</v>
      </c>
      <c r="B6" s="8">
        <v>47333.333333333445</v>
      </c>
      <c r="C6" s="2">
        <v>8.2000000000000003E-2</v>
      </c>
      <c r="D6" t="s">
        <v>8</v>
      </c>
      <c r="E6" t="s">
        <v>12</v>
      </c>
      <c r="F6">
        <v>20</v>
      </c>
      <c r="I6" t="s">
        <v>23</v>
      </c>
    </row>
    <row r="7" spans="1:13" x14ac:dyDescent="0.3">
      <c r="A7" t="s">
        <v>5</v>
      </c>
      <c r="B7" s="8">
        <v>0</v>
      </c>
      <c r="C7" s="2">
        <v>6.5000000000000002E-2</v>
      </c>
      <c r="D7" t="s">
        <v>9</v>
      </c>
      <c r="E7" t="s">
        <v>12</v>
      </c>
      <c r="F7">
        <v>15</v>
      </c>
    </row>
    <row r="8" spans="1:13" x14ac:dyDescent="0.3">
      <c r="A8" t="s">
        <v>6</v>
      </c>
      <c r="B8" s="8">
        <v>0</v>
      </c>
      <c r="C8" s="2">
        <v>0.2</v>
      </c>
      <c r="D8" t="s">
        <v>8</v>
      </c>
      <c r="E8" t="s">
        <v>11</v>
      </c>
      <c r="F8">
        <v>65</v>
      </c>
      <c r="I8" t="s">
        <v>24</v>
      </c>
    </row>
    <row r="9" spans="1:13" x14ac:dyDescent="0.3">
      <c r="A9" t="s">
        <v>7</v>
      </c>
      <c r="B9" s="8">
        <v>0</v>
      </c>
      <c r="C9" s="2">
        <v>0.125</v>
      </c>
      <c r="D9" t="s">
        <v>10</v>
      </c>
      <c r="E9" t="s">
        <v>11</v>
      </c>
      <c r="F9">
        <v>40</v>
      </c>
    </row>
    <row r="10" spans="1:13" x14ac:dyDescent="0.3">
      <c r="B10" s="5"/>
      <c r="H10" t="s">
        <v>27</v>
      </c>
      <c r="I10" t="s">
        <v>25</v>
      </c>
    </row>
    <row r="11" spans="1:13" x14ac:dyDescent="0.3">
      <c r="B11" s="5"/>
    </row>
    <row r="12" spans="1:13" x14ac:dyDescent="0.3">
      <c r="A12" s="3" t="s">
        <v>38</v>
      </c>
      <c r="B12" s="6">
        <v>100000</v>
      </c>
      <c r="H12" t="s">
        <v>26</v>
      </c>
    </row>
    <row r="14" spans="1:13" x14ac:dyDescent="0.3">
      <c r="A14" s="7" t="s">
        <v>39</v>
      </c>
      <c r="B14" s="7">
        <f>SUMPRODUCT(Amount,RiskFactors)</f>
        <v>1626666.6666666658</v>
      </c>
      <c r="H14" t="s">
        <v>28</v>
      </c>
      <c r="I14" t="s">
        <v>31</v>
      </c>
      <c r="L14" t="s">
        <v>29</v>
      </c>
    </row>
    <row r="15" spans="1:13" x14ac:dyDescent="0.3">
      <c r="A15" s="1" t="s">
        <v>40</v>
      </c>
      <c r="B15" s="4">
        <f>SUM(Amount)</f>
        <v>100000.00000000001</v>
      </c>
      <c r="H15" t="s">
        <v>30</v>
      </c>
      <c r="L15">
        <v>2</v>
      </c>
      <c r="M15" t="s">
        <v>33</v>
      </c>
    </row>
    <row r="16" spans="1:13" x14ac:dyDescent="0.3">
      <c r="A16" s="1" t="s">
        <v>41</v>
      </c>
      <c r="B16" s="4">
        <f>SUMPRODUCT(Amount,Returns)</f>
        <v>7499.9999999999982</v>
      </c>
      <c r="C16" t="s">
        <v>45</v>
      </c>
      <c r="D16" s="11">
        <f>E16*$B$12</f>
        <v>7500</v>
      </c>
      <c r="E16" s="2">
        <v>7.4999999999999997E-2</v>
      </c>
      <c r="H16" t="s">
        <v>32</v>
      </c>
      <c r="L16">
        <v>3</v>
      </c>
    </row>
    <row r="17" spans="1:12" x14ac:dyDescent="0.3">
      <c r="A17" s="1" t="s">
        <v>42</v>
      </c>
      <c r="B17" s="4">
        <f>SUMIF(Ratings, "A",Amount)</f>
        <v>77333.333333333445</v>
      </c>
      <c r="C17" t="s">
        <v>45</v>
      </c>
      <c r="D17" s="11">
        <f t="shared" ref="D17:D19" si="0">E17*$B$12</f>
        <v>50000</v>
      </c>
      <c r="E17" s="2">
        <v>0.5</v>
      </c>
      <c r="H17" t="s">
        <v>34</v>
      </c>
      <c r="L17">
        <v>4</v>
      </c>
    </row>
    <row r="18" spans="1:12" x14ac:dyDescent="0.3">
      <c r="A18" s="9" t="s">
        <v>43</v>
      </c>
      <c r="B18" s="4">
        <f>SUMIF(Liquidity,"Immediate",Amount)</f>
        <v>40000</v>
      </c>
      <c r="C18" t="s">
        <v>45</v>
      </c>
      <c r="D18" s="11">
        <f t="shared" si="0"/>
        <v>40000</v>
      </c>
      <c r="E18" s="2">
        <v>0.4</v>
      </c>
      <c r="H18" t="s">
        <v>35</v>
      </c>
      <c r="L18" t="s">
        <v>36</v>
      </c>
    </row>
    <row r="19" spans="1:12" x14ac:dyDescent="0.3">
      <c r="A19" s="9" t="s">
        <v>44</v>
      </c>
      <c r="B19" s="10">
        <f>SUM(B2:B3)</f>
        <v>30000</v>
      </c>
      <c r="C19" t="s">
        <v>46</v>
      </c>
      <c r="D19" s="11">
        <f t="shared" si="0"/>
        <v>30000</v>
      </c>
      <c r="E19" s="2">
        <v>0.3</v>
      </c>
    </row>
    <row r="20" spans="1:12" x14ac:dyDescent="0.3">
      <c r="H20" t="s">
        <v>14</v>
      </c>
      <c r="I20" t="s">
        <v>15</v>
      </c>
      <c r="J20" t="s">
        <v>16</v>
      </c>
      <c r="K20" t="s">
        <v>17</v>
      </c>
      <c r="L20" t="s">
        <v>18</v>
      </c>
    </row>
    <row r="21" spans="1:12" x14ac:dyDescent="0.3">
      <c r="H21" t="s">
        <v>0</v>
      </c>
      <c r="I21" s="2">
        <v>0.04</v>
      </c>
      <c r="J21" t="s">
        <v>8</v>
      </c>
      <c r="K21" t="s">
        <v>11</v>
      </c>
      <c r="L21">
        <v>0</v>
      </c>
    </row>
    <row r="22" spans="1:12" x14ac:dyDescent="0.3">
      <c r="A22" s="3" t="s">
        <v>23</v>
      </c>
      <c r="B22" s="3"/>
      <c r="C22" s="3"/>
      <c r="H22" t="s">
        <v>1</v>
      </c>
      <c r="I22" s="2">
        <v>5.0999999999999997E-2</v>
      </c>
      <c r="J22" t="s">
        <v>8</v>
      </c>
      <c r="K22" t="s">
        <v>13</v>
      </c>
      <c r="L22">
        <v>0</v>
      </c>
    </row>
    <row r="23" spans="1:12" x14ac:dyDescent="0.3">
      <c r="A23" s="3" t="s">
        <v>176</v>
      </c>
      <c r="B23" s="3"/>
      <c r="C23" s="3"/>
      <c r="H23" t="s">
        <v>2</v>
      </c>
      <c r="I23" s="2">
        <v>7.0999999999999994E-2</v>
      </c>
      <c r="J23" t="s">
        <v>9</v>
      </c>
      <c r="K23" t="s">
        <v>11</v>
      </c>
      <c r="L23">
        <v>25</v>
      </c>
    </row>
    <row r="24" spans="1:12" x14ac:dyDescent="0.3">
      <c r="H24" t="s">
        <v>3</v>
      </c>
      <c r="I24" s="2">
        <v>0.1</v>
      </c>
      <c r="J24" t="s">
        <v>9</v>
      </c>
      <c r="K24" t="s">
        <v>11</v>
      </c>
      <c r="L24">
        <v>30</v>
      </c>
    </row>
    <row r="25" spans="1:12" x14ac:dyDescent="0.3">
      <c r="H25" t="s">
        <v>4</v>
      </c>
      <c r="I25" s="2">
        <v>8.2000000000000003E-2</v>
      </c>
      <c r="J25" t="s">
        <v>8</v>
      </c>
      <c r="K25" t="s">
        <v>12</v>
      </c>
      <c r="L25">
        <v>20</v>
      </c>
    </row>
    <row r="26" spans="1:12" x14ac:dyDescent="0.3">
      <c r="H26" t="s">
        <v>5</v>
      </c>
      <c r="I26" s="2">
        <v>6.5000000000000002E-2</v>
      </c>
      <c r="J26" t="s">
        <v>9</v>
      </c>
      <c r="K26" t="s">
        <v>12</v>
      </c>
      <c r="L26">
        <v>15</v>
      </c>
    </row>
    <row r="27" spans="1:12" x14ac:dyDescent="0.3">
      <c r="H27" t="s">
        <v>6</v>
      </c>
      <c r="I27" s="2">
        <v>0.2</v>
      </c>
      <c r="J27" t="s">
        <v>8</v>
      </c>
      <c r="K27" t="s">
        <v>11</v>
      </c>
      <c r="L27">
        <v>65</v>
      </c>
    </row>
    <row r="28" spans="1:12" x14ac:dyDescent="0.3">
      <c r="H28" t="s">
        <v>7</v>
      </c>
      <c r="I28" s="2">
        <v>0.125</v>
      </c>
      <c r="J28" t="s">
        <v>10</v>
      </c>
      <c r="K28" t="s">
        <v>11</v>
      </c>
      <c r="L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MachineScheduling</vt:lpstr>
      <vt:lpstr>FactoryScheduling</vt:lpstr>
      <vt:lpstr>FactoryPlacement</vt:lpstr>
      <vt:lpstr>Sheet1</vt:lpstr>
      <vt:lpstr>TransportationModel</vt:lpstr>
      <vt:lpstr>PortfolioOptimization</vt:lpstr>
      <vt:lpstr>Amount</vt:lpstr>
      <vt:lpstr>CompsAvailable</vt:lpstr>
      <vt:lpstr>Demands</vt:lpstr>
      <vt:lpstr>Sheet1!Inventory</vt:lpstr>
      <vt:lpstr>inventory</vt:lpstr>
      <vt:lpstr>Liquidity</vt:lpstr>
      <vt:lpstr>only1factory</vt:lpstr>
      <vt:lpstr>Orders</vt:lpstr>
      <vt:lpstr>OTCapacity</vt:lpstr>
      <vt:lpstr>OTProduction</vt:lpstr>
      <vt:lpstr>pr_14</vt:lpstr>
      <vt:lpstr>pr_16</vt:lpstr>
      <vt:lpstr>pr_17</vt:lpstr>
      <vt:lpstr>pr_19</vt:lpstr>
      <vt:lpstr>pr_9</vt:lpstr>
      <vt:lpstr>prereq5</vt:lpstr>
      <vt:lpstr>TransportationModel!Print_Area</vt:lpstr>
      <vt:lpstr>prodbinaries</vt:lpstr>
      <vt:lpstr>prodintegers</vt:lpstr>
      <vt:lpstr>productioncaps</vt:lpstr>
      <vt:lpstr>Ratings</vt:lpstr>
      <vt:lpstr>RegCapacity</vt:lpstr>
      <vt:lpstr>RegProduction</vt:lpstr>
      <vt:lpstr>Returns</vt:lpstr>
      <vt:lpstr>RiskFactors</vt:lpstr>
      <vt:lpstr>ShippingCosts</vt:lpstr>
      <vt:lpstr>ShippingSchedule</vt:lpstr>
      <vt:lpstr>Supplies</vt:lpstr>
      <vt:lpstr>TransportationModel!TotalCost</vt:lpstr>
      <vt:lpstr>TotalCost</vt:lpstr>
      <vt:lpstr>TotalDemand</vt:lpstr>
      <vt:lpstr>TotalProduction</vt:lpstr>
      <vt:lpstr>TotalSupply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Yale Waller</dc:creator>
  <cp:lastModifiedBy>Yale Waller</cp:lastModifiedBy>
  <dcterms:created xsi:type="dcterms:W3CDTF">2017-11-06T19:17:55Z</dcterms:created>
  <dcterms:modified xsi:type="dcterms:W3CDTF">2018-03-28T13:36:44Z</dcterms:modified>
</cp:coreProperties>
</file>